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D:\Brighter Brew\8 Degrees Brewing\"/>
    </mc:Choice>
  </mc:AlternateContent>
  <xr:revisionPtr revIDLastSave="0" documentId="13_ncr:1_{769265D5-C8BB-450D-A1E8-30BE9F2582A8}" xr6:coauthVersionLast="47" xr6:coauthVersionMax="47" xr10:uidLastSave="{00000000-0000-0000-0000-000000000000}"/>
  <bookViews>
    <workbookView xWindow="-120" yWindow="-120" windowWidth="29040" windowHeight="15840" tabRatio="884" firstSheet="1" activeTab="15" xr2:uid="{00000000-000D-0000-FFFF-FFFF00000000}"/>
  </bookViews>
  <sheets>
    <sheet name="Version Summary" sheetId="20" r:id="rId1"/>
    <sheet name="Assumptions" sheetId="5" r:id="rId2"/>
    <sheet name="Year 1 Traffic" sheetId="18" r:id="rId3"/>
    <sheet name="Events" sheetId="22" r:id="rId4"/>
    <sheet name="Beer Revenue" sheetId="7" r:id="rId5"/>
    <sheet name="Beer COGS" sheetId="8" r:id="rId6"/>
    <sheet name="4pk costs" sheetId="19" r:id="rId7"/>
    <sheet name="Labor" sheetId="11" r:id="rId8"/>
    <sheet name="Capital purchases" sheetId="10" r:id="rId9"/>
    <sheet name="Start-up expenses" sheetId="21" r:id="rId10"/>
    <sheet name="Depreciation" sheetId="13" r:id="rId11"/>
    <sheet name="LoanPayCalc" sheetId="14" r:id="rId12"/>
    <sheet name="SOFP" sheetId="2" r:id="rId13"/>
    <sheet name="SOCF" sheetId="4" r:id="rId14"/>
    <sheet name="SOO" sheetId="3" r:id="rId15"/>
    <sheet name="Exec Summary-Std" sheetId="12" r:id="rId16"/>
    <sheet name="Production" sheetId="6" state="hidden" r:id="rId17"/>
    <sheet name="Recipe Costs" sheetId="9" state="hidden" r:id="rId18"/>
    <sheet name="Lists" sheetId="15" state="hidden" r:id="rId19"/>
    <sheet name="Estimates - COGS - Total Volume" sheetId="16" state="hidden" r:id="rId20"/>
    <sheet name="FS-Summary" sheetId="1" state="hidden" r:id="rId21"/>
    <sheet name="PkG_Pricing" sheetId="17" state="hidden" r:id="rId22"/>
  </sheets>
  <definedNames>
    <definedName name="No_Mos">Lists!$A$2:$A$61</definedName>
    <definedName name="Yes_No">Lists!$F$2:$F$3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4" i="22" l="1"/>
  <c r="F15" i="22"/>
  <c r="K15" i="22"/>
  <c r="K16" i="12"/>
  <c r="I16" i="12"/>
  <c r="G16" i="12"/>
  <c r="E16" i="12"/>
  <c r="C16" i="12"/>
  <c r="C10" i="12"/>
  <c r="E10" i="12"/>
  <c r="K14" i="12"/>
  <c r="I14" i="12"/>
  <c r="G14" i="12"/>
  <c r="E14" i="12"/>
  <c r="C14" i="12"/>
  <c r="C12" i="22"/>
  <c r="C14" i="22" s="1"/>
  <c r="D12" i="22"/>
  <c r="D15" i="22" s="1"/>
  <c r="E12" i="22"/>
  <c r="E16" i="22" s="1"/>
  <c r="F12" i="22"/>
  <c r="F16" i="22" s="1"/>
  <c r="G12" i="22"/>
  <c r="G14" i="22" s="1"/>
  <c r="H12" i="22"/>
  <c r="H15" i="22" s="1"/>
  <c r="I12" i="22"/>
  <c r="I16" i="22" s="1"/>
  <c r="J12" i="22"/>
  <c r="J16" i="22" s="1"/>
  <c r="K12" i="22"/>
  <c r="K14" i="22" s="1"/>
  <c r="L12" i="22"/>
  <c r="L15" i="22" s="1"/>
  <c r="M12" i="22"/>
  <c r="M16" i="22" s="1"/>
  <c r="B12" i="22"/>
  <c r="B16" i="22" s="1"/>
  <c r="J15" i="22" l="1"/>
  <c r="E15" i="22"/>
  <c r="I14" i="22"/>
  <c r="B15" i="22"/>
  <c r="I15" i="22"/>
  <c r="C15" i="22"/>
  <c r="F14" i="22"/>
  <c r="F17" i="22" s="1"/>
  <c r="J7" i="3" s="1"/>
  <c r="W7" i="3" s="1"/>
  <c r="AJ7" i="3" s="1"/>
  <c r="AW7" i="3" s="1"/>
  <c r="BJ7" i="3" s="1"/>
  <c r="M15" i="22"/>
  <c r="M17" i="22" s="1"/>
  <c r="Q7" i="3" s="1"/>
  <c r="AD7" i="3" s="1"/>
  <c r="AQ7" i="3" s="1"/>
  <c r="BD7" i="3" s="1"/>
  <c r="BQ7" i="3" s="1"/>
  <c r="G15" i="22"/>
  <c r="M14" i="22"/>
  <c r="E14" i="22"/>
  <c r="G17" i="22"/>
  <c r="K7" i="3" s="1"/>
  <c r="X7" i="3" s="1"/>
  <c r="AK7" i="3" s="1"/>
  <c r="AX7" i="3" s="1"/>
  <c r="BK7" i="3" s="1"/>
  <c r="L16" i="22"/>
  <c r="H16" i="22"/>
  <c r="D16" i="22"/>
  <c r="J17" i="22"/>
  <c r="K16" i="22"/>
  <c r="K17" i="22" s="1"/>
  <c r="O7" i="3" s="1"/>
  <c r="AB7" i="3" s="1"/>
  <c r="AO7" i="3" s="1"/>
  <c r="BB7" i="3" s="1"/>
  <c r="BO7" i="3" s="1"/>
  <c r="G16" i="22"/>
  <c r="C16" i="22"/>
  <c r="C17" i="22" s="1"/>
  <c r="G7" i="3" s="1"/>
  <c r="T7" i="3" s="1"/>
  <c r="AG7" i="3" s="1"/>
  <c r="AT7" i="3" s="1"/>
  <c r="BG7" i="3" s="1"/>
  <c r="I17" i="22"/>
  <c r="M7" i="3" s="1"/>
  <c r="Z7" i="3" s="1"/>
  <c r="AM7" i="3" s="1"/>
  <c r="AZ7" i="3" s="1"/>
  <c r="BM7" i="3" s="1"/>
  <c r="E17" i="22"/>
  <c r="L14" i="22"/>
  <c r="H14" i="22"/>
  <c r="D14" i="22"/>
  <c r="B27" i="22"/>
  <c r="J27" i="22"/>
  <c r="J28" i="22"/>
  <c r="F28" i="22"/>
  <c r="F27" i="22"/>
  <c r="B28" i="22"/>
  <c r="B29" i="22" s="1"/>
  <c r="M27" i="22"/>
  <c r="I27" i="22"/>
  <c r="E27" i="22"/>
  <c r="M28" i="22"/>
  <c r="I28" i="22"/>
  <c r="E28" i="22"/>
  <c r="L27" i="22"/>
  <c r="H27" i="22"/>
  <c r="H29" i="22" s="1"/>
  <c r="D27" i="22"/>
  <c r="L28" i="22"/>
  <c r="H28" i="22"/>
  <c r="D28" i="22"/>
  <c r="K27" i="22"/>
  <c r="G27" i="22"/>
  <c r="C27" i="22"/>
  <c r="K28" i="22"/>
  <c r="G28" i="22"/>
  <c r="C28" i="22"/>
  <c r="B14" i="22"/>
  <c r="I7" i="3"/>
  <c r="V7" i="3" s="1"/>
  <c r="AI7" i="3" s="1"/>
  <c r="AV7" i="3" s="1"/>
  <c r="BI7" i="3" s="1"/>
  <c r="N7" i="3"/>
  <c r="AA7" i="3" s="1"/>
  <c r="AN7" i="3" s="1"/>
  <c r="BA7" i="3" s="1"/>
  <c r="BN7" i="3" s="1"/>
  <c r="H17" i="22" l="1"/>
  <c r="L7" i="3" s="1"/>
  <c r="Y7" i="3" s="1"/>
  <c r="AL7" i="3" s="1"/>
  <c r="AY7" i="3" s="1"/>
  <c r="BL7" i="3" s="1"/>
  <c r="K29" i="22"/>
  <c r="L17" i="22"/>
  <c r="P7" i="3" s="1"/>
  <c r="AC7" i="3" s="1"/>
  <c r="AP7" i="3" s="1"/>
  <c r="BC7" i="3" s="1"/>
  <c r="BP7" i="3" s="1"/>
  <c r="F7" i="3"/>
  <c r="S7" i="3" s="1"/>
  <c r="AF7" i="3" s="1"/>
  <c r="AS7" i="3" s="1"/>
  <c r="BF7" i="3" s="1"/>
  <c r="L34" i="3"/>
  <c r="Y34" i="3" s="1"/>
  <c r="AL34" i="3" s="1"/>
  <c r="AY34" i="3" s="1"/>
  <c r="BL34" i="3" s="1"/>
  <c r="H31" i="22"/>
  <c r="F34" i="3"/>
  <c r="S34" i="3" s="1"/>
  <c r="B31" i="22"/>
  <c r="O34" i="3"/>
  <c r="AB34" i="3" s="1"/>
  <c r="AO34" i="3" s="1"/>
  <c r="BB34" i="3" s="1"/>
  <c r="BO34" i="3" s="1"/>
  <c r="K31" i="22"/>
  <c r="B17" i="22"/>
  <c r="D17" i="22"/>
  <c r="H7" i="3" s="1"/>
  <c r="U7" i="3" s="1"/>
  <c r="AH7" i="3" s="1"/>
  <c r="AU7" i="3" s="1"/>
  <c r="BH7" i="3" s="1"/>
  <c r="BR7" i="3" s="1"/>
  <c r="I29" i="22"/>
  <c r="G29" i="22"/>
  <c r="J29" i="22"/>
  <c r="M29" i="22"/>
  <c r="F29" i="22"/>
  <c r="L29" i="22"/>
  <c r="C29" i="22"/>
  <c r="D29" i="22"/>
  <c r="E29" i="22"/>
  <c r="R7" i="3" l="1"/>
  <c r="BE7" i="3"/>
  <c r="AE7" i="3"/>
  <c r="H34" i="3"/>
  <c r="U34" i="3" s="1"/>
  <c r="AH34" i="3" s="1"/>
  <c r="AU34" i="3" s="1"/>
  <c r="BH34" i="3" s="1"/>
  <c r="D31" i="22"/>
  <c r="Q34" i="3"/>
  <c r="AD34" i="3" s="1"/>
  <c r="AQ34" i="3" s="1"/>
  <c r="BD34" i="3" s="1"/>
  <c r="BQ34" i="3" s="1"/>
  <c r="M31" i="22"/>
  <c r="I34" i="3"/>
  <c r="V34" i="3" s="1"/>
  <c r="AI34" i="3" s="1"/>
  <c r="AV34" i="3" s="1"/>
  <c r="BI34" i="3" s="1"/>
  <c r="E31" i="22"/>
  <c r="AR7" i="3"/>
  <c r="N34" i="3"/>
  <c r="AA34" i="3" s="1"/>
  <c r="AN34" i="3" s="1"/>
  <c r="BA34" i="3" s="1"/>
  <c r="BN34" i="3" s="1"/>
  <c r="J31" i="22"/>
  <c r="K34" i="3"/>
  <c r="X34" i="3" s="1"/>
  <c r="AK34" i="3" s="1"/>
  <c r="AX34" i="3" s="1"/>
  <c r="BK34" i="3" s="1"/>
  <c r="G31" i="22"/>
  <c r="G34" i="3"/>
  <c r="T34" i="3" s="1"/>
  <c r="AG34" i="3" s="1"/>
  <c r="AT34" i="3" s="1"/>
  <c r="C31" i="22"/>
  <c r="J34" i="3"/>
  <c r="W34" i="3" s="1"/>
  <c r="AJ34" i="3" s="1"/>
  <c r="AW34" i="3" s="1"/>
  <c r="BJ34" i="3" s="1"/>
  <c r="F31" i="22"/>
  <c r="M34" i="3"/>
  <c r="Z34" i="3" s="1"/>
  <c r="AM34" i="3" s="1"/>
  <c r="AZ34" i="3" s="1"/>
  <c r="BM34" i="3" s="1"/>
  <c r="I31" i="22"/>
  <c r="P34" i="3"/>
  <c r="AC34" i="3" s="1"/>
  <c r="AP34" i="3" s="1"/>
  <c r="BC34" i="3" s="1"/>
  <c r="BP34" i="3" s="1"/>
  <c r="L31" i="22"/>
  <c r="AF34" i="3"/>
  <c r="AS34" i="3" s="1"/>
  <c r="BF34" i="3" s="1"/>
  <c r="F123" i="7"/>
  <c r="C28" i="12"/>
  <c r="CD13" i="14"/>
  <c r="CE13" i="14"/>
  <c r="CF13" i="14"/>
  <c r="CG13" i="14"/>
  <c r="CH13" i="14"/>
  <c r="CI13" i="14"/>
  <c r="CJ13" i="14"/>
  <c r="CK13" i="14"/>
  <c r="CL13" i="14"/>
  <c r="CM13" i="14"/>
  <c r="CN13" i="14"/>
  <c r="CO13" i="14"/>
  <c r="CP13" i="14"/>
  <c r="CQ13" i="14"/>
  <c r="CR13" i="14"/>
  <c r="CS13" i="14"/>
  <c r="CT13" i="14"/>
  <c r="CU13" i="14"/>
  <c r="CV13" i="14"/>
  <c r="CW13" i="14"/>
  <c r="CX13" i="14"/>
  <c r="CY13" i="14"/>
  <c r="CZ13" i="14"/>
  <c r="DA13" i="14"/>
  <c r="DB13" i="14"/>
  <c r="DC13" i="14"/>
  <c r="DD13" i="14"/>
  <c r="DE13" i="14"/>
  <c r="DF13" i="14"/>
  <c r="DG13" i="14"/>
  <c r="DH13" i="14"/>
  <c r="DI13" i="14"/>
  <c r="DJ13" i="14"/>
  <c r="DK13" i="14"/>
  <c r="DL13" i="14"/>
  <c r="DM13" i="14"/>
  <c r="DN13" i="14"/>
  <c r="DO13" i="14"/>
  <c r="DP13" i="14"/>
  <c r="DQ13" i="14"/>
  <c r="DR13" i="14"/>
  <c r="DS13" i="14"/>
  <c r="DT13" i="14"/>
  <c r="DU13" i="14"/>
  <c r="DV13" i="14"/>
  <c r="DW13" i="14"/>
  <c r="DX13" i="14"/>
  <c r="DY13" i="14"/>
  <c r="DZ13" i="14"/>
  <c r="EA13" i="14"/>
  <c r="EB13" i="14"/>
  <c r="EC13" i="14"/>
  <c r="ED13" i="14"/>
  <c r="EE13" i="14"/>
  <c r="EF13" i="14"/>
  <c r="EG13" i="14"/>
  <c r="EH13" i="14"/>
  <c r="EI13" i="14"/>
  <c r="EJ13" i="14"/>
  <c r="EK13" i="14"/>
  <c r="CC13" i="14"/>
  <c r="C34" i="21"/>
  <c r="C27" i="21"/>
  <c r="C16" i="21"/>
  <c r="C15" i="21"/>
  <c r="C14" i="21"/>
  <c r="C26" i="21" s="1"/>
  <c r="E34" i="10"/>
  <c r="E24" i="10"/>
  <c r="E23" i="10"/>
  <c r="E22" i="10"/>
  <c r="C115" i="10"/>
  <c r="K19" i="12"/>
  <c r="I19" i="12"/>
  <c r="G19" i="12"/>
  <c r="E19" i="12"/>
  <c r="C19" i="12"/>
  <c r="B69" i="5"/>
  <c r="B66" i="5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6" i="10"/>
  <c r="C125" i="10"/>
  <c r="C124" i="10"/>
  <c r="C123" i="10"/>
  <c r="C122" i="10"/>
  <c r="C121" i="10"/>
  <c r="C120" i="10"/>
  <c r="C119" i="10"/>
  <c r="C118" i="10"/>
  <c r="C117" i="10"/>
  <c r="C116" i="10"/>
  <c r="A7" i="13"/>
  <c r="C7" i="13" s="1"/>
  <c r="E7" i="13"/>
  <c r="A8" i="13"/>
  <c r="C8" i="13" s="1"/>
  <c r="A9" i="13"/>
  <c r="C9" i="13" s="1"/>
  <c r="A10" i="13"/>
  <c r="C10" i="13" s="1"/>
  <c r="A11" i="13"/>
  <c r="C11" i="13" s="1"/>
  <c r="A12" i="13"/>
  <c r="C12" i="13" s="1"/>
  <c r="A13" i="13"/>
  <c r="C13" i="13" s="1"/>
  <c r="A14" i="13"/>
  <c r="C14" i="13" s="1"/>
  <c r="A15" i="13"/>
  <c r="C15" i="13" s="1"/>
  <c r="A16" i="13"/>
  <c r="C16" i="13" s="1"/>
  <c r="A17" i="13"/>
  <c r="C17" i="13" s="1"/>
  <c r="A18" i="13"/>
  <c r="C18" i="13" s="1"/>
  <c r="A19" i="13"/>
  <c r="C19" i="13" s="1"/>
  <c r="A20" i="13"/>
  <c r="C20" i="13" s="1"/>
  <c r="A21" i="13"/>
  <c r="C21" i="13" s="1"/>
  <c r="A22" i="13"/>
  <c r="C22" i="13" s="1"/>
  <c r="A23" i="13"/>
  <c r="C23" i="13" s="1"/>
  <c r="A24" i="13"/>
  <c r="A25" i="13"/>
  <c r="A26" i="13"/>
  <c r="A27" i="13"/>
  <c r="A28" i="13"/>
  <c r="A29" i="13"/>
  <c r="A30" i="13"/>
  <c r="A31" i="13"/>
  <c r="A32" i="13"/>
  <c r="A33" i="13"/>
  <c r="A34" i="13"/>
  <c r="A35" i="13"/>
  <c r="E35" i="13" s="1"/>
  <c r="A36" i="13"/>
  <c r="E36" i="13"/>
  <c r="A37" i="13"/>
  <c r="E37" i="13" s="1"/>
  <c r="A38" i="13"/>
  <c r="E38" i="13"/>
  <c r="A39" i="13"/>
  <c r="E39" i="13" s="1"/>
  <c r="A40" i="13"/>
  <c r="E40" i="13"/>
  <c r="A41" i="13"/>
  <c r="E41" i="13" s="1"/>
  <c r="A42" i="13"/>
  <c r="E42" i="13"/>
  <c r="A43" i="13"/>
  <c r="E43" i="13" s="1"/>
  <c r="A44" i="13"/>
  <c r="E44" i="13"/>
  <c r="A45" i="13"/>
  <c r="E45" i="13" s="1"/>
  <c r="A46" i="13"/>
  <c r="E46" i="13"/>
  <c r="A47" i="13"/>
  <c r="E47" i="13" s="1"/>
  <c r="A48" i="13"/>
  <c r="E48" i="13"/>
  <c r="A49" i="13"/>
  <c r="E49" i="13" s="1"/>
  <c r="A50" i="13"/>
  <c r="E50" i="13"/>
  <c r="A51" i="13"/>
  <c r="E51" i="13" s="1"/>
  <c r="A52" i="13"/>
  <c r="E52" i="13"/>
  <c r="A53" i="13"/>
  <c r="E53" i="13" s="1"/>
  <c r="A54" i="13"/>
  <c r="E54" i="13"/>
  <c r="A55" i="13"/>
  <c r="E55" i="13" s="1"/>
  <c r="A56" i="13"/>
  <c r="E56" i="13"/>
  <c r="A57" i="13"/>
  <c r="E57" i="13" s="1"/>
  <c r="A58" i="13"/>
  <c r="E58" i="13"/>
  <c r="A59" i="13"/>
  <c r="E59" i="13" s="1"/>
  <c r="A60" i="13"/>
  <c r="E60" i="13"/>
  <c r="A61" i="13"/>
  <c r="E61" i="13" s="1"/>
  <c r="A62" i="13"/>
  <c r="E62" i="13"/>
  <c r="A63" i="13"/>
  <c r="E63" i="13" s="1"/>
  <c r="A64" i="13"/>
  <c r="E64" i="13"/>
  <c r="A65" i="13"/>
  <c r="E65" i="13" s="1"/>
  <c r="A66" i="13"/>
  <c r="E66" i="13"/>
  <c r="A67" i="13"/>
  <c r="E67" i="13" s="1"/>
  <c r="A68" i="13"/>
  <c r="E68" i="13"/>
  <c r="A69" i="13"/>
  <c r="E69" i="13" s="1"/>
  <c r="A70" i="13"/>
  <c r="E70" i="13"/>
  <c r="A71" i="13"/>
  <c r="E71" i="13" s="1"/>
  <c r="A72" i="13"/>
  <c r="E72" i="13"/>
  <c r="A73" i="13"/>
  <c r="E73" i="13" s="1"/>
  <c r="A74" i="13"/>
  <c r="E74" i="13"/>
  <c r="A75" i="13"/>
  <c r="E75" i="13" s="1"/>
  <c r="A76" i="13"/>
  <c r="E76" i="13"/>
  <c r="A77" i="13"/>
  <c r="E77" i="13" s="1"/>
  <c r="A78" i="13"/>
  <c r="E78" i="13"/>
  <c r="A79" i="13"/>
  <c r="E79" i="13" s="1"/>
  <c r="A80" i="13"/>
  <c r="E80" i="13"/>
  <c r="A81" i="13"/>
  <c r="E81" i="13" s="1"/>
  <c r="A82" i="13"/>
  <c r="E82" i="13"/>
  <c r="A83" i="13"/>
  <c r="E83" i="13" s="1"/>
  <c r="A84" i="13"/>
  <c r="E84" i="13"/>
  <c r="A85" i="13"/>
  <c r="E85" i="13" s="1"/>
  <c r="A86" i="13"/>
  <c r="C86" i="13" s="1"/>
  <c r="D86" i="13"/>
  <c r="E86" i="13"/>
  <c r="A87" i="13"/>
  <c r="C87" i="13" s="1"/>
  <c r="D87" i="13"/>
  <c r="E87" i="13"/>
  <c r="A88" i="13"/>
  <c r="C88" i="13" s="1"/>
  <c r="A89" i="13"/>
  <c r="C89" i="13" s="1"/>
  <c r="A90" i="13"/>
  <c r="C90" i="13" s="1"/>
  <c r="D90" i="13"/>
  <c r="E90" i="13"/>
  <c r="A91" i="13"/>
  <c r="C91" i="13" s="1"/>
  <c r="D91" i="13"/>
  <c r="E91" i="13"/>
  <c r="A92" i="13"/>
  <c r="C92" i="13" s="1"/>
  <c r="E92" i="13"/>
  <c r="A93" i="13"/>
  <c r="C93" i="13" s="1"/>
  <c r="E93" i="13"/>
  <c r="A94" i="13"/>
  <c r="C94" i="13" s="1"/>
  <c r="E94" i="13"/>
  <c r="A95" i="13"/>
  <c r="C95" i="13" s="1"/>
  <c r="E95" i="13"/>
  <c r="A96" i="13"/>
  <c r="C96" i="13" s="1"/>
  <c r="E96" i="13"/>
  <c r="A97" i="13"/>
  <c r="C97" i="13" s="1"/>
  <c r="E97" i="13"/>
  <c r="A98" i="13"/>
  <c r="C98" i="13" s="1"/>
  <c r="E98" i="13"/>
  <c r="A99" i="13"/>
  <c r="C99" i="13" s="1"/>
  <c r="E99" i="13"/>
  <c r="A100" i="13"/>
  <c r="C100" i="13" s="1"/>
  <c r="E100" i="13"/>
  <c r="C6" i="13"/>
  <c r="A6" i="13"/>
  <c r="D6" i="13" s="1"/>
  <c r="G38" i="10"/>
  <c r="G37" i="10"/>
  <c r="G36" i="10"/>
  <c r="G23" i="10"/>
  <c r="G24" i="10"/>
  <c r="G25" i="10"/>
  <c r="G26" i="10"/>
  <c r="Q56" i="3"/>
  <c r="P56" i="3"/>
  <c r="O56" i="3"/>
  <c r="N56" i="3"/>
  <c r="M56" i="3"/>
  <c r="L56" i="3"/>
  <c r="K56" i="3"/>
  <c r="J56" i="3"/>
  <c r="I56" i="3"/>
  <c r="H56" i="3"/>
  <c r="G56" i="3"/>
  <c r="F56" i="3"/>
  <c r="Q55" i="3"/>
  <c r="P55" i="3"/>
  <c r="O55" i="3"/>
  <c r="N55" i="3"/>
  <c r="M55" i="3"/>
  <c r="L55" i="3"/>
  <c r="K55" i="3"/>
  <c r="J55" i="3"/>
  <c r="I55" i="3"/>
  <c r="H55" i="3"/>
  <c r="G55" i="3"/>
  <c r="F55" i="3"/>
  <c r="Q54" i="3"/>
  <c r="P54" i="3"/>
  <c r="O54" i="3"/>
  <c r="N54" i="3"/>
  <c r="M54" i="3"/>
  <c r="L54" i="3"/>
  <c r="K54" i="3"/>
  <c r="J54" i="3"/>
  <c r="I54" i="3"/>
  <c r="H54" i="3"/>
  <c r="G54" i="3"/>
  <c r="F54" i="3"/>
  <c r="Q52" i="3"/>
  <c r="P52" i="3"/>
  <c r="O52" i="3"/>
  <c r="N52" i="3"/>
  <c r="M52" i="3"/>
  <c r="L52" i="3"/>
  <c r="K52" i="3"/>
  <c r="J52" i="3"/>
  <c r="I52" i="3"/>
  <c r="H52" i="3"/>
  <c r="G52" i="3"/>
  <c r="F52" i="3"/>
  <c r="H92" i="5"/>
  <c r="I92" i="5" s="1"/>
  <c r="J92" i="5" s="1"/>
  <c r="K92" i="5" s="1"/>
  <c r="H91" i="5"/>
  <c r="I91" i="5" s="1"/>
  <c r="J91" i="5" s="1"/>
  <c r="K91" i="5" s="1"/>
  <c r="H90" i="5"/>
  <c r="H89" i="5"/>
  <c r="H88" i="5"/>
  <c r="H86" i="5"/>
  <c r="H85" i="5"/>
  <c r="H84" i="5"/>
  <c r="H83" i="5"/>
  <c r="H82" i="5"/>
  <c r="I82" i="5" s="1"/>
  <c r="J82" i="5" s="1"/>
  <c r="K82" i="5" s="1"/>
  <c r="H81" i="5"/>
  <c r="I81" i="5" s="1"/>
  <c r="J81" i="5" s="1"/>
  <c r="K81" i="5" s="1"/>
  <c r="H80" i="5"/>
  <c r="I80" i="5" s="1"/>
  <c r="J80" i="5" s="1"/>
  <c r="K80" i="5" s="1"/>
  <c r="H79" i="5"/>
  <c r="I79" i="5" s="1"/>
  <c r="J79" i="5" s="1"/>
  <c r="K79" i="5" s="1"/>
  <c r="H78" i="5"/>
  <c r="I78" i="5" s="1"/>
  <c r="J78" i="5" s="1"/>
  <c r="K78" i="5" s="1"/>
  <c r="H77" i="5"/>
  <c r="I77" i="5" s="1"/>
  <c r="J77" i="5" s="1"/>
  <c r="K77" i="5" s="1"/>
  <c r="H72" i="5"/>
  <c r="H71" i="5"/>
  <c r="H70" i="5"/>
  <c r="I70" i="5" s="1"/>
  <c r="J70" i="5" s="1"/>
  <c r="K70" i="5" s="1"/>
  <c r="H68" i="5"/>
  <c r="I68" i="5" s="1"/>
  <c r="J68" i="5" s="1"/>
  <c r="K68" i="5" s="1"/>
  <c r="H67" i="5"/>
  <c r="I67" i="5" s="1"/>
  <c r="J67" i="5" s="1"/>
  <c r="K67" i="5" s="1"/>
  <c r="H64" i="5"/>
  <c r="AD36" i="3" s="1"/>
  <c r="Q45" i="3"/>
  <c r="P45" i="3"/>
  <c r="O45" i="3"/>
  <c r="N45" i="3"/>
  <c r="M45" i="3"/>
  <c r="L45" i="3"/>
  <c r="K45" i="3"/>
  <c r="J45" i="3"/>
  <c r="I45" i="3"/>
  <c r="H45" i="3"/>
  <c r="G45" i="3"/>
  <c r="F45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D40" i="3"/>
  <c r="AC40" i="3"/>
  <c r="AB40" i="3"/>
  <c r="AA40" i="3"/>
  <c r="Z40" i="3"/>
  <c r="Y40" i="3"/>
  <c r="X40" i="3"/>
  <c r="W40" i="3"/>
  <c r="V40" i="3"/>
  <c r="U40" i="3"/>
  <c r="T40" i="3"/>
  <c r="S40" i="3"/>
  <c r="E13" i="11"/>
  <c r="D43" i="11"/>
  <c r="E43" i="11" s="1"/>
  <c r="I12" i="1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E11" i="11"/>
  <c r="V8" i="1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D51" i="11"/>
  <c r="D47" i="11"/>
  <c r="D49" i="11"/>
  <c r="I34" i="11"/>
  <c r="J34" i="11" s="1"/>
  <c r="K34" i="11" s="1"/>
  <c r="L34" i="11" s="1"/>
  <c r="M34" i="11" s="1"/>
  <c r="N34" i="11" s="1"/>
  <c r="O34" i="11" s="1"/>
  <c r="P34" i="11" s="1"/>
  <c r="Q34" i="11" s="1"/>
  <c r="R34" i="11" s="1"/>
  <c r="S34" i="11" s="1"/>
  <c r="I32" i="11"/>
  <c r="J32" i="11" s="1"/>
  <c r="K32" i="11" s="1"/>
  <c r="L32" i="11" s="1"/>
  <c r="M32" i="11" s="1"/>
  <c r="N32" i="11" s="1"/>
  <c r="O32" i="11" s="1"/>
  <c r="P32" i="11" s="1"/>
  <c r="Q32" i="11" s="1"/>
  <c r="R32" i="11" s="1"/>
  <c r="S32" i="11" s="1"/>
  <c r="I28" i="11"/>
  <c r="J28" i="11" s="1"/>
  <c r="K28" i="11" s="1"/>
  <c r="L28" i="11" s="1"/>
  <c r="M28" i="11" s="1"/>
  <c r="N28" i="11" s="1"/>
  <c r="O28" i="11" s="1"/>
  <c r="P28" i="11" s="1"/>
  <c r="Q28" i="11" s="1"/>
  <c r="R28" i="11" s="1"/>
  <c r="S28" i="11" s="1"/>
  <c r="I26" i="11"/>
  <c r="J26" i="11" s="1"/>
  <c r="K26" i="11" s="1"/>
  <c r="L26" i="11" s="1"/>
  <c r="M26" i="11" s="1"/>
  <c r="N26" i="11" s="1"/>
  <c r="O26" i="11" s="1"/>
  <c r="P26" i="11" s="1"/>
  <c r="Q26" i="11" s="1"/>
  <c r="R26" i="11" s="1"/>
  <c r="S26" i="11" s="1"/>
  <c r="I16" i="1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I14" i="11"/>
  <c r="J14" i="11" s="1"/>
  <c r="I10" i="1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D33" i="11"/>
  <c r="D31" i="11"/>
  <c r="D45" i="11"/>
  <c r="E21" i="11"/>
  <c r="F21" i="11" s="1"/>
  <c r="E23" i="11"/>
  <c r="F23" i="11"/>
  <c r="BT24" i="8"/>
  <c r="BT25" i="8"/>
  <c r="C11" i="8"/>
  <c r="C27" i="8" s="1"/>
  <c r="C12" i="8"/>
  <c r="C28" i="8" s="1"/>
  <c r="C13" i="8"/>
  <c r="C29" i="8" s="1"/>
  <c r="C14" i="8"/>
  <c r="C30" i="8" s="1"/>
  <c r="C15" i="8"/>
  <c r="C31" i="8" s="1"/>
  <c r="C16" i="8"/>
  <c r="C32" i="8" s="1"/>
  <c r="C17" i="8"/>
  <c r="C33" i="8" s="1"/>
  <c r="C18" i="8"/>
  <c r="C34" i="8" s="1"/>
  <c r="C19" i="8"/>
  <c r="C35" i="8" s="1"/>
  <c r="C20" i="8"/>
  <c r="C36" i="8" s="1"/>
  <c r="C21" i="8"/>
  <c r="C37" i="8" s="1"/>
  <c r="C22" i="8"/>
  <c r="C38" i="8" s="1"/>
  <c r="C10" i="8"/>
  <c r="C26" i="8" s="1"/>
  <c r="B9" i="19"/>
  <c r="B10" i="19" s="1"/>
  <c r="F62" i="7"/>
  <c r="F97" i="7" s="1"/>
  <c r="F113" i="7" s="1"/>
  <c r="F63" i="7"/>
  <c r="F98" i="7" s="1"/>
  <c r="F114" i="7" s="1"/>
  <c r="F64" i="7"/>
  <c r="F99" i="7" s="1"/>
  <c r="F115" i="7" s="1"/>
  <c r="E44" i="7"/>
  <c r="E28" i="7"/>
  <c r="D41" i="7"/>
  <c r="F41" i="7"/>
  <c r="F78" i="7" s="1"/>
  <c r="D42" i="7"/>
  <c r="F42" i="7"/>
  <c r="F79" i="7" s="1"/>
  <c r="D43" i="7"/>
  <c r="F43" i="7"/>
  <c r="F80" i="7" s="1"/>
  <c r="D32" i="7"/>
  <c r="D33" i="7"/>
  <c r="D34" i="7"/>
  <c r="D35" i="7"/>
  <c r="D36" i="7"/>
  <c r="D37" i="7"/>
  <c r="D38" i="7"/>
  <c r="D39" i="7"/>
  <c r="D40" i="7"/>
  <c r="D31" i="7"/>
  <c r="D24" i="7"/>
  <c r="D16" i="7"/>
  <c r="D17" i="7"/>
  <c r="D18" i="7"/>
  <c r="D19" i="7"/>
  <c r="D20" i="7"/>
  <c r="D21" i="7"/>
  <c r="D22" i="7"/>
  <c r="D23" i="7"/>
  <c r="D15" i="7"/>
  <c r="F40" i="7"/>
  <c r="F77" i="7" s="1"/>
  <c r="F39" i="7"/>
  <c r="F76" i="7" s="1"/>
  <c r="F38" i="7"/>
  <c r="F75" i="7" s="1"/>
  <c r="F37" i="7"/>
  <c r="F74" i="7" s="1"/>
  <c r="F36" i="7"/>
  <c r="F73" i="7" s="1"/>
  <c r="F35" i="7"/>
  <c r="F72" i="7" s="1"/>
  <c r="F34" i="7"/>
  <c r="F71" i="7" s="1"/>
  <c r="F33" i="7"/>
  <c r="F70" i="7" s="1"/>
  <c r="F32" i="7"/>
  <c r="F69" i="7" s="1"/>
  <c r="F31" i="7"/>
  <c r="F68" i="7" s="1"/>
  <c r="F53" i="7"/>
  <c r="F88" i="7" s="1"/>
  <c r="F104" i="7" s="1"/>
  <c r="F54" i="7"/>
  <c r="F89" i="7" s="1"/>
  <c r="F105" i="7" s="1"/>
  <c r="F55" i="7"/>
  <c r="F90" i="7" s="1"/>
  <c r="F106" i="7" s="1"/>
  <c r="F56" i="7"/>
  <c r="F91" i="7" s="1"/>
  <c r="F107" i="7" s="1"/>
  <c r="F57" i="7"/>
  <c r="F92" i="7" s="1"/>
  <c r="F108" i="7" s="1"/>
  <c r="F58" i="7"/>
  <c r="F93" i="7" s="1"/>
  <c r="F109" i="7" s="1"/>
  <c r="F59" i="7"/>
  <c r="F94" i="7" s="1"/>
  <c r="F110" i="7" s="1"/>
  <c r="F60" i="7"/>
  <c r="F95" i="7" s="1"/>
  <c r="F111" i="7" s="1"/>
  <c r="F61" i="7"/>
  <c r="F96" i="7" s="1"/>
  <c r="F112" i="7" s="1"/>
  <c r="F52" i="7"/>
  <c r="F87" i="7" s="1"/>
  <c r="F103" i="7" s="1"/>
  <c r="C22" i="18"/>
  <c r="D22" i="18"/>
  <c r="E22" i="18"/>
  <c r="F22" i="18"/>
  <c r="G22" i="18"/>
  <c r="H22" i="18"/>
  <c r="I22" i="18"/>
  <c r="J22" i="18"/>
  <c r="K22" i="18"/>
  <c r="L22" i="18"/>
  <c r="M22" i="18"/>
  <c r="B22" i="18"/>
  <c r="N20" i="18"/>
  <c r="C7" i="18"/>
  <c r="C9" i="18" s="1"/>
  <c r="C11" i="18" s="1"/>
  <c r="D7" i="18"/>
  <c r="D9" i="18" s="1"/>
  <c r="D11" i="18" s="1"/>
  <c r="E7" i="18"/>
  <c r="F7" i="18"/>
  <c r="F9" i="18" s="1"/>
  <c r="G7" i="18"/>
  <c r="H7" i="18"/>
  <c r="H9" i="18" s="1"/>
  <c r="H11" i="18" s="1"/>
  <c r="B7" i="18"/>
  <c r="B9" i="18" s="1"/>
  <c r="B11" i="18" s="1"/>
  <c r="B12" i="18" s="1"/>
  <c r="H66" i="5"/>
  <c r="AD39" i="3" s="1"/>
  <c r="B54" i="5"/>
  <c r="AE34" i="3" l="1"/>
  <c r="R34" i="3"/>
  <c r="AR34" i="3"/>
  <c r="BE34" i="3"/>
  <c r="BG34" i="3"/>
  <c r="BR34" i="3" s="1"/>
  <c r="F121" i="7"/>
  <c r="F122" i="7"/>
  <c r="F124" i="7"/>
  <c r="C35" i="21"/>
  <c r="L14" i="11"/>
  <c r="M14" i="11" s="1"/>
  <c r="N14" i="11" s="1"/>
  <c r="O14" i="11" s="1"/>
  <c r="P14" i="11" s="1"/>
  <c r="Q14" i="11" s="1"/>
  <c r="R14" i="11" s="1"/>
  <c r="S14" i="11" s="1"/>
  <c r="K14" i="11"/>
  <c r="H16" i="18"/>
  <c r="I72" i="5"/>
  <c r="AB45" i="3"/>
  <c r="X45" i="3"/>
  <c r="T45" i="3"/>
  <c r="AA45" i="3"/>
  <c r="W45" i="3"/>
  <c r="S45" i="3"/>
  <c r="AD45" i="3"/>
  <c r="Z45" i="3"/>
  <c r="V45" i="3"/>
  <c r="AC45" i="3"/>
  <c r="Y45" i="3"/>
  <c r="U45" i="3"/>
  <c r="I84" i="5"/>
  <c r="AD50" i="3"/>
  <c r="Z50" i="3"/>
  <c r="V50" i="3"/>
  <c r="AC50" i="3"/>
  <c r="Y50" i="3"/>
  <c r="U50" i="3"/>
  <c r="X50" i="3"/>
  <c r="W50" i="3"/>
  <c r="AB50" i="3"/>
  <c r="T50" i="3"/>
  <c r="AA50" i="3"/>
  <c r="S50" i="3"/>
  <c r="I89" i="5"/>
  <c r="AD55" i="3"/>
  <c r="Z55" i="3"/>
  <c r="V55" i="3"/>
  <c r="AC55" i="3"/>
  <c r="AB55" i="3"/>
  <c r="W55" i="3"/>
  <c r="AA55" i="3"/>
  <c r="U55" i="3"/>
  <c r="Y55" i="3"/>
  <c r="T55" i="3"/>
  <c r="X55" i="3"/>
  <c r="S55" i="3"/>
  <c r="S36" i="3"/>
  <c r="W36" i="3"/>
  <c r="AA36" i="3"/>
  <c r="U39" i="3"/>
  <c r="AC39" i="3"/>
  <c r="I85" i="5"/>
  <c r="AD51" i="3"/>
  <c r="Z51" i="3"/>
  <c r="V51" i="3"/>
  <c r="AA51" i="3"/>
  <c r="U51" i="3"/>
  <c r="Y51" i="3"/>
  <c r="T51" i="3"/>
  <c r="AC51" i="3"/>
  <c r="X51" i="3"/>
  <c r="S51" i="3"/>
  <c r="AB51" i="3"/>
  <c r="W51" i="3"/>
  <c r="I90" i="5"/>
  <c r="AD56" i="3"/>
  <c r="Z56" i="3"/>
  <c r="V56" i="3"/>
  <c r="AC56" i="3"/>
  <c r="Y56" i="3"/>
  <c r="U56" i="3"/>
  <c r="X56" i="3"/>
  <c r="W56" i="3"/>
  <c r="AB56" i="3"/>
  <c r="T56" i="3"/>
  <c r="AA56" i="3"/>
  <c r="S56" i="3"/>
  <c r="T36" i="3"/>
  <c r="X36" i="3"/>
  <c r="AB36" i="3"/>
  <c r="V39" i="3"/>
  <c r="I66" i="5"/>
  <c r="AB39" i="3"/>
  <c r="X39" i="3"/>
  <c r="T39" i="3"/>
  <c r="AA39" i="3"/>
  <c r="W39" i="3"/>
  <c r="S39" i="3"/>
  <c r="I64" i="5"/>
  <c r="I86" i="5"/>
  <c r="AD52" i="3"/>
  <c r="Z52" i="3"/>
  <c r="V52" i="3"/>
  <c r="Y52" i="3"/>
  <c r="T52" i="3"/>
  <c r="AC52" i="3"/>
  <c r="X52" i="3"/>
  <c r="S52" i="3"/>
  <c r="AB52" i="3"/>
  <c r="W52" i="3"/>
  <c r="AA52" i="3"/>
  <c r="U52" i="3"/>
  <c r="U36" i="3"/>
  <c r="Y36" i="3"/>
  <c r="AC36" i="3"/>
  <c r="Y39" i="3"/>
  <c r="I71" i="5"/>
  <c r="AB44" i="3"/>
  <c r="X44" i="3"/>
  <c r="T44" i="3"/>
  <c r="AA44" i="3"/>
  <c r="W44" i="3"/>
  <c r="S44" i="3"/>
  <c r="AD44" i="3"/>
  <c r="Z44" i="3"/>
  <c r="V44" i="3"/>
  <c r="AC44" i="3"/>
  <c r="Y44" i="3"/>
  <c r="I83" i="5"/>
  <c r="AD49" i="3"/>
  <c r="Z49" i="3"/>
  <c r="V49" i="3"/>
  <c r="AC49" i="3"/>
  <c r="Y49" i="3"/>
  <c r="U49" i="3"/>
  <c r="AB49" i="3"/>
  <c r="T49" i="3"/>
  <c r="AA49" i="3"/>
  <c r="S49" i="3"/>
  <c r="X49" i="3"/>
  <c r="W49" i="3"/>
  <c r="I88" i="5"/>
  <c r="AD54" i="3"/>
  <c r="Z54" i="3"/>
  <c r="V54" i="3"/>
  <c r="AC54" i="3"/>
  <c r="X54" i="3"/>
  <c r="S54" i="3"/>
  <c r="AB54" i="3"/>
  <c r="W54" i="3"/>
  <c r="AA54" i="3"/>
  <c r="U54" i="3"/>
  <c r="Y54" i="3"/>
  <c r="T54" i="3"/>
  <c r="V36" i="3"/>
  <c r="Z36" i="3"/>
  <c r="Z39" i="3"/>
  <c r="U44" i="3"/>
  <c r="D100" i="13"/>
  <c r="D99" i="13"/>
  <c r="D98" i="13"/>
  <c r="D97" i="13"/>
  <c r="D96" i="13"/>
  <c r="D95" i="13"/>
  <c r="D94" i="13"/>
  <c r="D93" i="13"/>
  <c r="D92" i="13"/>
  <c r="E88" i="13"/>
  <c r="C84" i="13"/>
  <c r="D84" i="13"/>
  <c r="C82" i="13"/>
  <c r="D82" i="13"/>
  <c r="C80" i="13"/>
  <c r="D80" i="13"/>
  <c r="C78" i="13"/>
  <c r="D78" i="13"/>
  <c r="C76" i="13"/>
  <c r="D76" i="13"/>
  <c r="C74" i="13"/>
  <c r="D74" i="13"/>
  <c r="C72" i="13"/>
  <c r="D72" i="13"/>
  <c r="C70" i="13"/>
  <c r="D70" i="13"/>
  <c r="C68" i="13"/>
  <c r="D68" i="13"/>
  <c r="C66" i="13"/>
  <c r="D66" i="13"/>
  <c r="C64" i="13"/>
  <c r="D64" i="13"/>
  <c r="C62" i="13"/>
  <c r="D62" i="13"/>
  <c r="C60" i="13"/>
  <c r="D60" i="13"/>
  <c r="C58" i="13"/>
  <c r="D58" i="13"/>
  <c r="C56" i="13"/>
  <c r="D56" i="13"/>
  <c r="C54" i="13"/>
  <c r="D54" i="13"/>
  <c r="C52" i="13"/>
  <c r="D52" i="13"/>
  <c r="C50" i="13"/>
  <c r="D50" i="13"/>
  <c r="C48" i="13"/>
  <c r="D48" i="13"/>
  <c r="C46" i="13"/>
  <c r="D46" i="13"/>
  <c r="C44" i="13"/>
  <c r="D44" i="13"/>
  <c r="C42" i="13"/>
  <c r="D42" i="13"/>
  <c r="C40" i="13"/>
  <c r="D40" i="13"/>
  <c r="C38" i="13"/>
  <c r="D38" i="13"/>
  <c r="C36" i="13"/>
  <c r="D36" i="13"/>
  <c r="C34" i="13"/>
  <c r="D34" i="13"/>
  <c r="C32" i="13"/>
  <c r="D32" i="13"/>
  <c r="C30" i="13"/>
  <c r="C28" i="13"/>
  <c r="C26" i="13"/>
  <c r="C24" i="13"/>
  <c r="E89" i="13"/>
  <c r="D88" i="13"/>
  <c r="D89" i="13"/>
  <c r="C85" i="13"/>
  <c r="D85" i="13"/>
  <c r="C83" i="13"/>
  <c r="D83" i="13"/>
  <c r="C81" i="13"/>
  <c r="D81" i="13"/>
  <c r="C79" i="13"/>
  <c r="D79" i="13"/>
  <c r="C77" i="13"/>
  <c r="D77" i="13"/>
  <c r="C75" i="13"/>
  <c r="D75" i="13"/>
  <c r="C73" i="13"/>
  <c r="D73" i="13"/>
  <c r="C71" i="13"/>
  <c r="D71" i="13"/>
  <c r="C69" i="13"/>
  <c r="D69" i="13"/>
  <c r="C67" i="13"/>
  <c r="D67" i="13"/>
  <c r="C65" i="13"/>
  <c r="D65" i="13"/>
  <c r="C63" i="13"/>
  <c r="D63" i="13"/>
  <c r="C61" i="13"/>
  <c r="D61" i="13"/>
  <c r="C59" i="13"/>
  <c r="D59" i="13"/>
  <c r="C57" i="13"/>
  <c r="D57" i="13"/>
  <c r="C55" i="13"/>
  <c r="D55" i="13"/>
  <c r="C53" i="13"/>
  <c r="D53" i="13"/>
  <c r="C51" i="13"/>
  <c r="D51" i="13"/>
  <c r="C49" i="13"/>
  <c r="D49" i="13"/>
  <c r="C47" i="13"/>
  <c r="D47" i="13"/>
  <c r="C45" i="13"/>
  <c r="D45" i="13"/>
  <c r="C43" i="13"/>
  <c r="D43" i="13"/>
  <c r="C41" i="13"/>
  <c r="D41" i="13"/>
  <c r="C39" i="13"/>
  <c r="D39" i="13"/>
  <c r="C37" i="13"/>
  <c r="D37" i="13"/>
  <c r="C35" i="13"/>
  <c r="D35" i="13"/>
  <c r="C33" i="13"/>
  <c r="D33" i="13"/>
  <c r="C31" i="13"/>
  <c r="D31" i="13"/>
  <c r="C29" i="13"/>
  <c r="C27" i="13"/>
  <c r="C25" i="13"/>
  <c r="D8" i="13"/>
  <c r="D7" i="13"/>
  <c r="B8" i="19"/>
  <c r="A27" i="8"/>
  <c r="A31" i="8"/>
  <c r="A26" i="8"/>
  <c r="A28" i="8"/>
  <c r="A33" i="8"/>
  <c r="A35" i="8"/>
  <c r="A29" i="8"/>
  <c r="A34" i="8"/>
  <c r="A30" i="8"/>
  <c r="D16" i="18"/>
  <c r="F16" i="18"/>
  <c r="C16" i="18"/>
  <c r="G9" i="18"/>
  <c r="G11" i="18" s="1"/>
  <c r="G16" i="18"/>
  <c r="E9" i="18"/>
  <c r="E11" i="18" s="1"/>
  <c r="E12" i="18" s="1"/>
  <c r="E16" i="18"/>
  <c r="E14" i="18"/>
  <c r="B16" i="18"/>
  <c r="B14" i="18"/>
  <c r="F14" i="18"/>
  <c r="C14" i="18"/>
  <c r="G14" i="18"/>
  <c r="D14" i="18"/>
  <c r="H14" i="18"/>
  <c r="F11" i="18"/>
  <c r="F12" i="18" s="1"/>
  <c r="I7" i="18"/>
  <c r="H12" i="18"/>
  <c r="D12" i="18"/>
  <c r="C12" i="18"/>
  <c r="J86" i="5" l="1"/>
  <c r="AP52" i="3"/>
  <c r="AL52" i="3"/>
  <c r="AH52" i="3"/>
  <c r="AO52" i="3"/>
  <c r="AK52" i="3"/>
  <c r="AG52" i="3"/>
  <c r="AN52" i="3"/>
  <c r="AF52" i="3"/>
  <c r="AM52" i="3"/>
  <c r="AJ52" i="3"/>
  <c r="AQ52" i="3"/>
  <c r="AI52" i="3"/>
  <c r="J66" i="5"/>
  <c r="AO39" i="3"/>
  <c r="AK39" i="3"/>
  <c r="AG39" i="3"/>
  <c r="AN39" i="3"/>
  <c r="AJ39" i="3"/>
  <c r="AF39" i="3"/>
  <c r="AQ39" i="3"/>
  <c r="AM39" i="3"/>
  <c r="AI39" i="3"/>
  <c r="AL39" i="3"/>
  <c r="AH39" i="3"/>
  <c r="AP39" i="3"/>
  <c r="J89" i="5"/>
  <c r="AP55" i="3"/>
  <c r="AL55" i="3"/>
  <c r="AH55" i="3"/>
  <c r="AO55" i="3"/>
  <c r="AK55" i="3"/>
  <c r="AG55" i="3"/>
  <c r="AN55" i="3"/>
  <c r="AF55" i="3"/>
  <c r="AM55" i="3"/>
  <c r="AJ55" i="3"/>
  <c r="AQ55" i="3"/>
  <c r="AI55" i="3"/>
  <c r="J71" i="5"/>
  <c r="AO44" i="3"/>
  <c r="AK44" i="3"/>
  <c r="AG44" i="3"/>
  <c r="AN44" i="3"/>
  <c r="AJ44" i="3"/>
  <c r="AF44" i="3"/>
  <c r="AQ44" i="3"/>
  <c r="AM44" i="3"/>
  <c r="AI44" i="3"/>
  <c r="AP44" i="3"/>
  <c r="AL44" i="3"/>
  <c r="AH44" i="3"/>
  <c r="J64" i="5"/>
  <c r="AQ36" i="3"/>
  <c r="AM36" i="3"/>
  <c r="AI36" i="3"/>
  <c r="AP36" i="3"/>
  <c r="AL36" i="3"/>
  <c r="AH36" i="3"/>
  <c r="AO36" i="3"/>
  <c r="AK36" i="3"/>
  <c r="AG36" i="3"/>
  <c r="AN36" i="3"/>
  <c r="AJ36" i="3"/>
  <c r="AF36" i="3"/>
  <c r="J90" i="5"/>
  <c r="AP56" i="3"/>
  <c r="AL56" i="3"/>
  <c r="AH56" i="3"/>
  <c r="AO56" i="3"/>
  <c r="AK56" i="3"/>
  <c r="AG56" i="3"/>
  <c r="AJ56" i="3"/>
  <c r="AI56" i="3"/>
  <c r="AQ56" i="3"/>
  <c r="AN56" i="3"/>
  <c r="AF56" i="3"/>
  <c r="AM56" i="3"/>
  <c r="J84" i="5"/>
  <c r="AP50" i="3"/>
  <c r="AL50" i="3"/>
  <c r="AH50" i="3"/>
  <c r="AO50" i="3"/>
  <c r="AK50" i="3"/>
  <c r="AG50" i="3"/>
  <c r="AN50" i="3"/>
  <c r="AF50" i="3"/>
  <c r="AM50" i="3"/>
  <c r="AJ50" i="3"/>
  <c r="AQ50" i="3"/>
  <c r="AI50" i="3"/>
  <c r="J83" i="5"/>
  <c r="AQ49" i="3"/>
  <c r="AM49" i="3"/>
  <c r="AI49" i="3"/>
  <c r="AP49" i="3"/>
  <c r="AL49" i="3"/>
  <c r="AH49" i="3"/>
  <c r="AO49" i="3"/>
  <c r="AG49" i="3"/>
  <c r="AN49" i="3"/>
  <c r="AF49" i="3"/>
  <c r="AK49" i="3"/>
  <c r="AJ49" i="3"/>
  <c r="J88" i="5"/>
  <c r="AP54" i="3"/>
  <c r="AL54" i="3"/>
  <c r="AH54" i="3"/>
  <c r="AO54" i="3"/>
  <c r="AK54" i="3"/>
  <c r="AG54" i="3"/>
  <c r="AJ54" i="3"/>
  <c r="AQ54" i="3"/>
  <c r="AI54" i="3"/>
  <c r="AN54" i="3"/>
  <c r="AF54" i="3"/>
  <c r="AM54" i="3"/>
  <c r="J85" i="5"/>
  <c r="AP51" i="3"/>
  <c r="AL51" i="3"/>
  <c r="AH51" i="3"/>
  <c r="AO51" i="3"/>
  <c r="AK51" i="3"/>
  <c r="AG51" i="3"/>
  <c r="AJ51" i="3"/>
  <c r="AQ51" i="3"/>
  <c r="AI51" i="3"/>
  <c r="AN51" i="3"/>
  <c r="AF51" i="3"/>
  <c r="AM51" i="3"/>
  <c r="J72" i="5"/>
  <c r="AO45" i="3"/>
  <c r="AK45" i="3"/>
  <c r="AG45" i="3"/>
  <c r="AN45" i="3"/>
  <c r="AJ45" i="3"/>
  <c r="AF45" i="3"/>
  <c r="AQ45" i="3"/>
  <c r="AM45" i="3"/>
  <c r="AI45" i="3"/>
  <c r="AP45" i="3"/>
  <c r="AL45" i="3"/>
  <c r="AH45" i="3"/>
  <c r="G12" i="18"/>
  <c r="I12" i="18" s="1"/>
  <c r="I9" i="18"/>
  <c r="I16" i="18"/>
  <c r="J26" i="18" s="1"/>
  <c r="J27" i="18" s="1"/>
  <c r="I11" i="18"/>
  <c r="L23" i="18" s="1"/>
  <c r="R10" i="7" s="1"/>
  <c r="I14" i="18"/>
  <c r="L26" i="18" l="1"/>
  <c r="L27" i="18" s="1"/>
  <c r="I26" i="18"/>
  <c r="I27" i="18" s="1"/>
  <c r="D24" i="18"/>
  <c r="J27" i="7" s="1"/>
  <c r="W27" i="7" s="1"/>
  <c r="W99" i="7" s="1"/>
  <c r="V22" i="8" s="1"/>
  <c r="K24" i="18"/>
  <c r="Q25" i="7" s="1"/>
  <c r="AD25" i="7" s="1"/>
  <c r="AD97" i="7" s="1"/>
  <c r="AC20" i="8" s="1"/>
  <c r="H26" i="18"/>
  <c r="N41" i="7" s="1"/>
  <c r="AA41" i="7" s="1"/>
  <c r="F26" i="18"/>
  <c r="L36" i="7" s="1"/>
  <c r="AE10" i="7"/>
  <c r="P12" i="3"/>
  <c r="P23" i="3" s="1"/>
  <c r="O13" i="2" s="1"/>
  <c r="E26" i="18"/>
  <c r="K38" i="7" s="1"/>
  <c r="K89" i="5"/>
  <c r="BD55" i="3"/>
  <c r="AZ55" i="3"/>
  <c r="AV55" i="3"/>
  <c r="BC55" i="3"/>
  <c r="AY55" i="3"/>
  <c r="AU55" i="3"/>
  <c r="BB55" i="3"/>
  <c r="AT55" i="3"/>
  <c r="BA55" i="3"/>
  <c r="AS55" i="3"/>
  <c r="AX55" i="3"/>
  <c r="AW55" i="3"/>
  <c r="K72" i="5"/>
  <c r="BB45" i="3"/>
  <c r="AX45" i="3"/>
  <c r="AT45" i="3"/>
  <c r="BA45" i="3"/>
  <c r="AW45" i="3"/>
  <c r="AS45" i="3"/>
  <c r="BD45" i="3"/>
  <c r="AZ45" i="3"/>
  <c r="AV45" i="3"/>
  <c r="BC45" i="3"/>
  <c r="AY45" i="3"/>
  <c r="AU45" i="3"/>
  <c r="K64" i="5"/>
  <c r="BB36" i="3"/>
  <c r="BA36" i="3"/>
  <c r="AZ36" i="3"/>
  <c r="AV36" i="3"/>
  <c r="AY36" i="3"/>
  <c r="AU36" i="3"/>
  <c r="BD36" i="3"/>
  <c r="AX36" i="3"/>
  <c r="AT36" i="3"/>
  <c r="BC36" i="3"/>
  <c r="AW36" i="3"/>
  <c r="AS36" i="3"/>
  <c r="K66" i="5"/>
  <c r="BB39" i="3"/>
  <c r="AX39" i="3"/>
  <c r="AT39" i="3"/>
  <c r="BA39" i="3"/>
  <c r="AW39" i="3"/>
  <c r="AS39" i="3"/>
  <c r="BD39" i="3"/>
  <c r="AZ39" i="3"/>
  <c r="AV39" i="3"/>
  <c r="BC39" i="3"/>
  <c r="AY39" i="3"/>
  <c r="AU39" i="3"/>
  <c r="K88" i="5"/>
  <c r="BD54" i="3"/>
  <c r="AZ54" i="3"/>
  <c r="AV54" i="3"/>
  <c r="BC54" i="3"/>
  <c r="AY54" i="3"/>
  <c r="AU54" i="3"/>
  <c r="AX54" i="3"/>
  <c r="AW54" i="3"/>
  <c r="BB54" i="3"/>
  <c r="AT54" i="3"/>
  <c r="BA54" i="3"/>
  <c r="AS54" i="3"/>
  <c r="K84" i="5"/>
  <c r="BD50" i="3"/>
  <c r="AZ50" i="3"/>
  <c r="AV50" i="3"/>
  <c r="BC50" i="3"/>
  <c r="AY50" i="3"/>
  <c r="AU50" i="3"/>
  <c r="BB50" i="3"/>
  <c r="AT50" i="3"/>
  <c r="BA50" i="3"/>
  <c r="AS50" i="3"/>
  <c r="AX50" i="3"/>
  <c r="AW50" i="3"/>
  <c r="K71" i="5"/>
  <c r="BB44" i="3"/>
  <c r="AX44" i="3"/>
  <c r="AT44" i="3"/>
  <c r="BA44" i="3"/>
  <c r="AW44" i="3"/>
  <c r="AS44" i="3"/>
  <c r="BD44" i="3"/>
  <c r="AZ44" i="3"/>
  <c r="AV44" i="3"/>
  <c r="BC44" i="3"/>
  <c r="AY44" i="3"/>
  <c r="AU44" i="3"/>
  <c r="K90" i="5"/>
  <c r="BD56" i="3"/>
  <c r="AZ56" i="3"/>
  <c r="AV56" i="3"/>
  <c r="BC56" i="3"/>
  <c r="AY56" i="3"/>
  <c r="AU56" i="3"/>
  <c r="AX56" i="3"/>
  <c r="AW56" i="3"/>
  <c r="BB56" i="3"/>
  <c r="AT56" i="3"/>
  <c r="BA56" i="3"/>
  <c r="AS56" i="3"/>
  <c r="K85" i="5"/>
  <c r="BD51" i="3"/>
  <c r="AZ51" i="3"/>
  <c r="AV51" i="3"/>
  <c r="BC51" i="3"/>
  <c r="AY51" i="3"/>
  <c r="AU51" i="3"/>
  <c r="AX51" i="3"/>
  <c r="AW51" i="3"/>
  <c r="BB51" i="3"/>
  <c r="AT51" i="3"/>
  <c r="BA51" i="3"/>
  <c r="AS51" i="3"/>
  <c r="K83" i="5"/>
  <c r="BD49" i="3"/>
  <c r="AZ49" i="3"/>
  <c r="AV49" i="3"/>
  <c r="BC49" i="3"/>
  <c r="AY49" i="3"/>
  <c r="AU49" i="3"/>
  <c r="AX49" i="3"/>
  <c r="AW49" i="3"/>
  <c r="BB49" i="3"/>
  <c r="AT49" i="3"/>
  <c r="BA49" i="3"/>
  <c r="AS49" i="3"/>
  <c r="K86" i="5"/>
  <c r="BD52" i="3"/>
  <c r="AZ52" i="3"/>
  <c r="AV52" i="3"/>
  <c r="BC52" i="3"/>
  <c r="AY52" i="3"/>
  <c r="AU52" i="3"/>
  <c r="BB52" i="3"/>
  <c r="AT52" i="3"/>
  <c r="BA52" i="3"/>
  <c r="AS52" i="3"/>
  <c r="AX52" i="3"/>
  <c r="AW52" i="3"/>
  <c r="F23" i="18"/>
  <c r="L10" i="7" s="1"/>
  <c r="H24" i="18"/>
  <c r="N25" i="7" s="1"/>
  <c r="AA25" i="7" s="1"/>
  <c r="AA97" i="7" s="1"/>
  <c r="Z20" i="8" s="1"/>
  <c r="I23" i="18"/>
  <c r="O10" i="7" s="1"/>
  <c r="M26" i="18"/>
  <c r="B26" i="18"/>
  <c r="H43" i="7" s="1"/>
  <c r="U43" i="7" s="1"/>
  <c r="D26" i="18"/>
  <c r="K23" i="18"/>
  <c r="Q10" i="7" s="1"/>
  <c r="E23" i="18"/>
  <c r="K10" i="7" s="1"/>
  <c r="K26" i="18"/>
  <c r="F24" i="18"/>
  <c r="L21" i="7" s="1"/>
  <c r="B23" i="18"/>
  <c r="H10" i="7" s="1"/>
  <c r="H23" i="18"/>
  <c r="N10" i="7" s="1"/>
  <c r="G26" i="18"/>
  <c r="M34" i="7" s="1"/>
  <c r="C26" i="18"/>
  <c r="D23" i="18"/>
  <c r="J10" i="7" s="1"/>
  <c r="J23" i="18"/>
  <c r="P10" i="7" s="1"/>
  <c r="G23" i="18"/>
  <c r="M10" i="7" s="1"/>
  <c r="J25" i="7"/>
  <c r="W25" i="7" s="1"/>
  <c r="W97" i="7" s="1"/>
  <c r="V20" i="8" s="1"/>
  <c r="J26" i="7"/>
  <c r="W26" i="7" s="1"/>
  <c r="W98" i="7" s="1"/>
  <c r="V21" i="8" s="1"/>
  <c r="L24" i="18"/>
  <c r="R22" i="7" s="1"/>
  <c r="Q37" i="7"/>
  <c r="H33" i="7"/>
  <c r="H37" i="7"/>
  <c r="H38" i="7"/>
  <c r="N27" i="7"/>
  <c r="AA27" i="7" s="1"/>
  <c r="AA99" i="7" s="1"/>
  <c r="Z22" i="8" s="1"/>
  <c r="M42" i="7"/>
  <c r="Z42" i="7" s="1"/>
  <c r="M43" i="7"/>
  <c r="Z43" i="7" s="1"/>
  <c r="M36" i="7"/>
  <c r="M38" i="7"/>
  <c r="M40" i="7"/>
  <c r="P41" i="7"/>
  <c r="AC41" i="7" s="1"/>
  <c r="P43" i="7"/>
  <c r="AC43" i="7" s="1"/>
  <c r="P32" i="7"/>
  <c r="P33" i="7"/>
  <c r="P34" i="7"/>
  <c r="P35" i="7"/>
  <c r="P39" i="7"/>
  <c r="P36" i="7"/>
  <c r="P37" i="7"/>
  <c r="P38" i="7"/>
  <c r="P40" i="7"/>
  <c r="P42" i="7"/>
  <c r="AC42" i="7" s="1"/>
  <c r="P31" i="7"/>
  <c r="N31" i="7"/>
  <c r="N43" i="7"/>
  <c r="AA43" i="7" s="1"/>
  <c r="K41" i="7"/>
  <c r="X41" i="7" s="1"/>
  <c r="K34" i="7"/>
  <c r="K36" i="7"/>
  <c r="J24" i="18"/>
  <c r="P20" i="7" s="1"/>
  <c r="E24" i="18"/>
  <c r="K24" i="7" s="1"/>
  <c r="I24" i="18"/>
  <c r="O18" i="7" s="1"/>
  <c r="C24" i="18"/>
  <c r="I16" i="7" s="1"/>
  <c r="M24" i="18"/>
  <c r="S16" i="7" s="1"/>
  <c r="B24" i="18"/>
  <c r="H24" i="7" s="1"/>
  <c r="G24" i="18"/>
  <c r="M19" i="7" s="1"/>
  <c r="R31" i="7"/>
  <c r="R38" i="7"/>
  <c r="R41" i="7"/>
  <c r="AE41" i="7" s="1"/>
  <c r="R33" i="7"/>
  <c r="R35" i="7"/>
  <c r="R34" i="7"/>
  <c r="R37" i="7"/>
  <c r="R40" i="7"/>
  <c r="R43" i="7"/>
  <c r="AE43" i="7" s="1"/>
  <c r="O41" i="7"/>
  <c r="AB41" i="7" s="1"/>
  <c r="O43" i="7"/>
  <c r="AB43" i="7" s="1"/>
  <c r="O32" i="7"/>
  <c r="O34" i="7"/>
  <c r="O36" i="7"/>
  <c r="O40" i="7"/>
  <c r="O37" i="7"/>
  <c r="O38" i="7"/>
  <c r="O42" i="7"/>
  <c r="AB42" i="7" s="1"/>
  <c r="O35" i="7"/>
  <c r="L32" i="7"/>
  <c r="L38" i="7"/>
  <c r="C23" i="18"/>
  <c r="I10" i="7" s="1"/>
  <c r="M23" i="18"/>
  <c r="S10" i="7" s="1"/>
  <c r="O17" i="7"/>
  <c r="S15" i="7"/>
  <c r="M22" i="7"/>
  <c r="J15" i="7"/>
  <c r="J16" i="7"/>
  <c r="J17" i="7"/>
  <c r="J18" i="7"/>
  <c r="J19" i="7"/>
  <c r="J20" i="7"/>
  <c r="J21" i="7"/>
  <c r="J22" i="7"/>
  <c r="J23" i="7"/>
  <c r="J24" i="7"/>
  <c r="L18" i="7"/>
  <c r="L22" i="7"/>
  <c r="L16" i="7"/>
  <c r="Q21" i="7"/>
  <c r="N16" i="7"/>
  <c r="N19" i="7"/>
  <c r="N24" i="7"/>
  <c r="D25" i="18"/>
  <c r="J9" i="7" s="1"/>
  <c r="H25" i="18"/>
  <c r="N9" i="7" s="1"/>
  <c r="L25" i="18"/>
  <c r="R9" i="7" s="1"/>
  <c r="C25" i="18"/>
  <c r="I9" i="7" s="1"/>
  <c r="E25" i="18"/>
  <c r="K9" i="7" s="1"/>
  <c r="I25" i="18"/>
  <c r="O9" i="7" s="1"/>
  <c r="M25" i="18"/>
  <c r="S9" i="7" s="1"/>
  <c r="G25" i="18"/>
  <c r="M9" i="7" s="1"/>
  <c r="F25" i="18"/>
  <c r="L9" i="7" s="1"/>
  <c r="J25" i="18"/>
  <c r="P9" i="7" s="1"/>
  <c r="B25" i="18"/>
  <c r="H9" i="7" s="1"/>
  <c r="F11" i="3" s="1"/>
  <c r="K25" i="18"/>
  <c r="Q9" i="7" s="1"/>
  <c r="R20" i="7"/>
  <c r="AR10" i="7" l="1"/>
  <c r="AP12" i="3" s="1"/>
  <c r="AC12" i="3"/>
  <c r="S33" i="7"/>
  <c r="M27" i="18"/>
  <c r="N22" i="7"/>
  <c r="L23" i="7"/>
  <c r="Y23" i="7" s="1"/>
  <c r="Y95" i="7" s="1"/>
  <c r="X18" i="8" s="1"/>
  <c r="O21" i="7"/>
  <c r="O39" i="7"/>
  <c r="O31" i="7"/>
  <c r="O33" i="7"/>
  <c r="O105" i="7" s="1"/>
  <c r="N28" i="8" s="1"/>
  <c r="R39" i="7"/>
  <c r="R36" i="7"/>
  <c r="R32" i="7"/>
  <c r="R42" i="7"/>
  <c r="AE42" i="7" s="1"/>
  <c r="AE114" i="7" s="1"/>
  <c r="AD37" i="8" s="1"/>
  <c r="M31" i="7"/>
  <c r="H40" i="7"/>
  <c r="I42" i="7"/>
  <c r="V42" i="7" s="1"/>
  <c r="C27" i="18"/>
  <c r="J43" i="7"/>
  <c r="W43" i="7" s="1"/>
  <c r="D27" i="18"/>
  <c r="L33" i="7"/>
  <c r="F27" i="18"/>
  <c r="S37" i="7"/>
  <c r="M32" i="7"/>
  <c r="G27" i="18"/>
  <c r="Q36" i="7"/>
  <c r="Q108" i="7" s="1"/>
  <c r="P31" i="8" s="1"/>
  <c r="K27" i="18"/>
  <c r="H32" i="7"/>
  <c r="B27" i="18"/>
  <c r="K43" i="7"/>
  <c r="X43" i="7" s="1"/>
  <c r="X80" i="7" s="1"/>
  <c r="E27" i="18"/>
  <c r="N33" i="7"/>
  <c r="H27" i="18"/>
  <c r="AC23" i="3"/>
  <c r="AB13" i="2" s="1"/>
  <c r="Q43" i="7"/>
  <c r="AD43" i="7" s="1"/>
  <c r="AD80" i="7" s="1"/>
  <c r="Q39" i="7"/>
  <c r="Q111" i="7" s="1"/>
  <c r="P34" i="8" s="1"/>
  <c r="S32" i="7"/>
  <c r="S104" i="7" s="1"/>
  <c r="R27" i="8" s="1"/>
  <c r="S36" i="7"/>
  <c r="S108" i="7" s="1"/>
  <c r="R31" i="8" s="1"/>
  <c r="J42" i="7"/>
  <c r="W42" i="7" s="1"/>
  <c r="W114" i="7" s="1"/>
  <c r="V37" i="8" s="1"/>
  <c r="I37" i="7"/>
  <c r="I109" i="7" s="1"/>
  <c r="Q19" i="7"/>
  <c r="AD19" i="7" s="1"/>
  <c r="AD91" i="7" s="1"/>
  <c r="AC14" i="8" s="1"/>
  <c r="Q26" i="7"/>
  <c r="AD26" i="7" s="1"/>
  <c r="AD98" i="7" s="1"/>
  <c r="AC21" i="8" s="1"/>
  <c r="Q15" i="7"/>
  <c r="AD15" i="7" s="1"/>
  <c r="AD87" i="7" s="1"/>
  <c r="Q17" i="7"/>
  <c r="AD17" i="7" s="1"/>
  <c r="AD89" i="7" s="1"/>
  <c r="Q34" i="7"/>
  <c r="Q106" i="7" s="1"/>
  <c r="P29" i="8" s="1"/>
  <c r="Q35" i="7"/>
  <c r="Q107" i="7" s="1"/>
  <c r="P30" i="8" s="1"/>
  <c r="Q22" i="7"/>
  <c r="Q94" i="7" s="1"/>
  <c r="P17" i="8" s="1"/>
  <c r="Q41" i="7"/>
  <c r="AD41" i="7" s="1"/>
  <c r="AQ41" i="7" s="1"/>
  <c r="Q42" i="7"/>
  <c r="AD42" i="7" s="1"/>
  <c r="AQ42" i="7" s="1"/>
  <c r="H35" i="7"/>
  <c r="U35" i="7" s="1"/>
  <c r="I35" i="7"/>
  <c r="I107" i="7" s="1"/>
  <c r="H30" i="8" s="1"/>
  <c r="J32" i="7"/>
  <c r="I31" i="7"/>
  <c r="V31" i="7" s="1"/>
  <c r="J40" i="7"/>
  <c r="J112" i="7" s="1"/>
  <c r="I35" i="8" s="1"/>
  <c r="I43" i="7"/>
  <c r="V43" i="7" s="1"/>
  <c r="V115" i="7" s="1"/>
  <c r="U38" i="8" s="1"/>
  <c r="I40" i="7"/>
  <c r="V40" i="7" s="1"/>
  <c r="I36" i="7"/>
  <c r="I108" i="7" s="1"/>
  <c r="H31" i="8" s="1"/>
  <c r="J39" i="7"/>
  <c r="J111" i="7" s="1"/>
  <c r="I34" i="8" s="1"/>
  <c r="J41" i="7"/>
  <c r="W41" i="7" s="1"/>
  <c r="W113" i="7" s="1"/>
  <c r="V36" i="8" s="1"/>
  <c r="J36" i="7"/>
  <c r="J108" i="7" s="1"/>
  <c r="I31" i="8" s="1"/>
  <c r="I32" i="7"/>
  <c r="V32" i="7" s="1"/>
  <c r="I39" i="7"/>
  <c r="I111" i="7" s="1"/>
  <c r="H34" i="8" s="1"/>
  <c r="I33" i="7"/>
  <c r="V33" i="7" s="1"/>
  <c r="J34" i="7"/>
  <c r="J106" i="7" s="1"/>
  <c r="I29" i="8" s="1"/>
  <c r="J33" i="7"/>
  <c r="W33" i="7" s="1"/>
  <c r="J35" i="7"/>
  <c r="W35" i="7" s="1"/>
  <c r="I34" i="7"/>
  <c r="V34" i="7" s="1"/>
  <c r="I41" i="7"/>
  <c r="V41" i="7" s="1"/>
  <c r="AI41" i="7" s="1"/>
  <c r="I38" i="7"/>
  <c r="V38" i="7" s="1"/>
  <c r="J38" i="7"/>
  <c r="W38" i="7" s="1"/>
  <c r="J37" i="7"/>
  <c r="J109" i="7" s="1"/>
  <c r="J31" i="7"/>
  <c r="J103" i="7" s="1"/>
  <c r="I26" i="8" s="1"/>
  <c r="K40" i="7"/>
  <c r="K112" i="7" s="1"/>
  <c r="J35" i="8" s="1"/>
  <c r="K42" i="7"/>
  <c r="X42" i="7" s="1"/>
  <c r="AK42" i="7" s="1"/>
  <c r="K33" i="7"/>
  <c r="X33" i="7" s="1"/>
  <c r="N36" i="7"/>
  <c r="N108" i="7" s="1"/>
  <c r="M31" i="8" s="1"/>
  <c r="N39" i="7"/>
  <c r="N111" i="7" s="1"/>
  <c r="M34" i="8" s="1"/>
  <c r="N37" i="7"/>
  <c r="N109" i="7" s="1"/>
  <c r="N42" i="7"/>
  <c r="AA42" i="7" s="1"/>
  <c r="AN42" i="7" s="1"/>
  <c r="K37" i="7"/>
  <c r="X37" i="7" s="1"/>
  <c r="K39" i="7"/>
  <c r="K111" i="7" s="1"/>
  <c r="J34" i="8" s="1"/>
  <c r="K32" i="7"/>
  <c r="X32" i="7" s="1"/>
  <c r="N32" i="7"/>
  <c r="N104" i="7" s="1"/>
  <c r="M27" i="8" s="1"/>
  <c r="N40" i="7"/>
  <c r="AA40" i="7" s="1"/>
  <c r="N34" i="7"/>
  <c r="N106" i="7" s="1"/>
  <c r="M29" i="8" s="1"/>
  <c r="K31" i="7"/>
  <c r="K103" i="7" s="1"/>
  <c r="J26" i="8" s="1"/>
  <c r="K35" i="7"/>
  <c r="N35" i="7"/>
  <c r="N107" i="7" s="1"/>
  <c r="M30" i="8" s="1"/>
  <c r="N38" i="7"/>
  <c r="N110" i="7" s="1"/>
  <c r="M33" i="8" s="1"/>
  <c r="P22" i="7"/>
  <c r="P94" i="7" s="1"/>
  <c r="O17" i="8" s="1"/>
  <c r="S23" i="7"/>
  <c r="S95" i="7" s="1"/>
  <c r="R18" i="8" s="1"/>
  <c r="N20" i="7"/>
  <c r="N15" i="7"/>
  <c r="AA15" i="7" s="1"/>
  <c r="AA87" i="7" s="1"/>
  <c r="L24" i="7"/>
  <c r="L96" i="7" s="1"/>
  <c r="K19" i="8" s="1"/>
  <c r="L15" i="7"/>
  <c r="L87" i="7" s="1"/>
  <c r="N26" i="7"/>
  <c r="AA26" i="7" s="1"/>
  <c r="AA98" i="7" s="1"/>
  <c r="Z21" i="8" s="1"/>
  <c r="N23" i="7"/>
  <c r="AA23" i="7" s="1"/>
  <c r="AA95" i="7" s="1"/>
  <c r="Z18" i="8" s="1"/>
  <c r="N18" i="7"/>
  <c r="N90" i="7" s="1"/>
  <c r="Q23" i="7"/>
  <c r="AD23" i="7" s="1"/>
  <c r="AD95" i="7" s="1"/>
  <c r="AC18" i="8" s="1"/>
  <c r="Q18" i="7"/>
  <c r="Q90" i="7" s="1"/>
  <c r="L20" i="7"/>
  <c r="L92" i="7" s="1"/>
  <c r="K15" i="8" s="1"/>
  <c r="L19" i="7"/>
  <c r="Y19" i="7" s="1"/>
  <c r="Y91" i="7" s="1"/>
  <c r="X14" i="8" s="1"/>
  <c r="L27" i="7"/>
  <c r="Y27" i="7" s="1"/>
  <c r="Y99" i="7" s="1"/>
  <c r="X22" i="8" s="1"/>
  <c r="Q27" i="7"/>
  <c r="AD27" i="7" s="1"/>
  <c r="AD99" i="7" s="1"/>
  <c r="AC22" i="8" s="1"/>
  <c r="P15" i="7"/>
  <c r="P87" i="7" s="1"/>
  <c r="P24" i="7"/>
  <c r="P96" i="7" s="1"/>
  <c r="O19" i="8" s="1"/>
  <c r="S19" i="7"/>
  <c r="S91" i="7" s="1"/>
  <c r="R14" i="8" s="1"/>
  <c r="S22" i="7"/>
  <c r="S94" i="7" s="1"/>
  <c r="R17" i="8" s="1"/>
  <c r="P16" i="7"/>
  <c r="P88" i="7" s="1"/>
  <c r="M18" i="7"/>
  <c r="Z18" i="7" s="1"/>
  <c r="Z90" i="7" s="1"/>
  <c r="S18" i="7"/>
  <c r="AF18" i="7" s="1"/>
  <c r="AF90" i="7" s="1"/>
  <c r="L26" i="7"/>
  <c r="Y26" i="7" s="1"/>
  <c r="Y98" i="7" s="1"/>
  <c r="X21" i="8" s="1"/>
  <c r="R18" i="7"/>
  <c r="R90" i="7" s="1"/>
  <c r="R16" i="7"/>
  <c r="R88" i="7" s="1"/>
  <c r="R24" i="7"/>
  <c r="R96" i="7" s="1"/>
  <c r="Q19" i="8" s="1"/>
  <c r="I19" i="7"/>
  <c r="I91" i="7" s="1"/>
  <c r="H14" i="8" s="1"/>
  <c r="L25" i="7"/>
  <c r="Y25" i="7" s="1"/>
  <c r="Y97" i="7" s="1"/>
  <c r="X20" i="8" s="1"/>
  <c r="K20" i="7"/>
  <c r="K92" i="7" s="1"/>
  <c r="J15" i="8" s="1"/>
  <c r="P19" i="7"/>
  <c r="AC19" i="7" s="1"/>
  <c r="AC91" i="7" s="1"/>
  <c r="AB14" i="8" s="1"/>
  <c r="P23" i="7"/>
  <c r="P95" i="7" s="1"/>
  <c r="O18" i="8" s="1"/>
  <c r="P21" i="7"/>
  <c r="P93" i="7" s="1"/>
  <c r="H18" i="7"/>
  <c r="H90" i="7" s="1"/>
  <c r="S21" i="7"/>
  <c r="AF21" i="7" s="1"/>
  <c r="AF93" i="7" s="1"/>
  <c r="S17" i="7"/>
  <c r="S89" i="7" s="1"/>
  <c r="P18" i="7"/>
  <c r="P90" i="7" s="1"/>
  <c r="P17" i="7"/>
  <c r="P89" i="7" s="1"/>
  <c r="N21" i="7"/>
  <c r="N93" i="7" s="1"/>
  <c r="N17" i="7"/>
  <c r="N89" i="7" s="1"/>
  <c r="Q24" i="7"/>
  <c r="Q96" i="7" s="1"/>
  <c r="P19" i="8" s="1"/>
  <c r="Q20" i="7"/>
  <c r="AD20" i="7" s="1"/>
  <c r="AD92" i="7" s="1"/>
  <c r="AC15" i="8" s="1"/>
  <c r="Q16" i="7"/>
  <c r="Q88" i="7" s="1"/>
  <c r="L17" i="7"/>
  <c r="Y17" i="7" s="1"/>
  <c r="Y89" i="7" s="1"/>
  <c r="S24" i="7"/>
  <c r="S96" i="7" s="1"/>
  <c r="R19" i="8" s="1"/>
  <c r="S20" i="7"/>
  <c r="AF20" i="7" s="1"/>
  <c r="AF92" i="7" s="1"/>
  <c r="AE15" i="8" s="1"/>
  <c r="Z9" i="7"/>
  <c r="X11" i="3" s="1"/>
  <c r="K11" i="3"/>
  <c r="AC10" i="7"/>
  <c r="N12" i="3"/>
  <c r="N23" i="3" s="1"/>
  <c r="M13" i="2" s="1"/>
  <c r="X10" i="7"/>
  <c r="I12" i="3"/>
  <c r="I23" i="3" s="1"/>
  <c r="H13" i="2" s="1"/>
  <c r="F12" i="2"/>
  <c r="F22" i="3"/>
  <c r="AF9" i="7"/>
  <c r="Q11" i="3"/>
  <c r="AE9" i="7"/>
  <c r="P11" i="3"/>
  <c r="I15" i="7"/>
  <c r="V15" i="7" s="1"/>
  <c r="V87" i="7" s="1"/>
  <c r="I17" i="7"/>
  <c r="I89" i="7" s="1"/>
  <c r="V10" i="7"/>
  <c r="T12" i="3" s="1"/>
  <c r="G12" i="3"/>
  <c r="G23" i="3" s="1"/>
  <c r="L31" i="7"/>
  <c r="Y31" i="7" s="1"/>
  <c r="L42" i="7"/>
  <c r="Y42" i="7" s="1"/>
  <c r="AL42" i="7" s="1"/>
  <c r="L43" i="7"/>
  <c r="Y43" i="7" s="1"/>
  <c r="Y115" i="7" s="1"/>
  <c r="X38" i="8" s="1"/>
  <c r="S39" i="7"/>
  <c r="AF39" i="7" s="1"/>
  <c r="S42" i="7"/>
  <c r="AF42" i="7" s="1"/>
  <c r="AF79" i="7" s="1"/>
  <c r="S43" i="7"/>
  <c r="AF43" i="7" s="1"/>
  <c r="AF80" i="7" s="1"/>
  <c r="W10" i="7"/>
  <c r="H12" i="3"/>
  <c r="H23" i="3" s="1"/>
  <c r="G13" i="2" s="1"/>
  <c r="U10" i="7"/>
  <c r="F12" i="3"/>
  <c r="AD10" i="7"/>
  <c r="O12" i="3"/>
  <c r="O23" i="3" s="1"/>
  <c r="N13" i="2" s="1"/>
  <c r="AB10" i="7"/>
  <c r="M12" i="3"/>
  <c r="M23" i="3" s="1"/>
  <c r="L13" i="2" s="1"/>
  <c r="V9" i="7"/>
  <c r="T11" i="3" s="1"/>
  <c r="G11" i="3"/>
  <c r="AF10" i="7"/>
  <c r="Q12" i="3"/>
  <c r="Q23" i="3" s="1"/>
  <c r="P13" i="2" s="1"/>
  <c r="AA10" i="7"/>
  <c r="L12" i="3"/>
  <c r="L23" i="3" s="1"/>
  <c r="K13" i="2" s="1"/>
  <c r="AB9" i="7"/>
  <c r="Z11" i="3" s="1"/>
  <c r="M11" i="3"/>
  <c r="I23" i="7"/>
  <c r="I95" i="7" s="1"/>
  <c r="H18" i="8" s="1"/>
  <c r="L40" i="7"/>
  <c r="L112" i="7" s="1"/>
  <c r="K35" i="8" s="1"/>
  <c r="L39" i="7"/>
  <c r="L111" i="7" s="1"/>
  <c r="K34" i="8" s="1"/>
  <c r="L34" i="7"/>
  <c r="Y34" i="7" s="1"/>
  <c r="L41" i="7"/>
  <c r="Y41" i="7" s="1"/>
  <c r="Y113" i="7" s="1"/>
  <c r="X36" i="8" s="1"/>
  <c r="S40" i="7"/>
  <c r="S112" i="7" s="1"/>
  <c r="R35" i="8" s="1"/>
  <c r="S35" i="7"/>
  <c r="S107" i="7" s="1"/>
  <c r="R30" i="8" s="1"/>
  <c r="S34" i="7"/>
  <c r="S106" i="7" s="1"/>
  <c r="R29" i="8" s="1"/>
  <c r="S41" i="7"/>
  <c r="AF41" i="7" s="1"/>
  <c r="AS41" i="7" s="1"/>
  <c r="AD9" i="7"/>
  <c r="O11" i="3"/>
  <c r="AC9" i="7"/>
  <c r="N11" i="3"/>
  <c r="AA9" i="7"/>
  <c r="L11" i="3"/>
  <c r="Y9" i="7"/>
  <c r="J11" i="3"/>
  <c r="X9" i="7"/>
  <c r="I11" i="3"/>
  <c r="W9" i="7"/>
  <c r="H11" i="3"/>
  <c r="I21" i="7"/>
  <c r="I93" i="7" s="1"/>
  <c r="L37" i="7"/>
  <c r="L35" i="7"/>
  <c r="L107" i="7" s="1"/>
  <c r="K30" i="8" s="1"/>
  <c r="S31" i="7"/>
  <c r="S103" i="7" s="1"/>
  <c r="R26" i="8" s="1"/>
  <c r="S38" i="7"/>
  <c r="S110" i="7" s="1"/>
  <c r="R33" i="8" s="1"/>
  <c r="Z10" i="7"/>
  <c r="K12" i="3"/>
  <c r="K23" i="3" s="1"/>
  <c r="J13" i="2" s="1"/>
  <c r="Y10" i="7"/>
  <c r="J12" i="3"/>
  <c r="J23" i="3" s="1"/>
  <c r="I13" i="2" s="1"/>
  <c r="BQ56" i="3"/>
  <c r="BM56" i="3"/>
  <c r="BI56" i="3"/>
  <c r="BP56" i="3"/>
  <c r="BL56" i="3"/>
  <c r="BH56" i="3"/>
  <c r="BO56" i="3"/>
  <c r="BG56" i="3"/>
  <c r="BN56" i="3"/>
  <c r="BF56" i="3"/>
  <c r="BK56" i="3"/>
  <c r="BJ56" i="3"/>
  <c r="BO39" i="3"/>
  <c r="BK39" i="3"/>
  <c r="BG39" i="3"/>
  <c r="BN39" i="3"/>
  <c r="BJ39" i="3"/>
  <c r="BF39" i="3"/>
  <c r="BQ39" i="3"/>
  <c r="BM39" i="3"/>
  <c r="BI39" i="3"/>
  <c r="BP39" i="3"/>
  <c r="BL39" i="3"/>
  <c r="BH39" i="3"/>
  <c r="BQ52" i="3"/>
  <c r="BM52" i="3"/>
  <c r="BI52" i="3"/>
  <c r="BP52" i="3"/>
  <c r="BL52" i="3"/>
  <c r="BH52" i="3"/>
  <c r="BK52" i="3"/>
  <c r="BJ52" i="3"/>
  <c r="BO52" i="3"/>
  <c r="BG52" i="3"/>
  <c r="BN52" i="3"/>
  <c r="BF52" i="3"/>
  <c r="BO44" i="3"/>
  <c r="BK44" i="3"/>
  <c r="BG44" i="3"/>
  <c r="BN44" i="3"/>
  <c r="BJ44" i="3"/>
  <c r="BF44" i="3"/>
  <c r="BQ44" i="3"/>
  <c r="BM44" i="3"/>
  <c r="BI44" i="3"/>
  <c r="BP44" i="3"/>
  <c r="BL44" i="3"/>
  <c r="BH44" i="3"/>
  <c r="BO36" i="3"/>
  <c r="BK36" i="3"/>
  <c r="BG36" i="3"/>
  <c r="BN36" i="3"/>
  <c r="BJ36" i="3"/>
  <c r="BF36" i="3"/>
  <c r="BQ36" i="3"/>
  <c r="BI36" i="3"/>
  <c r="BP36" i="3"/>
  <c r="BH36" i="3"/>
  <c r="BM36" i="3"/>
  <c r="BL36" i="3"/>
  <c r="BQ49" i="3"/>
  <c r="BM49" i="3"/>
  <c r="BI49" i="3"/>
  <c r="BP49" i="3"/>
  <c r="BL49" i="3"/>
  <c r="BH49" i="3"/>
  <c r="BO49" i="3"/>
  <c r="BG49" i="3"/>
  <c r="BN49" i="3"/>
  <c r="BF49" i="3"/>
  <c r="BK49" i="3"/>
  <c r="BJ49" i="3"/>
  <c r="BQ50" i="3"/>
  <c r="BM50" i="3"/>
  <c r="BI50" i="3"/>
  <c r="BP50" i="3"/>
  <c r="BL50" i="3"/>
  <c r="BH50" i="3"/>
  <c r="BK50" i="3"/>
  <c r="BJ50" i="3"/>
  <c r="BO50" i="3"/>
  <c r="BG50" i="3"/>
  <c r="BN50" i="3"/>
  <c r="BF50" i="3"/>
  <c r="BQ45" i="3"/>
  <c r="BO45" i="3"/>
  <c r="BK45" i="3"/>
  <c r="BG45" i="3"/>
  <c r="BN45" i="3"/>
  <c r="BJ45" i="3"/>
  <c r="BF45" i="3"/>
  <c r="BM45" i="3"/>
  <c r="BI45" i="3"/>
  <c r="BP45" i="3"/>
  <c r="BL45" i="3"/>
  <c r="BH45" i="3"/>
  <c r="BQ51" i="3"/>
  <c r="BM51" i="3"/>
  <c r="BI51" i="3"/>
  <c r="BP51" i="3"/>
  <c r="BL51" i="3"/>
  <c r="BH51" i="3"/>
  <c r="BO51" i="3"/>
  <c r="BG51" i="3"/>
  <c r="BN51" i="3"/>
  <c r="BF51" i="3"/>
  <c r="BK51" i="3"/>
  <c r="BJ51" i="3"/>
  <c r="BQ54" i="3"/>
  <c r="BM54" i="3"/>
  <c r="BI54" i="3"/>
  <c r="BP54" i="3"/>
  <c r="BL54" i="3"/>
  <c r="BH54" i="3"/>
  <c r="BO54" i="3"/>
  <c r="BG54" i="3"/>
  <c r="BN54" i="3"/>
  <c r="BF54" i="3"/>
  <c r="BK54" i="3"/>
  <c r="BJ54" i="3"/>
  <c r="BQ55" i="3"/>
  <c r="BM55" i="3"/>
  <c r="BI55" i="3"/>
  <c r="BP55" i="3"/>
  <c r="BL55" i="3"/>
  <c r="BH55" i="3"/>
  <c r="BK55" i="3"/>
  <c r="BJ55" i="3"/>
  <c r="BO55" i="3"/>
  <c r="BG55" i="3"/>
  <c r="BN55" i="3"/>
  <c r="BF55" i="3"/>
  <c r="AO9" i="7"/>
  <c r="AM11" i="3" s="1"/>
  <c r="AO43" i="7"/>
  <c r="AB115" i="7"/>
  <c r="AA38" i="8" s="1"/>
  <c r="AB80" i="7"/>
  <c r="AP41" i="7"/>
  <c r="AC113" i="7"/>
  <c r="AB36" i="8" s="1"/>
  <c r="AC78" i="7"/>
  <c r="AM42" i="7"/>
  <c r="Z114" i="7"/>
  <c r="Y37" i="8" s="1"/>
  <c r="Z79" i="7"/>
  <c r="U115" i="7"/>
  <c r="U80" i="7"/>
  <c r="AJ43" i="7"/>
  <c r="W115" i="7"/>
  <c r="V38" i="8" s="1"/>
  <c r="W80" i="7"/>
  <c r="AO41" i="7"/>
  <c r="AB113" i="7"/>
  <c r="AA36" i="8" s="1"/>
  <c r="AB78" i="7"/>
  <c r="X115" i="7"/>
  <c r="W38" i="8" s="1"/>
  <c r="AP42" i="7"/>
  <c r="AC114" i="7"/>
  <c r="AB37" i="8" s="1"/>
  <c r="AC79" i="7"/>
  <c r="V78" i="7"/>
  <c r="AI42" i="7"/>
  <c r="V114" i="7"/>
  <c r="U37" i="8" s="1"/>
  <c r="V79" i="7"/>
  <c r="AQ43" i="7"/>
  <c r="AD115" i="7"/>
  <c r="AC38" i="8" s="1"/>
  <c r="AM9" i="7"/>
  <c r="AK11" i="3" s="1"/>
  <c r="AR42" i="7"/>
  <c r="X113" i="7"/>
  <c r="W36" i="8" s="1"/>
  <c r="X78" i="7"/>
  <c r="AN41" i="7"/>
  <c r="AA113" i="7"/>
  <c r="Z36" i="8" s="1"/>
  <c r="AA78" i="7"/>
  <c r="AN43" i="7"/>
  <c r="AA115" i="7"/>
  <c r="Z38" i="8" s="1"/>
  <c r="AA80" i="7"/>
  <c r="AJ41" i="7"/>
  <c r="W78" i="7"/>
  <c r="AJ42" i="7"/>
  <c r="W79" i="7"/>
  <c r="AO42" i="7"/>
  <c r="AB114" i="7"/>
  <c r="AA37" i="8" s="1"/>
  <c r="AB79" i="7"/>
  <c r="AR43" i="7"/>
  <c r="AE115" i="7"/>
  <c r="AD38" i="8" s="1"/>
  <c r="AE80" i="7"/>
  <c r="AR41" i="7"/>
  <c r="AE113" i="7"/>
  <c r="AD36" i="8" s="1"/>
  <c r="AE78" i="7"/>
  <c r="AA114" i="7"/>
  <c r="Z37" i="8" s="1"/>
  <c r="AP43" i="7"/>
  <c r="AC115" i="7"/>
  <c r="AB38" i="8" s="1"/>
  <c r="AC80" i="7"/>
  <c r="AI43" i="7"/>
  <c r="AM43" i="7"/>
  <c r="Z115" i="7"/>
  <c r="Y38" i="8" s="1"/>
  <c r="Z80" i="7"/>
  <c r="AF114" i="7"/>
  <c r="AE37" i="8" s="1"/>
  <c r="AF115" i="7"/>
  <c r="AE38" i="8" s="1"/>
  <c r="BE10" i="7"/>
  <c r="BC12" i="3" s="1"/>
  <c r="AP23" i="3"/>
  <c r="AO13" i="2" s="1"/>
  <c r="L108" i="7"/>
  <c r="K31" i="8" s="1"/>
  <c r="Y36" i="7"/>
  <c r="L110" i="7"/>
  <c r="K33" i="8" s="1"/>
  <c r="Y38" i="7"/>
  <c r="L104" i="7"/>
  <c r="K27" i="8" s="1"/>
  <c r="Y32" i="7"/>
  <c r="O111" i="7"/>
  <c r="N34" i="8" s="1"/>
  <c r="AB39" i="7"/>
  <c r="O103" i="7"/>
  <c r="N26" i="8" s="1"/>
  <c r="AB31" i="7"/>
  <c r="AB33" i="7"/>
  <c r="R111" i="7"/>
  <c r="Q34" i="8" s="1"/>
  <c r="AE39" i="7"/>
  <c r="R108" i="7"/>
  <c r="Q31" i="8" s="1"/>
  <c r="AE36" i="7"/>
  <c r="R104" i="7"/>
  <c r="Q27" i="8" s="1"/>
  <c r="AE32" i="7"/>
  <c r="K110" i="7"/>
  <c r="J33" i="8" s="1"/>
  <c r="X38" i="7"/>
  <c r="K108" i="7"/>
  <c r="J31" i="8" s="1"/>
  <c r="X36" i="7"/>
  <c r="K106" i="7"/>
  <c r="J29" i="8" s="1"/>
  <c r="X34" i="7"/>
  <c r="AK41" i="7"/>
  <c r="N103" i="7"/>
  <c r="M26" i="8" s="1"/>
  <c r="AA31" i="7"/>
  <c r="P112" i="7"/>
  <c r="O35" i="8" s="1"/>
  <c r="AC40" i="7"/>
  <c r="P111" i="7"/>
  <c r="O34" i="8" s="1"/>
  <c r="AC39" i="7"/>
  <c r="P104" i="7"/>
  <c r="O27" i="8" s="1"/>
  <c r="AC32" i="7"/>
  <c r="V35" i="7"/>
  <c r="V37" i="7"/>
  <c r="M103" i="7"/>
  <c r="L26" i="8" s="1"/>
  <c r="Z31" i="7"/>
  <c r="M106" i="7"/>
  <c r="L29" i="8" s="1"/>
  <c r="Z34" i="7"/>
  <c r="AN27" i="7"/>
  <c r="AA64" i="7"/>
  <c r="S109" i="7"/>
  <c r="AF37" i="7"/>
  <c r="AJ27" i="7"/>
  <c r="W64" i="7"/>
  <c r="O112" i="7"/>
  <c r="N35" i="8" s="1"/>
  <c r="AB40" i="7"/>
  <c r="O104" i="7"/>
  <c r="N27" i="8" s="1"/>
  <c r="AB32" i="7"/>
  <c r="K105" i="7"/>
  <c r="J28" i="8" s="1"/>
  <c r="P110" i="7"/>
  <c r="O33" i="8" s="1"/>
  <c r="AC38" i="7"/>
  <c r="I112" i="7"/>
  <c r="H35" i="8" s="1"/>
  <c r="M112" i="7"/>
  <c r="L35" i="8" s="1"/>
  <c r="Z40" i="7"/>
  <c r="AN25" i="7"/>
  <c r="AA62" i="7"/>
  <c r="O110" i="7"/>
  <c r="N33" i="8" s="1"/>
  <c r="AB38" i="7"/>
  <c r="O108" i="7"/>
  <c r="N31" i="8" s="1"/>
  <c r="AB36" i="7"/>
  <c r="R112" i="7"/>
  <c r="Q35" i="8" s="1"/>
  <c r="AE40" i="7"/>
  <c r="R107" i="7"/>
  <c r="Q30" i="8" s="1"/>
  <c r="AE35" i="7"/>
  <c r="R110" i="7"/>
  <c r="Q33" i="8" s="1"/>
  <c r="AE38" i="7"/>
  <c r="K109" i="7"/>
  <c r="AA32" i="7"/>
  <c r="P103" i="7"/>
  <c r="O26" i="8" s="1"/>
  <c r="AC31" i="7"/>
  <c r="P109" i="7"/>
  <c r="AC37" i="7"/>
  <c r="P106" i="7"/>
  <c r="O29" i="8" s="1"/>
  <c r="AC34" i="7"/>
  <c r="I105" i="7"/>
  <c r="H28" i="8" s="1"/>
  <c r="M110" i="7"/>
  <c r="L33" i="8" s="1"/>
  <c r="Z38" i="7"/>
  <c r="H110" i="7"/>
  <c r="G33" i="8" s="1"/>
  <c r="U38" i="7"/>
  <c r="AH43" i="7"/>
  <c r="W37" i="7"/>
  <c r="AD64" i="7"/>
  <c r="AJ25" i="7"/>
  <c r="W62" i="7"/>
  <c r="W36" i="7"/>
  <c r="L103" i="7"/>
  <c r="K26" i="8" s="1"/>
  <c r="R106" i="7"/>
  <c r="Q29" i="8" s="1"/>
  <c r="AE34" i="7"/>
  <c r="P107" i="7"/>
  <c r="O30" i="8" s="1"/>
  <c r="AC35" i="7"/>
  <c r="H112" i="7"/>
  <c r="G35" i="8" s="1"/>
  <c r="U40" i="7"/>
  <c r="H105" i="7"/>
  <c r="G28" i="8" s="1"/>
  <c r="U33" i="7"/>
  <c r="W34" i="7"/>
  <c r="AJ26" i="7"/>
  <c r="W63" i="7"/>
  <c r="L109" i="7"/>
  <c r="Y37" i="7"/>
  <c r="L105" i="7"/>
  <c r="K28" i="8" s="1"/>
  <c r="Y33" i="7"/>
  <c r="O107" i="7"/>
  <c r="N30" i="8" s="1"/>
  <c r="AB35" i="7"/>
  <c r="O109" i="7"/>
  <c r="AB37" i="7"/>
  <c r="O106" i="7"/>
  <c r="N29" i="8" s="1"/>
  <c r="AB34" i="7"/>
  <c r="R109" i="7"/>
  <c r="AE37" i="7"/>
  <c r="R105" i="7"/>
  <c r="Q28" i="8" s="1"/>
  <c r="AE33" i="7"/>
  <c r="R103" i="7"/>
  <c r="Q26" i="8" s="1"/>
  <c r="AE31" i="7"/>
  <c r="K107" i="7"/>
  <c r="J30" i="8" s="1"/>
  <c r="X35" i="7"/>
  <c r="N105" i="7"/>
  <c r="M28" i="8" s="1"/>
  <c r="AA33" i="7"/>
  <c r="P108" i="7"/>
  <c r="O31" i="8" s="1"/>
  <c r="AC36" i="7"/>
  <c r="P105" i="7"/>
  <c r="O28" i="8" s="1"/>
  <c r="AC33" i="7"/>
  <c r="M108" i="7"/>
  <c r="L31" i="8" s="1"/>
  <c r="Z36" i="7"/>
  <c r="AA63" i="7"/>
  <c r="H109" i="7"/>
  <c r="U37" i="7"/>
  <c r="Q109" i="7"/>
  <c r="AD37" i="7"/>
  <c r="AF31" i="7"/>
  <c r="S105" i="7"/>
  <c r="R28" i="8" s="1"/>
  <c r="AF33" i="7"/>
  <c r="J104" i="7"/>
  <c r="I27" i="8" s="1"/>
  <c r="W32" i="7"/>
  <c r="W40" i="7"/>
  <c r="W31" i="7"/>
  <c r="AQ25" i="7"/>
  <c r="AD62" i="7"/>
  <c r="M104" i="7"/>
  <c r="L27" i="8" s="1"/>
  <c r="Z32" i="7"/>
  <c r="H104" i="7"/>
  <c r="G27" i="8" s="1"/>
  <c r="U32" i="7"/>
  <c r="N96" i="7"/>
  <c r="M19" i="8" s="1"/>
  <c r="AA24" i="7"/>
  <c r="AA96" i="7" s="1"/>
  <c r="Z19" i="8" s="1"/>
  <c r="N92" i="7"/>
  <c r="M15" i="8" s="1"/>
  <c r="AA20" i="7"/>
  <c r="AA92" i="7" s="1"/>
  <c r="Z15" i="8" s="1"/>
  <c r="N88" i="7"/>
  <c r="AA16" i="7"/>
  <c r="AA88" i="7" s="1"/>
  <c r="Q95" i="7"/>
  <c r="P18" i="8" s="1"/>
  <c r="L88" i="7"/>
  <c r="Y16" i="7"/>
  <c r="Y88" i="7" s="1"/>
  <c r="L91" i="7"/>
  <c r="K14" i="8" s="1"/>
  <c r="J94" i="7"/>
  <c r="I17" i="8" s="1"/>
  <c r="W22" i="7"/>
  <c r="W94" i="7" s="1"/>
  <c r="V17" i="8" s="1"/>
  <c r="J90" i="7"/>
  <c r="W18" i="7"/>
  <c r="W90" i="7" s="1"/>
  <c r="M94" i="7"/>
  <c r="L17" i="8" s="1"/>
  <c r="Z22" i="7"/>
  <c r="Z94" i="7" s="1"/>
  <c r="Y17" i="8" s="1"/>
  <c r="AF23" i="7"/>
  <c r="AF95" i="7" s="1"/>
  <c r="AE18" i="8" s="1"/>
  <c r="S87" i="7"/>
  <c r="AF15" i="7"/>
  <c r="AF87" i="7" s="1"/>
  <c r="I88" i="7"/>
  <c r="V16" i="7"/>
  <c r="V88" i="7" s="1"/>
  <c r="R92" i="7"/>
  <c r="Q15" i="8" s="1"/>
  <c r="AE20" i="7"/>
  <c r="AE92" i="7" s="1"/>
  <c r="AD15" i="8" s="1"/>
  <c r="R94" i="7"/>
  <c r="Q17" i="8" s="1"/>
  <c r="AE22" i="7"/>
  <c r="AE94" i="7" s="1"/>
  <c r="AD17" i="8" s="1"/>
  <c r="U9" i="7"/>
  <c r="T9" i="7"/>
  <c r="N91" i="7"/>
  <c r="M14" i="8" s="1"/>
  <c r="AA19" i="7"/>
  <c r="AA91" i="7" s="1"/>
  <c r="Z14" i="8" s="1"/>
  <c r="AD18" i="7"/>
  <c r="AD90" i="7" s="1"/>
  <c r="L95" i="7"/>
  <c r="K18" i="8" s="1"/>
  <c r="L90" i="7"/>
  <c r="Y18" i="7"/>
  <c r="Y90" i="7" s="1"/>
  <c r="J93" i="7"/>
  <c r="W21" i="7"/>
  <c r="W93" i="7" s="1"/>
  <c r="J89" i="7"/>
  <c r="W17" i="7"/>
  <c r="W89" i="7" s="1"/>
  <c r="M90" i="7"/>
  <c r="S90" i="7"/>
  <c r="M91" i="7"/>
  <c r="L14" i="8" s="1"/>
  <c r="Z19" i="7"/>
  <c r="Z91" i="7" s="1"/>
  <c r="Y14" i="8" s="1"/>
  <c r="O90" i="7"/>
  <c r="AB18" i="7"/>
  <c r="AB90" i="7" s="1"/>
  <c r="N94" i="7"/>
  <c r="M17" i="8" s="1"/>
  <c r="AA22" i="7"/>
  <c r="AA94" i="7" s="1"/>
  <c r="Z17" i="8" s="1"/>
  <c r="Q87" i="7"/>
  <c r="Q93" i="7"/>
  <c r="AD21" i="7"/>
  <c r="AD93" i="7" s="1"/>
  <c r="L94" i="7"/>
  <c r="K17" i="8" s="1"/>
  <c r="Y22" i="7"/>
  <c r="Y94" i="7" s="1"/>
  <c r="X17" i="8" s="1"/>
  <c r="J96" i="7"/>
  <c r="I19" i="8" s="1"/>
  <c r="W24" i="7"/>
  <c r="W96" i="7" s="1"/>
  <c r="V19" i="8" s="1"/>
  <c r="J92" i="7"/>
  <c r="I15" i="8" s="1"/>
  <c r="W20" i="7"/>
  <c r="W92" i="7" s="1"/>
  <c r="V15" i="8" s="1"/>
  <c r="J88" i="7"/>
  <c r="W16" i="7"/>
  <c r="W88" i="7" s="1"/>
  <c r="O93" i="7"/>
  <c r="AB21" i="7"/>
  <c r="AB93" i="7" s="1"/>
  <c r="H96" i="7"/>
  <c r="G19" i="8" s="1"/>
  <c r="U24" i="7"/>
  <c r="K96" i="7"/>
  <c r="J19" i="8" s="1"/>
  <c r="X24" i="7"/>
  <c r="X96" i="7" s="1"/>
  <c r="W19" i="8" s="1"/>
  <c r="P92" i="7"/>
  <c r="O15" i="8" s="1"/>
  <c r="AC20" i="7"/>
  <c r="AC92" i="7" s="1"/>
  <c r="AB15" i="8" s="1"/>
  <c r="L93" i="7"/>
  <c r="Y21" i="7"/>
  <c r="Y93" i="7" s="1"/>
  <c r="J95" i="7"/>
  <c r="I18" i="8" s="1"/>
  <c r="W23" i="7"/>
  <c r="W95" i="7" s="1"/>
  <c r="V18" i="8" s="1"/>
  <c r="J91" i="7"/>
  <c r="I14" i="8" s="1"/>
  <c r="W19" i="7"/>
  <c r="W91" i="7" s="1"/>
  <c r="V14" i="8" s="1"/>
  <c r="J87" i="7"/>
  <c r="W15" i="7"/>
  <c r="W87" i="7" s="1"/>
  <c r="S92" i="7"/>
  <c r="R15" i="8" s="1"/>
  <c r="S88" i="7"/>
  <c r="AF16" i="7"/>
  <c r="AF88" i="7" s="1"/>
  <c r="O89" i="7"/>
  <c r="AB17" i="7"/>
  <c r="AB89" i="7" s="1"/>
  <c r="K16" i="7"/>
  <c r="I22" i="7"/>
  <c r="I18" i="7"/>
  <c r="M39" i="7"/>
  <c r="M35" i="7"/>
  <c r="M41" i="7"/>
  <c r="M113" i="7" s="1"/>
  <c r="L36" i="8" s="1"/>
  <c r="H39" i="7"/>
  <c r="H31" i="7"/>
  <c r="H34" i="7"/>
  <c r="H41" i="7"/>
  <c r="H113" i="7" s="1"/>
  <c r="G36" i="8" s="1"/>
  <c r="Q32" i="7"/>
  <c r="Q38" i="7"/>
  <c r="Q33" i="7"/>
  <c r="I24" i="7"/>
  <c r="I20" i="7"/>
  <c r="M33" i="7"/>
  <c r="M37" i="7"/>
  <c r="H36" i="7"/>
  <c r="H42" i="7"/>
  <c r="Q31" i="7"/>
  <c r="Q40" i="7"/>
  <c r="M15" i="7"/>
  <c r="M21" i="7"/>
  <c r="M17" i="7"/>
  <c r="O24" i="7"/>
  <c r="O20" i="7"/>
  <c r="O16" i="7"/>
  <c r="M24" i="7"/>
  <c r="M20" i="7"/>
  <c r="M16" i="7"/>
  <c r="O23" i="7"/>
  <c r="O19" i="7"/>
  <c r="O15" i="7"/>
  <c r="M23" i="7"/>
  <c r="O22" i="7"/>
  <c r="H25" i="7"/>
  <c r="U25" i="7" s="1"/>
  <c r="H26" i="7"/>
  <c r="U26" i="7" s="1"/>
  <c r="H27" i="7"/>
  <c r="U27" i="7" s="1"/>
  <c r="K25" i="7"/>
  <c r="X25" i="7" s="1"/>
  <c r="X97" i="7" s="1"/>
  <c r="W20" i="8" s="1"/>
  <c r="K26" i="7"/>
  <c r="X26" i="7" s="1"/>
  <c r="X98" i="7" s="1"/>
  <c r="W21" i="8" s="1"/>
  <c r="K27" i="7"/>
  <c r="X27" i="7" s="1"/>
  <c r="X99" i="7" s="1"/>
  <c r="W22" i="8" s="1"/>
  <c r="M80" i="7"/>
  <c r="M115" i="7"/>
  <c r="L38" i="8" s="1"/>
  <c r="N64" i="7"/>
  <c r="N99" i="7"/>
  <c r="M22" i="8" s="1"/>
  <c r="H80" i="7"/>
  <c r="H115" i="7"/>
  <c r="G38" i="8" s="1"/>
  <c r="R26" i="7"/>
  <c r="AE26" i="7" s="1"/>
  <c r="AE98" i="7" s="1"/>
  <c r="AD21" i="8" s="1"/>
  <c r="R27" i="7"/>
  <c r="AE27" i="7" s="1"/>
  <c r="AE99" i="7" s="1"/>
  <c r="AD22" i="8" s="1"/>
  <c r="R25" i="7"/>
  <c r="AE25" i="7" s="1"/>
  <c r="AE97" i="7" s="1"/>
  <c r="AD20" i="8" s="1"/>
  <c r="Q62" i="7"/>
  <c r="Q97" i="7"/>
  <c r="P20" i="8" s="1"/>
  <c r="R21" i="7"/>
  <c r="R17" i="7"/>
  <c r="K23" i="7"/>
  <c r="K19" i="7"/>
  <c r="K15" i="7"/>
  <c r="H15" i="7"/>
  <c r="H87" i="7" s="1"/>
  <c r="H23" i="7"/>
  <c r="O78" i="7"/>
  <c r="O113" i="7"/>
  <c r="N36" i="8" s="1"/>
  <c r="S25" i="7"/>
  <c r="AF25" i="7" s="1"/>
  <c r="AF97" i="7" s="1"/>
  <c r="AE20" i="8" s="1"/>
  <c r="S26" i="7"/>
  <c r="AF26" i="7" s="1"/>
  <c r="AF98" i="7" s="1"/>
  <c r="AE21" i="8" s="1"/>
  <c r="S27" i="7"/>
  <c r="AF27" i="7" s="1"/>
  <c r="AF99" i="7" s="1"/>
  <c r="AE22" i="8" s="1"/>
  <c r="P25" i="7"/>
  <c r="AC25" i="7" s="1"/>
  <c r="AC97" i="7" s="1"/>
  <c r="AB20" i="8" s="1"/>
  <c r="P26" i="7"/>
  <c r="AC26" i="7" s="1"/>
  <c r="AC98" i="7" s="1"/>
  <c r="AB21" i="8" s="1"/>
  <c r="P27" i="7"/>
  <c r="AC27" i="7" s="1"/>
  <c r="AC99" i="7" s="1"/>
  <c r="AB22" i="8" s="1"/>
  <c r="P79" i="7"/>
  <c r="P114" i="7"/>
  <c r="O37" i="8" s="1"/>
  <c r="I78" i="7"/>
  <c r="I79" i="7"/>
  <c r="I114" i="7"/>
  <c r="H37" i="8" s="1"/>
  <c r="N62" i="7"/>
  <c r="N97" i="7"/>
  <c r="M20" i="8" s="1"/>
  <c r="J78" i="7"/>
  <c r="J113" i="7"/>
  <c r="I36" i="8" s="1"/>
  <c r="J114" i="7"/>
  <c r="I37" i="8" s="1"/>
  <c r="J64" i="7"/>
  <c r="J99" i="7"/>
  <c r="I22" i="8" s="1"/>
  <c r="H22" i="7"/>
  <c r="H20" i="7"/>
  <c r="H19" i="7"/>
  <c r="I25" i="7"/>
  <c r="V25" i="7" s="1"/>
  <c r="V97" i="7" s="1"/>
  <c r="U20" i="8" s="1"/>
  <c r="I27" i="7"/>
  <c r="V27" i="7" s="1"/>
  <c r="V99" i="7" s="1"/>
  <c r="U22" i="8" s="1"/>
  <c r="I26" i="7"/>
  <c r="V26" i="7" s="1"/>
  <c r="V98" i="7" s="1"/>
  <c r="U21" i="8" s="1"/>
  <c r="K78" i="7"/>
  <c r="K113" i="7"/>
  <c r="J36" i="8" s="1"/>
  <c r="N78" i="7"/>
  <c r="N113" i="7"/>
  <c r="M36" i="8" s="1"/>
  <c r="N80" i="7"/>
  <c r="N115" i="7"/>
  <c r="M38" i="8" s="1"/>
  <c r="M114" i="7"/>
  <c r="L37" i="8" s="1"/>
  <c r="M79" i="7"/>
  <c r="L99" i="7"/>
  <c r="K22" i="8" s="1"/>
  <c r="Q80" i="7"/>
  <c r="J63" i="7"/>
  <c r="J98" i="7"/>
  <c r="I21" i="8" s="1"/>
  <c r="O115" i="7"/>
  <c r="N38" i="8" s="1"/>
  <c r="O80" i="7"/>
  <c r="P78" i="7"/>
  <c r="P113" i="7"/>
  <c r="O36" i="8" s="1"/>
  <c r="K22" i="7"/>
  <c r="K18" i="7"/>
  <c r="R23" i="7"/>
  <c r="R19" i="7"/>
  <c r="R15" i="7"/>
  <c r="K21" i="7"/>
  <c r="K17" i="7"/>
  <c r="H21" i="7"/>
  <c r="H17" i="7"/>
  <c r="H16" i="7"/>
  <c r="O79" i="7"/>
  <c r="O114" i="7"/>
  <c r="N37" i="8" s="1"/>
  <c r="R80" i="7"/>
  <c r="R115" i="7"/>
  <c r="Q38" i="8" s="1"/>
  <c r="R78" i="7"/>
  <c r="R113" i="7"/>
  <c r="Q36" i="8" s="1"/>
  <c r="M26" i="7"/>
  <c r="Z26" i="7" s="1"/>
  <c r="Z98" i="7" s="1"/>
  <c r="Y21" i="8" s="1"/>
  <c r="M25" i="7"/>
  <c r="Z25" i="7" s="1"/>
  <c r="Z97" i="7" s="1"/>
  <c r="Y20" i="8" s="1"/>
  <c r="M27" i="7"/>
  <c r="Z27" i="7" s="1"/>
  <c r="Z99" i="7" s="1"/>
  <c r="Y22" i="8" s="1"/>
  <c r="O25" i="7"/>
  <c r="AB25" i="7" s="1"/>
  <c r="AB97" i="7" s="1"/>
  <c r="AA20" i="8" s="1"/>
  <c r="O26" i="7"/>
  <c r="AB26" i="7" s="1"/>
  <c r="AB98" i="7" s="1"/>
  <c r="AA21" i="8" s="1"/>
  <c r="O27" i="7"/>
  <c r="AB27" i="7" s="1"/>
  <c r="AB99" i="7" s="1"/>
  <c r="AA22" i="8" s="1"/>
  <c r="P80" i="7"/>
  <c r="P115" i="7"/>
  <c r="O38" i="8" s="1"/>
  <c r="N98" i="7"/>
  <c r="M21" i="8" s="1"/>
  <c r="J80" i="7"/>
  <c r="J115" i="7"/>
  <c r="I38" i="8" s="1"/>
  <c r="J62" i="7"/>
  <c r="J97" i="7"/>
  <c r="I20" i="8" s="1"/>
  <c r="T10" i="7"/>
  <c r="R11" i="8" l="1"/>
  <c r="S122" i="7"/>
  <c r="S129" i="7" s="1"/>
  <c r="P10" i="8"/>
  <c r="Q121" i="7"/>
  <c r="N13" i="8"/>
  <c r="O124" i="7"/>
  <c r="O131" i="7" s="1"/>
  <c r="L13" i="8"/>
  <c r="M124" i="7"/>
  <c r="M131" i="7" s="1"/>
  <c r="AC13" i="8"/>
  <c r="AD124" i="7"/>
  <c r="AD131" i="7" s="1"/>
  <c r="S11" i="3"/>
  <c r="R10" i="8"/>
  <c r="S121" i="7"/>
  <c r="V13" i="8"/>
  <c r="W124" i="7"/>
  <c r="W131" i="7" s="1"/>
  <c r="Z11" i="8"/>
  <c r="AA122" i="7"/>
  <c r="AA129" i="7" s="1"/>
  <c r="AJ9" i="7"/>
  <c r="AH11" i="3" s="1"/>
  <c r="U11" i="3"/>
  <c r="AL9" i="7"/>
  <c r="AJ11" i="3" s="1"/>
  <c r="W11" i="3"/>
  <c r="AP9" i="7"/>
  <c r="AN11" i="3" s="1"/>
  <c r="AA11" i="3"/>
  <c r="H12" i="8"/>
  <c r="I123" i="7"/>
  <c r="I130" i="7" s="1"/>
  <c r="X12" i="8"/>
  <c r="Y123" i="7"/>
  <c r="Y130" i="7" s="1"/>
  <c r="M12" i="8"/>
  <c r="N123" i="7"/>
  <c r="N130" i="7" s="1"/>
  <c r="R12" i="8"/>
  <c r="S123" i="7"/>
  <c r="S130" i="7" s="1"/>
  <c r="P13" i="8"/>
  <c r="Q124" i="7"/>
  <c r="Q131" i="7" s="1"/>
  <c r="AC12" i="8"/>
  <c r="AD123" i="7"/>
  <c r="AD130" i="7" s="1"/>
  <c r="AA12" i="8"/>
  <c r="AB123" i="7"/>
  <c r="AB130" i="7" s="1"/>
  <c r="V12" i="8"/>
  <c r="W123" i="7"/>
  <c r="W130" i="7" s="1"/>
  <c r="X13" i="8"/>
  <c r="Y124" i="7"/>
  <c r="Y131" i="7" s="1"/>
  <c r="U11" i="8"/>
  <c r="V122" i="7"/>
  <c r="V129" i="7" s="1"/>
  <c r="I13" i="8"/>
  <c r="J124" i="7"/>
  <c r="J131" i="7" s="1"/>
  <c r="X11" i="8"/>
  <c r="Y122" i="7"/>
  <c r="Y129" i="7" s="1"/>
  <c r="M11" i="8"/>
  <c r="N122" i="7"/>
  <c r="N129" i="7" s="1"/>
  <c r="X12" i="3"/>
  <c r="X23" i="3" s="1"/>
  <c r="W13" i="2" s="1"/>
  <c r="AS10" i="7"/>
  <c r="AQ12" i="3" s="1"/>
  <c r="AD12" i="3"/>
  <c r="AD23" i="3" s="1"/>
  <c r="AC13" i="2" s="1"/>
  <c r="Z12" i="3"/>
  <c r="Z23" i="3" s="1"/>
  <c r="Y13" i="2" s="1"/>
  <c r="S12" i="3"/>
  <c r="U10" i="8"/>
  <c r="V121" i="7"/>
  <c r="V128" i="7" s="1"/>
  <c r="AS9" i="7"/>
  <c r="AQ11" i="3" s="1"/>
  <c r="AD11" i="3"/>
  <c r="AK10" i="7"/>
  <c r="AI12" i="3" s="1"/>
  <c r="V12" i="3"/>
  <c r="V23" i="3" s="1"/>
  <c r="U13" i="2" s="1"/>
  <c r="P11" i="8"/>
  <c r="Q122" i="7"/>
  <c r="Q129" i="7" s="1"/>
  <c r="AE13" i="8"/>
  <c r="AF124" i="7"/>
  <c r="AF131" i="7" s="1"/>
  <c r="K10" i="8"/>
  <c r="L121" i="7"/>
  <c r="AC10" i="8"/>
  <c r="AD121" i="7"/>
  <c r="AD128" i="7" s="1"/>
  <c r="N12" i="8"/>
  <c r="O123" i="7"/>
  <c r="O130" i="7" s="1"/>
  <c r="V10" i="8"/>
  <c r="W121" i="7"/>
  <c r="W128" i="7" s="1"/>
  <c r="V11" i="8"/>
  <c r="W122" i="7"/>
  <c r="W129" i="7" s="1"/>
  <c r="I12" i="8"/>
  <c r="J123" i="7"/>
  <c r="J130" i="7" s="1"/>
  <c r="K13" i="8"/>
  <c r="L124" i="7"/>
  <c r="L131" i="7" s="1"/>
  <c r="H11" i="8"/>
  <c r="I122" i="7"/>
  <c r="I129" i="7" s="1"/>
  <c r="K11" i="8"/>
  <c r="L122" i="7"/>
  <c r="L129" i="7" s="1"/>
  <c r="AK9" i="7"/>
  <c r="AI11" i="3" s="1"/>
  <c r="V11" i="3"/>
  <c r="V12" i="2" s="1"/>
  <c r="AN9" i="7"/>
  <c r="AL11" i="3" s="1"/>
  <c r="Y11" i="3"/>
  <c r="AQ9" i="7"/>
  <c r="AO11" i="3" s="1"/>
  <c r="AB11" i="3"/>
  <c r="AB22" i="3" s="1"/>
  <c r="O12" i="8"/>
  <c r="P123" i="7"/>
  <c r="P130" i="7" s="1"/>
  <c r="G13" i="8"/>
  <c r="H124" i="7"/>
  <c r="Q11" i="8"/>
  <c r="R122" i="7"/>
  <c r="R129" i="7" s="1"/>
  <c r="Y13" i="8"/>
  <c r="Z124" i="7"/>
  <c r="Z131" i="7" s="1"/>
  <c r="M13" i="8"/>
  <c r="N124" i="7"/>
  <c r="N131" i="7" s="1"/>
  <c r="G10" i="8"/>
  <c r="H121" i="7"/>
  <c r="AE11" i="8"/>
  <c r="AF122" i="7"/>
  <c r="AF129" i="7" s="1"/>
  <c r="I10" i="8"/>
  <c r="J121" i="7"/>
  <c r="I11" i="8"/>
  <c r="J122" i="7"/>
  <c r="J129" i="7" s="1"/>
  <c r="AA13" i="8"/>
  <c r="AB124" i="7"/>
  <c r="AB131" i="7" s="1"/>
  <c r="R13" i="8"/>
  <c r="S124" i="7"/>
  <c r="S131" i="7" s="1"/>
  <c r="AE10" i="8"/>
  <c r="AF121" i="7"/>
  <c r="AF128" i="7" s="1"/>
  <c r="AL10" i="7"/>
  <c r="AJ12" i="3" s="1"/>
  <c r="W12" i="3"/>
  <c r="AN10" i="7"/>
  <c r="AL12" i="3" s="1"/>
  <c r="Y12" i="3"/>
  <c r="Y23" i="3" s="1"/>
  <c r="X13" i="2" s="1"/>
  <c r="AQ10" i="7"/>
  <c r="AO12" i="3" s="1"/>
  <c r="AB12" i="3"/>
  <c r="AJ10" i="7"/>
  <c r="AH12" i="3" s="1"/>
  <c r="U12" i="3"/>
  <c r="U23" i="3" s="1"/>
  <c r="T13" i="2" s="1"/>
  <c r="AR9" i="7"/>
  <c r="AP11" i="3" s="1"/>
  <c r="AC11" i="3"/>
  <c r="AP10" i="7"/>
  <c r="AN12" i="3" s="1"/>
  <c r="AA12" i="3"/>
  <c r="AA23" i="3" s="1"/>
  <c r="Z13" i="2" s="1"/>
  <c r="O13" i="8"/>
  <c r="P124" i="7"/>
  <c r="P131" i="7" s="1"/>
  <c r="Q13" i="8"/>
  <c r="R124" i="7"/>
  <c r="R131" i="7" s="1"/>
  <c r="O11" i="8"/>
  <c r="P122" i="7"/>
  <c r="P129" i="7" s="1"/>
  <c r="O10" i="8"/>
  <c r="P121" i="7"/>
  <c r="Z10" i="8"/>
  <c r="AA121" i="7"/>
  <c r="AA128" i="7" s="1"/>
  <c r="R114" i="7"/>
  <c r="Q37" i="8" s="1"/>
  <c r="U18" i="7"/>
  <c r="AD36" i="7"/>
  <c r="AK43" i="7"/>
  <c r="AX43" i="7" s="1"/>
  <c r="R79" i="7"/>
  <c r="K115" i="7"/>
  <c r="J38" i="8" s="1"/>
  <c r="AA18" i="7"/>
  <c r="AA90" i="7" s="1"/>
  <c r="AC22" i="7"/>
  <c r="AC94" i="7" s="1"/>
  <c r="AB17" i="8" s="1"/>
  <c r="AE79" i="7"/>
  <c r="Q98" i="7"/>
  <c r="P21" i="8" s="1"/>
  <c r="K80" i="7"/>
  <c r="Y24" i="7"/>
  <c r="Y96" i="7" s="1"/>
  <c r="X19" i="8" s="1"/>
  <c r="AD63" i="7"/>
  <c r="AE18" i="7"/>
  <c r="AE90" i="7" s="1"/>
  <c r="AF78" i="7"/>
  <c r="AL41" i="7"/>
  <c r="AY41" i="7" s="1"/>
  <c r="Q91" i="7"/>
  <c r="P14" i="8" s="1"/>
  <c r="AD34" i="7"/>
  <c r="I103" i="7"/>
  <c r="H26" i="8" s="1"/>
  <c r="AL43" i="7"/>
  <c r="AY43" i="7" s="1"/>
  <c r="Q114" i="7"/>
  <c r="P37" i="8" s="1"/>
  <c r="AC16" i="7"/>
  <c r="AC88" i="7" s="1"/>
  <c r="L106" i="7"/>
  <c r="K29" i="8" s="1"/>
  <c r="AD79" i="7"/>
  <c r="AI9" i="7"/>
  <c r="Q79" i="7"/>
  <c r="AA34" i="7"/>
  <c r="Q64" i="7"/>
  <c r="I110" i="7"/>
  <c r="H33" i="8" s="1"/>
  <c r="AA38" i="7"/>
  <c r="J105" i="7"/>
  <c r="I28" i="8" s="1"/>
  <c r="AL25" i="7"/>
  <c r="AY25" i="7" s="1"/>
  <c r="Y20" i="7"/>
  <c r="Y92" i="7" s="1"/>
  <c r="X15" i="8" s="1"/>
  <c r="N95" i="7"/>
  <c r="M18" i="8" s="1"/>
  <c r="X40" i="7"/>
  <c r="AF32" i="7"/>
  <c r="AF69" i="7" s="1"/>
  <c r="AD114" i="7"/>
  <c r="AC37" i="8" s="1"/>
  <c r="N63" i="7"/>
  <c r="Q113" i="7"/>
  <c r="P36" i="8" s="1"/>
  <c r="Q89" i="7"/>
  <c r="N87" i="7"/>
  <c r="AN26" i="7"/>
  <c r="I104" i="7"/>
  <c r="H27" i="8" s="1"/>
  <c r="V113" i="7"/>
  <c r="U36" i="8" s="1"/>
  <c r="L62" i="7"/>
  <c r="S114" i="7"/>
  <c r="R37" i="8" s="1"/>
  <c r="Q115" i="7"/>
  <c r="P38" i="8" s="1"/>
  <c r="L64" i="7"/>
  <c r="J79" i="7"/>
  <c r="I113" i="7"/>
  <c r="I106" i="7"/>
  <c r="H29" i="8" s="1"/>
  <c r="N112" i="7"/>
  <c r="M35" i="8" s="1"/>
  <c r="AA39" i="7"/>
  <c r="AA76" i="7" s="1"/>
  <c r="AS42" i="7"/>
  <c r="V36" i="7"/>
  <c r="H107" i="7"/>
  <c r="G30" i="8" s="1"/>
  <c r="X39" i="7"/>
  <c r="AK39" i="7" s="1"/>
  <c r="AD39" i="7"/>
  <c r="Y39" i="7"/>
  <c r="AL39" i="7" s="1"/>
  <c r="AF36" i="7"/>
  <c r="AS36" i="7" s="1"/>
  <c r="AC24" i="7"/>
  <c r="AC96" i="7" s="1"/>
  <c r="AB19" i="8" s="1"/>
  <c r="AC17" i="7"/>
  <c r="AC89" i="7" s="1"/>
  <c r="Q92" i="7"/>
  <c r="P15" i="8" s="1"/>
  <c r="X20" i="7"/>
  <c r="X92" i="7" s="1"/>
  <c r="W15" i="8" s="1"/>
  <c r="AE16" i="7"/>
  <c r="AE88" i="7" s="1"/>
  <c r="V21" i="7"/>
  <c r="V93" i="7" s="1"/>
  <c r="Q63" i="7"/>
  <c r="AQ26" i="7"/>
  <c r="AQ63" i="7" s="1"/>
  <c r="AD35" i="7"/>
  <c r="AQ35" i="7" s="1"/>
  <c r="S80" i="7"/>
  <c r="AF34" i="7"/>
  <c r="J110" i="7"/>
  <c r="I33" i="8" s="1"/>
  <c r="W39" i="7"/>
  <c r="W76" i="7" s="1"/>
  <c r="AI15" i="7"/>
  <c r="AI52" i="7" s="1"/>
  <c r="I87" i="7"/>
  <c r="I121" i="7" s="1"/>
  <c r="V80" i="7"/>
  <c r="I115" i="7"/>
  <c r="I80" i="7"/>
  <c r="AQ27" i="7"/>
  <c r="AD78" i="7"/>
  <c r="AD22" i="7"/>
  <c r="AD94" i="7" s="1"/>
  <c r="AC17" i="8" s="1"/>
  <c r="AD113" i="7"/>
  <c r="AC36" i="8" s="1"/>
  <c r="Q78" i="7"/>
  <c r="Q99" i="7"/>
  <c r="P22" i="8" s="1"/>
  <c r="T41" i="7"/>
  <c r="Y12" i="2"/>
  <c r="U12" i="2"/>
  <c r="W22" i="3"/>
  <c r="AA12" i="2"/>
  <c r="S111" i="7"/>
  <c r="R34" i="8" s="1"/>
  <c r="AF38" i="7"/>
  <c r="AS38" i="7" s="1"/>
  <c r="J107" i="7"/>
  <c r="I30" i="8" s="1"/>
  <c r="K104" i="7"/>
  <c r="J27" i="8" s="1"/>
  <c r="Y40" i="7"/>
  <c r="AL40" i="7" s="1"/>
  <c r="K114" i="7"/>
  <c r="J37" i="8" s="1"/>
  <c r="X31" i="7"/>
  <c r="X103" i="7" s="1"/>
  <c r="V39" i="7"/>
  <c r="AI39" i="7" s="1"/>
  <c r="X79" i="7"/>
  <c r="AF40" i="7"/>
  <c r="AS40" i="7" s="1"/>
  <c r="AA37" i="7"/>
  <c r="AA109" i="7" s="1"/>
  <c r="X114" i="7"/>
  <c r="W37" i="8" s="1"/>
  <c r="K79" i="7"/>
  <c r="AA36" i="7"/>
  <c r="AN36" i="7" s="1"/>
  <c r="N114" i="7"/>
  <c r="M37" i="8" s="1"/>
  <c r="L114" i="7"/>
  <c r="K37" i="8" s="1"/>
  <c r="S79" i="7"/>
  <c r="AA35" i="7"/>
  <c r="AN35" i="7" s="1"/>
  <c r="Y35" i="7"/>
  <c r="Y107" i="7" s="1"/>
  <c r="X30" i="8" s="1"/>
  <c r="AF35" i="7"/>
  <c r="AF72" i="7" s="1"/>
  <c r="AS43" i="7"/>
  <c r="AS80" i="7" s="1"/>
  <c r="AA79" i="7"/>
  <c r="Y114" i="7"/>
  <c r="X37" i="8" s="1"/>
  <c r="Y79" i="7"/>
  <c r="N79" i="7"/>
  <c r="L79" i="7"/>
  <c r="S115" i="7"/>
  <c r="R38" i="8" s="1"/>
  <c r="V23" i="7"/>
  <c r="V95" i="7" s="1"/>
  <c r="U18" i="8" s="1"/>
  <c r="L97" i="7"/>
  <c r="K20" i="8" s="1"/>
  <c r="AC21" i="7"/>
  <c r="AC93" i="7" s="1"/>
  <c r="AC15" i="7"/>
  <c r="AC87" i="7" s="1"/>
  <c r="AC18" i="7"/>
  <c r="AC90" i="7" s="1"/>
  <c r="Y62" i="7"/>
  <c r="Y15" i="7"/>
  <c r="Y87" i="7" s="1"/>
  <c r="Y64" i="7"/>
  <c r="AL27" i="7"/>
  <c r="AL99" i="7" s="1"/>
  <c r="AK22" i="8" s="1"/>
  <c r="P91" i="7"/>
  <c r="O14" i="8" s="1"/>
  <c r="V52" i="7"/>
  <c r="L63" i="7"/>
  <c r="AL26" i="7"/>
  <c r="AY26" i="7" s="1"/>
  <c r="L89" i="7"/>
  <c r="AA17" i="7"/>
  <c r="AA89" i="7" s="1"/>
  <c r="AF22" i="7"/>
  <c r="AF94" i="7" s="1"/>
  <c r="AE17" i="8" s="1"/>
  <c r="I52" i="7"/>
  <c r="L98" i="7"/>
  <c r="K21" i="8" s="1"/>
  <c r="AD16" i="7"/>
  <c r="AD88" i="7" s="1"/>
  <c r="AA21" i="7"/>
  <c r="AA93" i="7" s="1"/>
  <c r="S93" i="7"/>
  <c r="AH10" i="7"/>
  <c r="AF12" i="3" s="1"/>
  <c r="AF23" i="3" s="1"/>
  <c r="AD13" i="2" s="1"/>
  <c r="AF19" i="7"/>
  <c r="AF91" i="7" s="1"/>
  <c r="AE14" i="8" s="1"/>
  <c r="AE24" i="7"/>
  <c r="AE96" i="7" s="1"/>
  <c r="AD19" i="8" s="1"/>
  <c r="V19" i="7"/>
  <c r="V91" i="7" s="1"/>
  <c r="U14" i="8" s="1"/>
  <c r="Y63" i="7"/>
  <c r="AO10" i="7"/>
  <c r="AF17" i="7"/>
  <c r="AF89" i="7" s="1"/>
  <c r="AM10" i="7"/>
  <c r="AK12" i="3" s="1"/>
  <c r="AG10" i="7"/>
  <c r="V17" i="7"/>
  <c r="V89" i="7" s="1"/>
  <c r="AF24" i="7"/>
  <c r="AF96" i="7" s="1"/>
  <c r="AE19" i="8" s="1"/>
  <c r="AD24" i="7"/>
  <c r="AD96" i="7" s="1"/>
  <c r="AC19" i="8" s="1"/>
  <c r="AC23" i="7"/>
  <c r="AC95" i="7" s="1"/>
  <c r="AB18" i="8" s="1"/>
  <c r="T23" i="3"/>
  <c r="S13" i="2" s="1"/>
  <c r="H22" i="3"/>
  <c r="H12" i="2"/>
  <c r="N22" i="3"/>
  <c r="N12" i="2"/>
  <c r="T43" i="7"/>
  <c r="AB23" i="3"/>
  <c r="AA13" i="2" s="1"/>
  <c r="AI10" i="7"/>
  <c r="W23" i="3"/>
  <c r="V13" i="2" s="1"/>
  <c r="AF113" i="7"/>
  <c r="AE36" i="8" s="1"/>
  <c r="M22" i="3"/>
  <c r="M12" i="2"/>
  <c r="F23" i="3"/>
  <c r="R12" i="3"/>
  <c r="Q22" i="3"/>
  <c r="Q12" i="2"/>
  <c r="R11" i="3"/>
  <c r="L115" i="7"/>
  <c r="K38" i="8" s="1"/>
  <c r="L113" i="7"/>
  <c r="K36" i="8" s="1"/>
  <c r="S113" i="7"/>
  <c r="R36" i="8" s="1"/>
  <c r="L80" i="7"/>
  <c r="T80" i="7" s="1"/>
  <c r="L78" i="7"/>
  <c r="AG43" i="7"/>
  <c r="Y80" i="7"/>
  <c r="AC22" i="3"/>
  <c r="Y78" i="7"/>
  <c r="I22" i="3"/>
  <c r="I12" i="2"/>
  <c r="L22" i="3"/>
  <c r="L12" i="2"/>
  <c r="O22" i="3"/>
  <c r="O12" i="2"/>
  <c r="K22" i="3"/>
  <c r="K12" i="2"/>
  <c r="J22" i="3"/>
  <c r="J12" i="2"/>
  <c r="S78" i="7"/>
  <c r="G22" i="3"/>
  <c r="G12" i="2"/>
  <c r="P22" i="3"/>
  <c r="P12" i="2"/>
  <c r="AD22" i="3"/>
  <c r="AD12" i="2"/>
  <c r="T22" i="3"/>
  <c r="T12" i="2"/>
  <c r="AA22" i="3"/>
  <c r="X22" i="3"/>
  <c r="X12" i="2"/>
  <c r="Y22" i="3"/>
  <c r="Z22" i="3"/>
  <c r="Z12" i="2"/>
  <c r="U55" i="7"/>
  <c r="U90" i="7"/>
  <c r="U124" i="7" s="1"/>
  <c r="AM32" i="7"/>
  <c r="Z104" i="7"/>
  <c r="Z69" i="7"/>
  <c r="AQ37" i="7"/>
  <c r="AD109" i="7"/>
  <c r="AD74" i="7"/>
  <c r="AI34" i="7"/>
  <c r="V106" i="7"/>
  <c r="U29" i="8" s="1"/>
  <c r="V71" i="7"/>
  <c r="AN38" i="7"/>
  <c r="AA110" i="7"/>
  <c r="Z33" i="8" s="1"/>
  <c r="AA75" i="7"/>
  <c r="AR37" i="7"/>
  <c r="AE109" i="7"/>
  <c r="AE74" i="7"/>
  <c r="U105" i="7"/>
  <c r="U70" i="7"/>
  <c r="AI32" i="7"/>
  <c r="V104" i="7"/>
  <c r="V69" i="7"/>
  <c r="AN32" i="7"/>
  <c r="AA104" i="7"/>
  <c r="Z27" i="8" s="1"/>
  <c r="AA69" i="7"/>
  <c r="AR38" i="7"/>
  <c r="AE110" i="7"/>
  <c r="AD33" i="8" s="1"/>
  <c r="AE75" i="7"/>
  <c r="Y76" i="7"/>
  <c r="AM40" i="7"/>
  <c r="Z112" i="7"/>
  <c r="Y35" i="8" s="1"/>
  <c r="Z77" i="7"/>
  <c r="AK40" i="7"/>
  <c r="X112" i="7"/>
  <c r="W35" i="8" s="1"/>
  <c r="X77" i="7"/>
  <c r="AS32" i="7"/>
  <c r="AQ34" i="7"/>
  <c r="AD106" i="7"/>
  <c r="AC29" i="8" s="1"/>
  <c r="AD71" i="7"/>
  <c r="AM34" i="7"/>
  <c r="Z106" i="7"/>
  <c r="Y29" i="8" s="1"/>
  <c r="Z71" i="7"/>
  <c r="AI37" i="7"/>
  <c r="V109" i="7"/>
  <c r="V74" i="7"/>
  <c r="AP39" i="7"/>
  <c r="AC111" i="7"/>
  <c r="AB34" i="8" s="1"/>
  <c r="AC76" i="7"/>
  <c r="BD10" i="7"/>
  <c r="BB12" i="3" s="1"/>
  <c r="AO23" i="3"/>
  <c r="AN13" i="2" s="1"/>
  <c r="AW10" i="7"/>
  <c r="AU12" i="3" s="1"/>
  <c r="AH23" i="3"/>
  <c r="AG13" i="2" s="1"/>
  <c r="BD41" i="7"/>
  <c r="AQ113" i="7"/>
  <c r="AP36" i="8" s="1"/>
  <c r="AQ78" i="7"/>
  <c r="BA42" i="7"/>
  <c r="AN114" i="7"/>
  <c r="AM37" i="8" s="1"/>
  <c r="AN79" i="7"/>
  <c r="BB42" i="7"/>
  <c r="AO114" i="7"/>
  <c r="AN37" i="8" s="1"/>
  <c r="AO79" i="7"/>
  <c r="BA43" i="7"/>
  <c r="AN115" i="7"/>
  <c r="AM38" i="8" s="1"/>
  <c r="AN80" i="7"/>
  <c r="BE42" i="7"/>
  <c r="AR114" i="7"/>
  <c r="AQ37" i="8" s="1"/>
  <c r="AR79" i="7"/>
  <c r="BD9" i="7"/>
  <c r="BB11" i="3" s="1"/>
  <c r="AZ10" i="7"/>
  <c r="AX12" i="3" s="1"/>
  <c r="AK23" i="3"/>
  <c r="AJ13" i="2" s="1"/>
  <c r="BC42" i="7"/>
  <c r="AP114" i="7"/>
  <c r="AO37" i="8" s="1"/>
  <c r="AP79" i="7"/>
  <c r="AW9" i="7"/>
  <c r="AU11" i="3" s="1"/>
  <c r="AY9" i="7"/>
  <c r="AW11" i="3" s="1"/>
  <c r="AG115" i="7"/>
  <c r="T38" i="8"/>
  <c r="AF38" i="8" s="1"/>
  <c r="AZ42" i="7"/>
  <c r="AM114" i="7"/>
  <c r="AL37" i="8" s="1"/>
  <c r="AM79" i="7"/>
  <c r="AW25" i="7"/>
  <c r="AJ97" i="7"/>
  <c r="AI20" i="8" s="1"/>
  <c r="AJ62" i="7"/>
  <c r="AH80" i="7"/>
  <c r="AH115" i="7"/>
  <c r="AW27" i="7"/>
  <c r="AJ99" i="7"/>
  <c r="AI22" i="8" s="1"/>
  <c r="AJ64" i="7"/>
  <c r="AK36" i="7"/>
  <c r="X108" i="7"/>
  <c r="W31" i="8" s="1"/>
  <c r="X73" i="7"/>
  <c r="AR32" i="7"/>
  <c r="AE104" i="7"/>
  <c r="AD27" i="8" s="1"/>
  <c r="AE69" i="7"/>
  <c r="AR39" i="7"/>
  <c r="AE76" i="7"/>
  <c r="AE111" i="7"/>
  <c r="AD34" i="8" s="1"/>
  <c r="AO31" i="7"/>
  <c r="AB103" i="7"/>
  <c r="AB68" i="7"/>
  <c r="AL32" i="7"/>
  <c r="Y69" i="7"/>
  <c r="Y104" i="7"/>
  <c r="X27" i="8" s="1"/>
  <c r="AL36" i="7"/>
  <c r="Y108" i="7"/>
  <c r="X31" i="8" s="1"/>
  <c r="Y73" i="7"/>
  <c r="BD42" i="7"/>
  <c r="AQ114" i="7"/>
  <c r="AP37" i="8" s="1"/>
  <c r="AQ79" i="7"/>
  <c r="BC43" i="7"/>
  <c r="AP80" i="7"/>
  <c r="AP115" i="7"/>
  <c r="AO38" i="8" s="1"/>
  <c r="BE43" i="7"/>
  <c r="AR115" i="7"/>
  <c r="AQ38" i="8" s="1"/>
  <c r="AR80" i="7"/>
  <c r="BF9" i="7"/>
  <c r="BD11" i="3" s="1"/>
  <c r="BA10" i="7"/>
  <c r="AY12" i="3" s="1"/>
  <c r="AL23" i="3"/>
  <c r="AK13" i="2" s="1"/>
  <c r="AW41" i="7"/>
  <c r="AJ113" i="7"/>
  <c r="AI36" i="8" s="1"/>
  <c r="AJ78" i="7"/>
  <c r="AV41" i="7"/>
  <c r="AI113" i="7"/>
  <c r="AH36" i="8" s="1"/>
  <c r="AI78" i="7"/>
  <c r="AL113" i="7"/>
  <c r="AK36" i="8" s="1"/>
  <c r="AL78" i="7"/>
  <c r="BC9" i="7"/>
  <c r="BA11" i="3" s="1"/>
  <c r="U62" i="7"/>
  <c r="U97" i="7"/>
  <c r="U104" i="7"/>
  <c r="U69" i="7"/>
  <c r="AJ32" i="7"/>
  <c r="W104" i="7"/>
  <c r="V27" i="8" s="1"/>
  <c r="W69" i="7"/>
  <c r="AP36" i="7"/>
  <c r="AC108" i="7"/>
  <c r="AB31" i="8" s="1"/>
  <c r="AC73" i="7"/>
  <c r="AR31" i="7"/>
  <c r="AE103" i="7"/>
  <c r="AE68" i="7"/>
  <c r="AO37" i="7"/>
  <c r="AB109" i="7"/>
  <c r="AB74" i="7"/>
  <c r="AL33" i="7"/>
  <c r="Y105" i="7"/>
  <c r="X28" i="8" s="1"/>
  <c r="Y70" i="7"/>
  <c r="AJ34" i="7"/>
  <c r="W71" i="7"/>
  <c r="W106" i="7"/>
  <c r="V29" i="8" s="1"/>
  <c r="AL31" i="7"/>
  <c r="Y103" i="7"/>
  <c r="Y68" i="7"/>
  <c r="AS34" i="7"/>
  <c r="AF106" i="7"/>
  <c r="AE29" i="8" s="1"/>
  <c r="AF71" i="7"/>
  <c r="AI33" i="7"/>
  <c r="V105" i="7"/>
  <c r="U28" i="8" s="1"/>
  <c r="V70" i="7"/>
  <c r="AP37" i="7"/>
  <c r="AC109" i="7"/>
  <c r="AC74" i="7"/>
  <c r="AR40" i="7"/>
  <c r="AE112" i="7"/>
  <c r="AD35" i="8" s="1"/>
  <c r="AE77" i="7"/>
  <c r="AJ33" i="7"/>
  <c r="W105" i="7"/>
  <c r="V28" i="8" s="1"/>
  <c r="W70" i="7"/>
  <c r="AI40" i="7"/>
  <c r="V112" i="7"/>
  <c r="U35" i="8" s="1"/>
  <c r="V77" i="7"/>
  <c r="AO40" i="7"/>
  <c r="AB112" i="7"/>
  <c r="AA35" i="8" s="1"/>
  <c r="AB77" i="7"/>
  <c r="AI35" i="7"/>
  <c r="V107" i="7"/>
  <c r="U30" i="8" s="1"/>
  <c r="V72" i="7"/>
  <c r="AN31" i="7"/>
  <c r="AA103" i="7"/>
  <c r="AA68" i="7"/>
  <c r="BR10" i="7"/>
  <c r="BC23" i="3"/>
  <c r="BB13" i="2" s="1"/>
  <c r="U64" i="7"/>
  <c r="U99" i="7"/>
  <c r="AQ36" i="7"/>
  <c r="AD108" i="7"/>
  <c r="AC31" i="8" s="1"/>
  <c r="AD73" i="7"/>
  <c r="AJ40" i="7"/>
  <c r="W112" i="7"/>
  <c r="V35" i="8" s="1"/>
  <c r="W77" i="7"/>
  <c r="AS33" i="7"/>
  <c r="AF105" i="7"/>
  <c r="AE28" i="8" s="1"/>
  <c r="AF70" i="7"/>
  <c r="AS31" i="7"/>
  <c r="AF103" i="7"/>
  <c r="AF68" i="7"/>
  <c r="U109" i="7"/>
  <c r="U74" i="7"/>
  <c r="AI38" i="7"/>
  <c r="V110" i="7"/>
  <c r="U33" i="8" s="1"/>
  <c r="V75" i="7"/>
  <c r="AP33" i="7"/>
  <c r="AC105" i="7"/>
  <c r="AB28" i="8" s="1"/>
  <c r="AC70" i="7"/>
  <c r="AN33" i="7"/>
  <c r="AA105" i="7"/>
  <c r="Z28" i="8" s="1"/>
  <c r="AA70" i="7"/>
  <c r="AK31" i="7"/>
  <c r="AR33" i="7"/>
  <c r="AE105" i="7"/>
  <c r="AD28" i="8" s="1"/>
  <c r="AE70" i="7"/>
  <c r="AO34" i="7"/>
  <c r="AB106" i="7"/>
  <c r="AA29" i="8" s="1"/>
  <c r="AB71" i="7"/>
  <c r="AO35" i="7"/>
  <c r="AB107" i="7"/>
  <c r="AA30" i="8" s="1"/>
  <c r="AB72" i="7"/>
  <c r="AL35" i="7"/>
  <c r="AJ35" i="7"/>
  <c r="W107" i="7"/>
  <c r="V30" i="8" s="1"/>
  <c r="W72" i="7"/>
  <c r="AS39" i="7"/>
  <c r="AF111" i="7"/>
  <c r="AE34" i="8" s="1"/>
  <c r="AF76" i="7"/>
  <c r="U112" i="7"/>
  <c r="U77" i="7"/>
  <c r="AR34" i="7"/>
  <c r="AE106" i="7"/>
  <c r="AD29" i="8" s="1"/>
  <c r="AE71" i="7"/>
  <c r="AJ36" i="7"/>
  <c r="W108" i="7"/>
  <c r="V31" i="8" s="1"/>
  <c r="W73" i="7"/>
  <c r="AJ38" i="7"/>
  <c r="W110" i="7"/>
  <c r="V33" i="8" s="1"/>
  <c r="W75" i="7"/>
  <c r="AQ39" i="7"/>
  <c r="AD111" i="7"/>
  <c r="AC34" i="8" s="1"/>
  <c r="AD76" i="7"/>
  <c r="U110" i="7"/>
  <c r="U75" i="7"/>
  <c r="AM38" i="7"/>
  <c r="Z110" i="7"/>
  <c r="Y33" i="8" s="1"/>
  <c r="Z75" i="7"/>
  <c r="V76" i="7"/>
  <c r="AP34" i="7"/>
  <c r="AC106" i="7"/>
  <c r="AB29" i="8" s="1"/>
  <c r="AC71" i="7"/>
  <c r="AP31" i="7"/>
  <c r="AC103" i="7"/>
  <c r="AC68" i="7"/>
  <c r="AN40" i="7"/>
  <c r="AA112" i="7"/>
  <c r="Z35" i="8" s="1"/>
  <c r="AA77" i="7"/>
  <c r="AK32" i="7"/>
  <c r="X104" i="7"/>
  <c r="W27" i="8" s="1"/>
  <c r="X69" i="7"/>
  <c r="AK37" i="7"/>
  <c r="X109" i="7"/>
  <c r="X74" i="7"/>
  <c r="AR35" i="7"/>
  <c r="AE107" i="7"/>
  <c r="AD30" i="8" s="1"/>
  <c r="AE72" i="7"/>
  <c r="AO36" i="7"/>
  <c r="AB108" i="7"/>
  <c r="AA31" i="8" s="1"/>
  <c r="AB73" i="7"/>
  <c r="AL34" i="7"/>
  <c r="Y106" i="7"/>
  <c r="X29" i="8" s="1"/>
  <c r="Y71" i="7"/>
  <c r="Y112" i="7"/>
  <c r="X35" i="8" s="1"/>
  <c r="AI36" i="7"/>
  <c r="V108" i="7"/>
  <c r="U31" i="8" s="1"/>
  <c r="V73" i="7"/>
  <c r="AP38" i="7"/>
  <c r="AC110" i="7"/>
  <c r="AB33" i="8" s="1"/>
  <c r="AC75" i="7"/>
  <c r="AA111" i="7"/>
  <c r="Z34" i="8" s="1"/>
  <c r="AK33" i="7"/>
  <c r="X105" i="7"/>
  <c r="W28" i="8" s="1"/>
  <c r="X70" i="7"/>
  <c r="AO32" i="7"/>
  <c r="AB104" i="7"/>
  <c r="AA27" i="8" s="1"/>
  <c r="AB69" i="7"/>
  <c r="AS37" i="7"/>
  <c r="AF109" i="7"/>
  <c r="AF74" i="7"/>
  <c r="U107" i="7"/>
  <c r="U72" i="7"/>
  <c r="AM31" i="7"/>
  <c r="Z103" i="7"/>
  <c r="Y26" i="8" s="1"/>
  <c r="Z68" i="7"/>
  <c r="AI31" i="7"/>
  <c r="V103" i="7"/>
  <c r="U26" i="8" s="1"/>
  <c r="V68" i="7"/>
  <c r="AP32" i="7"/>
  <c r="AC104" i="7"/>
  <c r="AB27" i="8" s="1"/>
  <c r="AC69" i="7"/>
  <c r="AP40" i="7"/>
  <c r="AC112" i="7"/>
  <c r="AB35" i="8" s="1"/>
  <c r="AC77" i="7"/>
  <c r="AX41" i="7"/>
  <c r="AK113" i="7"/>
  <c r="AJ36" i="8" s="1"/>
  <c r="AK78" i="7"/>
  <c r="BF42" i="7"/>
  <c r="AS114" i="7"/>
  <c r="AR37" i="8" s="1"/>
  <c r="AS79" i="7"/>
  <c r="AV43" i="7"/>
  <c r="AI115" i="7"/>
  <c r="AH38" i="8" s="1"/>
  <c r="AI80" i="7"/>
  <c r="BE41" i="7"/>
  <c r="AR113" i="7"/>
  <c r="AQ36" i="8" s="1"/>
  <c r="AR78" i="7"/>
  <c r="AY42" i="7"/>
  <c r="AL79" i="7"/>
  <c r="AL114" i="7"/>
  <c r="AK37" i="8" s="1"/>
  <c r="AW42" i="7"/>
  <c r="AJ114" i="7"/>
  <c r="AI37" i="8" s="1"/>
  <c r="AJ79" i="7"/>
  <c r="BF10" i="7"/>
  <c r="BD12" i="3" s="1"/>
  <c r="AQ23" i="3"/>
  <c r="AP13" i="2" s="1"/>
  <c r="AZ9" i="7"/>
  <c r="AX11" i="3" s="1"/>
  <c r="AY10" i="7"/>
  <c r="AW12" i="3" s="1"/>
  <c r="AJ23" i="3"/>
  <c r="AI13" i="2" s="1"/>
  <c r="AV42" i="7"/>
  <c r="AI114" i="7"/>
  <c r="AH37" i="8" s="1"/>
  <c r="AI79" i="7"/>
  <c r="BB41" i="7"/>
  <c r="AO113" i="7"/>
  <c r="AN36" i="8" s="1"/>
  <c r="AO78" i="7"/>
  <c r="AX9" i="7"/>
  <c r="AV11" i="3" s="1"/>
  <c r="BF41" i="7"/>
  <c r="AS113" i="7"/>
  <c r="AR36" i="8" s="1"/>
  <c r="AS78" i="7"/>
  <c r="BB43" i="7"/>
  <c r="AO80" i="7"/>
  <c r="AO115" i="7"/>
  <c r="AN38" i="8" s="1"/>
  <c r="AJ31" i="7"/>
  <c r="W103" i="7"/>
  <c r="W68" i="7"/>
  <c r="AM36" i="7"/>
  <c r="Z108" i="7"/>
  <c r="Y31" i="8" s="1"/>
  <c r="Z73" i="7"/>
  <c r="AK35" i="7"/>
  <c r="X107" i="7"/>
  <c r="W30" i="8" s="1"/>
  <c r="X72" i="7"/>
  <c r="AL37" i="7"/>
  <c r="Y109" i="7"/>
  <c r="Y74" i="7"/>
  <c r="AP35" i="7"/>
  <c r="AC107" i="7"/>
  <c r="AB30" i="8" s="1"/>
  <c r="AC72" i="7"/>
  <c r="AJ37" i="7"/>
  <c r="W74" i="7"/>
  <c r="W109" i="7"/>
  <c r="AN34" i="7"/>
  <c r="AA71" i="7"/>
  <c r="AA106" i="7"/>
  <c r="Z29" i="8" s="1"/>
  <c r="AO38" i="7"/>
  <c r="AB110" i="7"/>
  <c r="AA33" i="8" s="1"/>
  <c r="AB75" i="7"/>
  <c r="U61" i="7"/>
  <c r="U96" i="7"/>
  <c r="U63" i="7"/>
  <c r="U98" i="7"/>
  <c r="S22" i="3"/>
  <c r="BD25" i="7"/>
  <c r="AQ97" i="7"/>
  <c r="AP20" i="8" s="1"/>
  <c r="AQ62" i="7"/>
  <c r="BA26" i="7"/>
  <c r="AN98" i="7"/>
  <c r="AM21" i="8" s="1"/>
  <c r="AN63" i="7"/>
  <c r="AW26" i="7"/>
  <c r="AJ98" i="7"/>
  <c r="AI21" i="8" s="1"/>
  <c r="AJ63" i="7"/>
  <c r="BD27" i="7"/>
  <c r="AQ99" i="7"/>
  <c r="AP22" i="8" s="1"/>
  <c r="AQ64" i="7"/>
  <c r="BA25" i="7"/>
  <c r="AN97" i="7"/>
  <c r="AM20" i="8" s="1"/>
  <c r="AN62" i="7"/>
  <c r="AI87" i="7"/>
  <c r="BA27" i="7"/>
  <c r="AN99" i="7"/>
  <c r="AM22" i="8" s="1"/>
  <c r="AN64" i="7"/>
  <c r="AK34" i="7"/>
  <c r="X106" i="7"/>
  <c r="W29" i="8" s="1"/>
  <c r="X71" i="7"/>
  <c r="AK38" i="7"/>
  <c r="X110" i="7"/>
  <c r="W33" i="8" s="1"/>
  <c r="X75" i="7"/>
  <c r="AR36" i="7"/>
  <c r="AE73" i="7"/>
  <c r="AE108" i="7"/>
  <c r="AD31" i="8" s="1"/>
  <c r="AO33" i="7"/>
  <c r="AB105" i="7"/>
  <c r="AA28" i="8" s="1"/>
  <c r="AB70" i="7"/>
  <c r="AO39" i="7"/>
  <c r="AB111" i="7"/>
  <c r="AA34" i="8" s="1"/>
  <c r="AB76" i="7"/>
  <c r="AL38" i="7"/>
  <c r="Y110" i="7"/>
  <c r="X33" i="8" s="1"/>
  <c r="Y75" i="7"/>
  <c r="AZ43" i="7"/>
  <c r="AM115" i="7"/>
  <c r="AL38" i="8" s="1"/>
  <c r="AM80" i="7"/>
  <c r="AX42" i="7"/>
  <c r="AK79" i="7"/>
  <c r="AK114" i="7"/>
  <c r="AJ37" i="8" s="1"/>
  <c r="BE9" i="7"/>
  <c r="BC11" i="3" s="1"/>
  <c r="AX10" i="7"/>
  <c r="AV12" i="3" s="1"/>
  <c r="AI23" i="3"/>
  <c r="AH13" i="2" s="1"/>
  <c r="BC10" i="7"/>
  <c r="BA12" i="3" s="1"/>
  <c r="AN23" i="3"/>
  <c r="AM13" i="2" s="1"/>
  <c r="BA41" i="7"/>
  <c r="AN113" i="7"/>
  <c r="AM36" i="8" s="1"/>
  <c r="AN78" i="7"/>
  <c r="BD43" i="7"/>
  <c r="AQ115" i="7"/>
  <c r="AP38" i="8" s="1"/>
  <c r="AQ80" i="7"/>
  <c r="AK115" i="7"/>
  <c r="AJ38" i="8" s="1"/>
  <c r="AK80" i="7"/>
  <c r="AW43" i="7"/>
  <c r="AJ115" i="7"/>
  <c r="AI38" i="8" s="1"/>
  <c r="AJ80" i="7"/>
  <c r="BC41" i="7"/>
  <c r="AP78" i="7"/>
  <c r="AP113" i="7"/>
  <c r="AO36" i="8" s="1"/>
  <c r="BA9" i="7"/>
  <c r="AY11" i="3" s="1"/>
  <c r="BB9" i="7"/>
  <c r="AZ11" i="3" s="1"/>
  <c r="AH33" i="7"/>
  <c r="AM25" i="7"/>
  <c r="Z62" i="7"/>
  <c r="AP25" i="7"/>
  <c r="AC62" i="7"/>
  <c r="AR27" i="7"/>
  <c r="AE64" i="7"/>
  <c r="H114" i="7"/>
  <c r="G37" i="8" s="1"/>
  <c r="U42" i="7"/>
  <c r="Q104" i="7"/>
  <c r="P27" i="8" s="1"/>
  <c r="AD32" i="7"/>
  <c r="H111" i="7"/>
  <c r="G34" i="8" s="1"/>
  <c r="U39" i="7"/>
  <c r="T42" i="7"/>
  <c r="AO26" i="7"/>
  <c r="AB63" i="7"/>
  <c r="AM26" i="7"/>
  <c r="Z63" i="7"/>
  <c r="AI26" i="7"/>
  <c r="V63" i="7"/>
  <c r="AS27" i="7"/>
  <c r="AF64" i="7"/>
  <c r="AR26" i="7"/>
  <c r="AE63" i="7"/>
  <c r="H108" i="7"/>
  <c r="U36" i="7"/>
  <c r="H78" i="7"/>
  <c r="U41" i="7"/>
  <c r="M78" i="7"/>
  <c r="Z41" i="7"/>
  <c r="AI21" i="7"/>
  <c r="V58" i="7"/>
  <c r="AS20" i="7"/>
  <c r="AF57" i="7"/>
  <c r="AJ15" i="7"/>
  <c r="W52" i="7"/>
  <c r="AJ23" i="7"/>
  <c r="W60" i="7"/>
  <c r="AL17" i="7"/>
  <c r="Y54" i="7"/>
  <c r="AQ20" i="7"/>
  <c r="AD57" i="7"/>
  <c r="AN17" i="7"/>
  <c r="AA54" i="7"/>
  <c r="AP20" i="7"/>
  <c r="AC57" i="7"/>
  <c r="AI23" i="7"/>
  <c r="V60" i="7"/>
  <c r="AS21" i="7"/>
  <c r="AF58" i="7"/>
  <c r="AJ16" i="7"/>
  <c r="W53" i="7"/>
  <c r="AJ24" i="7"/>
  <c r="W61" i="7"/>
  <c r="Y57" i="7"/>
  <c r="AQ21" i="7"/>
  <c r="AD58" i="7"/>
  <c r="AN18" i="7"/>
  <c r="AA55" i="7"/>
  <c r="AP19" i="7"/>
  <c r="AC56" i="7"/>
  <c r="AO18" i="7"/>
  <c r="AB55" i="7"/>
  <c r="AJ17" i="7"/>
  <c r="W54" i="7"/>
  <c r="AL18" i="7"/>
  <c r="Y55" i="7"/>
  <c r="AL23" i="7"/>
  <c r="Y60" i="7"/>
  <c r="AN19" i="7"/>
  <c r="AA56" i="7"/>
  <c r="AR22" i="7"/>
  <c r="AE59" i="7"/>
  <c r="AI16" i="7"/>
  <c r="V53" i="7"/>
  <c r="AS15" i="7"/>
  <c r="AF52" i="7"/>
  <c r="AS23" i="7"/>
  <c r="AF60" i="7"/>
  <c r="AJ18" i="7"/>
  <c r="W55" i="7"/>
  <c r="AL19" i="7"/>
  <c r="Y56" i="7"/>
  <c r="AL24" i="7"/>
  <c r="Y61" i="7"/>
  <c r="AQ23" i="7"/>
  <c r="AD60" i="7"/>
  <c r="AN20" i="7"/>
  <c r="AA57" i="7"/>
  <c r="AP16" i="7"/>
  <c r="AC53" i="7"/>
  <c r="AH37" i="7"/>
  <c r="AH40" i="7"/>
  <c r="AH38" i="7"/>
  <c r="AH35" i="7"/>
  <c r="AM27" i="7"/>
  <c r="Z64" i="7"/>
  <c r="AI25" i="7"/>
  <c r="V62" i="7"/>
  <c r="AP26" i="7"/>
  <c r="AC63" i="7"/>
  <c r="AS25" i="7"/>
  <c r="AF62" i="7"/>
  <c r="AR25" i="7"/>
  <c r="AE62" i="7"/>
  <c r="AK26" i="7"/>
  <c r="X63" i="7"/>
  <c r="Q103" i="7"/>
  <c r="AD31" i="7"/>
  <c r="M105" i="7"/>
  <c r="L28" i="8" s="1"/>
  <c r="Z33" i="7"/>
  <c r="Q110" i="7"/>
  <c r="P33" i="8" s="1"/>
  <c r="AD38" i="7"/>
  <c r="H103" i="7"/>
  <c r="U31" i="7"/>
  <c r="M111" i="7"/>
  <c r="L34" i="8" s="1"/>
  <c r="Z39" i="7"/>
  <c r="AO17" i="7"/>
  <c r="AB54" i="7"/>
  <c r="AS16" i="7"/>
  <c r="AF53" i="7"/>
  <c r="AJ19" i="7"/>
  <c r="W56" i="7"/>
  <c r="AL21" i="7"/>
  <c r="Y58" i="7"/>
  <c r="AQ16" i="7"/>
  <c r="AD53" i="7"/>
  <c r="AQ24" i="7"/>
  <c r="AA58" i="7"/>
  <c r="AP17" i="7"/>
  <c r="AC54" i="7"/>
  <c r="AR18" i="7"/>
  <c r="AE55" i="7"/>
  <c r="AK24" i="7"/>
  <c r="X61" i="7"/>
  <c r="AO21" i="7"/>
  <c r="AB58" i="7"/>
  <c r="AJ20" i="7"/>
  <c r="W57" i="7"/>
  <c r="AL22" i="7"/>
  <c r="Y59" i="7"/>
  <c r="AQ17" i="7"/>
  <c r="AD54" i="7"/>
  <c r="AQ15" i="7"/>
  <c r="AD52" i="7"/>
  <c r="AN22" i="7"/>
  <c r="AA59" i="7"/>
  <c r="AM19" i="7"/>
  <c r="Z56" i="7"/>
  <c r="AS18" i="7"/>
  <c r="AF55" i="7"/>
  <c r="AM18" i="7"/>
  <c r="Z55" i="7"/>
  <c r="AJ21" i="7"/>
  <c r="W58" i="7"/>
  <c r="AQ18" i="7"/>
  <c r="AD55" i="7"/>
  <c r="AN15" i="7"/>
  <c r="AA52" i="7"/>
  <c r="AN23" i="7"/>
  <c r="AA60" i="7"/>
  <c r="AR20" i="7"/>
  <c r="AE57" i="7"/>
  <c r="AS19" i="7"/>
  <c r="AF56" i="7"/>
  <c r="AM22" i="7"/>
  <c r="Z59" i="7"/>
  <c r="AJ22" i="7"/>
  <c r="W59" i="7"/>
  <c r="AL16" i="7"/>
  <c r="Y53" i="7"/>
  <c r="AQ19" i="7"/>
  <c r="AD56" i="7"/>
  <c r="AN16" i="7"/>
  <c r="AA53" i="7"/>
  <c r="AN24" i="7"/>
  <c r="AA61" i="7"/>
  <c r="AE61" i="7"/>
  <c r="AH32" i="7"/>
  <c r="AO27" i="7"/>
  <c r="AB64" i="7"/>
  <c r="AK25" i="7"/>
  <c r="X62" i="7"/>
  <c r="AU43" i="7"/>
  <c r="H79" i="7"/>
  <c r="AO25" i="7"/>
  <c r="AB62" i="7"/>
  <c r="AI27" i="7"/>
  <c r="V64" i="7"/>
  <c r="AP27" i="7"/>
  <c r="AC64" i="7"/>
  <c r="AS26" i="7"/>
  <c r="AF63" i="7"/>
  <c r="AK27" i="7"/>
  <c r="X64" i="7"/>
  <c r="Q112" i="7"/>
  <c r="P35" i="8" s="1"/>
  <c r="AD40" i="7"/>
  <c r="M109" i="7"/>
  <c r="T109" i="7" s="1"/>
  <c r="Z37" i="7"/>
  <c r="Q105" i="7"/>
  <c r="P28" i="8" s="1"/>
  <c r="AD33" i="7"/>
  <c r="H106" i="7"/>
  <c r="U34" i="7"/>
  <c r="M107" i="7"/>
  <c r="L30" i="8" s="1"/>
  <c r="Z35" i="7"/>
  <c r="H91" i="7"/>
  <c r="G14" i="8" s="1"/>
  <c r="U19" i="7"/>
  <c r="K87" i="7"/>
  <c r="X15" i="7"/>
  <c r="X87" i="7" s="1"/>
  <c r="R93" i="7"/>
  <c r="AE21" i="7"/>
  <c r="AE93" i="7" s="1"/>
  <c r="AH25" i="7"/>
  <c r="AG25" i="7"/>
  <c r="O91" i="7"/>
  <c r="N14" i="8" s="1"/>
  <c r="AB19" i="7"/>
  <c r="AB91" i="7" s="1"/>
  <c r="AA14" i="8" s="1"/>
  <c r="M96" i="7"/>
  <c r="L19" i="8" s="1"/>
  <c r="Z24" i="7"/>
  <c r="Z96" i="7" s="1"/>
  <c r="Y19" i="8" s="1"/>
  <c r="M89" i="7"/>
  <c r="Z17" i="7"/>
  <c r="Z89" i="7" s="1"/>
  <c r="AH18" i="7"/>
  <c r="H93" i="7"/>
  <c r="U21" i="7"/>
  <c r="R91" i="7"/>
  <c r="Q14" i="8" s="1"/>
  <c r="AE19" i="7"/>
  <c r="AE91" i="7" s="1"/>
  <c r="AD14" i="8" s="1"/>
  <c r="K89" i="7"/>
  <c r="X17" i="7"/>
  <c r="X89" i="7" s="1"/>
  <c r="R95" i="7"/>
  <c r="Q18" i="8" s="1"/>
  <c r="AE23" i="7"/>
  <c r="AE95" i="7" s="1"/>
  <c r="AD18" i="8" s="1"/>
  <c r="H92" i="7"/>
  <c r="U20" i="7"/>
  <c r="K91" i="7"/>
  <c r="J14" i="8" s="1"/>
  <c r="X19" i="7"/>
  <c r="X91" i="7" s="1"/>
  <c r="W14" i="8" s="1"/>
  <c r="O94" i="7"/>
  <c r="N17" i="8" s="1"/>
  <c r="AB22" i="7"/>
  <c r="AB94" i="7" s="1"/>
  <c r="AA17" i="8" s="1"/>
  <c r="O95" i="7"/>
  <c r="N18" i="8" s="1"/>
  <c r="AB23" i="7"/>
  <c r="AB95" i="7" s="1"/>
  <c r="AA18" i="8" s="1"/>
  <c r="O88" i="7"/>
  <c r="AB16" i="7"/>
  <c r="AB88" i="7" s="1"/>
  <c r="M93" i="7"/>
  <c r="Z21" i="7"/>
  <c r="Z93" i="7" s="1"/>
  <c r="I92" i="7"/>
  <c r="H15" i="8" s="1"/>
  <c r="V20" i="7"/>
  <c r="V92" i="7" s="1"/>
  <c r="U15" i="8" s="1"/>
  <c r="I90" i="7"/>
  <c r="I124" i="7" s="1"/>
  <c r="I131" i="7" s="1"/>
  <c r="V18" i="7"/>
  <c r="V90" i="7" s="1"/>
  <c r="K93" i="7"/>
  <c r="X21" i="7"/>
  <c r="X93" i="7" s="1"/>
  <c r="H94" i="7"/>
  <c r="G17" i="8" s="1"/>
  <c r="U22" i="7"/>
  <c r="H95" i="7"/>
  <c r="G18" i="8" s="1"/>
  <c r="U23" i="7"/>
  <c r="K95" i="7"/>
  <c r="J18" i="8" s="1"/>
  <c r="X23" i="7"/>
  <c r="X95" i="7" s="1"/>
  <c r="W18" i="8" s="1"/>
  <c r="AG27" i="7"/>
  <c r="AH27" i="7"/>
  <c r="M95" i="7"/>
  <c r="L18" i="8" s="1"/>
  <c r="Z23" i="7"/>
  <c r="Z95" i="7" s="1"/>
  <c r="Y18" i="8" s="1"/>
  <c r="M88" i="7"/>
  <c r="Z16" i="7"/>
  <c r="Z88" i="7" s="1"/>
  <c r="O92" i="7"/>
  <c r="N15" i="8" s="1"/>
  <c r="AB20" i="7"/>
  <c r="AB92" i="7" s="1"/>
  <c r="AA15" i="8" s="1"/>
  <c r="M87" i="7"/>
  <c r="M121" i="7" s="1"/>
  <c r="Z15" i="7"/>
  <c r="Z87" i="7" s="1"/>
  <c r="I96" i="7"/>
  <c r="V24" i="7"/>
  <c r="V96" i="7" s="1"/>
  <c r="U19" i="8" s="1"/>
  <c r="I94" i="7"/>
  <c r="H17" i="8" s="1"/>
  <c r="V22" i="7"/>
  <c r="V94" i="7" s="1"/>
  <c r="U17" i="8" s="1"/>
  <c r="AH24" i="7"/>
  <c r="H88" i="7"/>
  <c r="H122" i="7" s="1"/>
  <c r="U16" i="7"/>
  <c r="K90" i="7"/>
  <c r="X18" i="7"/>
  <c r="X90" i="7" s="1"/>
  <c r="H89" i="7"/>
  <c r="U17" i="7"/>
  <c r="R87" i="7"/>
  <c r="AE15" i="7"/>
  <c r="AE87" i="7" s="1"/>
  <c r="K94" i="7"/>
  <c r="J17" i="8" s="1"/>
  <c r="X22" i="7"/>
  <c r="X94" i="7" s="1"/>
  <c r="W17" i="8" s="1"/>
  <c r="H52" i="7"/>
  <c r="U15" i="7"/>
  <c r="R89" i="7"/>
  <c r="AE17" i="7"/>
  <c r="AE89" i="7" s="1"/>
  <c r="AG26" i="7"/>
  <c r="AH26" i="7"/>
  <c r="O87" i="7"/>
  <c r="AB15" i="7"/>
  <c r="AB87" i="7" s="1"/>
  <c r="M92" i="7"/>
  <c r="L15" i="8" s="1"/>
  <c r="Z20" i="7"/>
  <c r="Z92" i="7" s="1"/>
  <c r="Y15" i="8" s="1"/>
  <c r="O96" i="7"/>
  <c r="N19" i="8" s="1"/>
  <c r="AB24" i="7"/>
  <c r="AB96" i="7" s="1"/>
  <c r="AA19" i="8" s="1"/>
  <c r="K88" i="7"/>
  <c r="X16" i="7"/>
  <c r="X88" i="7" s="1"/>
  <c r="AG9" i="7"/>
  <c r="AH9" i="7"/>
  <c r="R63" i="7"/>
  <c r="R98" i="7"/>
  <c r="Q21" i="8" s="1"/>
  <c r="H10" i="8"/>
  <c r="O64" i="7"/>
  <c r="O99" i="7"/>
  <c r="N22" i="8" s="1"/>
  <c r="M62" i="7"/>
  <c r="M97" i="7"/>
  <c r="L20" i="8" s="1"/>
  <c r="I64" i="7"/>
  <c r="I99" i="7"/>
  <c r="H22" i="8" s="1"/>
  <c r="P64" i="7"/>
  <c r="P99" i="7"/>
  <c r="O22" i="8" s="1"/>
  <c r="S63" i="7"/>
  <c r="S98" i="7"/>
  <c r="R21" i="8" s="1"/>
  <c r="H64" i="7"/>
  <c r="T27" i="7"/>
  <c r="H99" i="7"/>
  <c r="G22" i="8" s="1"/>
  <c r="M64" i="7"/>
  <c r="M99" i="7"/>
  <c r="L22" i="8" s="1"/>
  <c r="I63" i="7"/>
  <c r="I98" i="7"/>
  <c r="H21" i="8" s="1"/>
  <c r="S64" i="7"/>
  <c r="S99" i="7"/>
  <c r="R22" i="8" s="1"/>
  <c r="K62" i="7"/>
  <c r="K97" i="7"/>
  <c r="J20" i="8" s="1"/>
  <c r="O63" i="7"/>
  <c r="O98" i="7"/>
  <c r="N21" i="8" s="1"/>
  <c r="M63" i="7"/>
  <c r="M98" i="7"/>
  <c r="L21" i="8" s="1"/>
  <c r="I62" i="7"/>
  <c r="I97" i="7"/>
  <c r="H20" i="8" s="1"/>
  <c r="P63" i="7"/>
  <c r="P98" i="7"/>
  <c r="O21" i="8" s="1"/>
  <c r="S62" i="7"/>
  <c r="S97" i="7"/>
  <c r="R20" i="8" s="1"/>
  <c r="R62" i="7"/>
  <c r="R97" i="7"/>
  <c r="Q20" i="8" s="1"/>
  <c r="K64" i="7"/>
  <c r="K99" i="7"/>
  <c r="J22" i="8" s="1"/>
  <c r="H63" i="7"/>
  <c r="H98" i="7"/>
  <c r="T26" i="7"/>
  <c r="O62" i="7"/>
  <c r="O97" i="7"/>
  <c r="N20" i="8" s="1"/>
  <c r="H36" i="8"/>
  <c r="P62" i="7"/>
  <c r="P97" i="7"/>
  <c r="O20" i="8" s="1"/>
  <c r="R64" i="7"/>
  <c r="R99" i="7"/>
  <c r="Q22" i="8" s="1"/>
  <c r="K63" i="7"/>
  <c r="K98" i="7"/>
  <c r="J21" i="8" s="1"/>
  <c r="H62" i="7"/>
  <c r="T25" i="7"/>
  <c r="H97" i="7"/>
  <c r="W132" i="7" l="1"/>
  <c r="U8" i="3" s="1"/>
  <c r="U53" i="3" s="1"/>
  <c r="J11" i="8"/>
  <c r="K122" i="7"/>
  <c r="K129" i="7" s="1"/>
  <c r="Q10" i="8"/>
  <c r="R121" i="7"/>
  <c r="J13" i="8"/>
  <c r="K124" i="7"/>
  <c r="K131" i="7" s="1"/>
  <c r="Y10" i="8"/>
  <c r="Z121" i="7"/>
  <c r="Z128" i="7" s="1"/>
  <c r="Y11" i="8"/>
  <c r="Z122" i="7"/>
  <c r="Z129" i="7" s="1"/>
  <c r="AA11" i="8"/>
  <c r="AB122" i="7"/>
  <c r="AB129" i="7" s="1"/>
  <c r="W12" i="8"/>
  <c r="X123" i="7"/>
  <c r="X130" i="7" s="1"/>
  <c r="L12" i="8"/>
  <c r="M123" i="7"/>
  <c r="M130" i="7" s="1"/>
  <c r="U131" i="7"/>
  <c r="K12" i="8"/>
  <c r="L123" i="7"/>
  <c r="L130" i="7" s="1"/>
  <c r="X10" i="8"/>
  <c r="Y121" i="7"/>
  <c r="Y128" i="7" s="1"/>
  <c r="Y132" i="7" s="1"/>
  <c r="W8" i="3" s="1"/>
  <c r="W53" i="3" s="1"/>
  <c r="AB10" i="8"/>
  <c r="AC121" i="7"/>
  <c r="AC128" i="7" s="1"/>
  <c r="AB12" i="8"/>
  <c r="AC123" i="7"/>
  <c r="AC130" i="7" s="1"/>
  <c r="AB11" i="8"/>
  <c r="AC122" i="7"/>
  <c r="AC129" i="7" s="1"/>
  <c r="AD13" i="8"/>
  <c r="AE124" i="7"/>
  <c r="AE131" i="7" s="1"/>
  <c r="P125" i="7"/>
  <c r="P128" i="7"/>
  <c r="P132" i="7" s="1"/>
  <c r="N8" i="3" s="1"/>
  <c r="N53" i="3" s="1"/>
  <c r="J125" i="7"/>
  <c r="J128" i="7"/>
  <c r="J132" i="7" s="1"/>
  <c r="H8" i="3" s="1"/>
  <c r="H128" i="7"/>
  <c r="T124" i="7"/>
  <c r="H131" i="7"/>
  <c r="AE11" i="3"/>
  <c r="Q128" i="7"/>
  <c r="AF11" i="3"/>
  <c r="AF12" i="2" s="1"/>
  <c r="AA10" i="8"/>
  <c r="AB121" i="7"/>
  <c r="AB128" i="7" s="1"/>
  <c r="AD12" i="8"/>
  <c r="AE123" i="7"/>
  <c r="AE130" i="7" s="1"/>
  <c r="M128" i="7"/>
  <c r="L11" i="8"/>
  <c r="M122" i="7"/>
  <c r="M129" i="7" s="1"/>
  <c r="N11" i="8"/>
  <c r="O122" i="7"/>
  <c r="O129" i="7" s="1"/>
  <c r="J12" i="8"/>
  <c r="K123" i="7"/>
  <c r="K130" i="7" s="1"/>
  <c r="W10" i="8"/>
  <c r="X121" i="7"/>
  <c r="X128" i="7" s="1"/>
  <c r="BP12" i="3"/>
  <c r="BP23" i="3" s="1"/>
  <c r="BO13" i="2" s="1"/>
  <c r="AV10" i="7"/>
  <c r="AT12" i="3" s="1"/>
  <c r="AG12" i="3"/>
  <c r="AR12" i="3" s="1"/>
  <c r="U12" i="8"/>
  <c r="V123" i="7"/>
  <c r="V130" i="7" s="1"/>
  <c r="AE12" i="8"/>
  <c r="AF123" i="7"/>
  <c r="AF130" i="7" s="1"/>
  <c r="AF132" i="7" s="1"/>
  <c r="AD8" i="3" s="1"/>
  <c r="AD11" i="8"/>
  <c r="AE122" i="7"/>
  <c r="AE129" i="7" s="1"/>
  <c r="M10" i="8"/>
  <c r="N121" i="7"/>
  <c r="AV9" i="7"/>
  <c r="AT11" i="3" s="1"/>
  <c r="AG11" i="3"/>
  <c r="S12" i="2"/>
  <c r="N10" i="8"/>
  <c r="O121" i="7"/>
  <c r="Q12" i="8"/>
  <c r="R123" i="7"/>
  <c r="R130" i="7" s="1"/>
  <c r="G12" i="8"/>
  <c r="H123" i="7"/>
  <c r="H129" i="7"/>
  <c r="U13" i="8"/>
  <c r="V124" i="7"/>
  <c r="V131" i="7" s="1"/>
  <c r="J10" i="8"/>
  <c r="K121" i="7"/>
  <c r="AH10" i="8"/>
  <c r="AI121" i="7"/>
  <c r="AI128" i="7" s="1"/>
  <c r="BB10" i="7"/>
  <c r="AZ12" i="3" s="1"/>
  <c r="AM12" i="3"/>
  <c r="AM23" i="3" s="1"/>
  <c r="AL13" i="2" s="1"/>
  <c r="AB13" i="8"/>
  <c r="AC124" i="7"/>
  <c r="AC131" i="7" s="1"/>
  <c r="P12" i="8"/>
  <c r="Q123" i="7"/>
  <c r="Q130" i="7" s="1"/>
  <c r="L128" i="7"/>
  <c r="AE12" i="3"/>
  <c r="S125" i="7"/>
  <c r="S128" i="7"/>
  <c r="S132" i="7" s="1"/>
  <c r="Q8" i="3" s="1"/>
  <c r="W11" i="8"/>
  <c r="X122" i="7"/>
  <c r="X129" i="7" s="1"/>
  <c r="AD10" i="8"/>
  <c r="AE121" i="7"/>
  <c r="AE128" i="7" s="1"/>
  <c r="W13" i="8"/>
  <c r="X124" i="7"/>
  <c r="X131" i="7" s="1"/>
  <c r="Y12" i="8"/>
  <c r="Z123" i="7"/>
  <c r="Z130" i="7" s="1"/>
  <c r="AC11" i="8"/>
  <c r="AD122" i="7"/>
  <c r="AD129" i="7" s="1"/>
  <c r="AD132" i="7" s="1"/>
  <c r="AB8" i="3" s="1"/>
  <c r="AB53" i="3" s="1"/>
  <c r="Z12" i="8"/>
  <c r="AA123" i="7"/>
  <c r="AA130" i="7" s="1"/>
  <c r="I125" i="7"/>
  <c r="I128" i="7"/>
  <c r="I132" i="7" s="1"/>
  <c r="G8" i="3" s="1"/>
  <c r="Z13" i="8"/>
  <c r="AA124" i="7"/>
  <c r="AA131" i="7" s="1"/>
  <c r="S23" i="3"/>
  <c r="Q13" i="2" s="1"/>
  <c r="AC59" i="7"/>
  <c r="AP22" i="7"/>
  <c r="AP18" i="7"/>
  <c r="AL80" i="7"/>
  <c r="AQ98" i="7"/>
  <c r="AP21" i="8" s="1"/>
  <c r="W111" i="7"/>
  <c r="V34" i="8" s="1"/>
  <c r="AE53" i="7"/>
  <c r="X57" i="7"/>
  <c r="AL115" i="7"/>
  <c r="AK38" i="8" s="1"/>
  <c r="AL97" i="7"/>
  <c r="AK20" i="8" s="1"/>
  <c r="AL64" i="7"/>
  <c r="BD26" i="7"/>
  <c r="BQ26" i="7" s="1"/>
  <c r="S35" i="8"/>
  <c r="AY27" i="7"/>
  <c r="AY99" i="7" s="1"/>
  <c r="AX22" i="8" s="1"/>
  <c r="AF73" i="7"/>
  <c r="AF104" i="7"/>
  <c r="AE27" i="8" s="1"/>
  <c r="AG80" i="7"/>
  <c r="T115" i="7"/>
  <c r="AD107" i="7"/>
  <c r="AC30" i="8" s="1"/>
  <c r="AN39" i="7"/>
  <c r="BA39" i="7" s="1"/>
  <c r="Y77" i="7"/>
  <c r="AA107" i="7"/>
  <c r="Z30" i="8" s="1"/>
  <c r="AF108" i="7"/>
  <c r="AE31" i="8" s="1"/>
  <c r="X111" i="7"/>
  <c r="W34" i="8" s="1"/>
  <c r="AL62" i="7"/>
  <c r="N117" i="7"/>
  <c r="AR16" i="7"/>
  <c r="BE16" i="7" s="1"/>
  <c r="AL20" i="7"/>
  <c r="AY20" i="7" s="1"/>
  <c r="AD72" i="7"/>
  <c r="AJ39" i="7"/>
  <c r="AW39" i="7" s="1"/>
  <c r="AA72" i="7"/>
  <c r="X76" i="7"/>
  <c r="AK20" i="7"/>
  <c r="AK92" i="7" s="1"/>
  <c r="AJ15" i="8" s="1"/>
  <c r="AN21" i="7"/>
  <c r="AN93" i="7" s="1"/>
  <c r="AC61" i="7"/>
  <c r="AD59" i="7"/>
  <c r="AF59" i="7"/>
  <c r="AP21" i="7"/>
  <c r="BC21" i="7" s="1"/>
  <c r="S33" i="8"/>
  <c r="AP24" i="7"/>
  <c r="BC24" i="7" s="1"/>
  <c r="AQ22" i="7"/>
  <c r="BD22" i="7" s="1"/>
  <c r="AS22" i="7"/>
  <c r="BF22" i="7" s="1"/>
  <c r="AC55" i="7"/>
  <c r="S37" i="8"/>
  <c r="AA73" i="7"/>
  <c r="AN37" i="7"/>
  <c r="BA37" i="7" s="1"/>
  <c r="AA108" i="7"/>
  <c r="Z31" i="8" s="1"/>
  <c r="AS35" i="7"/>
  <c r="BF35" i="7" s="1"/>
  <c r="Y111" i="7"/>
  <c r="X34" i="8" s="1"/>
  <c r="S117" i="7"/>
  <c r="Q15" i="3" s="1"/>
  <c r="AR24" i="7"/>
  <c r="AR61" i="7" s="1"/>
  <c r="AC58" i="7"/>
  <c r="AV15" i="7"/>
  <c r="BI15" i="7" s="1"/>
  <c r="AL15" i="7"/>
  <c r="AL87" i="7" s="1"/>
  <c r="AP15" i="7"/>
  <c r="AP52" i="7" s="1"/>
  <c r="AF77" i="7"/>
  <c r="AF75" i="7"/>
  <c r="AF112" i="7"/>
  <c r="AE35" i="8" s="1"/>
  <c r="AF110" i="7"/>
  <c r="AE33" i="8" s="1"/>
  <c r="H38" i="8"/>
  <c r="S38" i="8" s="1"/>
  <c r="T104" i="7"/>
  <c r="V22" i="3"/>
  <c r="AB12" i="2"/>
  <c r="U22" i="3"/>
  <c r="AC12" i="2"/>
  <c r="W12" i="2"/>
  <c r="R22" i="3"/>
  <c r="V111" i="7"/>
  <c r="U34" i="8" s="1"/>
  <c r="S27" i="8"/>
  <c r="Y72" i="7"/>
  <c r="X68" i="7"/>
  <c r="X81" i="7" s="1"/>
  <c r="V10" i="3" s="1"/>
  <c r="AA74" i="7"/>
  <c r="J117" i="7"/>
  <c r="S36" i="8"/>
  <c r="S30" i="8"/>
  <c r="AF107" i="7"/>
  <c r="AE30" i="8" s="1"/>
  <c r="T78" i="7"/>
  <c r="AS115" i="7"/>
  <c r="AR38" i="8" s="1"/>
  <c r="T114" i="7"/>
  <c r="T79" i="7"/>
  <c r="BF43" i="7"/>
  <c r="BF80" i="7" s="1"/>
  <c r="T111" i="7"/>
  <c r="AT43" i="7"/>
  <c r="AC52" i="7"/>
  <c r="Y52" i="7"/>
  <c r="AF54" i="7"/>
  <c r="AL63" i="7"/>
  <c r="AL98" i="7"/>
  <c r="AK21" i="8" s="1"/>
  <c r="P117" i="7"/>
  <c r="AS17" i="7"/>
  <c r="BF17" i="7" s="1"/>
  <c r="AI17" i="7"/>
  <c r="AI89" i="7" s="1"/>
  <c r="L117" i="7"/>
  <c r="AU10" i="7"/>
  <c r="AS12" i="3" s="1"/>
  <c r="BE12" i="3" s="1"/>
  <c r="V56" i="7"/>
  <c r="AI19" i="7"/>
  <c r="AI91" i="7" s="1"/>
  <c r="AH14" i="8" s="1"/>
  <c r="AC60" i="7"/>
  <c r="AP23" i="7"/>
  <c r="AP60" i="7" s="1"/>
  <c r="AD61" i="7"/>
  <c r="K117" i="7"/>
  <c r="AS24" i="7"/>
  <c r="AS61" i="7" s="1"/>
  <c r="H117" i="7"/>
  <c r="AF61" i="7"/>
  <c r="R117" i="7"/>
  <c r="I117" i="7"/>
  <c r="G15" i="3" s="1"/>
  <c r="V54" i="7"/>
  <c r="AE23" i="3"/>
  <c r="T113" i="7"/>
  <c r="S22" i="8"/>
  <c r="AT10" i="7"/>
  <c r="T94" i="7"/>
  <c r="T105" i="7"/>
  <c r="T110" i="7"/>
  <c r="F13" i="2"/>
  <c r="R23" i="3"/>
  <c r="AI22" i="3"/>
  <c r="AI12" i="2"/>
  <c r="AG22" i="3"/>
  <c r="AG12" i="2"/>
  <c r="AL22" i="3"/>
  <c r="AL12" i="2"/>
  <c r="AN22" i="3"/>
  <c r="AN12" i="2"/>
  <c r="AJ22" i="3"/>
  <c r="AJ12" i="2"/>
  <c r="AK22" i="3"/>
  <c r="AK12" i="2"/>
  <c r="AQ22" i="3"/>
  <c r="AQ12" i="2"/>
  <c r="AO22" i="3"/>
  <c r="AO12" i="2"/>
  <c r="AM22" i="3"/>
  <c r="AM12" i="2"/>
  <c r="AP22" i="3"/>
  <c r="AP12" i="2"/>
  <c r="AH22" i="3"/>
  <c r="AH12" i="2"/>
  <c r="AM37" i="7"/>
  <c r="Z109" i="7"/>
  <c r="AG109" i="7" s="1"/>
  <c r="Z74" i="7"/>
  <c r="U103" i="7"/>
  <c r="U68" i="7"/>
  <c r="AH74" i="7"/>
  <c r="AH109" i="7"/>
  <c r="AM41" i="7"/>
  <c r="Z113" i="7"/>
  <c r="Y36" i="8" s="1"/>
  <c r="Z78" i="7"/>
  <c r="AV26" i="7"/>
  <c r="AI98" i="7"/>
  <c r="AH21" i="8" s="1"/>
  <c r="AI63" i="7"/>
  <c r="BK42" i="7"/>
  <c r="AX114" i="7"/>
  <c r="AW37" i="8" s="1"/>
  <c r="AX79" i="7"/>
  <c r="BB39" i="7"/>
  <c r="AO76" i="7"/>
  <c r="AO111" i="7"/>
  <c r="AN34" i="8" s="1"/>
  <c r="BQ27" i="7"/>
  <c r="BD99" i="7"/>
  <c r="BC22" i="8" s="1"/>
  <c r="BD64" i="7"/>
  <c r="AG98" i="7"/>
  <c r="T21" i="8"/>
  <c r="AF21" i="8" s="1"/>
  <c r="BC35" i="7"/>
  <c r="AP72" i="7"/>
  <c r="AP107" i="7"/>
  <c r="AO30" i="8" s="1"/>
  <c r="AW31" i="7"/>
  <c r="AJ103" i="7"/>
  <c r="AJ68" i="7"/>
  <c r="AV36" i="7"/>
  <c r="AI108" i="7"/>
  <c r="AH31" i="8" s="1"/>
  <c r="AI73" i="7"/>
  <c r="BB35" i="7"/>
  <c r="AO72" i="7"/>
  <c r="AO107" i="7"/>
  <c r="AN30" i="8" s="1"/>
  <c r="AX39" i="7"/>
  <c r="AK111" i="7"/>
  <c r="AJ34" i="8" s="1"/>
  <c r="AK76" i="7"/>
  <c r="BF34" i="7"/>
  <c r="AS106" i="7"/>
  <c r="AR29" i="8" s="1"/>
  <c r="AS71" i="7"/>
  <c r="BP43" i="7"/>
  <c r="BC115" i="7"/>
  <c r="BB38" i="8" s="1"/>
  <c r="BC80" i="7"/>
  <c r="BE39" i="7"/>
  <c r="AR111" i="7"/>
  <c r="AQ34" i="8" s="1"/>
  <c r="AR76" i="7"/>
  <c r="AG38" i="8"/>
  <c r="BI9" i="7"/>
  <c r="BG11" i="3" s="1"/>
  <c r="BB25" i="7"/>
  <c r="AO97" i="7"/>
  <c r="AN20" i="8" s="1"/>
  <c r="AO62" i="7"/>
  <c r="AZ19" i="7"/>
  <c r="AM91" i="7"/>
  <c r="AL14" i="8" s="1"/>
  <c r="AM56" i="7"/>
  <c r="AR53" i="7"/>
  <c r="BD20" i="7"/>
  <c r="AQ92" i="7"/>
  <c r="AP15" i="8" s="1"/>
  <c r="AQ57" i="7"/>
  <c r="BN25" i="7"/>
  <c r="BA97" i="7"/>
  <c r="AZ20" i="8" s="1"/>
  <c r="BA62" i="7"/>
  <c r="BQ25" i="7"/>
  <c r="BD97" i="7"/>
  <c r="BC20" i="8" s="1"/>
  <c r="BD62" i="7"/>
  <c r="AW37" i="7"/>
  <c r="AJ109" i="7"/>
  <c r="AJ74" i="7"/>
  <c r="AZ36" i="7"/>
  <c r="AM108" i="7"/>
  <c r="AL31" i="8" s="1"/>
  <c r="AM73" i="7"/>
  <c r="BK9" i="7"/>
  <c r="BI11" i="3" s="1"/>
  <c r="BL10" i="7"/>
  <c r="AW23" i="3"/>
  <c r="AV13" i="2" s="1"/>
  <c r="BS10" i="7"/>
  <c r="BD23" i="3"/>
  <c r="BC13" i="2" s="1"/>
  <c r="BI43" i="7"/>
  <c r="AV115" i="7"/>
  <c r="AU38" i="8" s="1"/>
  <c r="AV80" i="7"/>
  <c r="BC40" i="7"/>
  <c r="AP112" i="7"/>
  <c r="AO35" i="8" s="1"/>
  <c r="AP77" i="7"/>
  <c r="V81" i="7"/>
  <c r="T10" i="3" s="1"/>
  <c r="AJ111" i="7"/>
  <c r="AI34" i="8" s="1"/>
  <c r="AJ76" i="7"/>
  <c r="BC38" i="7"/>
  <c r="AP110" i="7"/>
  <c r="AO33" i="8" s="1"/>
  <c r="AP75" i="7"/>
  <c r="BB36" i="7"/>
  <c r="AO108" i="7"/>
  <c r="AN31" i="8" s="1"/>
  <c r="AO73" i="7"/>
  <c r="BA40" i="7"/>
  <c r="AN112" i="7"/>
  <c r="AM35" i="8" s="1"/>
  <c r="AN77" i="7"/>
  <c r="AZ38" i="7"/>
  <c r="AM110" i="7"/>
  <c r="AL33" i="8" s="1"/>
  <c r="AM75" i="7"/>
  <c r="AS72" i="7"/>
  <c r="AY35" i="7"/>
  <c r="AL107" i="7"/>
  <c r="AK30" i="8" s="1"/>
  <c r="AL72" i="7"/>
  <c r="AX31" i="7"/>
  <c r="AK103" i="7"/>
  <c r="AK68" i="7"/>
  <c r="AV38" i="7"/>
  <c r="AI110" i="7"/>
  <c r="AH33" i="8" s="1"/>
  <c r="AI75" i="7"/>
  <c r="AE26" i="8"/>
  <c r="BF33" i="7"/>
  <c r="AS105" i="7"/>
  <c r="AR28" i="8" s="1"/>
  <c r="AS70" i="7"/>
  <c r="BB40" i="7"/>
  <c r="AO112" i="7"/>
  <c r="AN35" i="8" s="1"/>
  <c r="AO77" i="7"/>
  <c r="BE40" i="7"/>
  <c r="AR112" i="7"/>
  <c r="AQ35" i="8" s="1"/>
  <c r="AR77" i="7"/>
  <c r="BF40" i="7"/>
  <c r="AS77" i="7"/>
  <c r="AS112" i="7"/>
  <c r="AR35" i="8" s="1"/>
  <c r="AY33" i="7"/>
  <c r="AL105" i="7"/>
  <c r="AK28" i="8" s="1"/>
  <c r="AL70" i="7"/>
  <c r="AE81" i="7"/>
  <c r="AC10" i="3" s="1"/>
  <c r="AW32" i="7"/>
  <c r="AJ104" i="7"/>
  <c r="AI27" i="8" s="1"/>
  <c r="AJ69" i="7"/>
  <c r="BP9" i="7"/>
  <c r="BN11" i="3" s="1"/>
  <c r="BR43" i="7"/>
  <c r="BE115" i="7"/>
  <c r="BD38" i="8" s="1"/>
  <c r="BE80" i="7"/>
  <c r="BB31" i="7"/>
  <c r="AO68" i="7"/>
  <c r="AO103" i="7"/>
  <c r="BL25" i="7"/>
  <c r="AY97" i="7"/>
  <c r="AX20" i="8" s="1"/>
  <c r="AY62" i="7"/>
  <c r="AT80" i="7"/>
  <c r="BM42" i="7"/>
  <c r="AZ114" i="7"/>
  <c r="AY37" i="8" s="1"/>
  <c r="AZ79" i="7"/>
  <c r="BL9" i="7"/>
  <c r="BJ11" i="3" s="1"/>
  <c r="BQ41" i="7"/>
  <c r="BD113" i="7"/>
  <c r="BC36" i="8" s="1"/>
  <c r="BD78" i="7"/>
  <c r="BQ10" i="7"/>
  <c r="BB23" i="3"/>
  <c r="BA13" i="2" s="1"/>
  <c r="BD34" i="7"/>
  <c r="AQ106" i="7"/>
  <c r="AP29" i="8" s="1"/>
  <c r="AQ71" i="7"/>
  <c r="AZ40" i="7"/>
  <c r="AM112" i="7"/>
  <c r="AL35" i="8" s="1"/>
  <c r="AM77" i="7"/>
  <c r="AV32" i="7"/>
  <c r="AI104" i="7"/>
  <c r="AI69" i="7"/>
  <c r="BA38" i="7"/>
  <c r="AN110" i="7"/>
  <c r="AM33" i="8" s="1"/>
  <c r="AN75" i="7"/>
  <c r="AZ32" i="7"/>
  <c r="AM104" i="7"/>
  <c r="AM69" i="7"/>
  <c r="AG90" i="7"/>
  <c r="T13" i="8"/>
  <c r="AF13" i="8" s="1"/>
  <c r="U56" i="7"/>
  <c r="U91" i="7"/>
  <c r="U108" i="7"/>
  <c r="U73" i="7"/>
  <c r="BB26" i="7"/>
  <c r="AO98" i="7"/>
  <c r="AN21" i="8" s="1"/>
  <c r="AO63" i="7"/>
  <c r="BN9" i="7"/>
  <c r="BL11" i="3" s="1"/>
  <c r="BO43" i="7"/>
  <c r="BB115" i="7"/>
  <c r="BA38" i="8" s="1"/>
  <c r="BB80" i="7"/>
  <c r="BS42" i="7"/>
  <c r="BF114" i="7"/>
  <c r="BE37" i="8" s="1"/>
  <c r="BF79" i="7"/>
  <c r="BB32" i="7"/>
  <c r="AO104" i="7"/>
  <c r="AN27" i="8" s="1"/>
  <c r="AO69" i="7"/>
  <c r="BE35" i="7"/>
  <c r="AR107" i="7"/>
  <c r="AQ30" i="8" s="1"/>
  <c r="AR72" i="7"/>
  <c r="T35" i="8"/>
  <c r="BA35" i="7"/>
  <c r="AN107" i="7"/>
  <c r="AM30" i="8" s="1"/>
  <c r="AN72" i="7"/>
  <c r="AW40" i="7"/>
  <c r="AJ112" i="7"/>
  <c r="AI35" i="8" s="1"/>
  <c r="AJ77" i="7"/>
  <c r="AB117" i="7"/>
  <c r="Z15" i="3" s="1"/>
  <c r="AA26" i="8"/>
  <c r="BJ27" i="7"/>
  <c r="AW99" i="7"/>
  <c r="AV22" i="8" s="1"/>
  <c r="AW64" i="7"/>
  <c r="BC39" i="7"/>
  <c r="AP76" i="7"/>
  <c r="AP111" i="7"/>
  <c r="AO34" i="8" s="1"/>
  <c r="BF32" i="7"/>
  <c r="AS69" i="7"/>
  <c r="AS104" i="7"/>
  <c r="AR27" i="8" s="1"/>
  <c r="AS23" i="3"/>
  <c r="AQ13" i="2" s="1"/>
  <c r="AX27" i="7"/>
  <c r="AK99" i="7"/>
  <c r="AJ22" i="8" s="1"/>
  <c r="AK64" i="7"/>
  <c r="AR96" i="7"/>
  <c r="AQ19" i="8" s="1"/>
  <c r="BD19" i="7"/>
  <c r="AQ91" i="7"/>
  <c r="AP14" i="8" s="1"/>
  <c r="AQ56" i="7"/>
  <c r="BF19" i="7"/>
  <c r="AS91" i="7"/>
  <c r="AR14" i="8" s="1"/>
  <c r="AS56" i="7"/>
  <c r="BC22" i="7"/>
  <c r="AP59" i="7"/>
  <c r="AP94" i="7"/>
  <c r="AO17" i="8" s="1"/>
  <c r="AY15" i="7"/>
  <c r="AL52" i="7"/>
  <c r="BD15" i="7"/>
  <c r="AQ87" i="7"/>
  <c r="AQ52" i="7"/>
  <c r="BC17" i="7"/>
  <c r="AP89" i="7"/>
  <c r="AP54" i="7"/>
  <c r="AX26" i="7"/>
  <c r="AK98" i="7"/>
  <c r="AJ21" i="8" s="1"/>
  <c r="AK63" i="7"/>
  <c r="AV25" i="7"/>
  <c r="AI97" i="7"/>
  <c r="AH20" i="8" s="1"/>
  <c r="AI62" i="7"/>
  <c r="AH110" i="7"/>
  <c r="AH75" i="7"/>
  <c r="BA20" i="7"/>
  <c r="AN92" i="7"/>
  <c r="AM15" i="8" s="1"/>
  <c r="AN57" i="7"/>
  <c r="AW18" i="7"/>
  <c r="AJ90" i="7"/>
  <c r="AJ55" i="7"/>
  <c r="BE22" i="7"/>
  <c r="AR94" i="7"/>
  <c r="AQ17" i="8" s="1"/>
  <c r="AR59" i="7"/>
  <c r="AY23" i="7"/>
  <c r="AL60" i="7"/>
  <c r="AL95" i="7"/>
  <c r="AK18" i="8" s="1"/>
  <c r="AV17" i="7"/>
  <c r="BD21" i="7"/>
  <c r="AQ93" i="7"/>
  <c r="AQ58" i="7"/>
  <c r="BF21" i="7"/>
  <c r="AS93" i="7"/>
  <c r="AS58" i="7"/>
  <c r="BC20" i="7"/>
  <c r="AP57" i="7"/>
  <c r="AP92" i="7"/>
  <c r="AO15" i="8" s="1"/>
  <c r="BF20" i="7"/>
  <c r="AS92" i="7"/>
  <c r="AR15" i="8" s="1"/>
  <c r="AS57" i="7"/>
  <c r="AY38" i="7"/>
  <c r="AL75" i="7"/>
  <c r="AL110" i="7"/>
  <c r="AK33" i="8" s="1"/>
  <c r="AX38" i="7"/>
  <c r="AK75" i="7"/>
  <c r="AK110" i="7"/>
  <c r="AJ33" i="8" s="1"/>
  <c r="AH99" i="7"/>
  <c r="AH64" i="7"/>
  <c r="U60" i="7"/>
  <c r="U95" i="7"/>
  <c r="AM35" i="7"/>
  <c r="Z107" i="7"/>
  <c r="Y30" i="8" s="1"/>
  <c r="Z72" i="7"/>
  <c r="AQ33" i="7"/>
  <c r="AD105" i="7"/>
  <c r="AC28" i="8" s="1"/>
  <c r="AD70" i="7"/>
  <c r="AQ40" i="7"/>
  <c r="AT40" i="7" s="1"/>
  <c r="AD112" i="7"/>
  <c r="AC35" i="8" s="1"/>
  <c r="AD77" i="7"/>
  <c r="AG64" i="7"/>
  <c r="AU115" i="7"/>
  <c r="AU80" i="7"/>
  <c r="BB27" i="7"/>
  <c r="AO99" i="7"/>
  <c r="AN22" i="8" s="1"/>
  <c r="AO64" i="7"/>
  <c r="AM39" i="7"/>
  <c r="Z111" i="7"/>
  <c r="Y34" i="8" s="1"/>
  <c r="Z76" i="7"/>
  <c r="AQ38" i="7"/>
  <c r="AT38" i="7" s="1"/>
  <c r="AD110" i="7"/>
  <c r="AC33" i="8" s="1"/>
  <c r="AD75" i="7"/>
  <c r="AQ31" i="7"/>
  <c r="AD103" i="7"/>
  <c r="AC26" i="8" s="1"/>
  <c r="AD68" i="7"/>
  <c r="AG38" i="7"/>
  <c r="U113" i="7"/>
  <c r="U78" i="7"/>
  <c r="AZ26" i="7"/>
  <c r="AM98" i="7"/>
  <c r="AL21" i="8" s="1"/>
  <c r="AM63" i="7"/>
  <c r="BE27" i="7"/>
  <c r="AR99" i="7"/>
  <c r="AQ22" i="8" s="1"/>
  <c r="AR64" i="7"/>
  <c r="AZ25" i="7"/>
  <c r="AM97" i="7"/>
  <c r="AL20" i="8" s="1"/>
  <c r="AM62" i="7"/>
  <c r="BO9" i="7"/>
  <c r="BM11" i="3" s="1"/>
  <c r="BK43" i="7"/>
  <c r="AX115" i="7"/>
  <c r="AW38" i="8" s="1"/>
  <c r="AX80" i="7"/>
  <c r="BP10" i="7"/>
  <c r="BA23" i="3"/>
  <c r="AZ13" i="2" s="1"/>
  <c r="BR9" i="7"/>
  <c r="BP11" i="3" s="1"/>
  <c r="BF115" i="7"/>
  <c r="BE38" i="8" s="1"/>
  <c r="BE36" i="7"/>
  <c r="AR108" i="7"/>
  <c r="AQ31" i="8" s="1"/>
  <c r="AR73" i="7"/>
  <c r="AV52" i="7"/>
  <c r="BN26" i="7"/>
  <c r="BA98" i="7"/>
  <c r="AZ21" i="8" s="1"/>
  <c r="BA63" i="7"/>
  <c r="AG96" i="7"/>
  <c r="T19" i="8"/>
  <c r="AF19" i="8" s="1"/>
  <c r="BA34" i="7"/>
  <c r="AN106" i="7"/>
  <c r="AM29" i="8" s="1"/>
  <c r="AN71" i="7"/>
  <c r="AX35" i="7"/>
  <c r="AK107" i="7"/>
  <c r="AJ30" i="8" s="1"/>
  <c r="AK72" i="7"/>
  <c r="W81" i="7"/>
  <c r="U10" i="3" s="1"/>
  <c r="BR41" i="7"/>
  <c r="BE113" i="7"/>
  <c r="BD36" i="8" s="1"/>
  <c r="BE78" i="7"/>
  <c r="BK41" i="7"/>
  <c r="AX113" i="7"/>
  <c r="AW36" i="8" s="1"/>
  <c r="AX78" i="7"/>
  <c r="AZ31" i="7"/>
  <c r="AM103" i="7"/>
  <c r="AL26" i="8" s="1"/>
  <c r="AM68" i="7"/>
  <c r="BF37" i="7"/>
  <c r="AS109" i="7"/>
  <c r="AS74" i="7"/>
  <c r="AY34" i="7"/>
  <c r="AL71" i="7"/>
  <c r="AL106" i="7"/>
  <c r="AK29" i="8" s="1"/>
  <c r="AX32" i="7"/>
  <c r="AK104" i="7"/>
  <c r="AJ27" i="8" s="1"/>
  <c r="AK69" i="7"/>
  <c r="AC81" i="7"/>
  <c r="AA10" i="3" s="1"/>
  <c r="AV39" i="7"/>
  <c r="AI111" i="7"/>
  <c r="AH34" i="8" s="1"/>
  <c r="AI76" i="7"/>
  <c r="BD39" i="7"/>
  <c r="AQ111" i="7"/>
  <c r="AP34" i="8" s="1"/>
  <c r="AQ76" i="7"/>
  <c r="BE34" i="7"/>
  <c r="AR106" i="7"/>
  <c r="AQ29" i="8" s="1"/>
  <c r="AR71" i="7"/>
  <c r="AW35" i="7"/>
  <c r="AJ107" i="7"/>
  <c r="AI30" i="8" s="1"/>
  <c r="AJ72" i="7"/>
  <c r="BE33" i="7"/>
  <c r="AR105" i="7"/>
  <c r="AQ28" i="8" s="1"/>
  <c r="AR70" i="7"/>
  <c r="BC33" i="7"/>
  <c r="AP70" i="7"/>
  <c r="AP105" i="7"/>
  <c r="AO28" i="8" s="1"/>
  <c r="BF31" i="7"/>
  <c r="AS103" i="7"/>
  <c r="AS68" i="7"/>
  <c r="AG99" i="7"/>
  <c r="T22" i="8"/>
  <c r="AF22" i="8" s="1"/>
  <c r="BF36" i="7"/>
  <c r="AS73" i="7"/>
  <c r="AS108" i="7"/>
  <c r="AR31" i="8" s="1"/>
  <c r="AW33" i="7"/>
  <c r="AJ105" i="7"/>
  <c r="AI28" i="8" s="1"/>
  <c r="AJ70" i="7"/>
  <c r="AV33" i="7"/>
  <c r="AI105" i="7"/>
  <c r="AH28" i="8" s="1"/>
  <c r="AI70" i="7"/>
  <c r="X26" i="8"/>
  <c r="AW34" i="7"/>
  <c r="AJ106" i="7"/>
  <c r="AI29" i="8" s="1"/>
  <c r="AJ71" i="7"/>
  <c r="AE117" i="7"/>
  <c r="AC15" i="3" s="1"/>
  <c r="AD26" i="8"/>
  <c r="BC36" i="7"/>
  <c r="AP108" i="7"/>
  <c r="AO31" i="8" s="1"/>
  <c r="AP73" i="7"/>
  <c r="AG97" i="7"/>
  <c r="T20" i="8"/>
  <c r="AF20" i="8" s="1"/>
  <c r="BJ41" i="7"/>
  <c r="AW78" i="7"/>
  <c r="AW113" i="7"/>
  <c r="AV36" i="8" s="1"/>
  <c r="BS9" i="7"/>
  <c r="BQ11" i="3" s="1"/>
  <c r="AY32" i="7"/>
  <c r="AL69" i="7"/>
  <c r="AL104" i="7"/>
  <c r="AK27" i="8" s="1"/>
  <c r="AX36" i="7"/>
  <c r="AK108" i="7"/>
  <c r="AJ31" i="8" s="1"/>
  <c r="AK73" i="7"/>
  <c r="BL26" i="7"/>
  <c r="AY98" i="7"/>
  <c r="AX21" i="8" s="1"/>
  <c r="AY63" i="7"/>
  <c r="BP42" i="7"/>
  <c r="BC114" i="7"/>
  <c r="BB37" i="8" s="1"/>
  <c r="BC79" i="7"/>
  <c r="BQ9" i="7"/>
  <c r="BO11" i="3" s="1"/>
  <c r="BN43" i="7"/>
  <c r="BA80" i="7"/>
  <c r="BA115" i="7"/>
  <c r="AZ38" i="8" s="1"/>
  <c r="BN42" i="7"/>
  <c r="BA79" i="7"/>
  <c r="BA114" i="7"/>
  <c r="AZ37" i="8" s="1"/>
  <c r="AZ34" i="7"/>
  <c r="AM106" i="7"/>
  <c r="AL29" i="8" s="1"/>
  <c r="AM71" i="7"/>
  <c r="AN109" i="7"/>
  <c r="AN74" i="7"/>
  <c r="BA32" i="7"/>
  <c r="AN104" i="7"/>
  <c r="AM27" i="8" s="1"/>
  <c r="AN69" i="7"/>
  <c r="BE37" i="7"/>
  <c r="AR109" i="7"/>
  <c r="AR74" i="7"/>
  <c r="BF38" i="7"/>
  <c r="AS110" i="7"/>
  <c r="AR33" i="8" s="1"/>
  <c r="AS75" i="7"/>
  <c r="U59" i="7"/>
  <c r="U94" i="7"/>
  <c r="U106" i="7"/>
  <c r="U71" i="7"/>
  <c r="AG71" i="7" s="1"/>
  <c r="AX25" i="7"/>
  <c r="AK97" i="7"/>
  <c r="AJ20" i="8" s="1"/>
  <c r="AK62" i="7"/>
  <c r="AM33" i="7"/>
  <c r="AT33" i="7" s="1"/>
  <c r="Z105" i="7"/>
  <c r="Y28" i="8" s="1"/>
  <c r="Z70" i="7"/>
  <c r="AH72" i="7"/>
  <c r="AH107" i="7"/>
  <c r="BC25" i="7"/>
  <c r="AP97" i="7"/>
  <c r="AO20" i="8" s="1"/>
  <c r="AP62" i="7"/>
  <c r="BN41" i="7"/>
  <c r="BA78" i="7"/>
  <c r="BA113" i="7"/>
  <c r="AZ36" i="8" s="1"/>
  <c r="BK10" i="7"/>
  <c r="AV23" i="3"/>
  <c r="AU13" i="2" s="1"/>
  <c r="AX34" i="7"/>
  <c r="AK71" i="7"/>
  <c r="AK106" i="7"/>
  <c r="AJ29" i="8" s="1"/>
  <c r="BO41" i="7"/>
  <c r="BB78" i="7"/>
  <c r="BB113" i="7"/>
  <c r="BA36" i="8" s="1"/>
  <c r="BJ42" i="7"/>
  <c r="AW114" i="7"/>
  <c r="AV37" i="8" s="1"/>
  <c r="AW79" i="7"/>
  <c r="BC32" i="7"/>
  <c r="AP104" i="7"/>
  <c r="AO27" i="8" s="1"/>
  <c r="AP69" i="7"/>
  <c r="T30" i="8"/>
  <c r="BC31" i="7"/>
  <c r="AP68" i="7"/>
  <c r="AP103" i="7"/>
  <c r="AW38" i="7"/>
  <c r="AJ110" i="7"/>
  <c r="AI33" i="8" s="1"/>
  <c r="AJ75" i="7"/>
  <c r="X117" i="7"/>
  <c r="V15" i="3" s="1"/>
  <c r="W26" i="8"/>
  <c r="BA31" i="7"/>
  <c r="AN103" i="7"/>
  <c r="AN68" i="7"/>
  <c r="BA36" i="7"/>
  <c r="AN108" i="7"/>
  <c r="AM31" i="8" s="1"/>
  <c r="AN73" i="7"/>
  <c r="BB37" i="7"/>
  <c r="AO109" i="7"/>
  <c r="AO74" i="7"/>
  <c r="BL41" i="7"/>
  <c r="AY113" i="7"/>
  <c r="AX36" i="8" s="1"/>
  <c r="AY78" i="7"/>
  <c r="BN10" i="7"/>
  <c r="AY23" i="3"/>
  <c r="AX13" i="2" s="1"/>
  <c r="BJ25" i="7"/>
  <c r="AW97" i="7"/>
  <c r="AV20" i="8" s="1"/>
  <c r="AW62" i="7"/>
  <c r="BM10" i="7"/>
  <c r="AX23" i="3"/>
  <c r="AW13" i="2" s="1"/>
  <c r="BI10" i="7"/>
  <c r="AT23" i="3"/>
  <c r="AS13" i="2" s="1"/>
  <c r="AY39" i="7"/>
  <c r="AL111" i="7"/>
  <c r="AK34" i="8" s="1"/>
  <c r="AL76" i="7"/>
  <c r="U27" i="8"/>
  <c r="AV34" i="7"/>
  <c r="AI106" i="7"/>
  <c r="AH29" i="8" s="1"/>
  <c r="AI71" i="7"/>
  <c r="Y27" i="8"/>
  <c r="AH63" i="7"/>
  <c r="AH98" i="7"/>
  <c r="U52" i="7"/>
  <c r="U87" i="7"/>
  <c r="U121" i="7" s="1"/>
  <c r="AH61" i="7"/>
  <c r="AH96" i="7"/>
  <c r="BC27" i="7"/>
  <c r="AP99" i="7"/>
  <c r="AO22" i="8" s="1"/>
  <c r="AP64" i="7"/>
  <c r="BA24" i="7"/>
  <c r="AN96" i="7"/>
  <c r="AM19" i="8" s="1"/>
  <c r="AN61" i="7"/>
  <c r="AW22" i="7"/>
  <c r="AJ94" i="7"/>
  <c r="AI17" i="8" s="1"/>
  <c r="AJ59" i="7"/>
  <c r="BE20" i="7"/>
  <c r="AR92" i="7"/>
  <c r="AQ15" i="8" s="1"/>
  <c r="AR57" i="7"/>
  <c r="BA15" i="7"/>
  <c r="AN87" i="7"/>
  <c r="AN52" i="7"/>
  <c r="AZ18" i="7"/>
  <c r="AM90" i="7"/>
  <c r="AM55" i="7"/>
  <c r="AY22" i="7"/>
  <c r="AL94" i="7"/>
  <c r="AK17" i="8" s="1"/>
  <c r="AL59" i="7"/>
  <c r="AX24" i="7"/>
  <c r="AK96" i="7"/>
  <c r="AJ19" i="8" s="1"/>
  <c r="AK61" i="7"/>
  <c r="BD24" i="7"/>
  <c r="AQ96" i="7"/>
  <c r="AP19" i="8" s="1"/>
  <c r="AQ61" i="7"/>
  <c r="AY21" i="7"/>
  <c r="AL58" i="7"/>
  <c r="AL93" i="7"/>
  <c r="BB17" i="7"/>
  <c r="AO89" i="7"/>
  <c r="AO54" i="7"/>
  <c r="BF25" i="7"/>
  <c r="AS97" i="7"/>
  <c r="AR20" i="8" s="1"/>
  <c r="AS62" i="7"/>
  <c r="AG37" i="7"/>
  <c r="AY24" i="7"/>
  <c r="AL96" i="7"/>
  <c r="AK19" i="8" s="1"/>
  <c r="AL61" i="7"/>
  <c r="BF15" i="7"/>
  <c r="AS87" i="7"/>
  <c r="AS52" i="7"/>
  <c r="BA19" i="7"/>
  <c r="AN91" i="7"/>
  <c r="AM14" i="8" s="1"/>
  <c r="AN56" i="7"/>
  <c r="AW17" i="7"/>
  <c r="AJ89" i="7"/>
  <c r="AJ54" i="7"/>
  <c r="BC19" i="7"/>
  <c r="AP91" i="7"/>
  <c r="AO14" i="8" s="1"/>
  <c r="AP56" i="7"/>
  <c r="AW24" i="7"/>
  <c r="AJ96" i="7"/>
  <c r="AI19" i="8" s="1"/>
  <c r="AJ61" i="7"/>
  <c r="AP58" i="7"/>
  <c r="AW23" i="7"/>
  <c r="AJ95" i="7"/>
  <c r="AI18" i="8" s="1"/>
  <c r="AJ60" i="7"/>
  <c r="BF27" i="7"/>
  <c r="AS99" i="7"/>
  <c r="AR22" i="8" s="1"/>
  <c r="AS64" i="7"/>
  <c r="AQ32" i="7"/>
  <c r="AT32" i="7" s="1"/>
  <c r="AD104" i="7"/>
  <c r="AG104" i="7" s="1"/>
  <c r="AD69" i="7"/>
  <c r="AG69" i="7" s="1"/>
  <c r="BQ43" i="7"/>
  <c r="BD115" i="7"/>
  <c r="BC38" i="8" s="1"/>
  <c r="BD80" i="7"/>
  <c r="BL43" i="7"/>
  <c r="AY115" i="7"/>
  <c r="AX38" i="8" s="1"/>
  <c r="AY80" i="7"/>
  <c r="U54" i="7"/>
  <c r="U89" i="7"/>
  <c r="U123" i="7" s="1"/>
  <c r="U53" i="7"/>
  <c r="U88" i="7"/>
  <c r="U122" i="7" s="1"/>
  <c r="U57" i="7"/>
  <c r="U92" i="7"/>
  <c r="U58" i="7"/>
  <c r="U93" i="7"/>
  <c r="AG93" i="7" s="1"/>
  <c r="AH90" i="7"/>
  <c r="AH124" i="7" s="1"/>
  <c r="AH55" i="7"/>
  <c r="AH97" i="7"/>
  <c r="AH62" i="7"/>
  <c r="BF26" i="7"/>
  <c r="AS98" i="7"/>
  <c r="AR21" i="8" s="1"/>
  <c r="AS63" i="7"/>
  <c r="AV27" i="7"/>
  <c r="AI99" i="7"/>
  <c r="AH22" i="8" s="1"/>
  <c r="AI64" i="7"/>
  <c r="AG62" i="7"/>
  <c r="AH104" i="7"/>
  <c r="AH69" i="7"/>
  <c r="AP87" i="7"/>
  <c r="BA16" i="7"/>
  <c r="AN88" i="7"/>
  <c r="AN53" i="7"/>
  <c r="AY16" i="7"/>
  <c r="AL88" i="7"/>
  <c r="AL53" i="7"/>
  <c r="AZ22" i="7"/>
  <c r="AM94" i="7"/>
  <c r="AL17" i="8" s="1"/>
  <c r="AM59" i="7"/>
  <c r="AX20" i="7"/>
  <c r="AK57" i="7"/>
  <c r="BA23" i="7"/>
  <c r="AN95" i="7"/>
  <c r="AM18" i="8" s="1"/>
  <c r="AN60" i="7"/>
  <c r="BD18" i="7"/>
  <c r="AQ90" i="7"/>
  <c r="AQ55" i="7"/>
  <c r="AW21" i="7"/>
  <c r="AJ93" i="7"/>
  <c r="AJ58" i="7"/>
  <c r="BF18" i="7"/>
  <c r="AS90" i="7"/>
  <c r="AS55" i="7"/>
  <c r="BA22" i="7"/>
  <c r="AN94" i="7"/>
  <c r="AM17" i="8" s="1"/>
  <c r="AN59" i="7"/>
  <c r="BD17" i="7"/>
  <c r="AQ89" i="7"/>
  <c r="AQ54" i="7"/>
  <c r="AW20" i="7"/>
  <c r="AJ92" i="7"/>
  <c r="AI15" i="8" s="1"/>
  <c r="AJ57" i="7"/>
  <c r="BB21" i="7"/>
  <c r="AO93" i="7"/>
  <c r="AO58" i="7"/>
  <c r="BE18" i="7"/>
  <c r="AR90" i="7"/>
  <c r="AR55" i="7"/>
  <c r="BA21" i="7"/>
  <c r="BD16" i="7"/>
  <c r="AQ88" i="7"/>
  <c r="AQ53" i="7"/>
  <c r="AW19" i="7"/>
  <c r="AJ91" i="7"/>
  <c r="AI14" i="8" s="1"/>
  <c r="AJ56" i="7"/>
  <c r="BF16" i="7"/>
  <c r="AS88" i="7"/>
  <c r="AS53" i="7"/>
  <c r="BE25" i="7"/>
  <c r="AR97" i="7"/>
  <c r="AQ20" i="8" s="1"/>
  <c r="AR62" i="7"/>
  <c r="BC26" i="7"/>
  <c r="AP63" i="7"/>
  <c r="AP98" i="7"/>
  <c r="AO21" i="8" s="1"/>
  <c r="AZ27" i="7"/>
  <c r="AM99" i="7"/>
  <c r="AL22" i="8" s="1"/>
  <c r="AM64" i="7"/>
  <c r="AH112" i="7"/>
  <c r="AH77" i="7"/>
  <c r="BC16" i="7"/>
  <c r="AP88" i="7"/>
  <c r="AP53" i="7"/>
  <c r="BD23" i="7"/>
  <c r="AQ95" i="7"/>
  <c r="AP18" i="8" s="1"/>
  <c r="AQ60" i="7"/>
  <c r="AY19" i="7"/>
  <c r="AL91" i="7"/>
  <c r="AK14" i="8" s="1"/>
  <c r="AL56" i="7"/>
  <c r="BF23" i="7"/>
  <c r="AS95" i="7"/>
  <c r="AR18" i="8" s="1"/>
  <c r="AS60" i="7"/>
  <c r="AV16" i="7"/>
  <c r="AI88" i="7"/>
  <c r="AI53" i="7"/>
  <c r="AY18" i="7"/>
  <c r="AL90" i="7"/>
  <c r="AL55" i="7"/>
  <c r="AS59" i="7"/>
  <c r="BB18" i="7"/>
  <c r="AO90" i="7"/>
  <c r="AO55" i="7"/>
  <c r="BA18" i="7"/>
  <c r="AN90" i="7"/>
  <c r="AN55" i="7"/>
  <c r="AL57" i="7"/>
  <c r="AW16" i="7"/>
  <c r="AJ88" i="7"/>
  <c r="AJ53" i="7"/>
  <c r="AV23" i="7"/>
  <c r="AI95" i="7"/>
  <c r="AH18" i="8" s="1"/>
  <c r="AI60" i="7"/>
  <c r="BC18" i="7"/>
  <c r="AP55" i="7"/>
  <c r="AP90" i="7"/>
  <c r="BA17" i="7"/>
  <c r="AN89" i="7"/>
  <c r="AN54" i="7"/>
  <c r="AY17" i="7"/>
  <c r="AL89" i="7"/>
  <c r="AL54" i="7"/>
  <c r="AW15" i="7"/>
  <c r="AJ87" i="7"/>
  <c r="AJ52" i="7"/>
  <c r="AV21" i="7"/>
  <c r="AI93" i="7"/>
  <c r="AI58" i="7"/>
  <c r="BE26" i="7"/>
  <c r="AR98" i="7"/>
  <c r="AQ21" i="8" s="1"/>
  <c r="AR63" i="7"/>
  <c r="AG63" i="7"/>
  <c r="U111" i="7"/>
  <c r="U76" i="7"/>
  <c r="U114" i="7"/>
  <c r="U79" i="7"/>
  <c r="AG79" i="7" s="1"/>
  <c r="AH70" i="7"/>
  <c r="AH105" i="7"/>
  <c r="BP41" i="7"/>
  <c r="BC113" i="7"/>
  <c r="BB36" i="8" s="1"/>
  <c r="BC78" i="7"/>
  <c r="BJ43" i="7"/>
  <c r="AW115" i="7"/>
  <c r="AV38" i="8" s="1"/>
  <c r="AW80" i="7"/>
  <c r="BM43" i="7"/>
  <c r="AZ115" i="7"/>
  <c r="AY38" i="8" s="1"/>
  <c r="AZ80" i="7"/>
  <c r="BB33" i="7"/>
  <c r="AO105" i="7"/>
  <c r="AN28" i="8" s="1"/>
  <c r="AO70" i="7"/>
  <c r="BN27" i="7"/>
  <c r="BA99" i="7"/>
  <c r="AZ22" i="8" s="1"/>
  <c r="BA64" i="7"/>
  <c r="BJ26" i="7"/>
  <c r="AW98" i="7"/>
  <c r="AV21" i="8" s="1"/>
  <c r="AW63" i="7"/>
  <c r="BB38" i="7"/>
  <c r="AO110" i="7"/>
  <c r="AN33" i="8" s="1"/>
  <c r="AO75" i="7"/>
  <c r="AY37" i="7"/>
  <c r="AL109" i="7"/>
  <c r="AL74" i="7"/>
  <c r="W117" i="7"/>
  <c r="U15" i="3" s="1"/>
  <c r="V26" i="8"/>
  <c r="BS41" i="7"/>
  <c r="BF113" i="7"/>
  <c r="BE36" i="8" s="1"/>
  <c r="BF78" i="7"/>
  <c r="BI42" i="7"/>
  <c r="AV114" i="7"/>
  <c r="AU37" i="8" s="1"/>
  <c r="AV79" i="7"/>
  <c r="BM9" i="7"/>
  <c r="BK11" i="3" s="1"/>
  <c r="BL42" i="7"/>
  <c r="AY114" i="7"/>
  <c r="AX37" i="8" s="1"/>
  <c r="AY79" i="7"/>
  <c r="BO10" i="7"/>
  <c r="AZ23" i="3"/>
  <c r="AY13" i="2" s="1"/>
  <c r="AV31" i="7"/>
  <c r="AI103" i="7"/>
  <c r="AH26" i="8" s="1"/>
  <c r="AI68" i="7"/>
  <c r="BD35" i="7"/>
  <c r="AQ107" i="7"/>
  <c r="AP30" i="8" s="1"/>
  <c r="AQ72" i="7"/>
  <c r="AX33" i="7"/>
  <c r="AK105" i="7"/>
  <c r="AJ28" i="8" s="1"/>
  <c r="AK70" i="7"/>
  <c r="AY40" i="7"/>
  <c r="AL77" i="7"/>
  <c r="AL112" i="7"/>
  <c r="AK35" i="8" s="1"/>
  <c r="AX37" i="7"/>
  <c r="AK109" i="7"/>
  <c r="AK74" i="7"/>
  <c r="AC117" i="7"/>
  <c r="AA15" i="3" s="1"/>
  <c r="AB26" i="8"/>
  <c r="BC34" i="7"/>
  <c r="AP106" i="7"/>
  <c r="AO29" i="8" s="1"/>
  <c r="AP71" i="7"/>
  <c r="T33" i="8"/>
  <c r="AW36" i="7"/>
  <c r="AJ108" i="7"/>
  <c r="AI31" i="8" s="1"/>
  <c r="AJ73" i="7"/>
  <c r="BF39" i="7"/>
  <c r="AS111" i="7"/>
  <c r="AR34" i="8" s="1"/>
  <c r="AS76" i="7"/>
  <c r="BB34" i="7"/>
  <c r="AO106" i="7"/>
  <c r="AN29" i="8" s="1"/>
  <c r="AO71" i="7"/>
  <c r="BA33" i="7"/>
  <c r="AN105" i="7"/>
  <c r="AM28" i="8" s="1"/>
  <c r="AN70" i="7"/>
  <c r="BD36" i="7"/>
  <c r="AQ108" i="7"/>
  <c r="AP31" i="8" s="1"/>
  <c r="AQ73" i="7"/>
  <c r="Z26" i="8"/>
  <c r="AV35" i="7"/>
  <c r="AI107" i="7"/>
  <c r="AH30" i="8" s="1"/>
  <c r="AI72" i="7"/>
  <c r="AV40" i="7"/>
  <c r="AI112" i="7"/>
  <c r="AH35" i="8" s="1"/>
  <c r="AI77" i="7"/>
  <c r="BC37" i="7"/>
  <c r="AP74" i="7"/>
  <c r="AP109" i="7"/>
  <c r="AY31" i="7"/>
  <c r="AL103" i="7"/>
  <c r="AL68" i="7"/>
  <c r="BE31" i="7"/>
  <c r="AR103" i="7"/>
  <c r="AR68" i="7"/>
  <c r="T27" i="8"/>
  <c r="BI41" i="7"/>
  <c r="AV113" i="7"/>
  <c r="AU36" i="8" s="1"/>
  <c r="AV78" i="7"/>
  <c r="BQ42" i="7"/>
  <c r="BD114" i="7"/>
  <c r="BC37" i="8" s="1"/>
  <c r="BD79" i="7"/>
  <c r="AY36" i="7"/>
  <c r="AL73" i="7"/>
  <c r="AL108" i="7"/>
  <c r="AK31" i="8" s="1"/>
  <c r="AB81" i="7"/>
  <c r="Z10" i="3" s="1"/>
  <c r="BE32" i="7"/>
  <c r="AR104" i="7"/>
  <c r="AQ27" i="8" s="1"/>
  <c r="AR69" i="7"/>
  <c r="BL27" i="7"/>
  <c r="AY64" i="7"/>
  <c r="BD63" i="7"/>
  <c r="BJ9" i="7"/>
  <c r="BH11" i="3" s="1"/>
  <c r="BR42" i="7"/>
  <c r="BE79" i="7"/>
  <c r="BE114" i="7"/>
  <c r="BD37" i="8" s="1"/>
  <c r="BO42" i="7"/>
  <c r="BB114" i="7"/>
  <c r="BA37" i="8" s="1"/>
  <c r="BB79" i="7"/>
  <c r="BJ10" i="7"/>
  <c r="AU23" i="3"/>
  <c r="AT13" i="2" s="1"/>
  <c r="AV37" i="7"/>
  <c r="AI109" i="7"/>
  <c r="AI74" i="7"/>
  <c r="AX40" i="7"/>
  <c r="AK112" i="7"/>
  <c r="AJ35" i="8" s="1"/>
  <c r="AK77" i="7"/>
  <c r="BE38" i="7"/>
  <c r="AR110" i="7"/>
  <c r="AQ33" i="8" s="1"/>
  <c r="AR75" i="7"/>
  <c r="T28" i="8"/>
  <c r="BD37" i="7"/>
  <c r="AQ109" i="7"/>
  <c r="AQ74" i="7"/>
  <c r="S34" i="8"/>
  <c r="S28" i="8"/>
  <c r="AI22" i="7"/>
  <c r="V59" i="7"/>
  <c r="AM15" i="7"/>
  <c r="Z52" i="7"/>
  <c r="AM16" i="7"/>
  <c r="Z53" i="7"/>
  <c r="AK21" i="7"/>
  <c r="X58" i="7"/>
  <c r="AK19" i="7"/>
  <c r="X56" i="7"/>
  <c r="AR23" i="7"/>
  <c r="AE60" i="7"/>
  <c r="AR19" i="7"/>
  <c r="AE56" i="7"/>
  <c r="G29" i="8"/>
  <c r="S29" i="8" s="1"/>
  <c r="T106" i="7"/>
  <c r="AG31" i="7"/>
  <c r="AH31" i="7"/>
  <c r="AU38" i="7"/>
  <c r="AU37" i="7"/>
  <c r="T87" i="7"/>
  <c r="AO24" i="7"/>
  <c r="AB61" i="7"/>
  <c r="AO15" i="7"/>
  <c r="AB52" i="7"/>
  <c r="AR17" i="7"/>
  <c r="AE54" i="7"/>
  <c r="AK22" i="7"/>
  <c r="X59" i="7"/>
  <c r="AI20" i="7"/>
  <c r="V57" i="7"/>
  <c r="AO16" i="7"/>
  <c r="AB53" i="7"/>
  <c r="AO22" i="7"/>
  <c r="AB59" i="7"/>
  <c r="AM24" i="7"/>
  <c r="Z61" i="7"/>
  <c r="AK15" i="7"/>
  <c r="X52" i="7"/>
  <c r="AU32" i="7"/>
  <c r="G26" i="8"/>
  <c r="T103" i="7"/>
  <c r="AU35" i="7"/>
  <c r="AG36" i="7"/>
  <c r="AH36" i="7"/>
  <c r="T95" i="7"/>
  <c r="O117" i="7"/>
  <c r="T89" i="7"/>
  <c r="AI24" i="7"/>
  <c r="V61" i="7"/>
  <c r="AO20" i="7"/>
  <c r="AB57" i="7"/>
  <c r="AM23" i="7"/>
  <c r="Z60" i="7"/>
  <c r="AK23" i="7"/>
  <c r="X60" i="7"/>
  <c r="AI18" i="7"/>
  <c r="V55" i="7"/>
  <c r="AK17" i="7"/>
  <c r="X54" i="7"/>
  <c r="AG32" i="7"/>
  <c r="AG35" i="7"/>
  <c r="AU40" i="7"/>
  <c r="T108" i="7"/>
  <c r="G31" i="8"/>
  <c r="S31" i="8" s="1"/>
  <c r="AG39" i="7"/>
  <c r="AH39" i="7"/>
  <c r="AH42" i="7"/>
  <c r="AG42" i="7"/>
  <c r="AU33" i="7"/>
  <c r="T91" i="7"/>
  <c r="AK16" i="7"/>
  <c r="X53" i="7"/>
  <c r="AM20" i="7"/>
  <c r="Z57" i="7"/>
  <c r="AR15" i="7"/>
  <c r="AE52" i="7"/>
  <c r="AK18" i="7"/>
  <c r="X55" i="7"/>
  <c r="AM21" i="7"/>
  <c r="Z58" i="7"/>
  <c r="AO23" i="7"/>
  <c r="AB60" i="7"/>
  <c r="T107" i="7"/>
  <c r="AM17" i="7"/>
  <c r="Z54" i="7"/>
  <c r="AO19" i="7"/>
  <c r="AB56" i="7"/>
  <c r="AR21" i="7"/>
  <c r="AE58" i="7"/>
  <c r="AG34" i="7"/>
  <c r="AH34" i="7"/>
  <c r="BH43" i="7"/>
  <c r="AA65" i="7"/>
  <c r="Y9" i="3" s="1"/>
  <c r="P26" i="8"/>
  <c r="Q117" i="7"/>
  <c r="AG40" i="7"/>
  <c r="W65" i="7"/>
  <c r="U9" i="3" s="1"/>
  <c r="AH41" i="7"/>
  <c r="AG41" i="7"/>
  <c r="T112" i="7"/>
  <c r="AG33" i="7"/>
  <c r="AU26" i="7"/>
  <c r="AT26" i="7"/>
  <c r="AG15" i="7"/>
  <c r="AH15" i="7"/>
  <c r="AG24" i="7"/>
  <c r="AH22" i="7"/>
  <c r="AG22" i="7"/>
  <c r="AG20" i="7"/>
  <c r="AH20" i="7"/>
  <c r="AH21" i="7"/>
  <c r="AG21" i="7"/>
  <c r="AG18" i="7"/>
  <c r="AU24" i="7"/>
  <c r="H19" i="8"/>
  <c r="T96" i="7"/>
  <c r="H13" i="8"/>
  <c r="T90" i="7"/>
  <c r="G15" i="8"/>
  <c r="T92" i="7"/>
  <c r="T93" i="7"/>
  <c r="AU18" i="7"/>
  <c r="AT25" i="7"/>
  <c r="AU25" i="7"/>
  <c r="AT9" i="7"/>
  <c r="AU9" i="7"/>
  <c r="AH17" i="7"/>
  <c r="AG17" i="7"/>
  <c r="AH16" i="7"/>
  <c r="AG16" i="7"/>
  <c r="AU27" i="7"/>
  <c r="AT27" i="7"/>
  <c r="AH23" i="7"/>
  <c r="AG23" i="7"/>
  <c r="BG10" i="7"/>
  <c r="AH19" i="7"/>
  <c r="AG19" i="7"/>
  <c r="G11" i="8"/>
  <c r="T88" i="7"/>
  <c r="L10" i="8"/>
  <c r="M117" i="7"/>
  <c r="T99" i="7"/>
  <c r="T63" i="7"/>
  <c r="G20" i="8"/>
  <c r="S20" i="8" s="1"/>
  <c r="T97" i="7"/>
  <c r="G21" i="8"/>
  <c r="S21" i="8" s="1"/>
  <c r="T98" i="7"/>
  <c r="T62" i="7"/>
  <c r="T64" i="7"/>
  <c r="B6" i="14"/>
  <c r="B8" i="14"/>
  <c r="B30" i="17"/>
  <c r="N29" i="17"/>
  <c r="B29" i="17"/>
  <c r="K27" i="17"/>
  <c r="K26" i="17"/>
  <c r="K25" i="17"/>
  <c r="K24" i="17"/>
  <c r="K23" i="17"/>
  <c r="K22" i="17"/>
  <c r="B22" i="17"/>
  <c r="K21" i="17"/>
  <c r="B20" i="17"/>
  <c r="C15" i="17"/>
  <c r="B15" i="17"/>
  <c r="E8" i="17"/>
  <c r="D8" i="17"/>
  <c r="C8" i="17"/>
  <c r="B8" i="17"/>
  <c r="E7" i="17"/>
  <c r="D7" i="17"/>
  <c r="C7" i="17"/>
  <c r="B7" i="17"/>
  <c r="D6" i="17"/>
  <c r="B6" i="17"/>
  <c r="E5" i="17"/>
  <c r="D5" i="17"/>
  <c r="C5" i="17"/>
  <c r="B5" i="17"/>
  <c r="E4" i="17"/>
  <c r="D4" i="17"/>
  <c r="C4" i="17"/>
  <c r="B4" i="17"/>
  <c r="B163" i="16"/>
  <c r="B162" i="16"/>
  <c r="B161" i="16"/>
  <c r="B160" i="16"/>
  <c r="B159" i="16"/>
  <c r="B158" i="16"/>
  <c r="B157" i="16"/>
  <c r="B156" i="16"/>
  <c r="A155" i="16"/>
  <c r="B155" i="16" s="1"/>
  <c r="B119" i="16"/>
  <c r="C118" i="16"/>
  <c r="D118" i="16" s="1"/>
  <c r="C117" i="16"/>
  <c r="D117" i="16" s="1"/>
  <c r="D116" i="16"/>
  <c r="D115" i="16"/>
  <c r="C114" i="16"/>
  <c r="D114" i="16" s="1"/>
  <c r="C113" i="16"/>
  <c r="D113" i="16" s="1"/>
  <c r="F112" i="16"/>
  <c r="C112" i="16"/>
  <c r="D112" i="16" s="1"/>
  <c r="F111" i="16"/>
  <c r="C111" i="16"/>
  <c r="D111" i="16" s="1"/>
  <c r="F110" i="16"/>
  <c r="C110" i="16"/>
  <c r="D110" i="16" s="1"/>
  <c r="F109" i="16"/>
  <c r="D109" i="16"/>
  <c r="C109" i="16"/>
  <c r="F108" i="16"/>
  <c r="C108" i="16"/>
  <c r="D108" i="16" s="1"/>
  <c r="F107" i="16"/>
  <c r="C107" i="16"/>
  <c r="D107" i="16" s="1"/>
  <c r="F106" i="16"/>
  <c r="C106" i="16"/>
  <c r="D106" i="16" s="1"/>
  <c r="F105" i="16"/>
  <c r="C105" i="16"/>
  <c r="D105" i="16" s="1"/>
  <c r="C104" i="16"/>
  <c r="D104" i="16" s="1"/>
  <c r="C103" i="16"/>
  <c r="D103" i="16" s="1"/>
  <c r="C102" i="16"/>
  <c r="D102" i="16" s="1"/>
  <c r="C101" i="16"/>
  <c r="D101" i="16" s="1"/>
  <c r="C100" i="16"/>
  <c r="D100" i="16" s="1"/>
  <c r="C99" i="16"/>
  <c r="D99" i="16" s="1"/>
  <c r="C98" i="16"/>
  <c r="D98" i="16" s="1"/>
  <c r="C97" i="16"/>
  <c r="D97" i="16" s="1"/>
  <c r="C96" i="16"/>
  <c r="D96" i="16" s="1"/>
  <c r="C95" i="16"/>
  <c r="D95" i="16" s="1"/>
  <c r="C94" i="16"/>
  <c r="D94" i="16" s="1"/>
  <c r="D93" i="16"/>
  <c r="C93" i="16"/>
  <c r="C92" i="16"/>
  <c r="D92" i="16" s="1"/>
  <c r="F91" i="16"/>
  <c r="C91" i="16"/>
  <c r="D91" i="16" s="1"/>
  <c r="F90" i="16"/>
  <c r="C90" i="16"/>
  <c r="D90" i="16" s="1"/>
  <c r="F89" i="16"/>
  <c r="C89" i="16"/>
  <c r="D89" i="16" s="1"/>
  <c r="F88" i="16"/>
  <c r="C88" i="16"/>
  <c r="D88" i="16" s="1"/>
  <c r="C87" i="16"/>
  <c r="D87" i="16" s="1"/>
  <c r="F86" i="16"/>
  <c r="C86" i="16"/>
  <c r="D86" i="16" s="1"/>
  <c r="C85" i="16"/>
  <c r="F85" i="16" s="1"/>
  <c r="C84" i="16"/>
  <c r="C83" i="16"/>
  <c r="D83" i="16" s="1"/>
  <c r="Z79" i="16"/>
  <c r="X79" i="16"/>
  <c r="D79" i="16"/>
  <c r="Z78" i="16"/>
  <c r="X78" i="16"/>
  <c r="D78" i="16"/>
  <c r="Z77" i="16"/>
  <c r="X77" i="16"/>
  <c r="I77" i="16"/>
  <c r="E77" i="16"/>
  <c r="F77" i="16" s="1"/>
  <c r="G77" i="16" s="1"/>
  <c r="C77" i="16"/>
  <c r="Z76" i="16"/>
  <c r="X76" i="16"/>
  <c r="I76" i="16"/>
  <c r="F76" i="16"/>
  <c r="G76" i="16" s="1"/>
  <c r="E76" i="16"/>
  <c r="C76" i="16"/>
  <c r="Z75" i="16"/>
  <c r="X75" i="16"/>
  <c r="I75" i="16"/>
  <c r="E75" i="16"/>
  <c r="F75" i="16" s="1"/>
  <c r="G75" i="16" s="1"/>
  <c r="C75" i="16"/>
  <c r="Z74" i="16"/>
  <c r="X74" i="16"/>
  <c r="I74" i="16"/>
  <c r="E74" i="16"/>
  <c r="F74" i="16" s="1"/>
  <c r="G74" i="16" s="1"/>
  <c r="C74" i="16"/>
  <c r="Z73" i="16"/>
  <c r="X73" i="16"/>
  <c r="I73" i="16"/>
  <c r="E73" i="16"/>
  <c r="C73" i="16"/>
  <c r="Z72" i="16"/>
  <c r="X72" i="16"/>
  <c r="I72" i="16"/>
  <c r="E72" i="16"/>
  <c r="C72" i="16"/>
  <c r="Z71" i="16"/>
  <c r="X71" i="16"/>
  <c r="I71" i="16"/>
  <c r="E71" i="16"/>
  <c r="C71" i="16"/>
  <c r="Z70" i="16"/>
  <c r="X70" i="16"/>
  <c r="I70" i="16"/>
  <c r="E70" i="16"/>
  <c r="F70" i="16" s="1"/>
  <c r="G70" i="16" s="1"/>
  <c r="J70" i="16" s="1"/>
  <c r="C70" i="16"/>
  <c r="Z69" i="16"/>
  <c r="X69" i="16"/>
  <c r="I69" i="16"/>
  <c r="E69" i="16"/>
  <c r="F69" i="16" s="1"/>
  <c r="G69" i="16" s="1"/>
  <c r="J69" i="16" s="1"/>
  <c r="C69" i="16"/>
  <c r="Z68" i="16"/>
  <c r="X68" i="16"/>
  <c r="I68" i="16"/>
  <c r="E68" i="16"/>
  <c r="C68" i="16"/>
  <c r="Z67" i="16"/>
  <c r="X67" i="16"/>
  <c r="I67" i="16"/>
  <c r="G67" i="16"/>
  <c r="E67" i="16"/>
  <c r="F67" i="16" s="1"/>
  <c r="C67" i="16"/>
  <c r="Z66" i="16"/>
  <c r="X66" i="16"/>
  <c r="I66" i="16"/>
  <c r="E66" i="16"/>
  <c r="C66" i="16"/>
  <c r="Z65" i="16"/>
  <c r="X65" i="16"/>
  <c r="I65" i="16"/>
  <c r="E65" i="16"/>
  <c r="F65" i="16" s="1"/>
  <c r="G65" i="16" s="1"/>
  <c r="J65" i="16" s="1"/>
  <c r="C65" i="16"/>
  <c r="Z64" i="16"/>
  <c r="X64" i="16"/>
  <c r="I64" i="16"/>
  <c r="F64" i="16"/>
  <c r="G64" i="16" s="1"/>
  <c r="E64" i="16"/>
  <c r="C64" i="16"/>
  <c r="Z63" i="16"/>
  <c r="X63" i="16"/>
  <c r="I63" i="16"/>
  <c r="E63" i="16"/>
  <c r="C63" i="16"/>
  <c r="Z62" i="16"/>
  <c r="X62" i="16"/>
  <c r="I62" i="16"/>
  <c r="E62" i="16"/>
  <c r="C62" i="16"/>
  <c r="Z61" i="16"/>
  <c r="X61" i="16"/>
  <c r="I61" i="16"/>
  <c r="E61" i="16"/>
  <c r="F61" i="16" s="1"/>
  <c r="G61" i="16" s="1"/>
  <c r="J61" i="16" s="1"/>
  <c r="K61" i="16" s="1"/>
  <c r="C61" i="16"/>
  <c r="Z60" i="16"/>
  <c r="X60" i="16"/>
  <c r="I60" i="16"/>
  <c r="E60" i="16"/>
  <c r="F60" i="16" s="1"/>
  <c r="G60" i="16" s="1"/>
  <c r="O60" i="16" s="1"/>
  <c r="P60" i="16" s="1"/>
  <c r="C60" i="16"/>
  <c r="Z59" i="16"/>
  <c r="X59" i="16"/>
  <c r="I59" i="16"/>
  <c r="E59" i="16"/>
  <c r="F59" i="16" s="1"/>
  <c r="G59" i="16" s="1"/>
  <c r="O59" i="16" s="1"/>
  <c r="P59" i="16" s="1"/>
  <c r="C59" i="16"/>
  <c r="Z58" i="16"/>
  <c r="X58" i="16"/>
  <c r="I58" i="16"/>
  <c r="E58" i="16"/>
  <c r="C58" i="16"/>
  <c r="Z57" i="16"/>
  <c r="X57" i="16"/>
  <c r="I57" i="16"/>
  <c r="E57" i="16"/>
  <c r="F57" i="16" s="1"/>
  <c r="G57" i="16" s="1"/>
  <c r="J57" i="16" s="1"/>
  <c r="L57" i="16" s="1"/>
  <c r="C57" i="16"/>
  <c r="Z56" i="16"/>
  <c r="X56" i="16"/>
  <c r="I56" i="16"/>
  <c r="E56" i="16"/>
  <c r="F56" i="16" s="1"/>
  <c r="G56" i="16" s="1"/>
  <c r="C56" i="16"/>
  <c r="Z55" i="16"/>
  <c r="X55" i="16"/>
  <c r="I55" i="16"/>
  <c r="E55" i="16"/>
  <c r="C55" i="16"/>
  <c r="Z54" i="16"/>
  <c r="X54" i="16"/>
  <c r="I54" i="16"/>
  <c r="E54" i="16"/>
  <c r="C54" i="16"/>
  <c r="Z53" i="16"/>
  <c r="X53" i="16"/>
  <c r="I53" i="16"/>
  <c r="F53" i="16"/>
  <c r="G53" i="16" s="1"/>
  <c r="E53" i="16"/>
  <c r="C53" i="16"/>
  <c r="Z52" i="16"/>
  <c r="X52" i="16"/>
  <c r="I52" i="16"/>
  <c r="E52" i="16"/>
  <c r="F52" i="16" s="1"/>
  <c r="G52" i="16" s="1"/>
  <c r="O52" i="16" s="1"/>
  <c r="P52" i="16" s="1"/>
  <c r="C52" i="16"/>
  <c r="Z51" i="16"/>
  <c r="X51" i="16"/>
  <c r="I51" i="16"/>
  <c r="E51" i="16"/>
  <c r="F51" i="16" s="1"/>
  <c r="G51" i="16" s="1"/>
  <c r="C51" i="16"/>
  <c r="Z50" i="16"/>
  <c r="X50" i="16"/>
  <c r="I50" i="16"/>
  <c r="E50" i="16"/>
  <c r="F50" i="16" s="1"/>
  <c r="G50" i="16" s="1"/>
  <c r="C50" i="16"/>
  <c r="Z49" i="16"/>
  <c r="X49" i="16"/>
  <c r="I49" i="16"/>
  <c r="E49" i="16"/>
  <c r="F49" i="16" s="1"/>
  <c r="G49" i="16" s="1"/>
  <c r="J49" i="16" s="1"/>
  <c r="C49" i="16"/>
  <c r="Z48" i="16"/>
  <c r="X48" i="16"/>
  <c r="I48" i="16"/>
  <c r="E48" i="16"/>
  <c r="C48" i="16"/>
  <c r="Z47" i="16"/>
  <c r="X47" i="16"/>
  <c r="I47" i="16"/>
  <c r="E47" i="16"/>
  <c r="C47" i="16"/>
  <c r="Z46" i="16"/>
  <c r="X46" i="16"/>
  <c r="I46" i="16"/>
  <c r="F46" i="16"/>
  <c r="G46" i="16" s="1"/>
  <c r="E46" i="16"/>
  <c r="C46" i="16"/>
  <c r="Z45" i="16"/>
  <c r="X45" i="16"/>
  <c r="I45" i="16"/>
  <c r="E45" i="16"/>
  <c r="F45" i="16" s="1"/>
  <c r="G45" i="16" s="1"/>
  <c r="J45" i="16" s="1"/>
  <c r="K45" i="16" s="1"/>
  <c r="C45" i="16"/>
  <c r="Z44" i="16"/>
  <c r="X44" i="16"/>
  <c r="I44" i="16"/>
  <c r="E44" i="16"/>
  <c r="C44" i="16"/>
  <c r="Z43" i="16"/>
  <c r="X43" i="16"/>
  <c r="I43" i="16"/>
  <c r="E43" i="16"/>
  <c r="F43" i="16" s="1"/>
  <c r="G43" i="16" s="1"/>
  <c r="C43" i="16"/>
  <c r="Z42" i="16"/>
  <c r="X42" i="16"/>
  <c r="I42" i="16"/>
  <c r="E42" i="16"/>
  <c r="F42" i="16" s="1"/>
  <c r="C42" i="16"/>
  <c r="C38" i="16"/>
  <c r="E38" i="16" s="1"/>
  <c r="G38" i="16" s="1"/>
  <c r="C37" i="16"/>
  <c r="E37" i="16" s="1"/>
  <c r="G37" i="16" s="1"/>
  <c r="I36" i="16"/>
  <c r="C36" i="16"/>
  <c r="E36" i="16" s="1"/>
  <c r="G36" i="16" s="1"/>
  <c r="H36" i="16" s="1"/>
  <c r="C35" i="16"/>
  <c r="E35" i="16" s="1"/>
  <c r="G35" i="16" s="1"/>
  <c r="C34" i="16"/>
  <c r="E34" i="16" s="1"/>
  <c r="G34" i="16" s="1"/>
  <c r="C33" i="16"/>
  <c r="E33" i="16" s="1"/>
  <c r="G33" i="16" s="1"/>
  <c r="H33" i="16" s="1"/>
  <c r="C32" i="16"/>
  <c r="E32" i="16" s="1"/>
  <c r="G32" i="16" s="1"/>
  <c r="H32" i="16" s="1"/>
  <c r="C31" i="16"/>
  <c r="E31" i="16" s="1"/>
  <c r="G31" i="16" s="1"/>
  <c r="C30" i="16"/>
  <c r="E30" i="16" s="1"/>
  <c r="G30" i="16" s="1"/>
  <c r="C29" i="16"/>
  <c r="E29" i="16" s="1"/>
  <c r="G29" i="16" s="1"/>
  <c r="H29" i="16" s="1"/>
  <c r="C28" i="16"/>
  <c r="E28" i="16" s="1"/>
  <c r="G28" i="16" s="1"/>
  <c r="H28" i="16" s="1"/>
  <c r="C27" i="16"/>
  <c r="E27" i="16" s="1"/>
  <c r="G27" i="16" s="1"/>
  <c r="C26" i="16"/>
  <c r="E26" i="16" s="1"/>
  <c r="G26" i="16" s="1"/>
  <c r="C25" i="16"/>
  <c r="E25" i="16" s="1"/>
  <c r="G25" i="16" s="1"/>
  <c r="H25" i="16" s="1"/>
  <c r="C24" i="16"/>
  <c r="E24" i="16" s="1"/>
  <c r="G24" i="16" s="1"/>
  <c r="H24" i="16" s="1"/>
  <c r="C23" i="16"/>
  <c r="E23" i="16" s="1"/>
  <c r="G23" i="16" s="1"/>
  <c r="C22" i="16"/>
  <c r="E22" i="16" s="1"/>
  <c r="G22" i="16" s="1"/>
  <c r="C21" i="16"/>
  <c r="E21" i="16" s="1"/>
  <c r="G21" i="16" s="1"/>
  <c r="H21" i="16" s="1"/>
  <c r="C20" i="16"/>
  <c r="E20" i="16" s="1"/>
  <c r="G20" i="16" s="1"/>
  <c r="H20" i="16" s="1"/>
  <c r="C19" i="16"/>
  <c r="E19" i="16" s="1"/>
  <c r="G19" i="16" s="1"/>
  <c r="C18" i="16"/>
  <c r="E18" i="16" s="1"/>
  <c r="G18" i="16" s="1"/>
  <c r="C17" i="16"/>
  <c r="E17" i="16" s="1"/>
  <c r="G17" i="16" s="1"/>
  <c r="H17" i="16" s="1"/>
  <c r="C16" i="16"/>
  <c r="E16" i="16" s="1"/>
  <c r="G16" i="16" s="1"/>
  <c r="H16" i="16" s="1"/>
  <c r="C15" i="16"/>
  <c r="E15" i="16" s="1"/>
  <c r="G15" i="16" s="1"/>
  <c r="C14" i="16"/>
  <c r="E14" i="16" s="1"/>
  <c r="G14" i="16" s="1"/>
  <c r="E13" i="16"/>
  <c r="G13" i="16" s="1"/>
  <c r="H13" i="16" s="1"/>
  <c r="C13" i="16"/>
  <c r="C12" i="16"/>
  <c r="E12" i="16" s="1"/>
  <c r="G12" i="16" s="1"/>
  <c r="H12" i="16" s="1"/>
  <c r="C11" i="16"/>
  <c r="E11" i="16" s="1"/>
  <c r="G11" i="16" s="1"/>
  <c r="E10" i="16"/>
  <c r="G10" i="16" s="1"/>
  <c r="C10" i="16"/>
  <c r="C9" i="16"/>
  <c r="E9" i="16" s="1"/>
  <c r="G9" i="16" s="1"/>
  <c r="H9" i="16" s="1"/>
  <c r="C8" i="16"/>
  <c r="E8" i="16" s="1"/>
  <c r="G8" i="16" s="1"/>
  <c r="H8" i="16" s="1"/>
  <c r="C7" i="16"/>
  <c r="E7" i="16" s="1"/>
  <c r="G7" i="16" s="1"/>
  <c r="C6" i="16"/>
  <c r="E6" i="16" s="1"/>
  <c r="G6" i="16" s="1"/>
  <c r="C5" i="16"/>
  <c r="E5" i="16" s="1"/>
  <c r="G5" i="16" s="1"/>
  <c r="H5" i="16" s="1"/>
  <c r="C4" i="16"/>
  <c r="E4" i="16" s="1"/>
  <c r="G4" i="16" s="1"/>
  <c r="H4" i="16" s="1"/>
  <c r="C3" i="16"/>
  <c r="E3" i="16" s="1"/>
  <c r="G3" i="16" s="1"/>
  <c r="D12" i="15"/>
  <c r="D11" i="15"/>
  <c r="D4" i="15" s="1"/>
  <c r="CD11" i="14"/>
  <c r="CE11" i="14" s="1"/>
  <c r="CE10" i="14" s="1"/>
  <c r="K11" i="14"/>
  <c r="L11" i="14" s="1"/>
  <c r="L10" i="14" s="1"/>
  <c r="J11" i="14"/>
  <c r="J10" i="14" s="1"/>
  <c r="CC10" i="14"/>
  <c r="I10" i="14"/>
  <c r="BU8" i="14"/>
  <c r="BU7" i="14"/>
  <c r="BV7" i="14" s="1"/>
  <c r="B7" i="14"/>
  <c r="C7" i="14" s="1"/>
  <c r="BU6" i="14"/>
  <c r="BY12" i="14" s="1"/>
  <c r="BT1" i="14"/>
  <c r="A1" i="14"/>
  <c r="A104" i="13"/>
  <c r="E104" i="13" s="1"/>
  <c r="A103" i="13"/>
  <c r="E103" i="13" s="1"/>
  <c r="A102" i="13"/>
  <c r="E102" i="13" s="1"/>
  <c r="A101" i="13"/>
  <c r="E101" i="13" s="1"/>
  <c r="S4" i="13"/>
  <c r="AF4" i="13" s="1"/>
  <c r="AS4" i="13" s="1"/>
  <c r="BF4" i="13" s="1"/>
  <c r="BS4" i="13" s="1"/>
  <c r="R4" i="13"/>
  <c r="AE4" i="13" s="1"/>
  <c r="AR4" i="13" s="1"/>
  <c r="BE4" i="13" s="1"/>
  <c r="BR4" i="13" s="1"/>
  <c r="Q4" i="13"/>
  <c r="AD4" i="13" s="1"/>
  <c r="AQ4" i="13" s="1"/>
  <c r="BD4" i="13" s="1"/>
  <c r="BQ4" i="13" s="1"/>
  <c r="P4" i="13"/>
  <c r="AC4" i="13" s="1"/>
  <c r="AP4" i="13" s="1"/>
  <c r="BC4" i="13" s="1"/>
  <c r="BP4" i="13" s="1"/>
  <c r="O4" i="13"/>
  <c r="AB4" i="13" s="1"/>
  <c r="AO4" i="13" s="1"/>
  <c r="BB4" i="13" s="1"/>
  <c r="BO4" i="13" s="1"/>
  <c r="N4" i="13"/>
  <c r="AA4" i="13" s="1"/>
  <c r="AN4" i="13" s="1"/>
  <c r="BA4" i="13" s="1"/>
  <c r="BN4" i="13" s="1"/>
  <c r="M4" i="13"/>
  <c r="Z4" i="13" s="1"/>
  <c r="AM4" i="13" s="1"/>
  <c r="AZ4" i="13" s="1"/>
  <c r="BM4" i="13" s="1"/>
  <c r="L4" i="13"/>
  <c r="Y4" i="13" s="1"/>
  <c r="AL4" i="13" s="1"/>
  <c r="AY4" i="13" s="1"/>
  <c r="BL4" i="13" s="1"/>
  <c r="K4" i="13"/>
  <c r="X4" i="13" s="1"/>
  <c r="AK4" i="13" s="1"/>
  <c r="AX4" i="13" s="1"/>
  <c r="BK4" i="13" s="1"/>
  <c r="J4" i="13"/>
  <c r="W4" i="13" s="1"/>
  <c r="AJ4" i="13" s="1"/>
  <c r="AW4" i="13" s="1"/>
  <c r="BJ4" i="13" s="1"/>
  <c r="I4" i="13"/>
  <c r="V4" i="13" s="1"/>
  <c r="AI4" i="13" s="1"/>
  <c r="AV4" i="13" s="1"/>
  <c r="BI4" i="13" s="1"/>
  <c r="H4" i="13"/>
  <c r="U4" i="13" s="1"/>
  <c r="AH4" i="13" s="1"/>
  <c r="AU4" i="13" s="1"/>
  <c r="BH4" i="13" s="1"/>
  <c r="A1" i="13"/>
  <c r="A1" i="12"/>
  <c r="H58" i="11"/>
  <c r="C53" i="11"/>
  <c r="BI52" i="11"/>
  <c r="BJ52" i="11" s="1"/>
  <c r="BK52" i="11" s="1"/>
  <c r="BL52" i="11" s="1"/>
  <c r="BM52" i="11" s="1"/>
  <c r="BN52" i="11" s="1"/>
  <c r="BO52" i="11" s="1"/>
  <c r="BP52" i="11" s="1"/>
  <c r="BQ52" i="11" s="1"/>
  <c r="BR52" i="11" s="1"/>
  <c r="BS52" i="11" s="1"/>
  <c r="AV52" i="11"/>
  <c r="AW52" i="11" s="1"/>
  <c r="AX52" i="11" s="1"/>
  <c r="AY52" i="11" s="1"/>
  <c r="AZ52" i="11" s="1"/>
  <c r="BA52" i="11" s="1"/>
  <c r="BB52" i="11" s="1"/>
  <c r="BC52" i="11" s="1"/>
  <c r="BD52" i="11" s="1"/>
  <c r="BE52" i="11" s="1"/>
  <c r="BF52" i="11" s="1"/>
  <c r="AI52" i="11"/>
  <c r="AJ52" i="11" s="1"/>
  <c r="AK52" i="11" s="1"/>
  <c r="AL52" i="11" s="1"/>
  <c r="AM52" i="11" s="1"/>
  <c r="AN52" i="11" s="1"/>
  <c r="AO52" i="11" s="1"/>
  <c r="AP52" i="11" s="1"/>
  <c r="AQ52" i="11" s="1"/>
  <c r="AR52" i="11" s="1"/>
  <c r="AS52" i="11" s="1"/>
  <c r="V52" i="1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I52" i="11"/>
  <c r="F51" i="11"/>
  <c r="AH51" i="11" s="1"/>
  <c r="BI50" i="11"/>
  <c r="BJ50" i="11" s="1"/>
  <c r="BK50" i="11" s="1"/>
  <c r="BL50" i="11" s="1"/>
  <c r="AV50" i="11"/>
  <c r="AW50" i="11" s="1"/>
  <c r="AX50" i="11" s="1"/>
  <c r="AY50" i="11" s="1"/>
  <c r="AZ50" i="11" s="1"/>
  <c r="BA50" i="11" s="1"/>
  <c r="BB50" i="11" s="1"/>
  <c r="BC50" i="11" s="1"/>
  <c r="BD50" i="11" s="1"/>
  <c r="BE50" i="11" s="1"/>
  <c r="BF50" i="11" s="1"/>
  <c r="AI50" i="11"/>
  <c r="AJ50" i="11" s="1"/>
  <c r="AK50" i="11" s="1"/>
  <c r="AL50" i="11" s="1"/>
  <c r="AM50" i="11" s="1"/>
  <c r="AN50" i="11" s="1"/>
  <c r="AO50" i="11" s="1"/>
  <c r="AP50" i="11" s="1"/>
  <c r="AQ50" i="11" s="1"/>
  <c r="AR50" i="11" s="1"/>
  <c r="AS50" i="11" s="1"/>
  <c r="V50" i="11"/>
  <c r="W50" i="11" s="1"/>
  <c r="X50" i="11" s="1"/>
  <c r="Y50" i="11" s="1"/>
  <c r="Z50" i="11" s="1"/>
  <c r="AA50" i="11" s="1"/>
  <c r="AB50" i="11" s="1"/>
  <c r="AC50" i="11" s="1"/>
  <c r="AD50" i="11" s="1"/>
  <c r="AE50" i="11" s="1"/>
  <c r="AF50" i="11" s="1"/>
  <c r="I50" i="11"/>
  <c r="J50" i="11" s="1"/>
  <c r="K50" i="11" s="1"/>
  <c r="L50" i="11" s="1"/>
  <c r="M50" i="11" s="1"/>
  <c r="N50" i="11" s="1"/>
  <c r="O50" i="11" s="1"/>
  <c r="P50" i="11" s="1"/>
  <c r="Q50" i="11" s="1"/>
  <c r="R50" i="11" s="1"/>
  <c r="S50" i="11" s="1"/>
  <c r="F49" i="11"/>
  <c r="BI48" i="11"/>
  <c r="BJ48" i="11" s="1"/>
  <c r="BK48" i="11" s="1"/>
  <c r="BL48" i="11" s="1"/>
  <c r="BM48" i="11" s="1"/>
  <c r="BN48" i="11" s="1"/>
  <c r="BO48" i="11" s="1"/>
  <c r="BP48" i="11" s="1"/>
  <c r="BQ48" i="11" s="1"/>
  <c r="BR48" i="11" s="1"/>
  <c r="BS48" i="11" s="1"/>
  <c r="AV48" i="11"/>
  <c r="AW48" i="11" s="1"/>
  <c r="AX48" i="11" s="1"/>
  <c r="AY48" i="11" s="1"/>
  <c r="AZ48" i="11" s="1"/>
  <c r="BA48" i="11" s="1"/>
  <c r="BB48" i="11" s="1"/>
  <c r="BC48" i="11" s="1"/>
  <c r="BD48" i="11" s="1"/>
  <c r="BE48" i="11" s="1"/>
  <c r="BF48" i="11" s="1"/>
  <c r="AH48" i="11"/>
  <c r="AI48" i="11" s="1"/>
  <c r="AJ48" i="11" s="1"/>
  <c r="AK48" i="11" s="1"/>
  <c r="AL48" i="11" s="1"/>
  <c r="AM48" i="11" s="1"/>
  <c r="AN48" i="11" s="1"/>
  <c r="AO48" i="11" s="1"/>
  <c r="AP48" i="11" s="1"/>
  <c r="AQ48" i="11" s="1"/>
  <c r="AR48" i="11" s="1"/>
  <c r="AS48" i="11" s="1"/>
  <c r="U48" i="11"/>
  <c r="V48" i="11" s="1"/>
  <c r="W48" i="11" s="1"/>
  <c r="X48" i="11" s="1"/>
  <c r="Y48" i="11" s="1"/>
  <c r="Z48" i="11" s="1"/>
  <c r="I48" i="11"/>
  <c r="F47" i="11"/>
  <c r="BI46" i="11"/>
  <c r="BJ46" i="11" s="1"/>
  <c r="BK46" i="11" s="1"/>
  <c r="BL46" i="11" s="1"/>
  <c r="BM46" i="11" s="1"/>
  <c r="BN46" i="11" s="1"/>
  <c r="BO46" i="11" s="1"/>
  <c r="BP46" i="11" s="1"/>
  <c r="BQ46" i="11" s="1"/>
  <c r="BR46" i="11" s="1"/>
  <c r="BS46" i="11" s="1"/>
  <c r="AY46" i="11"/>
  <c r="AZ46" i="11" s="1"/>
  <c r="BA46" i="11" s="1"/>
  <c r="BB46" i="11" s="1"/>
  <c r="BC46" i="11" s="1"/>
  <c r="BD46" i="11" s="1"/>
  <c r="BE46" i="11" s="1"/>
  <c r="BF46" i="11" s="1"/>
  <c r="AV46" i="11"/>
  <c r="AW46" i="11" s="1"/>
  <c r="AX46" i="11" s="1"/>
  <c r="AI46" i="11"/>
  <c r="AJ46" i="11" s="1"/>
  <c r="AK46" i="11" s="1"/>
  <c r="AL46" i="11" s="1"/>
  <c r="AM46" i="11" s="1"/>
  <c r="AN46" i="11" s="1"/>
  <c r="AO46" i="11" s="1"/>
  <c r="AP46" i="11" s="1"/>
  <c r="AQ46" i="11" s="1"/>
  <c r="AR46" i="11" s="1"/>
  <c r="AS46" i="11" s="1"/>
  <c r="V46" i="1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I46" i="11"/>
  <c r="F45" i="11"/>
  <c r="BI44" i="11"/>
  <c r="BJ44" i="11" s="1"/>
  <c r="BK44" i="11" s="1"/>
  <c r="BL44" i="11" s="1"/>
  <c r="AV44" i="11"/>
  <c r="AW44" i="11" s="1"/>
  <c r="AX44" i="11" s="1"/>
  <c r="AY44" i="11" s="1"/>
  <c r="AZ44" i="11" s="1"/>
  <c r="AI44" i="11"/>
  <c r="AJ44" i="11" s="1"/>
  <c r="AK44" i="11" s="1"/>
  <c r="AL44" i="11" s="1"/>
  <c r="AM44" i="11" s="1"/>
  <c r="AN44" i="11" s="1"/>
  <c r="AO44" i="11" s="1"/>
  <c r="AP44" i="11" s="1"/>
  <c r="AQ44" i="11" s="1"/>
  <c r="AR44" i="11" s="1"/>
  <c r="V44" i="11"/>
  <c r="W44" i="11" s="1"/>
  <c r="X44" i="11" s="1"/>
  <c r="I44" i="11"/>
  <c r="J44" i="11" s="1"/>
  <c r="K44" i="11" s="1"/>
  <c r="L44" i="11" s="1"/>
  <c r="F43" i="11"/>
  <c r="BH43" i="11" s="1"/>
  <c r="C41" i="11"/>
  <c r="BH40" i="11"/>
  <c r="BI40" i="11" s="1"/>
  <c r="BJ40" i="11" s="1"/>
  <c r="BK40" i="11" s="1"/>
  <c r="BL40" i="11" s="1"/>
  <c r="BM40" i="11" s="1"/>
  <c r="BN40" i="11" s="1"/>
  <c r="BO40" i="11" s="1"/>
  <c r="BP40" i="11" s="1"/>
  <c r="BQ40" i="11" s="1"/>
  <c r="BR40" i="11" s="1"/>
  <c r="BS40" i="11" s="1"/>
  <c r="AU40" i="11"/>
  <c r="AV40" i="11" s="1"/>
  <c r="AW40" i="11" s="1"/>
  <c r="AX40" i="11" s="1"/>
  <c r="AY40" i="11" s="1"/>
  <c r="AZ40" i="11" s="1"/>
  <c r="BA40" i="11" s="1"/>
  <c r="BB40" i="11" s="1"/>
  <c r="BC40" i="11" s="1"/>
  <c r="BD40" i="11" s="1"/>
  <c r="BE40" i="11" s="1"/>
  <c r="BF40" i="11" s="1"/>
  <c r="AH40" i="11"/>
  <c r="AI40" i="11" s="1"/>
  <c r="AJ40" i="11" s="1"/>
  <c r="AK40" i="11" s="1"/>
  <c r="AL40" i="11" s="1"/>
  <c r="AM40" i="11" s="1"/>
  <c r="AN40" i="11" s="1"/>
  <c r="AO40" i="11" s="1"/>
  <c r="AP40" i="11" s="1"/>
  <c r="AQ40" i="11" s="1"/>
  <c r="AR40" i="11" s="1"/>
  <c r="AS40" i="11" s="1"/>
  <c r="U40" i="11"/>
  <c r="V40" i="11" s="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I40" i="11"/>
  <c r="J40" i="11" s="1"/>
  <c r="K40" i="11" s="1"/>
  <c r="L40" i="11" s="1"/>
  <c r="M40" i="11" s="1"/>
  <c r="N40" i="11" s="1"/>
  <c r="O40" i="11" s="1"/>
  <c r="P40" i="11" s="1"/>
  <c r="Q40" i="11" s="1"/>
  <c r="R40" i="11" s="1"/>
  <c r="S40" i="11" s="1"/>
  <c r="E39" i="11"/>
  <c r="F39" i="11" s="1"/>
  <c r="BH38" i="11"/>
  <c r="BI38" i="11" s="1"/>
  <c r="BJ38" i="11" s="1"/>
  <c r="BK38" i="11" s="1"/>
  <c r="BL38" i="11" s="1"/>
  <c r="BM38" i="11" s="1"/>
  <c r="BN38" i="11" s="1"/>
  <c r="BO38" i="11" s="1"/>
  <c r="BP38" i="11" s="1"/>
  <c r="AU38" i="11"/>
  <c r="AV38" i="11" s="1"/>
  <c r="AW38" i="11" s="1"/>
  <c r="AX38" i="11" s="1"/>
  <c r="AY38" i="11" s="1"/>
  <c r="AZ38" i="11" s="1"/>
  <c r="AH38" i="11"/>
  <c r="AI38" i="11" s="1"/>
  <c r="AJ38" i="11" s="1"/>
  <c r="U38" i="11"/>
  <c r="V38" i="11" s="1"/>
  <c r="W38" i="11" s="1"/>
  <c r="X38" i="11" s="1"/>
  <c r="I38" i="11"/>
  <c r="J38" i="11" s="1"/>
  <c r="K38" i="11" s="1"/>
  <c r="L38" i="11" s="1"/>
  <c r="M38" i="11" s="1"/>
  <c r="N38" i="11" s="1"/>
  <c r="O38" i="11" s="1"/>
  <c r="P38" i="11" s="1"/>
  <c r="Q38" i="11" s="1"/>
  <c r="R38" i="11" s="1"/>
  <c r="S38" i="11" s="1"/>
  <c r="E37" i="11"/>
  <c r="F37" i="11" s="1"/>
  <c r="BI36" i="11"/>
  <c r="BJ36" i="11" s="1"/>
  <c r="BK36" i="11" s="1"/>
  <c r="BL36" i="11" s="1"/>
  <c r="BM36" i="11" s="1"/>
  <c r="BN36" i="11" s="1"/>
  <c r="BO36" i="11" s="1"/>
  <c r="BP36" i="11" s="1"/>
  <c r="BQ36" i="11" s="1"/>
  <c r="BR36" i="11" s="1"/>
  <c r="BS36" i="11" s="1"/>
  <c r="BH36" i="11"/>
  <c r="AU36" i="11"/>
  <c r="AV36" i="11" s="1"/>
  <c r="AW36" i="11" s="1"/>
  <c r="AX36" i="11" s="1"/>
  <c r="AY36" i="11" s="1"/>
  <c r="AZ36" i="11" s="1"/>
  <c r="BA36" i="11" s="1"/>
  <c r="BB36" i="11" s="1"/>
  <c r="BC36" i="11" s="1"/>
  <c r="BD36" i="11" s="1"/>
  <c r="BE36" i="11" s="1"/>
  <c r="BF36" i="11" s="1"/>
  <c r="AH36" i="11"/>
  <c r="AI36" i="11" s="1"/>
  <c r="AJ36" i="11" s="1"/>
  <c r="AK36" i="11" s="1"/>
  <c r="AL36" i="11" s="1"/>
  <c r="AM36" i="11" s="1"/>
  <c r="AN36" i="11" s="1"/>
  <c r="AO36" i="11" s="1"/>
  <c r="AP36" i="11" s="1"/>
  <c r="AQ36" i="11" s="1"/>
  <c r="AR36" i="11" s="1"/>
  <c r="AS36" i="11" s="1"/>
  <c r="V36" i="1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U36" i="11"/>
  <c r="I36" i="11"/>
  <c r="J36" i="11" s="1"/>
  <c r="K36" i="11" s="1"/>
  <c r="L36" i="11" s="1"/>
  <c r="M36" i="11" s="1"/>
  <c r="N36" i="11" s="1"/>
  <c r="O36" i="11" s="1"/>
  <c r="P36" i="11" s="1"/>
  <c r="Q36" i="11" s="1"/>
  <c r="R36" i="11" s="1"/>
  <c r="S36" i="11" s="1"/>
  <c r="E35" i="11"/>
  <c r="F35" i="11" s="1"/>
  <c r="BI34" i="11"/>
  <c r="BJ34" i="11" s="1"/>
  <c r="BK34" i="11" s="1"/>
  <c r="BL34" i="11" s="1"/>
  <c r="BM34" i="11" s="1"/>
  <c r="BN34" i="11" s="1"/>
  <c r="BO34" i="11" s="1"/>
  <c r="BP34" i="11" s="1"/>
  <c r="BQ34" i="11" s="1"/>
  <c r="BR34" i="11" s="1"/>
  <c r="BS34" i="11" s="1"/>
  <c r="AV34" i="11"/>
  <c r="AW34" i="11" s="1"/>
  <c r="AX34" i="11" s="1"/>
  <c r="AY34" i="11" s="1"/>
  <c r="AZ34" i="11" s="1"/>
  <c r="BA34" i="11" s="1"/>
  <c r="BB34" i="11" s="1"/>
  <c r="BC34" i="11" s="1"/>
  <c r="BD34" i="11" s="1"/>
  <c r="BE34" i="11" s="1"/>
  <c r="BF34" i="11" s="1"/>
  <c r="AI34" i="11"/>
  <c r="AJ34" i="11" s="1"/>
  <c r="AK34" i="11" s="1"/>
  <c r="AL34" i="11" s="1"/>
  <c r="AM34" i="11" s="1"/>
  <c r="AN34" i="11" s="1"/>
  <c r="AO34" i="11" s="1"/>
  <c r="AP34" i="11" s="1"/>
  <c r="V34" i="11"/>
  <c r="W34" i="11" s="1"/>
  <c r="X34" i="11" s="1"/>
  <c r="Y34" i="11" s="1"/>
  <c r="Z34" i="11" s="1"/>
  <c r="E33" i="11"/>
  <c r="F33" i="11" s="1"/>
  <c r="BI32" i="11"/>
  <c r="BJ32" i="11" s="1"/>
  <c r="BK32" i="11" s="1"/>
  <c r="BL32" i="11" s="1"/>
  <c r="BM32" i="11" s="1"/>
  <c r="BN32" i="11" s="1"/>
  <c r="BO32" i="11" s="1"/>
  <c r="BP32" i="11" s="1"/>
  <c r="BQ32" i="11" s="1"/>
  <c r="BR32" i="11" s="1"/>
  <c r="BS32" i="11" s="1"/>
  <c r="AV32" i="11"/>
  <c r="AW32" i="11" s="1"/>
  <c r="AX32" i="11" s="1"/>
  <c r="AY32" i="11" s="1"/>
  <c r="AZ32" i="11" s="1"/>
  <c r="BA32" i="11" s="1"/>
  <c r="BB32" i="11" s="1"/>
  <c r="BC32" i="11" s="1"/>
  <c r="BD32" i="11" s="1"/>
  <c r="BE32" i="11" s="1"/>
  <c r="AP32" i="11"/>
  <c r="AQ32" i="11" s="1"/>
  <c r="AR32" i="11" s="1"/>
  <c r="AS32" i="11" s="1"/>
  <c r="AI32" i="11"/>
  <c r="AJ32" i="11" s="1"/>
  <c r="AK32" i="11" s="1"/>
  <c r="AL32" i="11" s="1"/>
  <c r="AM32" i="11" s="1"/>
  <c r="AN32" i="11" s="1"/>
  <c r="AO32" i="11" s="1"/>
  <c r="V32" i="11"/>
  <c r="W32" i="11" s="1"/>
  <c r="X32" i="11" s="1"/>
  <c r="Y32" i="11" s="1"/>
  <c r="Z32" i="11" s="1"/>
  <c r="AA32" i="11" s="1"/>
  <c r="AB32" i="11" s="1"/>
  <c r="AC32" i="11" s="1"/>
  <c r="E31" i="11"/>
  <c r="F31" i="11" s="1"/>
  <c r="C29" i="11"/>
  <c r="BH28" i="11"/>
  <c r="BI28" i="11" s="1"/>
  <c r="BJ28" i="11" s="1"/>
  <c r="BK28" i="11" s="1"/>
  <c r="BL28" i="11" s="1"/>
  <c r="BM28" i="11" s="1"/>
  <c r="BN28" i="11" s="1"/>
  <c r="BO28" i="11" s="1"/>
  <c r="BP28" i="11" s="1"/>
  <c r="BQ28" i="11" s="1"/>
  <c r="BR28" i="11" s="1"/>
  <c r="BS28" i="11" s="1"/>
  <c r="AU28" i="11"/>
  <c r="AV28" i="11" s="1"/>
  <c r="AW28" i="11" s="1"/>
  <c r="AX28" i="11" s="1"/>
  <c r="AY28" i="11" s="1"/>
  <c r="AZ28" i="11" s="1"/>
  <c r="BA28" i="11" s="1"/>
  <c r="BB28" i="11" s="1"/>
  <c r="BC28" i="11" s="1"/>
  <c r="BD28" i="11" s="1"/>
  <c r="BE28" i="11" s="1"/>
  <c r="BF28" i="11" s="1"/>
  <c r="AH28" i="11"/>
  <c r="AI28" i="11" s="1"/>
  <c r="AJ28" i="11" s="1"/>
  <c r="AK28" i="11" s="1"/>
  <c r="AL28" i="11" s="1"/>
  <c r="AM28" i="11" s="1"/>
  <c r="AN28" i="11" s="1"/>
  <c r="AO28" i="11" s="1"/>
  <c r="AP28" i="11" s="1"/>
  <c r="AQ28" i="11" s="1"/>
  <c r="AR28" i="11" s="1"/>
  <c r="AS28" i="11" s="1"/>
  <c r="U28" i="1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E27" i="11"/>
  <c r="F27" i="11" s="1"/>
  <c r="BH26" i="11"/>
  <c r="BI26" i="11" s="1"/>
  <c r="BJ26" i="11" s="1"/>
  <c r="BK26" i="11" s="1"/>
  <c r="BL26" i="11" s="1"/>
  <c r="BM26" i="11" s="1"/>
  <c r="BN26" i="11" s="1"/>
  <c r="BO26" i="11" s="1"/>
  <c r="BP26" i="11" s="1"/>
  <c r="BQ26" i="11" s="1"/>
  <c r="BR26" i="11" s="1"/>
  <c r="BS26" i="11" s="1"/>
  <c r="AU26" i="11"/>
  <c r="AV26" i="11" s="1"/>
  <c r="AW26" i="11" s="1"/>
  <c r="AX26" i="11" s="1"/>
  <c r="AY26" i="11" s="1"/>
  <c r="AZ26" i="11" s="1"/>
  <c r="BA26" i="11" s="1"/>
  <c r="BB26" i="11" s="1"/>
  <c r="BC26" i="11" s="1"/>
  <c r="BD26" i="11" s="1"/>
  <c r="BE26" i="11" s="1"/>
  <c r="BF26" i="11" s="1"/>
  <c r="AH26" i="11"/>
  <c r="AI26" i="11" s="1"/>
  <c r="AJ26" i="11" s="1"/>
  <c r="AK26" i="11" s="1"/>
  <c r="AL26" i="11" s="1"/>
  <c r="AM26" i="11" s="1"/>
  <c r="AN26" i="11" s="1"/>
  <c r="AO26" i="11" s="1"/>
  <c r="AP26" i="11" s="1"/>
  <c r="AQ26" i="11" s="1"/>
  <c r="AR26" i="11" s="1"/>
  <c r="AS26" i="11" s="1"/>
  <c r="U26" i="11"/>
  <c r="V26" i="11" s="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E25" i="11"/>
  <c r="F25" i="11" s="1"/>
  <c r="BH24" i="11"/>
  <c r="BI24" i="11" s="1"/>
  <c r="BJ24" i="11" s="1"/>
  <c r="BK24" i="11" s="1"/>
  <c r="BL24" i="11" s="1"/>
  <c r="AU24" i="11"/>
  <c r="AV24" i="11" s="1"/>
  <c r="AW24" i="11" s="1"/>
  <c r="AX24" i="11" s="1"/>
  <c r="AY24" i="11" s="1"/>
  <c r="AZ24" i="11" s="1"/>
  <c r="BA24" i="11" s="1"/>
  <c r="BB24" i="11" s="1"/>
  <c r="BC24" i="11" s="1"/>
  <c r="BD24" i="11" s="1"/>
  <c r="AH24" i="11"/>
  <c r="AI24" i="11" s="1"/>
  <c r="AJ24" i="11" s="1"/>
  <c r="AK24" i="11" s="1"/>
  <c r="AL24" i="11" s="1"/>
  <c r="AM24" i="11" s="1"/>
  <c r="AN24" i="11" s="1"/>
  <c r="AO24" i="11" s="1"/>
  <c r="AP24" i="11" s="1"/>
  <c r="AQ24" i="11" s="1"/>
  <c r="AR24" i="11" s="1"/>
  <c r="AS24" i="11" s="1"/>
  <c r="U24" i="11"/>
  <c r="V24" i="11" s="1"/>
  <c r="W24" i="11" s="1"/>
  <c r="X24" i="11" s="1"/>
  <c r="I24" i="11"/>
  <c r="J24" i="11" s="1"/>
  <c r="K24" i="11" s="1"/>
  <c r="L24" i="11" s="1"/>
  <c r="M24" i="11" s="1"/>
  <c r="N24" i="11" s="1"/>
  <c r="O24" i="11" s="1"/>
  <c r="P24" i="11" s="1"/>
  <c r="BI22" i="11"/>
  <c r="BJ22" i="11" s="1"/>
  <c r="BK22" i="11" s="1"/>
  <c r="BL22" i="11" s="1"/>
  <c r="AV22" i="11"/>
  <c r="AI22" i="11"/>
  <c r="AJ22" i="11" s="1"/>
  <c r="AK22" i="11" s="1"/>
  <c r="AL22" i="11" s="1"/>
  <c r="AM22" i="11" s="1"/>
  <c r="AN22" i="11" s="1"/>
  <c r="U22" i="11"/>
  <c r="V22" i="11" s="1"/>
  <c r="W22" i="11" s="1"/>
  <c r="X22" i="11" s="1"/>
  <c r="I22" i="11"/>
  <c r="BI20" i="11"/>
  <c r="BJ20" i="11" s="1"/>
  <c r="BK20" i="11" s="1"/>
  <c r="BL20" i="11" s="1"/>
  <c r="BM20" i="11" s="1"/>
  <c r="BN20" i="11" s="1"/>
  <c r="BO20" i="11" s="1"/>
  <c r="BP20" i="11" s="1"/>
  <c r="BQ20" i="11" s="1"/>
  <c r="BR20" i="11" s="1"/>
  <c r="BS20" i="11" s="1"/>
  <c r="AV20" i="11"/>
  <c r="AW20" i="11" s="1"/>
  <c r="AX20" i="11" s="1"/>
  <c r="AY20" i="11" s="1"/>
  <c r="AZ20" i="11" s="1"/>
  <c r="BA20" i="11" s="1"/>
  <c r="BB20" i="11" s="1"/>
  <c r="BC20" i="11" s="1"/>
  <c r="BD20" i="11" s="1"/>
  <c r="BE20" i="11" s="1"/>
  <c r="BF20" i="11" s="1"/>
  <c r="AI20" i="11"/>
  <c r="AJ20" i="11" s="1"/>
  <c r="AK20" i="11" s="1"/>
  <c r="AL20" i="11" s="1"/>
  <c r="AM20" i="11" s="1"/>
  <c r="AN20" i="11" s="1"/>
  <c r="AO20" i="11" s="1"/>
  <c r="AP20" i="11" s="1"/>
  <c r="AQ20" i="11" s="1"/>
  <c r="AR20" i="11" s="1"/>
  <c r="AS20" i="11" s="1"/>
  <c r="V20" i="1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I20" i="11"/>
  <c r="J20" i="11" s="1"/>
  <c r="K20" i="11" s="1"/>
  <c r="L20" i="11" s="1"/>
  <c r="M20" i="11" s="1"/>
  <c r="N20" i="11" s="1"/>
  <c r="E19" i="11"/>
  <c r="F19" i="11" s="1"/>
  <c r="C17" i="11"/>
  <c r="BH16" i="11"/>
  <c r="BI16" i="11" s="1"/>
  <c r="BJ16" i="11" s="1"/>
  <c r="BK16" i="11" s="1"/>
  <c r="BL16" i="11" s="1"/>
  <c r="BM16" i="11" s="1"/>
  <c r="BN16" i="11" s="1"/>
  <c r="BO16" i="11" s="1"/>
  <c r="BP16" i="11" s="1"/>
  <c r="BQ16" i="11" s="1"/>
  <c r="BR16" i="11" s="1"/>
  <c r="BS16" i="11" s="1"/>
  <c r="AU16" i="11"/>
  <c r="AV16" i="11" s="1"/>
  <c r="AW16" i="11" s="1"/>
  <c r="AX16" i="11" s="1"/>
  <c r="AY16" i="11" s="1"/>
  <c r="AZ16" i="11" s="1"/>
  <c r="BA16" i="11" s="1"/>
  <c r="BB16" i="11" s="1"/>
  <c r="BC16" i="11" s="1"/>
  <c r="BD16" i="11" s="1"/>
  <c r="AH16" i="11"/>
  <c r="AI16" i="11" s="1"/>
  <c r="AJ16" i="11" s="1"/>
  <c r="AK16" i="11" s="1"/>
  <c r="AL16" i="11" s="1"/>
  <c r="AM16" i="11" s="1"/>
  <c r="AN16" i="11" s="1"/>
  <c r="U16" i="11"/>
  <c r="V16" i="11" s="1"/>
  <c r="W16" i="11" s="1"/>
  <c r="X16" i="11" s="1"/>
  <c r="E15" i="11"/>
  <c r="F15" i="11" s="1"/>
  <c r="BI14" i="11"/>
  <c r="BJ14" i="11" s="1"/>
  <c r="BK14" i="11" s="1"/>
  <c r="BL14" i="11" s="1"/>
  <c r="AV14" i="11"/>
  <c r="AI14" i="11"/>
  <c r="AJ14" i="11" s="1"/>
  <c r="AK14" i="11" s="1"/>
  <c r="AL14" i="11" s="1"/>
  <c r="AM14" i="11" s="1"/>
  <c r="AN14" i="11" s="1"/>
  <c r="V14" i="11"/>
  <c r="W14" i="11" s="1"/>
  <c r="X14" i="11" s="1"/>
  <c r="F13" i="11"/>
  <c r="BI12" i="11"/>
  <c r="BJ12" i="11" s="1"/>
  <c r="BK12" i="11" s="1"/>
  <c r="BL12" i="11" s="1"/>
  <c r="BM12" i="11" s="1"/>
  <c r="BN12" i="11" s="1"/>
  <c r="BO12" i="11" s="1"/>
  <c r="BP12" i="11" s="1"/>
  <c r="BQ12" i="11" s="1"/>
  <c r="BR12" i="11" s="1"/>
  <c r="BS12" i="11" s="1"/>
  <c r="AV12" i="11"/>
  <c r="AW12" i="11" s="1"/>
  <c r="AX12" i="11" s="1"/>
  <c r="AY12" i="11" s="1"/>
  <c r="AZ12" i="11" s="1"/>
  <c r="BA12" i="11" s="1"/>
  <c r="BB12" i="11" s="1"/>
  <c r="BC12" i="11" s="1"/>
  <c r="BD12" i="11" s="1"/>
  <c r="BE12" i="11" s="1"/>
  <c r="BF12" i="11" s="1"/>
  <c r="AI12" i="11"/>
  <c r="AJ12" i="11" s="1"/>
  <c r="AK12" i="11" s="1"/>
  <c r="AL12" i="11" s="1"/>
  <c r="AM12" i="11" s="1"/>
  <c r="AN12" i="11" s="1"/>
  <c r="AO12" i="11" s="1"/>
  <c r="AP12" i="11" s="1"/>
  <c r="AQ12" i="11" s="1"/>
  <c r="AR12" i="11" s="1"/>
  <c r="AS12" i="11" s="1"/>
  <c r="U12" i="1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F11" i="11"/>
  <c r="BI10" i="11"/>
  <c r="BJ10" i="11" s="1"/>
  <c r="BK10" i="11" s="1"/>
  <c r="BL10" i="11" s="1"/>
  <c r="BM10" i="11" s="1"/>
  <c r="BN10" i="11" s="1"/>
  <c r="BO10" i="11" s="1"/>
  <c r="BP10" i="11" s="1"/>
  <c r="BQ10" i="11" s="1"/>
  <c r="BR10" i="11" s="1"/>
  <c r="BS10" i="11" s="1"/>
  <c r="AV10" i="11"/>
  <c r="AW10" i="11" s="1"/>
  <c r="AX10" i="11" s="1"/>
  <c r="AY10" i="11" s="1"/>
  <c r="AZ10" i="11" s="1"/>
  <c r="BA10" i="11" s="1"/>
  <c r="BB10" i="11" s="1"/>
  <c r="BC10" i="11" s="1"/>
  <c r="BD10" i="11" s="1"/>
  <c r="BE10" i="11" s="1"/>
  <c r="BF10" i="11" s="1"/>
  <c r="AI10" i="11"/>
  <c r="AJ10" i="11" s="1"/>
  <c r="AK10" i="11" s="1"/>
  <c r="AL10" i="11" s="1"/>
  <c r="AM10" i="11" s="1"/>
  <c r="AN10" i="11" s="1"/>
  <c r="AO10" i="11" s="1"/>
  <c r="AP10" i="11" s="1"/>
  <c r="AQ10" i="11" s="1"/>
  <c r="AR10" i="11" s="1"/>
  <c r="AS10" i="11" s="1"/>
  <c r="V10" i="11"/>
  <c r="W10" i="11" s="1"/>
  <c r="X10" i="11" s="1"/>
  <c r="Y10" i="11" s="1"/>
  <c r="Z10" i="11" s="1"/>
  <c r="AA10" i="11" s="1"/>
  <c r="AB10" i="11" s="1"/>
  <c r="AC10" i="11" s="1"/>
  <c r="AD10" i="11" s="1"/>
  <c r="AE10" i="11" s="1"/>
  <c r="E9" i="11"/>
  <c r="F9" i="11" s="1"/>
  <c r="BI8" i="11"/>
  <c r="BJ8" i="11" s="1"/>
  <c r="AV8" i="11"/>
  <c r="AW8" i="11" s="1"/>
  <c r="AI8" i="11"/>
  <c r="AJ8" i="11" s="1"/>
  <c r="I8" i="11"/>
  <c r="J8" i="11" s="1"/>
  <c r="E7" i="11"/>
  <c r="F7" i="11" s="1"/>
  <c r="U7" i="11" s="1"/>
  <c r="S5" i="11"/>
  <c r="AF5" i="11" s="1"/>
  <c r="AS5" i="11" s="1"/>
  <c r="BF5" i="11" s="1"/>
  <c r="BS5" i="11" s="1"/>
  <c r="R5" i="11"/>
  <c r="AE5" i="11" s="1"/>
  <c r="AR5" i="11" s="1"/>
  <c r="BE5" i="11" s="1"/>
  <c r="BR5" i="11" s="1"/>
  <c r="Q5" i="11"/>
  <c r="AD5" i="11" s="1"/>
  <c r="AQ5" i="11" s="1"/>
  <c r="BD5" i="11" s="1"/>
  <c r="BQ5" i="11" s="1"/>
  <c r="P5" i="11"/>
  <c r="AC5" i="11" s="1"/>
  <c r="AP5" i="11" s="1"/>
  <c r="BC5" i="11" s="1"/>
  <c r="BP5" i="11" s="1"/>
  <c r="O5" i="11"/>
  <c r="AB5" i="11" s="1"/>
  <c r="AO5" i="11" s="1"/>
  <c r="BB5" i="11" s="1"/>
  <c r="BO5" i="11" s="1"/>
  <c r="N5" i="11"/>
  <c r="AA5" i="11" s="1"/>
  <c r="AN5" i="11" s="1"/>
  <c r="BA5" i="11" s="1"/>
  <c r="BN5" i="11" s="1"/>
  <c r="M5" i="11"/>
  <c r="Z5" i="11" s="1"/>
  <c r="AM5" i="11" s="1"/>
  <c r="AZ5" i="11" s="1"/>
  <c r="BM5" i="11" s="1"/>
  <c r="L5" i="11"/>
  <c r="Y5" i="11" s="1"/>
  <c r="AL5" i="11" s="1"/>
  <c r="AY5" i="11" s="1"/>
  <c r="BL5" i="11" s="1"/>
  <c r="K5" i="11"/>
  <c r="X5" i="11" s="1"/>
  <c r="AK5" i="11" s="1"/>
  <c r="AX5" i="11" s="1"/>
  <c r="BK5" i="11" s="1"/>
  <c r="J5" i="11"/>
  <c r="W5" i="11" s="1"/>
  <c r="AJ5" i="11" s="1"/>
  <c r="AW5" i="11" s="1"/>
  <c r="BJ5" i="11" s="1"/>
  <c r="I5" i="11"/>
  <c r="V5" i="11" s="1"/>
  <c r="AI5" i="11" s="1"/>
  <c r="AV5" i="11" s="1"/>
  <c r="BI5" i="11" s="1"/>
  <c r="H5" i="11"/>
  <c r="U5" i="11" s="1"/>
  <c r="AH5" i="11" s="1"/>
  <c r="AU5" i="11" s="1"/>
  <c r="BH5" i="11" s="1"/>
  <c r="A1" i="11"/>
  <c r="B116" i="10"/>
  <c r="B117" i="10" s="1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J101" i="10"/>
  <c r="I101" i="10"/>
  <c r="G101" i="10"/>
  <c r="J100" i="10"/>
  <c r="I100" i="10"/>
  <c r="G100" i="10"/>
  <c r="J99" i="10"/>
  <c r="I99" i="10"/>
  <c r="G99" i="10"/>
  <c r="J98" i="10"/>
  <c r="I98" i="10"/>
  <c r="G98" i="10"/>
  <c r="J97" i="10"/>
  <c r="I97" i="10"/>
  <c r="G97" i="10"/>
  <c r="J96" i="10"/>
  <c r="I96" i="10"/>
  <c r="G96" i="10"/>
  <c r="J95" i="10"/>
  <c r="I95" i="10"/>
  <c r="G95" i="10"/>
  <c r="J94" i="10"/>
  <c r="I94" i="10"/>
  <c r="G94" i="10"/>
  <c r="J93" i="10"/>
  <c r="I93" i="10"/>
  <c r="G93" i="10"/>
  <c r="J92" i="10"/>
  <c r="I92" i="10"/>
  <c r="G92" i="10"/>
  <c r="J91" i="10"/>
  <c r="I91" i="10"/>
  <c r="G91" i="10"/>
  <c r="J90" i="10"/>
  <c r="I90" i="10"/>
  <c r="G90" i="10"/>
  <c r="J89" i="10"/>
  <c r="I89" i="10"/>
  <c r="G89" i="10"/>
  <c r="J88" i="10"/>
  <c r="I88" i="10"/>
  <c r="G88" i="10"/>
  <c r="J87" i="10"/>
  <c r="I87" i="10"/>
  <c r="G87" i="10"/>
  <c r="J86" i="10"/>
  <c r="I86" i="10"/>
  <c r="G86" i="10"/>
  <c r="J85" i="10"/>
  <c r="I85" i="10"/>
  <c r="G85" i="10"/>
  <c r="J84" i="10"/>
  <c r="I84" i="10"/>
  <c r="G84" i="10"/>
  <c r="J83" i="10"/>
  <c r="I83" i="10"/>
  <c r="G83" i="10"/>
  <c r="J82" i="10"/>
  <c r="I82" i="10"/>
  <c r="G82" i="10"/>
  <c r="J81" i="10"/>
  <c r="I81" i="10"/>
  <c r="G81" i="10"/>
  <c r="J80" i="10"/>
  <c r="I80" i="10"/>
  <c r="G80" i="10"/>
  <c r="J79" i="10"/>
  <c r="I79" i="10"/>
  <c r="G79" i="10"/>
  <c r="J78" i="10"/>
  <c r="I78" i="10"/>
  <c r="G78" i="10"/>
  <c r="J77" i="10"/>
  <c r="I77" i="10"/>
  <c r="G77" i="10"/>
  <c r="J76" i="10"/>
  <c r="I76" i="10"/>
  <c r="G76" i="10"/>
  <c r="J75" i="10"/>
  <c r="I75" i="10"/>
  <c r="G75" i="10"/>
  <c r="J74" i="10"/>
  <c r="I74" i="10"/>
  <c r="G74" i="10"/>
  <c r="J73" i="10"/>
  <c r="I73" i="10"/>
  <c r="G73" i="10"/>
  <c r="J72" i="10"/>
  <c r="I72" i="10"/>
  <c r="G72" i="10"/>
  <c r="J71" i="10"/>
  <c r="I71" i="10"/>
  <c r="G71" i="10"/>
  <c r="J70" i="10"/>
  <c r="I70" i="10"/>
  <c r="G70" i="10"/>
  <c r="J69" i="10"/>
  <c r="I69" i="10"/>
  <c r="G69" i="10"/>
  <c r="J68" i="10"/>
  <c r="I68" i="10"/>
  <c r="G68" i="10"/>
  <c r="J67" i="10"/>
  <c r="I67" i="10"/>
  <c r="G67" i="10"/>
  <c r="J66" i="10"/>
  <c r="I66" i="10"/>
  <c r="G66" i="10"/>
  <c r="J65" i="10"/>
  <c r="I65" i="10"/>
  <c r="G65" i="10"/>
  <c r="J64" i="10"/>
  <c r="I64" i="10"/>
  <c r="G64" i="10"/>
  <c r="J63" i="10"/>
  <c r="I63" i="10"/>
  <c r="G63" i="10"/>
  <c r="J62" i="10"/>
  <c r="I62" i="10"/>
  <c r="G62" i="10"/>
  <c r="J61" i="10"/>
  <c r="I61" i="10"/>
  <c r="G61" i="10"/>
  <c r="J60" i="10"/>
  <c r="I60" i="10"/>
  <c r="G60" i="10"/>
  <c r="J59" i="10"/>
  <c r="I59" i="10"/>
  <c r="G59" i="10"/>
  <c r="J58" i="10"/>
  <c r="I58" i="10"/>
  <c r="G58" i="10"/>
  <c r="J57" i="10"/>
  <c r="I57" i="10"/>
  <c r="G57" i="10"/>
  <c r="J56" i="10"/>
  <c r="I56" i="10"/>
  <c r="G56" i="10"/>
  <c r="J55" i="10"/>
  <c r="I55" i="10"/>
  <c r="G55" i="10"/>
  <c r="J54" i="10"/>
  <c r="I54" i="10"/>
  <c r="G54" i="10"/>
  <c r="J53" i="10"/>
  <c r="I53" i="10"/>
  <c r="G53" i="10"/>
  <c r="J52" i="10"/>
  <c r="I52" i="10"/>
  <c r="G52" i="10"/>
  <c r="J51" i="10"/>
  <c r="I51" i="10"/>
  <c r="G51" i="10"/>
  <c r="J50" i="10"/>
  <c r="I50" i="10"/>
  <c r="G50" i="10"/>
  <c r="J49" i="10"/>
  <c r="I49" i="10"/>
  <c r="G49" i="10"/>
  <c r="J48" i="10"/>
  <c r="I48" i="10"/>
  <c r="G48" i="10"/>
  <c r="J47" i="10"/>
  <c r="I47" i="10"/>
  <c r="G47" i="10"/>
  <c r="J46" i="10"/>
  <c r="I46" i="10"/>
  <c r="G46" i="10"/>
  <c r="J45" i="10"/>
  <c r="I45" i="10"/>
  <c r="G45" i="10"/>
  <c r="J44" i="10"/>
  <c r="I44" i="10"/>
  <c r="G44" i="10"/>
  <c r="J43" i="10"/>
  <c r="I43" i="10"/>
  <c r="G43" i="10"/>
  <c r="J42" i="10"/>
  <c r="I42" i="10"/>
  <c r="G42" i="10"/>
  <c r="J41" i="10"/>
  <c r="I41" i="10"/>
  <c r="G41" i="10"/>
  <c r="J40" i="10"/>
  <c r="I40" i="10"/>
  <c r="G40" i="10"/>
  <c r="J39" i="10"/>
  <c r="I39" i="10"/>
  <c r="G39" i="10"/>
  <c r="J38" i="10"/>
  <c r="I38" i="10"/>
  <c r="E34" i="13" s="1"/>
  <c r="J37" i="10"/>
  <c r="I37" i="10"/>
  <c r="E33" i="13" s="1"/>
  <c r="J36" i="10"/>
  <c r="I36" i="10"/>
  <c r="E32" i="13" s="1"/>
  <c r="J35" i="10"/>
  <c r="I35" i="10"/>
  <c r="E31" i="13" s="1"/>
  <c r="G35" i="10"/>
  <c r="J34" i="10"/>
  <c r="D30" i="13" s="1"/>
  <c r="I34" i="10"/>
  <c r="E30" i="13" s="1"/>
  <c r="G34" i="10"/>
  <c r="J33" i="10"/>
  <c r="D29" i="13" s="1"/>
  <c r="I33" i="10"/>
  <c r="E29" i="13" s="1"/>
  <c r="G33" i="10"/>
  <c r="J32" i="10"/>
  <c r="D28" i="13" s="1"/>
  <c r="I32" i="10"/>
  <c r="E28" i="13" s="1"/>
  <c r="G32" i="10"/>
  <c r="J31" i="10"/>
  <c r="D27" i="13" s="1"/>
  <c r="I31" i="10"/>
  <c r="E27" i="13" s="1"/>
  <c r="G31" i="10"/>
  <c r="E110" i="10"/>
  <c r="J30" i="10"/>
  <c r="D26" i="13" s="1"/>
  <c r="I30" i="10"/>
  <c r="E26" i="13" s="1"/>
  <c r="G30" i="10"/>
  <c r="J29" i="10"/>
  <c r="D25" i="13" s="1"/>
  <c r="I29" i="10"/>
  <c r="E25" i="13" s="1"/>
  <c r="G29" i="10"/>
  <c r="J28" i="10"/>
  <c r="D24" i="13" s="1"/>
  <c r="I28" i="10"/>
  <c r="E24" i="13" s="1"/>
  <c r="G28" i="10"/>
  <c r="J27" i="10"/>
  <c r="D23" i="13" s="1"/>
  <c r="I27" i="10"/>
  <c r="E23" i="13" s="1"/>
  <c r="G27" i="10"/>
  <c r="J26" i="10"/>
  <c r="D22" i="13" s="1"/>
  <c r="I26" i="10"/>
  <c r="E22" i="13" s="1"/>
  <c r="J25" i="10"/>
  <c r="D21" i="13" s="1"/>
  <c r="I25" i="10"/>
  <c r="E21" i="13" s="1"/>
  <c r="J24" i="10"/>
  <c r="D20" i="13" s="1"/>
  <c r="I24" i="10"/>
  <c r="E20" i="13" s="1"/>
  <c r="J23" i="10"/>
  <c r="D19" i="13" s="1"/>
  <c r="I23" i="10"/>
  <c r="E19" i="13" s="1"/>
  <c r="J22" i="10"/>
  <c r="D18" i="13" s="1"/>
  <c r="I22" i="10"/>
  <c r="E18" i="13" s="1"/>
  <c r="G22" i="10"/>
  <c r="J21" i="10"/>
  <c r="D17" i="13" s="1"/>
  <c r="I21" i="10"/>
  <c r="E17" i="13" s="1"/>
  <c r="G21" i="10"/>
  <c r="J20" i="10"/>
  <c r="D16" i="13" s="1"/>
  <c r="I20" i="10"/>
  <c r="E16" i="13" s="1"/>
  <c r="G20" i="10"/>
  <c r="J19" i="10"/>
  <c r="D15" i="13" s="1"/>
  <c r="I19" i="10"/>
  <c r="E15" i="13" s="1"/>
  <c r="G19" i="10"/>
  <c r="J18" i="10"/>
  <c r="D14" i="13" s="1"/>
  <c r="I18" i="10"/>
  <c r="E14" i="13" s="1"/>
  <c r="G18" i="10"/>
  <c r="J17" i="10"/>
  <c r="D13" i="13" s="1"/>
  <c r="I17" i="10"/>
  <c r="E13" i="13" s="1"/>
  <c r="G17" i="10"/>
  <c r="J16" i="10"/>
  <c r="D12" i="13" s="1"/>
  <c r="I16" i="10"/>
  <c r="E12" i="13" s="1"/>
  <c r="G16" i="10"/>
  <c r="J15" i="10"/>
  <c r="D11" i="13" s="1"/>
  <c r="I15" i="10"/>
  <c r="E11" i="13" s="1"/>
  <c r="G15" i="10"/>
  <c r="J14" i="10"/>
  <c r="D10" i="13" s="1"/>
  <c r="I14" i="10"/>
  <c r="E10" i="13" s="1"/>
  <c r="G14" i="10"/>
  <c r="J13" i="10"/>
  <c r="D9" i="13" s="1"/>
  <c r="I13" i="10"/>
  <c r="E9" i="13" s="1"/>
  <c r="G13" i="10"/>
  <c r="J12" i="10"/>
  <c r="I12" i="10"/>
  <c r="E8" i="13" s="1"/>
  <c r="G12" i="10"/>
  <c r="J11" i="10"/>
  <c r="I11" i="10"/>
  <c r="G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J10" i="10"/>
  <c r="I10" i="10"/>
  <c r="E6" i="13" s="1"/>
  <c r="G10" i="10"/>
  <c r="A1" i="10"/>
  <c r="A16" i="8"/>
  <c r="R5" i="8"/>
  <c r="AE5" i="8" s="1"/>
  <c r="AR5" i="8" s="1"/>
  <c r="BE5" i="8" s="1"/>
  <c r="BR5" i="8" s="1"/>
  <c r="Q5" i="8"/>
  <c r="AD5" i="8" s="1"/>
  <c r="AQ5" i="8" s="1"/>
  <c r="BD5" i="8" s="1"/>
  <c r="BQ5" i="8" s="1"/>
  <c r="P5" i="8"/>
  <c r="AC5" i="8" s="1"/>
  <c r="AP5" i="8" s="1"/>
  <c r="BC5" i="8" s="1"/>
  <c r="BP5" i="8" s="1"/>
  <c r="O5" i="8"/>
  <c r="AB5" i="8" s="1"/>
  <c r="AO5" i="8" s="1"/>
  <c r="BB5" i="8" s="1"/>
  <c r="BO5" i="8" s="1"/>
  <c r="N5" i="8"/>
  <c r="AA5" i="8" s="1"/>
  <c r="AN5" i="8" s="1"/>
  <c r="BA5" i="8" s="1"/>
  <c r="BN5" i="8" s="1"/>
  <c r="M5" i="8"/>
  <c r="Z5" i="8" s="1"/>
  <c r="AM5" i="8" s="1"/>
  <c r="AZ5" i="8" s="1"/>
  <c r="BM5" i="8" s="1"/>
  <c r="L5" i="8"/>
  <c r="Y5" i="8" s="1"/>
  <c r="AL5" i="8" s="1"/>
  <c r="AY5" i="8" s="1"/>
  <c r="BL5" i="8" s="1"/>
  <c r="K5" i="8"/>
  <c r="X5" i="8" s="1"/>
  <c r="AK5" i="8" s="1"/>
  <c r="AX5" i="8" s="1"/>
  <c r="BK5" i="8" s="1"/>
  <c r="J5" i="8"/>
  <c r="W5" i="8" s="1"/>
  <c r="AJ5" i="8" s="1"/>
  <c r="AW5" i="8" s="1"/>
  <c r="BJ5" i="8" s="1"/>
  <c r="I5" i="8"/>
  <c r="V5" i="8" s="1"/>
  <c r="AI5" i="8" s="1"/>
  <c r="AV5" i="8" s="1"/>
  <c r="BI5" i="8" s="1"/>
  <c r="H5" i="8"/>
  <c r="U5" i="8" s="1"/>
  <c r="AH5" i="8" s="1"/>
  <c r="AU5" i="8" s="1"/>
  <c r="BH5" i="8" s="1"/>
  <c r="G5" i="8"/>
  <c r="T5" i="8" s="1"/>
  <c r="AG5" i="8" s="1"/>
  <c r="AT5" i="8" s="1"/>
  <c r="BG5" i="8" s="1"/>
  <c r="A1" i="8"/>
  <c r="H53" i="3"/>
  <c r="S76" i="7"/>
  <c r="R76" i="7"/>
  <c r="Q72" i="7"/>
  <c r="P72" i="7"/>
  <c r="O72" i="7"/>
  <c r="P60" i="7"/>
  <c r="O60" i="7"/>
  <c r="N60" i="7"/>
  <c r="M60" i="7"/>
  <c r="L60" i="7"/>
  <c r="K60" i="7"/>
  <c r="S59" i="7"/>
  <c r="R59" i="7"/>
  <c r="Q59" i="7"/>
  <c r="P59" i="7"/>
  <c r="O59" i="7"/>
  <c r="N59" i="7"/>
  <c r="M59" i="7"/>
  <c r="L59" i="7"/>
  <c r="K59" i="7"/>
  <c r="J59" i="7"/>
  <c r="S58" i="7"/>
  <c r="R58" i="7"/>
  <c r="Q58" i="7"/>
  <c r="P58" i="7"/>
  <c r="O58" i="7"/>
  <c r="N58" i="7"/>
  <c r="M58" i="7"/>
  <c r="L58" i="7"/>
  <c r="K58" i="7"/>
  <c r="J58" i="7"/>
  <c r="I58" i="7"/>
  <c r="H58" i="7"/>
  <c r="S57" i="7"/>
  <c r="R57" i="7"/>
  <c r="Q57" i="7"/>
  <c r="P57" i="7"/>
  <c r="O57" i="7"/>
  <c r="N57" i="7"/>
  <c r="M57" i="7"/>
  <c r="L57" i="7"/>
  <c r="K57" i="7"/>
  <c r="J57" i="7"/>
  <c r="I57" i="7"/>
  <c r="H57" i="7"/>
  <c r="S56" i="7"/>
  <c r="R56" i="7"/>
  <c r="Q56" i="7"/>
  <c r="P56" i="7"/>
  <c r="O56" i="7"/>
  <c r="N56" i="7"/>
  <c r="M56" i="7"/>
  <c r="L56" i="7"/>
  <c r="K56" i="7"/>
  <c r="J56" i="7"/>
  <c r="I56" i="7"/>
  <c r="S55" i="7"/>
  <c r="R55" i="7"/>
  <c r="Q55" i="7"/>
  <c r="P55" i="7"/>
  <c r="O55" i="7"/>
  <c r="N55" i="7"/>
  <c r="M55" i="7"/>
  <c r="L55" i="7"/>
  <c r="K55" i="7"/>
  <c r="J55" i="7"/>
  <c r="I55" i="7"/>
  <c r="H55" i="7"/>
  <c r="S54" i="7"/>
  <c r="R54" i="7"/>
  <c r="Q54" i="7"/>
  <c r="P54" i="7"/>
  <c r="O54" i="7"/>
  <c r="N54" i="7"/>
  <c r="M54" i="7"/>
  <c r="L54" i="7"/>
  <c r="K54" i="7"/>
  <c r="J54" i="7"/>
  <c r="I54" i="7"/>
  <c r="H54" i="7"/>
  <c r="S53" i="7"/>
  <c r="R53" i="7"/>
  <c r="P53" i="7"/>
  <c r="O53" i="7"/>
  <c r="N53" i="7"/>
  <c r="L53" i="7"/>
  <c r="K53" i="7"/>
  <c r="J53" i="7"/>
  <c r="H53" i="7"/>
  <c r="S73" i="7"/>
  <c r="R52" i="7"/>
  <c r="Q52" i="7"/>
  <c r="P52" i="7"/>
  <c r="O73" i="7"/>
  <c r="N52" i="7"/>
  <c r="M52" i="7"/>
  <c r="K73" i="7"/>
  <c r="J52" i="7"/>
  <c r="T7" i="7"/>
  <c r="S5" i="7"/>
  <c r="AF5" i="7" s="1"/>
  <c r="AS5" i="7" s="1"/>
  <c r="BF5" i="7" s="1"/>
  <c r="BS5" i="7" s="1"/>
  <c r="R5" i="7"/>
  <c r="AE5" i="7" s="1"/>
  <c r="AR5" i="7" s="1"/>
  <c r="BE5" i="7" s="1"/>
  <c r="BR5" i="7" s="1"/>
  <c r="Q5" i="7"/>
  <c r="AD5" i="7" s="1"/>
  <c r="AQ5" i="7" s="1"/>
  <c r="BD5" i="7" s="1"/>
  <c r="BQ5" i="7" s="1"/>
  <c r="P5" i="7"/>
  <c r="AC5" i="7" s="1"/>
  <c r="AP5" i="7" s="1"/>
  <c r="BC5" i="7" s="1"/>
  <c r="BP5" i="7" s="1"/>
  <c r="O5" i="7"/>
  <c r="AB5" i="7" s="1"/>
  <c r="AO5" i="7" s="1"/>
  <c r="BB5" i="7" s="1"/>
  <c r="BO5" i="7" s="1"/>
  <c r="N5" i="7"/>
  <c r="AA5" i="7" s="1"/>
  <c r="AN5" i="7" s="1"/>
  <c r="BA5" i="7" s="1"/>
  <c r="BN5" i="7" s="1"/>
  <c r="M5" i="7"/>
  <c r="Z5" i="7" s="1"/>
  <c r="AM5" i="7" s="1"/>
  <c r="AZ5" i="7" s="1"/>
  <c r="BM5" i="7" s="1"/>
  <c r="L5" i="7"/>
  <c r="Y5" i="7" s="1"/>
  <c r="AL5" i="7" s="1"/>
  <c r="AY5" i="7" s="1"/>
  <c r="BL5" i="7" s="1"/>
  <c r="K5" i="7"/>
  <c r="X5" i="7" s="1"/>
  <c r="AK5" i="7" s="1"/>
  <c r="AX5" i="7" s="1"/>
  <c r="BK5" i="7" s="1"/>
  <c r="J5" i="7"/>
  <c r="W5" i="7" s="1"/>
  <c r="AJ5" i="7" s="1"/>
  <c r="AW5" i="7" s="1"/>
  <c r="BJ5" i="7" s="1"/>
  <c r="I5" i="7"/>
  <c r="V5" i="7" s="1"/>
  <c r="AI5" i="7" s="1"/>
  <c r="AV5" i="7" s="1"/>
  <c r="BI5" i="7" s="1"/>
  <c r="H5" i="7"/>
  <c r="U5" i="7" s="1"/>
  <c r="AH5" i="7" s="1"/>
  <c r="AU5" i="7" s="1"/>
  <c r="BH5" i="7" s="1"/>
  <c r="A1" i="7"/>
  <c r="BR89" i="6"/>
  <c r="BQ89" i="6"/>
  <c r="BP89" i="6"/>
  <c r="BO89" i="6"/>
  <c r="BN89" i="6"/>
  <c r="BM89" i="6"/>
  <c r="BL89" i="6"/>
  <c r="BK89" i="6"/>
  <c r="BJ89" i="6"/>
  <c r="BI89" i="6"/>
  <c r="BH89" i="6"/>
  <c r="BG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E89" i="6"/>
  <c r="AD89" i="6"/>
  <c r="AC89" i="6"/>
  <c r="AB89" i="6"/>
  <c r="AA89" i="6"/>
  <c r="Z89" i="6"/>
  <c r="Y89" i="6"/>
  <c r="X89" i="6"/>
  <c r="W89" i="6"/>
  <c r="V89" i="6"/>
  <c r="U89" i="6"/>
  <c r="T89" i="6"/>
  <c r="R89" i="6"/>
  <c r="Q89" i="6"/>
  <c r="P89" i="6"/>
  <c r="O89" i="6"/>
  <c r="N89" i="6"/>
  <c r="M89" i="6"/>
  <c r="L89" i="6"/>
  <c r="K89" i="6"/>
  <c r="J89" i="6"/>
  <c r="I89" i="6"/>
  <c r="H89" i="6"/>
  <c r="G88" i="6"/>
  <c r="BT88" i="6" s="1"/>
  <c r="BR81" i="6"/>
  <c r="BQ81" i="6"/>
  <c r="BP81" i="6"/>
  <c r="BO81" i="6"/>
  <c r="BN81" i="6"/>
  <c r="BM81" i="6"/>
  <c r="BL81" i="6"/>
  <c r="BK81" i="6"/>
  <c r="BJ81" i="6"/>
  <c r="BI81" i="6"/>
  <c r="BH81" i="6"/>
  <c r="BG81" i="6"/>
  <c r="BS81" i="6" s="1"/>
  <c r="BE81" i="6"/>
  <c r="BD81" i="6"/>
  <c r="BC81" i="6"/>
  <c r="BB81" i="6"/>
  <c r="BA81" i="6"/>
  <c r="AZ81" i="6"/>
  <c r="AY81" i="6"/>
  <c r="AX81" i="6"/>
  <c r="AW81" i="6"/>
  <c r="AV81" i="6"/>
  <c r="AU81" i="6"/>
  <c r="AT81" i="6"/>
  <c r="BF81" i="6" s="1"/>
  <c r="AR81" i="6"/>
  <c r="AQ81" i="6"/>
  <c r="AP81" i="6"/>
  <c r="AO81" i="6"/>
  <c r="AN81" i="6"/>
  <c r="AM81" i="6"/>
  <c r="AL81" i="6"/>
  <c r="AK81" i="6"/>
  <c r="AJ81" i="6"/>
  <c r="AI81" i="6"/>
  <c r="AH81" i="6"/>
  <c r="AG81" i="6"/>
  <c r="AS81" i="6" s="1"/>
  <c r="AE81" i="6"/>
  <c r="AD81" i="6"/>
  <c r="AC81" i="6"/>
  <c r="AB81" i="6"/>
  <c r="AA81" i="6"/>
  <c r="Z81" i="6"/>
  <c r="Y81" i="6"/>
  <c r="X81" i="6"/>
  <c r="W81" i="6"/>
  <c r="V81" i="6"/>
  <c r="U81" i="6"/>
  <c r="T81" i="6"/>
  <c r="AF81" i="6" s="1"/>
  <c r="R81" i="6"/>
  <c r="Q81" i="6"/>
  <c r="P81" i="6"/>
  <c r="O81" i="6"/>
  <c r="N81" i="6"/>
  <c r="M81" i="6"/>
  <c r="L81" i="6"/>
  <c r="K81" i="6"/>
  <c r="J81" i="6"/>
  <c r="I81" i="6"/>
  <c r="H81" i="6"/>
  <c r="G81" i="6"/>
  <c r="BS80" i="6"/>
  <c r="BF80" i="6"/>
  <c r="AS80" i="6"/>
  <c r="AF80" i="6"/>
  <c r="G80" i="6"/>
  <c r="S80" i="6" s="1"/>
  <c r="BR79" i="6"/>
  <c r="BQ79" i="6"/>
  <c r="BP79" i="6"/>
  <c r="BO79" i="6"/>
  <c r="BN79" i="6"/>
  <c r="BM79" i="6"/>
  <c r="BL79" i="6"/>
  <c r="BK79" i="6"/>
  <c r="BJ79" i="6"/>
  <c r="BI79" i="6"/>
  <c r="BH79" i="6"/>
  <c r="BG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E79" i="6"/>
  <c r="AD79" i="6"/>
  <c r="AC79" i="6"/>
  <c r="AB79" i="6"/>
  <c r="AA79" i="6"/>
  <c r="Z79" i="6"/>
  <c r="Y79" i="6"/>
  <c r="X79" i="6"/>
  <c r="W79" i="6"/>
  <c r="V79" i="6"/>
  <c r="U79" i="6"/>
  <c r="T79" i="6"/>
  <c r="R79" i="6"/>
  <c r="Q79" i="6"/>
  <c r="P79" i="6"/>
  <c r="O79" i="6"/>
  <c r="N79" i="6"/>
  <c r="M79" i="6"/>
  <c r="L79" i="6"/>
  <c r="K79" i="6"/>
  <c r="J79" i="6"/>
  <c r="I79" i="6"/>
  <c r="H79" i="6"/>
  <c r="G79" i="6"/>
  <c r="BT78" i="6"/>
  <c r="S78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S74" i="6" s="1"/>
  <c r="BE74" i="6"/>
  <c r="BD74" i="6"/>
  <c r="BC74" i="6"/>
  <c r="BB74" i="6"/>
  <c r="BA74" i="6"/>
  <c r="AZ74" i="6"/>
  <c r="AY74" i="6"/>
  <c r="AX74" i="6"/>
  <c r="AW74" i="6"/>
  <c r="AV74" i="6"/>
  <c r="AU74" i="6"/>
  <c r="AT74" i="6"/>
  <c r="BF74" i="6" s="1"/>
  <c r="AR74" i="6"/>
  <c r="AQ74" i="6"/>
  <c r="AP74" i="6"/>
  <c r="AO74" i="6"/>
  <c r="AN74" i="6"/>
  <c r="AM74" i="6"/>
  <c r="AL74" i="6"/>
  <c r="AK74" i="6"/>
  <c r="AJ74" i="6"/>
  <c r="AI74" i="6"/>
  <c r="AH74" i="6"/>
  <c r="AG74" i="6"/>
  <c r="AS74" i="6" s="1"/>
  <c r="AE74" i="6"/>
  <c r="AD74" i="6"/>
  <c r="AC74" i="6"/>
  <c r="AB74" i="6"/>
  <c r="AA74" i="6"/>
  <c r="Z74" i="6"/>
  <c r="Y74" i="6"/>
  <c r="X74" i="6"/>
  <c r="W74" i="6"/>
  <c r="V74" i="6"/>
  <c r="U74" i="6"/>
  <c r="T74" i="6"/>
  <c r="AF74" i="6" s="1"/>
  <c r="R74" i="6"/>
  <c r="Q74" i="6"/>
  <c r="P74" i="6"/>
  <c r="O74" i="6"/>
  <c r="N74" i="6"/>
  <c r="M74" i="6"/>
  <c r="L74" i="6"/>
  <c r="K74" i="6"/>
  <c r="J74" i="6"/>
  <c r="I74" i="6"/>
  <c r="H74" i="6"/>
  <c r="G74" i="6"/>
  <c r="BS73" i="6"/>
  <c r="BF73" i="6"/>
  <c r="AS73" i="6"/>
  <c r="AF73" i="6"/>
  <c r="G73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E72" i="6"/>
  <c r="AD72" i="6"/>
  <c r="AC72" i="6"/>
  <c r="AB72" i="6"/>
  <c r="AA72" i="6"/>
  <c r="Z72" i="6"/>
  <c r="Y72" i="6"/>
  <c r="X72" i="6"/>
  <c r="W72" i="6"/>
  <c r="V72" i="6"/>
  <c r="U72" i="6"/>
  <c r="T72" i="6"/>
  <c r="R72" i="6"/>
  <c r="Q72" i="6"/>
  <c r="P72" i="6"/>
  <c r="O72" i="6"/>
  <c r="N72" i="6"/>
  <c r="M72" i="6"/>
  <c r="L72" i="6"/>
  <c r="K72" i="6"/>
  <c r="J72" i="6"/>
  <c r="I72" i="6"/>
  <c r="H72" i="6"/>
  <c r="G72" i="6"/>
  <c r="BT71" i="6"/>
  <c r="S71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S67" i="6" s="1"/>
  <c r="BE67" i="6"/>
  <c r="BD67" i="6"/>
  <c r="BC67" i="6"/>
  <c r="BB67" i="6"/>
  <c r="BA67" i="6"/>
  <c r="AZ67" i="6"/>
  <c r="AY67" i="6"/>
  <c r="AX67" i="6"/>
  <c r="AW67" i="6"/>
  <c r="AV67" i="6"/>
  <c r="AU67" i="6"/>
  <c r="AT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S67" i="6" s="1"/>
  <c r="AE67" i="6"/>
  <c r="AD67" i="6"/>
  <c r="AC67" i="6"/>
  <c r="AB67" i="6"/>
  <c r="AA67" i="6"/>
  <c r="Z67" i="6"/>
  <c r="Y67" i="6"/>
  <c r="X67" i="6"/>
  <c r="W67" i="6"/>
  <c r="V67" i="6"/>
  <c r="U67" i="6"/>
  <c r="T67" i="6"/>
  <c r="AF67" i="6" s="1"/>
  <c r="S67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E66" i="6"/>
  <c r="AD66" i="6"/>
  <c r="AC66" i="6"/>
  <c r="AB66" i="6"/>
  <c r="AA66" i="6"/>
  <c r="Z66" i="6"/>
  <c r="Y66" i="6"/>
  <c r="X66" i="6"/>
  <c r="W66" i="6"/>
  <c r="V66" i="6"/>
  <c r="U66" i="6"/>
  <c r="T66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E65" i="6"/>
  <c r="AD65" i="6"/>
  <c r="AC65" i="6"/>
  <c r="AB65" i="6"/>
  <c r="AA65" i="6"/>
  <c r="Z65" i="6"/>
  <c r="Y65" i="6"/>
  <c r="X65" i="6"/>
  <c r="W65" i="6"/>
  <c r="V65" i="6"/>
  <c r="U65" i="6"/>
  <c r="T65" i="6"/>
  <c r="R65" i="6"/>
  <c r="Q65" i="6"/>
  <c r="P65" i="6"/>
  <c r="O65" i="6"/>
  <c r="N65" i="6"/>
  <c r="M65" i="6"/>
  <c r="L65" i="6"/>
  <c r="K65" i="6"/>
  <c r="J65" i="6"/>
  <c r="I65" i="6"/>
  <c r="H65" i="6"/>
  <c r="G65" i="6"/>
  <c r="BT64" i="6"/>
  <c r="S64" i="6"/>
  <c r="R59" i="6"/>
  <c r="R95" i="6" s="1"/>
  <c r="Q59" i="6"/>
  <c r="Q95" i="6" s="1"/>
  <c r="P59" i="6"/>
  <c r="P95" i="6" s="1"/>
  <c r="O59" i="6"/>
  <c r="O95" i="6" s="1"/>
  <c r="N59" i="6"/>
  <c r="N95" i="6" s="1"/>
  <c r="M59" i="6"/>
  <c r="M95" i="6" s="1"/>
  <c r="L59" i="6"/>
  <c r="L95" i="6" s="1"/>
  <c r="K59" i="6"/>
  <c r="K95" i="6" s="1"/>
  <c r="J59" i="6"/>
  <c r="J95" i="6" s="1"/>
  <c r="I59" i="6"/>
  <c r="H59" i="6"/>
  <c r="G59" i="6"/>
  <c r="BS58" i="6"/>
  <c r="BF58" i="6"/>
  <c r="AS58" i="6"/>
  <c r="AF58" i="6"/>
  <c r="S58" i="6"/>
  <c r="BS57" i="6"/>
  <c r="BF57" i="6"/>
  <c r="AS57" i="6"/>
  <c r="AF57" i="6"/>
  <c r="S57" i="6"/>
  <c r="BS56" i="6"/>
  <c r="BF56" i="6"/>
  <c r="AS56" i="6"/>
  <c r="AF56" i="6"/>
  <c r="S56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BT52" i="6"/>
  <c r="S52" i="6"/>
  <c r="BR45" i="6"/>
  <c r="BR53" i="6" s="1"/>
  <c r="BQ45" i="6"/>
  <c r="BP45" i="6"/>
  <c r="BO45" i="6"/>
  <c r="BN45" i="6"/>
  <c r="BN53" i="6" s="1"/>
  <c r="BM45" i="6"/>
  <c r="BL45" i="6"/>
  <c r="BK45" i="6"/>
  <c r="BJ45" i="6"/>
  <c r="BJ53" i="6" s="1"/>
  <c r="BI45" i="6"/>
  <c r="BH45" i="6"/>
  <c r="BH53" i="6" s="1"/>
  <c r="BG45" i="6"/>
  <c r="BE45" i="6"/>
  <c r="BD45" i="6"/>
  <c r="BD53" i="6" s="1"/>
  <c r="BC45" i="6"/>
  <c r="BB45" i="6"/>
  <c r="BB53" i="6" s="1"/>
  <c r="BA45" i="6"/>
  <c r="AZ45" i="6"/>
  <c r="AY45" i="6"/>
  <c r="AX45" i="6"/>
  <c r="AX53" i="6" s="1"/>
  <c r="AW45" i="6"/>
  <c r="AV45" i="6"/>
  <c r="AU45" i="6"/>
  <c r="AT45" i="6"/>
  <c r="AT53" i="6" s="1"/>
  <c r="AR45" i="6"/>
  <c r="AR53" i="6" s="1"/>
  <c r="AQ45" i="6"/>
  <c r="AP45" i="6"/>
  <c r="AO45" i="6"/>
  <c r="AN45" i="6"/>
  <c r="AN53" i="6" s="1"/>
  <c r="AM45" i="6"/>
  <c r="AL45" i="6"/>
  <c r="AK45" i="6"/>
  <c r="AJ45" i="6"/>
  <c r="AI45" i="6"/>
  <c r="AH45" i="6"/>
  <c r="AG45" i="6"/>
  <c r="AE45" i="6"/>
  <c r="AE53" i="6" s="1"/>
  <c r="AD45" i="6"/>
  <c r="AC45" i="6"/>
  <c r="AB45" i="6"/>
  <c r="AB53" i="6" s="1"/>
  <c r="AA45" i="6"/>
  <c r="AA53" i="6" s="1"/>
  <c r="Z45" i="6"/>
  <c r="Z53" i="6" s="1"/>
  <c r="Y45" i="6"/>
  <c r="X45" i="6"/>
  <c r="X53" i="6" s="1"/>
  <c r="W45" i="6"/>
  <c r="W53" i="6" s="1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B45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BS8" i="6"/>
  <c r="BS45" i="6" s="1"/>
  <c r="BF8" i="6"/>
  <c r="BF45" i="6" s="1"/>
  <c r="AS8" i="6"/>
  <c r="AS45" i="6" s="1"/>
  <c r="AF8" i="6"/>
  <c r="AF45" i="6" s="1"/>
  <c r="S8" i="6"/>
  <c r="R5" i="6"/>
  <c r="AE5" i="6" s="1"/>
  <c r="AR5" i="6" s="1"/>
  <c r="BE5" i="6" s="1"/>
  <c r="BR5" i="6" s="1"/>
  <c r="Q5" i="6"/>
  <c r="AD5" i="6" s="1"/>
  <c r="AQ5" i="6" s="1"/>
  <c r="BD5" i="6" s="1"/>
  <c r="BQ5" i="6" s="1"/>
  <c r="P5" i="6"/>
  <c r="AC5" i="6" s="1"/>
  <c r="AP5" i="6" s="1"/>
  <c r="BC5" i="6" s="1"/>
  <c r="BP5" i="6" s="1"/>
  <c r="O5" i="6"/>
  <c r="AB5" i="6" s="1"/>
  <c r="AO5" i="6" s="1"/>
  <c r="BB5" i="6" s="1"/>
  <c r="BO5" i="6" s="1"/>
  <c r="N5" i="6"/>
  <c r="AA5" i="6" s="1"/>
  <c r="AN5" i="6" s="1"/>
  <c r="BA5" i="6" s="1"/>
  <c r="BN5" i="6" s="1"/>
  <c r="M5" i="6"/>
  <c r="Z5" i="6" s="1"/>
  <c r="AM5" i="6" s="1"/>
  <c r="AZ5" i="6" s="1"/>
  <c r="BM5" i="6" s="1"/>
  <c r="L5" i="6"/>
  <c r="Y5" i="6" s="1"/>
  <c r="AL5" i="6" s="1"/>
  <c r="AY5" i="6" s="1"/>
  <c r="BL5" i="6" s="1"/>
  <c r="K5" i="6"/>
  <c r="X5" i="6" s="1"/>
  <c r="AK5" i="6" s="1"/>
  <c r="AX5" i="6" s="1"/>
  <c r="BK5" i="6" s="1"/>
  <c r="J5" i="6"/>
  <c r="W5" i="6" s="1"/>
  <c r="AJ5" i="6" s="1"/>
  <c r="AW5" i="6" s="1"/>
  <c r="BJ5" i="6" s="1"/>
  <c r="I5" i="6"/>
  <c r="V5" i="6" s="1"/>
  <c r="AI5" i="6" s="1"/>
  <c r="AV5" i="6" s="1"/>
  <c r="BI5" i="6" s="1"/>
  <c r="H5" i="6"/>
  <c r="U5" i="6" s="1"/>
  <c r="AH5" i="6" s="1"/>
  <c r="AU5" i="6" s="1"/>
  <c r="BH5" i="6" s="1"/>
  <c r="G5" i="6"/>
  <c r="T5" i="6" s="1"/>
  <c r="AG5" i="6" s="1"/>
  <c r="AT5" i="6" s="1"/>
  <c r="BG5" i="6" s="1"/>
  <c r="A1" i="6"/>
  <c r="B59" i="5"/>
  <c r="G41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E36" i="4"/>
  <c r="AD36" i="4"/>
  <c r="AC36" i="4"/>
  <c r="AB36" i="4"/>
  <c r="AA36" i="4"/>
  <c r="Z36" i="4"/>
  <c r="Y36" i="4"/>
  <c r="X36" i="4"/>
  <c r="W36" i="4"/>
  <c r="V36" i="4"/>
  <c r="U36" i="4"/>
  <c r="T36" i="4"/>
  <c r="R36" i="4"/>
  <c r="Q36" i="4"/>
  <c r="P36" i="4"/>
  <c r="O36" i="4"/>
  <c r="N36" i="4"/>
  <c r="M36" i="4"/>
  <c r="L36" i="4"/>
  <c r="K36" i="4"/>
  <c r="J36" i="4"/>
  <c r="I36" i="4"/>
  <c r="H36" i="4"/>
  <c r="G36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E35" i="4"/>
  <c r="AD35" i="4"/>
  <c r="AC35" i="4"/>
  <c r="AB35" i="4"/>
  <c r="AA35" i="4"/>
  <c r="Z35" i="4"/>
  <c r="Y35" i="4"/>
  <c r="X35" i="4"/>
  <c r="W35" i="4"/>
  <c r="V35" i="4"/>
  <c r="U35" i="4"/>
  <c r="T35" i="4"/>
  <c r="R35" i="4"/>
  <c r="Q35" i="4"/>
  <c r="P35" i="4"/>
  <c r="O35" i="4"/>
  <c r="N35" i="4"/>
  <c r="M35" i="4"/>
  <c r="L35" i="4"/>
  <c r="K35" i="4"/>
  <c r="J35" i="4"/>
  <c r="I35" i="4"/>
  <c r="H35" i="4"/>
  <c r="G35" i="4"/>
  <c r="BR19" i="4"/>
  <c r="BQ19" i="4"/>
  <c r="BP19" i="4"/>
  <c r="BO19" i="4"/>
  <c r="BN19" i="4"/>
  <c r="BM19" i="4"/>
  <c r="BL19" i="4"/>
  <c r="BK19" i="4"/>
  <c r="BJ19" i="4"/>
  <c r="BI19" i="4"/>
  <c r="R119" i="1" s="1"/>
  <c r="BH19" i="4"/>
  <c r="BG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R19" i="4"/>
  <c r="AQ19" i="4"/>
  <c r="AP19" i="4"/>
  <c r="AO19" i="4"/>
  <c r="AN19" i="4"/>
  <c r="AM19" i="4"/>
  <c r="AL19" i="4"/>
  <c r="AK19" i="4"/>
  <c r="AJ19" i="4"/>
  <c r="AI19" i="4"/>
  <c r="L119" i="1" s="1"/>
  <c r="AH19" i="4"/>
  <c r="AG19" i="4"/>
  <c r="AE19" i="4"/>
  <c r="AD19" i="4"/>
  <c r="AC19" i="4"/>
  <c r="AB19" i="4"/>
  <c r="AA19" i="4"/>
  <c r="Z19" i="4"/>
  <c r="Y19" i="4"/>
  <c r="X19" i="4"/>
  <c r="W19" i="4"/>
  <c r="V19" i="4"/>
  <c r="I119" i="1" s="1"/>
  <c r="U19" i="4"/>
  <c r="T19" i="4"/>
  <c r="R19" i="4"/>
  <c r="Q19" i="4"/>
  <c r="P19" i="4"/>
  <c r="O19" i="4"/>
  <c r="N19" i="4"/>
  <c r="M19" i="4"/>
  <c r="L19" i="4"/>
  <c r="K19" i="4"/>
  <c r="J19" i="4"/>
  <c r="I19" i="4"/>
  <c r="H19" i="4"/>
  <c r="G19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E18" i="4"/>
  <c r="AD18" i="4"/>
  <c r="AC18" i="4"/>
  <c r="AB18" i="4"/>
  <c r="AA18" i="4"/>
  <c r="Z18" i="4"/>
  <c r="Y18" i="4"/>
  <c r="X18" i="4"/>
  <c r="W18" i="4"/>
  <c r="V18" i="4"/>
  <c r="I118" i="1" s="1"/>
  <c r="U18" i="4"/>
  <c r="T18" i="4"/>
  <c r="R18" i="4"/>
  <c r="Q18" i="4"/>
  <c r="P18" i="4"/>
  <c r="O18" i="4"/>
  <c r="N18" i="4"/>
  <c r="M18" i="4"/>
  <c r="L18" i="4"/>
  <c r="K18" i="4"/>
  <c r="J18" i="4"/>
  <c r="I18" i="4"/>
  <c r="H18" i="4"/>
  <c r="G18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E16" i="4"/>
  <c r="AD16" i="4"/>
  <c r="AC16" i="4"/>
  <c r="AB16" i="4"/>
  <c r="AA16" i="4"/>
  <c r="Z16" i="4"/>
  <c r="Y16" i="4"/>
  <c r="X16" i="4"/>
  <c r="W16" i="4"/>
  <c r="V16" i="4"/>
  <c r="U16" i="4"/>
  <c r="T16" i="4"/>
  <c r="R16" i="4"/>
  <c r="Q16" i="4"/>
  <c r="P16" i="4"/>
  <c r="O16" i="4"/>
  <c r="N16" i="4"/>
  <c r="M16" i="4"/>
  <c r="L16" i="4"/>
  <c r="K16" i="4"/>
  <c r="J16" i="4"/>
  <c r="I16" i="4"/>
  <c r="H16" i="4"/>
  <c r="G16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E15" i="4"/>
  <c r="BD15" i="4"/>
  <c r="BC15" i="4"/>
  <c r="BB15" i="4"/>
  <c r="BA15" i="4"/>
  <c r="AZ15" i="4"/>
  <c r="AY15" i="4"/>
  <c r="AX15" i="4"/>
  <c r="AW15" i="4"/>
  <c r="AV15" i="4"/>
  <c r="O115" i="1" s="1"/>
  <c r="AU15" i="4"/>
  <c r="AT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E15" i="4"/>
  <c r="AD15" i="4"/>
  <c r="AC15" i="4"/>
  <c r="AB15" i="4"/>
  <c r="AA15" i="4"/>
  <c r="Z15" i="4"/>
  <c r="Y15" i="4"/>
  <c r="X15" i="4"/>
  <c r="W15" i="4"/>
  <c r="V15" i="4"/>
  <c r="U15" i="4"/>
  <c r="T15" i="4"/>
  <c r="R15" i="4"/>
  <c r="Q15" i="4"/>
  <c r="P15" i="4"/>
  <c r="O15" i="4"/>
  <c r="N15" i="4"/>
  <c r="M15" i="4"/>
  <c r="L15" i="4"/>
  <c r="K15" i="4"/>
  <c r="J15" i="4"/>
  <c r="I15" i="4"/>
  <c r="H15" i="4"/>
  <c r="G15" i="4"/>
  <c r="G13" i="4"/>
  <c r="R5" i="4"/>
  <c r="AE5" i="4" s="1"/>
  <c r="AR5" i="4" s="1"/>
  <c r="BE5" i="4" s="1"/>
  <c r="BR5" i="4" s="1"/>
  <c r="Q5" i="4"/>
  <c r="AD5" i="4" s="1"/>
  <c r="AQ5" i="4" s="1"/>
  <c r="BD5" i="4" s="1"/>
  <c r="BQ5" i="4" s="1"/>
  <c r="P5" i="4"/>
  <c r="AC5" i="4" s="1"/>
  <c r="AP5" i="4" s="1"/>
  <c r="BC5" i="4" s="1"/>
  <c r="BP5" i="4" s="1"/>
  <c r="O5" i="4"/>
  <c r="AB5" i="4" s="1"/>
  <c r="AO5" i="4" s="1"/>
  <c r="BB5" i="4" s="1"/>
  <c r="BO5" i="4" s="1"/>
  <c r="N5" i="4"/>
  <c r="AA5" i="4" s="1"/>
  <c r="AN5" i="4" s="1"/>
  <c r="BA5" i="4" s="1"/>
  <c r="BN5" i="4" s="1"/>
  <c r="M5" i="4"/>
  <c r="Z5" i="4" s="1"/>
  <c r="AM5" i="4" s="1"/>
  <c r="AZ5" i="4" s="1"/>
  <c r="BM5" i="4" s="1"/>
  <c r="L5" i="4"/>
  <c r="Y5" i="4" s="1"/>
  <c r="AL5" i="4" s="1"/>
  <c r="AY5" i="4" s="1"/>
  <c r="BL5" i="4" s="1"/>
  <c r="K5" i="4"/>
  <c r="X5" i="4" s="1"/>
  <c r="AK5" i="4" s="1"/>
  <c r="AX5" i="4" s="1"/>
  <c r="BK5" i="4" s="1"/>
  <c r="J5" i="4"/>
  <c r="W5" i="4" s="1"/>
  <c r="AJ5" i="4" s="1"/>
  <c r="AW5" i="4" s="1"/>
  <c r="BJ5" i="4" s="1"/>
  <c r="I5" i="4"/>
  <c r="V5" i="4" s="1"/>
  <c r="AI5" i="4" s="1"/>
  <c r="AV5" i="4" s="1"/>
  <c r="BI5" i="4" s="1"/>
  <c r="H5" i="4"/>
  <c r="U5" i="4" s="1"/>
  <c r="AH5" i="4" s="1"/>
  <c r="AU5" i="4" s="1"/>
  <c r="BH5" i="4" s="1"/>
  <c r="G5" i="4"/>
  <c r="T5" i="4" s="1"/>
  <c r="AG5" i="4" s="1"/>
  <c r="AT5" i="4" s="1"/>
  <c r="BG5" i="4" s="1"/>
  <c r="A1" i="4"/>
  <c r="Q51" i="3"/>
  <c r="P51" i="3"/>
  <c r="O51" i="3"/>
  <c r="N51" i="3"/>
  <c r="M51" i="3"/>
  <c r="L51" i="3"/>
  <c r="K51" i="3"/>
  <c r="J51" i="3"/>
  <c r="I51" i="3"/>
  <c r="H51" i="3"/>
  <c r="G51" i="3"/>
  <c r="F51" i="3"/>
  <c r="Q50" i="3"/>
  <c r="P50" i="3"/>
  <c r="O50" i="3"/>
  <c r="N50" i="3"/>
  <c r="M50" i="3"/>
  <c r="L50" i="3"/>
  <c r="K50" i="3"/>
  <c r="J50" i="3"/>
  <c r="I50" i="3"/>
  <c r="H50" i="3"/>
  <c r="G50" i="3"/>
  <c r="F50" i="3"/>
  <c r="Q49" i="3"/>
  <c r="P49" i="3"/>
  <c r="O49" i="3"/>
  <c r="N49" i="3"/>
  <c r="M49" i="3"/>
  <c r="L49" i="3"/>
  <c r="K49" i="3"/>
  <c r="J49" i="3"/>
  <c r="I49" i="3"/>
  <c r="H49" i="3"/>
  <c r="G49" i="3"/>
  <c r="F49" i="3"/>
  <c r="BT45" i="3"/>
  <c r="Q44" i="3"/>
  <c r="P44" i="3"/>
  <c r="O44" i="3"/>
  <c r="N44" i="3"/>
  <c r="M44" i="3"/>
  <c r="L44" i="3"/>
  <c r="K44" i="3"/>
  <c r="J44" i="3"/>
  <c r="I44" i="3"/>
  <c r="H44" i="3"/>
  <c r="G44" i="3"/>
  <c r="F44" i="3"/>
  <c r="AD43" i="3"/>
  <c r="AC43" i="3"/>
  <c r="AB43" i="3"/>
  <c r="AA43" i="3"/>
  <c r="Z43" i="3"/>
  <c r="Y43" i="3"/>
  <c r="X43" i="3"/>
  <c r="W43" i="3"/>
  <c r="V43" i="3"/>
  <c r="U43" i="3"/>
  <c r="T43" i="3"/>
  <c r="S43" i="3"/>
  <c r="Q43" i="3"/>
  <c r="P43" i="3"/>
  <c r="O43" i="3"/>
  <c r="N43" i="3"/>
  <c r="M43" i="3"/>
  <c r="L43" i="3"/>
  <c r="K43" i="3"/>
  <c r="J43" i="3"/>
  <c r="I43" i="3"/>
  <c r="H43" i="3"/>
  <c r="G43" i="3"/>
  <c r="F43" i="3"/>
  <c r="AD41" i="3"/>
  <c r="AC41" i="3"/>
  <c r="AB41" i="3"/>
  <c r="AA41" i="3"/>
  <c r="Z41" i="3"/>
  <c r="Y41" i="3"/>
  <c r="X41" i="3"/>
  <c r="W41" i="3"/>
  <c r="V41" i="3"/>
  <c r="U41" i="3"/>
  <c r="T41" i="3"/>
  <c r="S41" i="3"/>
  <c r="Q41" i="3"/>
  <c r="P41" i="3"/>
  <c r="O41" i="3"/>
  <c r="N41" i="3"/>
  <c r="M41" i="3"/>
  <c r="L41" i="3"/>
  <c r="K41" i="3"/>
  <c r="J41" i="3"/>
  <c r="I41" i="3"/>
  <c r="H41" i="3"/>
  <c r="G41" i="3"/>
  <c r="F41" i="3"/>
  <c r="Q39" i="3"/>
  <c r="P39" i="3"/>
  <c r="O39" i="3"/>
  <c r="N39" i="3"/>
  <c r="M39" i="3"/>
  <c r="L39" i="3"/>
  <c r="K39" i="3"/>
  <c r="J39" i="3"/>
  <c r="I39" i="3"/>
  <c r="H39" i="3"/>
  <c r="G39" i="3"/>
  <c r="F39" i="3"/>
  <c r="Q5" i="3"/>
  <c r="AD5" i="3" s="1"/>
  <c r="AQ5" i="3" s="1"/>
  <c r="BD5" i="3" s="1"/>
  <c r="BQ5" i="3" s="1"/>
  <c r="P5" i="3"/>
  <c r="AC5" i="3" s="1"/>
  <c r="AP5" i="3" s="1"/>
  <c r="BC5" i="3" s="1"/>
  <c r="BP5" i="3" s="1"/>
  <c r="O5" i="3"/>
  <c r="AB5" i="3" s="1"/>
  <c r="AO5" i="3" s="1"/>
  <c r="BB5" i="3" s="1"/>
  <c r="BO5" i="3" s="1"/>
  <c r="N5" i="3"/>
  <c r="AA5" i="3" s="1"/>
  <c r="AN5" i="3" s="1"/>
  <c r="BA5" i="3" s="1"/>
  <c r="BN5" i="3" s="1"/>
  <c r="M5" i="3"/>
  <c r="Z5" i="3" s="1"/>
  <c r="AM5" i="3" s="1"/>
  <c r="AZ5" i="3" s="1"/>
  <c r="BM5" i="3" s="1"/>
  <c r="L5" i="3"/>
  <c r="Y5" i="3" s="1"/>
  <c r="AL5" i="3" s="1"/>
  <c r="AY5" i="3" s="1"/>
  <c r="BL5" i="3" s="1"/>
  <c r="K5" i="3"/>
  <c r="X5" i="3" s="1"/>
  <c r="AK5" i="3" s="1"/>
  <c r="AX5" i="3" s="1"/>
  <c r="BK5" i="3" s="1"/>
  <c r="J5" i="3"/>
  <c r="W5" i="3" s="1"/>
  <c r="AJ5" i="3" s="1"/>
  <c r="AW5" i="3" s="1"/>
  <c r="BJ5" i="3" s="1"/>
  <c r="I5" i="3"/>
  <c r="V5" i="3" s="1"/>
  <c r="AI5" i="3" s="1"/>
  <c r="AV5" i="3" s="1"/>
  <c r="BI5" i="3" s="1"/>
  <c r="H5" i="3"/>
  <c r="U5" i="3" s="1"/>
  <c r="AH5" i="3" s="1"/>
  <c r="AU5" i="3" s="1"/>
  <c r="BH5" i="3" s="1"/>
  <c r="G5" i="3"/>
  <c r="T5" i="3" s="1"/>
  <c r="AG5" i="3" s="1"/>
  <c r="AT5" i="3" s="1"/>
  <c r="BG5" i="3" s="1"/>
  <c r="F5" i="3"/>
  <c r="S5" i="3" s="1"/>
  <c r="AF5" i="3" s="1"/>
  <c r="AS5" i="3" s="1"/>
  <c r="BF5" i="3" s="1"/>
  <c r="A1" i="3"/>
  <c r="E42" i="2"/>
  <c r="F40" i="2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A1" i="2"/>
  <c r="F138" i="1"/>
  <c r="R134" i="1"/>
  <c r="O134" i="1"/>
  <c r="L134" i="1"/>
  <c r="I134" i="1"/>
  <c r="F134" i="1"/>
  <c r="E41" i="1"/>
  <c r="R26" i="1"/>
  <c r="O26" i="1"/>
  <c r="L26" i="1"/>
  <c r="I26" i="1"/>
  <c r="F26" i="1"/>
  <c r="R25" i="1"/>
  <c r="O25" i="1"/>
  <c r="L25" i="1"/>
  <c r="I25" i="1"/>
  <c r="F25" i="1"/>
  <c r="R18" i="1"/>
  <c r="O18" i="1"/>
  <c r="L18" i="1"/>
  <c r="I18" i="1"/>
  <c r="F18" i="1"/>
  <c r="R13" i="1"/>
  <c r="O13" i="1"/>
  <c r="L13" i="1"/>
  <c r="I13" i="1"/>
  <c r="F13" i="1"/>
  <c r="A1" i="1"/>
  <c r="L132" i="7" l="1"/>
  <c r="J8" i="3" s="1"/>
  <c r="AE132" i="7"/>
  <c r="AC8" i="3" s="1"/>
  <c r="AC53" i="3" s="1"/>
  <c r="L125" i="7"/>
  <c r="J15" i="3" s="1"/>
  <c r="N15" i="3"/>
  <c r="M132" i="7"/>
  <c r="K8" i="3" s="1"/>
  <c r="T131" i="7"/>
  <c r="H15" i="3"/>
  <c r="T121" i="7"/>
  <c r="T122" i="7"/>
  <c r="AA132" i="7"/>
  <c r="Y8" i="3" s="1"/>
  <c r="Y53" i="3" s="1"/>
  <c r="T129" i="7"/>
  <c r="V132" i="7"/>
  <c r="T8" i="3" s="1"/>
  <c r="T53" i="3" s="1"/>
  <c r="AB132" i="7"/>
  <c r="Z8" i="3" s="1"/>
  <c r="Z53" i="3" s="1"/>
  <c r="J53" i="3"/>
  <c r="Q53" i="3"/>
  <c r="AF22" i="3"/>
  <c r="AG23" i="3"/>
  <c r="AF13" i="2" s="1"/>
  <c r="AD53" i="3"/>
  <c r="AD9" i="2"/>
  <c r="I8" i="1" s="1"/>
  <c r="AS11" i="3"/>
  <c r="BE11" i="3" s="1"/>
  <c r="AI10" i="8"/>
  <c r="AJ121" i="7"/>
  <c r="AJ128" i="7" s="1"/>
  <c r="AO13" i="8"/>
  <c r="AP124" i="7"/>
  <c r="AP131" i="7" s="1"/>
  <c r="AR13" i="8"/>
  <c r="AS124" i="7"/>
  <c r="AS131" i="7" s="1"/>
  <c r="AM11" i="8"/>
  <c r="AN122" i="7"/>
  <c r="AN129" i="7" s="1"/>
  <c r="U129" i="7"/>
  <c r="AG129" i="7" s="1"/>
  <c r="AG122" i="7"/>
  <c r="AI12" i="8"/>
  <c r="AJ123" i="7"/>
  <c r="AJ130" i="7" s="1"/>
  <c r="AN12" i="8"/>
  <c r="AO123" i="7"/>
  <c r="AO130" i="7" s="1"/>
  <c r="BO23" i="3"/>
  <c r="BN13" i="2" s="1"/>
  <c r="BO12" i="3"/>
  <c r="H130" i="7"/>
  <c r="T130" i="7" s="1"/>
  <c r="T123" i="7"/>
  <c r="O125" i="7"/>
  <c r="M15" i="3" s="1"/>
  <c r="O128" i="7"/>
  <c r="O132" i="7" s="1"/>
  <c r="M8" i="3" s="1"/>
  <c r="N9" i="2" s="1"/>
  <c r="Z132" i="7"/>
  <c r="X8" i="3" s="1"/>
  <c r="X53" i="3" s="1"/>
  <c r="R128" i="7"/>
  <c r="R132" i="7" s="1"/>
  <c r="P8" i="3" s="1"/>
  <c r="P53" i="3" s="1"/>
  <c r="R125" i="7"/>
  <c r="P15" i="3" s="1"/>
  <c r="U13" i="3"/>
  <c r="U14" i="3" s="1"/>
  <c r="BM12" i="3"/>
  <c r="BM23" i="3" s="1"/>
  <c r="BL13" i="2" s="1"/>
  <c r="AH11" i="8"/>
  <c r="AI122" i="7"/>
  <c r="AI129" i="7" s="1"/>
  <c r="AO11" i="8"/>
  <c r="AP122" i="7"/>
  <c r="AP129" i="7" s="1"/>
  <c r="AP11" i="8"/>
  <c r="AQ122" i="7"/>
  <c r="AQ129" i="7" s="1"/>
  <c r="AQ13" i="8"/>
  <c r="AR124" i="7"/>
  <c r="AR131" i="7" s="1"/>
  <c r="AK11" i="8"/>
  <c r="AL122" i="7"/>
  <c r="AL129" i="7" s="1"/>
  <c r="BK12" i="3"/>
  <c r="BK23" i="3" s="1"/>
  <c r="BJ13" i="2" s="1"/>
  <c r="BI12" i="3"/>
  <c r="BI23" i="3" s="1"/>
  <c r="BH13" i="2" s="1"/>
  <c r="AI13" i="8"/>
  <c r="AJ124" i="7"/>
  <c r="AJ131" i="7" s="1"/>
  <c r="BJ12" i="3"/>
  <c r="BJ23" i="3" s="1"/>
  <c r="BI13" i="2" s="1"/>
  <c r="AH12" i="8"/>
  <c r="AI123" i="7"/>
  <c r="AI130" i="7" s="1"/>
  <c r="N125" i="7"/>
  <c r="L15" i="3" s="1"/>
  <c r="N128" i="7"/>
  <c r="N132" i="7" s="1"/>
  <c r="L8" i="3" s="1"/>
  <c r="L53" i="3" s="1"/>
  <c r="X132" i="7"/>
  <c r="V8" i="3" s="1"/>
  <c r="V53" i="3" s="1"/>
  <c r="Q132" i="7"/>
  <c r="O8" i="3" s="1"/>
  <c r="AM12" i="8"/>
  <c r="AN123" i="7"/>
  <c r="AN130" i="7" s="1"/>
  <c r="AN13" i="8"/>
  <c r="AO124" i="7"/>
  <c r="AO131" i="7" s="1"/>
  <c r="AK13" i="8"/>
  <c r="AL124" i="7"/>
  <c r="AL131" i="7" s="1"/>
  <c r="AP12" i="8"/>
  <c r="AQ123" i="7"/>
  <c r="AQ130" i="7" s="1"/>
  <c r="AP13" i="8"/>
  <c r="AQ124" i="7"/>
  <c r="AQ131" i="7" s="1"/>
  <c r="AO10" i="8"/>
  <c r="AP121" i="7"/>
  <c r="AP128" i="7" s="1"/>
  <c r="U130" i="7"/>
  <c r="AG130" i="7" s="1"/>
  <c r="AG123" i="7"/>
  <c r="AR10" i="8"/>
  <c r="AS121" i="7"/>
  <c r="AS128" i="7" s="1"/>
  <c r="AM10" i="8"/>
  <c r="AN121" i="7"/>
  <c r="AN128" i="7" s="1"/>
  <c r="U128" i="7"/>
  <c r="AG121" i="7"/>
  <c r="BL12" i="3"/>
  <c r="BL23" i="3" s="1"/>
  <c r="BK13" i="2" s="1"/>
  <c r="BN12" i="3"/>
  <c r="BN23" i="3" s="1"/>
  <c r="BM13" i="2" s="1"/>
  <c r="AP10" i="8"/>
  <c r="AQ121" i="7"/>
  <c r="AQ128" i="7" s="1"/>
  <c r="AK10" i="8"/>
  <c r="AL121" i="7"/>
  <c r="AL128" i="7" s="1"/>
  <c r="K125" i="7"/>
  <c r="I15" i="3" s="1"/>
  <c r="K128" i="7"/>
  <c r="K132" i="7" s="1"/>
  <c r="I8" i="3" s="1"/>
  <c r="J9" i="2" s="1"/>
  <c r="M125" i="7"/>
  <c r="K15" i="3" s="1"/>
  <c r="Q125" i="7"/>
  <c r="O15" i="3" s="1"/>
  <c r="AG124" i="7"/>
  <c r="BH23" i="3"/>
  <c r="BG13" i="2" s="1"/>
  <c r="BH12" i="3"/>
  <c r="AK12" i="8"/>
  <c r="AL123" i="7"/>
  <c r="AL130" i="7" s="1"/>
  <c r="AI11" i="8"/>
  <c r="AJ122" i="7"/>
  <c r="AJ129" i="7" s="1"/>
  <c r="AM13" i="8"/>
  <c r="AN124" i="7"/>
  <c r="AN131" i="7" s="1"/>
  <c r="AR11" i="8"/>
  <c r="AS122" i="7"/>
  <c r="AS129" i="7" s="1"/>
  <c r="AH131" i="7"/>
  <c r="AL13" i="8"/>
  <c r="AM124" i="7"/>
  <c r="AM131" i="7" s="1"/>
  <c r="BG12" i="3"/>
  <c r="BG23" i="3" s="1"/>
  <c r="BF13" i="2" s="1"/>
  <c r="AO12" i="8"/>
  <c r="AP123" i="7"/>
  <c r="AP130" i="7" s="1"/>
  <c r="BQ12" i="3"/>
  <c r="BQ23" i="3" s="1"/>
  <c r="BP13" i="2" s="1"/>
  <c r="BQ13" i="2" s="1"/>
  <c r="R12" i="1" s="1"/>
  <c r="AR11" i="3"/>
  <c r="H125" i="7"/>
  <c r="F15" i="3" s="1"/>
  <c r="AC132" i="7"/>
  <c r="AA8" i="3" s="1"/>
  <c r="AA53" i="3" s="1"/>
  <c r="AG131" i="7"/>
  <c r="Y65" i="7"/>
  <c r="W9" i="3" s="1"/>
  <c r="BD98" i="7"/>
  <c r="BC21" i="8" s="1"/>
  <c r="BC15" i="7"/>
  <c r="BE24" i="7"/>
  <c r="AR88" i="7"/>
  <c r="AA81" i="7"/>
  <c r="Y10" i="3" s="1"/>
  <c r="Y13" i="3" s="1"/>
  <c r="AA117" i="7"/>
  <c r="Y15" i="3" s="1"/>
  <c r="B12" i="14"/>
  <c r="O119" i="1"/>
  <c r="L115" i="1"/>
  <c r="F115" i="1"/>
  <c r="I115" i="1"/>
  <c r="R115" i="1"/>
  <c r="L116" i="1"/>
  <c r="R116" i="1"/>
  <c r="R118" i="1"/>
  <c r="F116" i="1"/>
  <c r="I116" i="1"/>
  <c r="O116" i="1"/>
  <c r="F118" i="1"/>
  <c r="L118" i="1"/>
  <c r="O118" i="1"/>
  <c r="F119" i="1"/>
  <c r="AL92" i="7"/>
  <c r="AK15" i="8" s="1"/>
  <c r="AP96" i="7"/>
  <c r="AO19" i="8" s="1"/>
  <c r="AV19" i="7"/>
  <c r="AV91" i="7" s="1"/>
  <c r="AU14" i="8" s="1"/>
  <c r="AN76" i="7"/>
  <c r="AT35" i="7"/>
  <c r="AS107" i="7"/>
  <c r="AR30" i="8" s="1"/>
  <c r="AD65" i="7"/>
  <c r="AB9" i="3" s="1"/>
  <c r="AP61" i="7"/>
  <c r="AP65" i="7" s="1"/>
  <c r="AN9" i="3" s="1"/>
  <c r="AN111" i="7"/>
  <c r="AM34" i="8" s="1"/>
  <c r="AF81" i="7"/>
  <c r="AD10" i="3" s="1"/>
  <c r="AS94" i="7"/>
  <c r="AR17" i="8" s="1"/>
  <c r="AN58" i="7"/>
  <c r="AN65" i="7" s="1"/>
  <c r="AL9" i="3" s="1"/>
  <c r="AP93" i="7"/>
  <c r="AO16" i="8" s="1"/>
  <c r="AT37" i="7"/>
  <c r="U24" i="3"/>
  <c r="AQ94" i="7"/>
  <c r="AP17" i="8" s="1"/>
  <c r="AQ59" i="7"/>
  <c r="AQ65" i="7" s="1"/>
  <c r="AO9" i="3" s="1"/>
  <c r="AG107" i="7"/>
  <c r="Y117" i="7"/>
  <c r="W15" i="3" s="1"/>
  <c r="AV87" i="7"/>
  <c r="AE22" i="3"/>
  <c r="AF65" i="7"/>
  <c r="AD9" i="3" s="1"/>
  <c r="AD13" i="3" s="1"/>
  <c r="AD14" i="3" s="1"/>
  <c r="Y81" i="7"/>
  <c r="W10" i="3" s="1"/>
  <c r="V117" i="7"/>
  <c r="T15" i="3" s="1"/>
  <c r="AG75" i="7"/>
  <c r="AG77" i="7"/>
  <c r="AG73" i="7"/>
  <c r="AS38" i="8"/>
  <c r="AN16" i="8"/>
  <c r="AR16" i="8"/>
  <c r="AH16" i="8"/>
  <c r="AK16" i="8"/>
  <c r="AM16" i="8"/>
  <c r="AM23" i="8" s="1"/>
  <c r="AL20" i="3" s="1"/>
  <c r="AI16" i="8"/>
  <c r="AP16" i="8"/>
  <c r="J46" i="11"/>
  <c r="K46" i="11" s="1"/>
  <c r="BQ45" i="11"/>
  <c r="K48" i="11"/>
  <c r="L48" i="11" s="1"/>
  <c r="M48" i="11" s="1"/>
  <c r="N48" i="11" s="1"/>
  <c r="O48" i="11" s="1"/>
  <c r="P48" i="11" s="1"/>
  <c r="Q48" i="11" s="1"/>
  <c r="R48" i="11" s="1"/>
  <c r="J48" i="11"/>
  <c r="J52" i="11"/>
  <c r="K52" i="11" s="1"/>
  <c r="AG74" i="7"/>
  <c r="AG72" i="7"/>
  <c r="AS96" i="7"/>
  <c r="AR19" i="8" s="1"/>
  <c r="AP95" i="7"/>
  <c r="AO18" i="8" s="1"/>
  <c r="AC65" i="7"/>
  <c r="AA9" i="3" s="1"/>
  <c r="AA13" i="3" s="1"/>
  <c r="AA14" i="3" s="1"/>
  <c r="AF117" i="7"/>
  <c r="AD15" i="3" s="1"/>
  <c r="AT115" i="7"/>
  <c r="AR22" i="3"/>
  <c r="BS43" i="7"/>
  <c r="BS115" i="7" s="1"/>
  <c r="BR38" i="8" s="1"/>
  <c r="BG43" i="7"/>
  <c r="Z117" i="7"/>
  <c r="X15" i="3" s="1"/>
  <c r="AI56" i="7"/>
  <c r="AI54" i="7"/>
  <c r="BF24" i="7"/>
  <c r="BF61" i="7" s="1"/>
  <c r="AS54" i="7"/>
  <c r="AS65" i="7" s="1"/>
  <c r="AQ9" i="3" s="1"/>
  <c r="AS89" i="7"/>
  <c r="BH10" i="7"/>
  <c r="BC23" i="7"/>
  <c r="BP23" i="7" s="1"/>
  <c r="AG78" i="7"/>
  <c r="T117" i="7"/>
  <c r="AR23" i="3"/>
  <c r="AF33" i="8"/>
  <c r="AG53" i="7"/>
  <c r="BD22" i="3"/>
  <c r="BD12" i="2"/>
  <c r="AW22" i="3"/>
  <c r="AW12" i="2"/>
  <c r="BN22" i="3"/>
  <c r="BN12" i="2"/>
  <c r="AT22" i="3"/>
  <c r="AT12" i="2"/>
  <c r="AF28" i="8"/>
  <c r="BH22" i="3"/>
  <c r="BH12" i="2"/>
  <c r="AX22" i="3"/>
  <c r="AX12" i="2"/>
  <c r="BQ22" i="3"/>
  <c r="BQ12" i="2"/>
  <c r="AZ22" i="3"/>
  <c r="AZ12" i="2"/>
  <c r="AY22" i="3"/>
  <c r="AY12" i="2"/>
  <c r="BJ22" i="3"/>
  <c r="BJ12" i="2"/>
  <c r="BG22" i="3"/>
  <c r="BG12" i="2"/>
  <c r="AU22" i="3"/>
  <c r="AU12" i="2"/>
  <c r="AG105" i="7"/>
  <c r="BK22" i="3"/>
  <c r="BK12" i="2"/>
  <c r="BB22" i="3"/>
  <c r="BB12" i="2"/>
  <c r="BC22" i="3"/>
  <c r="BC12" i="2"/>
  <c r="BM22" i="3"/>
  <c r="BM12" i="2"/>
  <c r="BL22" i="3"/>
  <c r="BL12" i="2"/>
  <c r="AV22" i="3"/>
  <c r="AV12" i="2"/>
  <c r="AG54" i="7"/>
  <c r="AG59" i="7"/>
  <c r="AG76" i="7"/>
  <c r="BO22" i="3"/>
  <c r="BO12" i="2"/>
  <c r="BP22" i="3"/>
  <c r="BP12" i="2"/>
  <c r="BA22" i="3"/>
  <c r="BA12" i="2"/>
  <c r="BI22" i="3"/>
  <c r="BI12" i="2"/>
  <c r="G29" i="4"/>
  <c r="BA50" i="13"/>
  <c r="BS43" i="13"/>
  <c r="BN45" i="13"/>
  <c r="BJ51" i="13"/>
  <c r="AG61" i="7"/>
  <c r="AL81" i="7"/>
  <c r="AJ10" i="3" s="1"/>
  <c r="AG60" i="7"/>
  <c r="U65" i="7"/>
  <c r="S9" i="3" s="1"/>
  <c r="AF30" i="8"/>
  <c r="AG70" i="7"/>
  <c r="AG56" i="7"/>
  <c r="AD81" i="7"/>
  <c r="AB10" i="3" s="1"/>
  <c r="Z81" i="7"/>
  <c r="X10" i="3" s="1"/>
  <c r="AI23" i="8"/>
  <c r="AH20" i="3" s="1"/>
  <c r="AT62" i="7"/>
  <c r="AH89" i="7"/>
  <c r="AH123" i="7" s="1"/>
  <c r="AH54" i="7"/>
  <c r="AH59" i="7"/>
  <c r="AH94" i="7"/>
  <c r="BE15" i="7"/>
  <c r="AR87" i="7"/>
  <c r="AR52" i="7"/>
  <c r="BB15" i="7"/>
  <c r="AO87" i="7"/>
  <c r="AO52" i="7"/>
  <c r="BE23" i="7"/>
  <c r="AR95" i="7"/>
  <c r="AQ18" i="8" s="1"/>
  <c r="AR60" i="7"/>
  <c r="AZ15" i="7"/>
  <c r="AM87" i="7"/>
  <c r="AM52" i="7"/>
  <c r="BR32" i="7"/>
  <c r="BE104" i="7"/>
  <c r="BD27" i="8" s="1"/>
  <c r="BE69" i="7"/>
  <c r="BO34" i="7"/>
  <c r="BB106" i="7"/>
  <c r="BA29" i="8" s="1"/>
  <c r="BB71" i="7"/>
  <c r="BP34" i="7"/>
  <c r="BC106" i="7"/>
  <c r="BB29" i="8" s="1"/>
  <c r="BC71" i="7"/>
  <c r="BL40" i="7"/>
  <c r="AY112" i="7"/>
  <c r="AX35" i="8" s="1"/>
  <c r="AY77" i="7"/>
  <c r="BI114" i="7"/>
  <c r="BH37" i="8" s="1"/>
  <c r="BI79" i="7"/>
  <c r="BL37" i="7"/>
  <c r="AY109" i="7"/>
  <c r="AY74" i="7"/>
  <c r="BM27" i="7"/>
  <c r="AZ99" i="7"/>
  <c r="AY22" i="8" s="1"/>
  <c r="AZ64" i="7"/>
  <c r="BI19" i="7"/>
  <c r="BP15" i="7"/>
  <c r="BC87" i="7"/>
  <c r="BC52" i="7"/>
  <c r="AT97" i="7"/>
  <c r="AG20" i="8"/>
  <c r="AS20" i="8" s="1"/>
  <c r="BP21" i="7"/>
  <c r="BC93" i="7"/>
  <c r="BB16" i="8" s="1"/>
  <c r="BC58" i="7"/>
  <c r="BN19" i="7"/>
  <c r="BA91" i="7"/>
  <c r="AZ14" i="8" s="1"/>
  <c r="BA56" i="7"/>
  <c r="BM18" i="7"/>
  <c r="AZ90" i="7"/>
  <c r="AZ55" i="7"/>
  <c r="AG30" i="8"/>
  <c r="AZ33" i="7"/>
  <c r="AM105" i="7"/>
  <c r="AL28" i="8" s="1"/>
  <c r="AM70" i="7"/>
  <c r="BN37" i="7"/>
  <c r="BA109" i="7"/>
  <c r="BA74" i="7"/>
  <c r="BJ34" i="7"/>
  <c r="AW106" i="7"/>
  <c r="AV29" i="8" s="1"/>
  <c r="AW71" i="7"/>
  <c r="BJ33" i="7"/>
  <c r="AW105" i="7"/>
  <c r="AV28" i="8" s="1"/>
  <c r="AW70" i="7"/>
  <c r="AR26" i="8"/>
  <c r="BR113" i="7"/>
  <c r="BQ36" i="8" s="1"/>
  <c r="BR78" i="7"/>
  <c r="BK35" i="7"/>
  <c r="AX72" i="7"/>
  <c r="AX107" i="7"/>
  <c r="AW30" i="8" s="1"/>
  <c r="BN98" i="7"/>
  <c r="BM21" i="8" s="1"/>
  <c r="BN63" i="7"/>
  <c r="BR27" i="7"/>
  <c r="BE99" i="7"/>
  <c r="BD22" i="8" s="1"/>
  <c r="BE64" i="7"/>
  <c r="AZ39" i="7"/>
  <c r="AM111" i="7"/>
  <c r="AL34" i="8" s="1"/>
  <c r="AM76" i="7"/>
  <c r="BG80" i="7"/>
  <c r="AT99" i="7"/>
  <c r="AG22" i="8"/>
  <c r="AS22" i="8" s="1"/>
  <c r="BS21" i="7"/>
  <c r="BF93" i="7"/>
  <c r="BE16" i="8" s="1"/>
  <c r="BF58" i="7"/>
  <c r="BP17" i="7"/>
  <c r="BC89" i="7"/>
  <c r="BC54" i="7"/>
  <c r="BP22" i="7"/>
  <c r="BC94" i="7"/>
  <c r="BB17" i="8" s="1"/>
  <c r="BC59" i="7"/>
  <c r="BK27" i="7"/>
  <c r="AX99" i="7"/>
  <c r="AW22" i="8" s="1"/>
  <c r="AX64" i="7"/>
  <c r="BP39" i="7"/>
  <c r="BC111" i="7"/>
  <c r="BB34" i="8" s="1"/>
  <c r="BC76" i="7"/>
  <c r="BJ40" i="7"/>
  <c r="AW77" i="7"/>
  <c r="AW112" i="7"/>
  <c r="AV35" i="8" s="1"/>
  <c r="AF35" i="8"/>
  <c r="BR35" i="7"/>
  <c r="BE107" i="7"/>
  <c r="BD30" i="8" s="1"/>
  <c r="BE72" i="7"/>
  <c r="BO26" i="7"/>
  <c r="BB63" i="7"/>
  <c r="BB98" i="7"/>
  <c r="BA21" i="8" s="1"/>
  <c r="AL27" i="8"/>
  <c r="BN38" i="7"/>
  <c r="BA110" i="7"/>
  <c r="AZ33" i="8" s="1"/>
  <c r="BA75" i="7"/>
  <c r="AN26" i="8"/>
  <c r="BS33" i="7"/>
  <c r="BF105" i="7"/>
  <c r="BE28" i="8" s="1"/>
  <c r="BF70" i="7"/>
  <c r="BK31" i="7"/>
  <c r="AX103" i="7"/>
  <c r="AX68" i="7"/>
  <c r="BN40" i="7"/>
  <c r="BA112" i="7"/>
  <c r="AZ35" i="8" s="1"/>
  <c r="BA77" i="7"/>
  <c r="BQ97" i="7"/>
  <c r="BP20" i="8" s="1"/>
  <c r="BQ62" i="7"/>
  <c r="BO25" i="7"/>
  <c r="BB97" i="7"/>
  <c r="BA20" i="8" s="1"/>
  <c r="BB62" i="7"/>
  <c r="BR39" i="7"/>
  <c r="BE76" i="7"/>
  <c r="BE111" i="7"/>
  <c r="BD34" i="8" s="1"/>
  <c r="BI36" i="7"/>
  <c r="AV108" i="7"/>
  <c r="AU31" i="8" s="1"/>
  <c r="AV73" i="7"/>
  <c r="BI26" i="7"/>
  <c r="AV98" i="7"/>
  <c r="AU21" i="8" s="1"/>
  <c r="AV63" i="7"/>
  <c r="AS22" i="3"/>
  <c r="AU55" i="7"/>
  <c r="AU90" i="7"/>
  <c r="AU124" i="7" s="1"/>
  <c r="AU96" i="7"/>
  <c r="AU61" i="7"/>
  <c r="AH57" i="7"/>
  <c r="AH92" i="7"/>
  <c r="AU63" i="7"/>
  <c r="AU98" i="7"/>
  <c r="AH78" i="7"/>
  <c r="AH113" i="7"/>
  <c r="BH115" i="7"/>
  <c r="BH80" i="7"/>
  <c r="BB19" i="7"/>
  <c r="AO91" i="7"/>
  <c r="AN14" i="8" s="1"/>
  <c r="AO56" i="7"/>
  <c r="AX16" i="7"/>
  <c r="AK88" i="7"/>
  <c r="AK53" i="7"/>
  <c r="AX23" i="7"/>
  <c r="AK95" i="7"/>
  <c r="AJ18" i="8" s="1"/>
  <c r="AK60" i="7"/>
  <c r="BB20" i="7"/>
  <c r="AO92" i="7"/>
  <c r="AN15" i="8" s="1"/>
  <c r="AO57" i="7"/>
  <c r="AU107" i="7"/>
  <c r="AU72" i="7"/>
  <c r="AX15" i="7"/>
  <c r="AK52" i="7"/>
  <c r="AK87" i="7"/>
  <c r="BB22" i="7"/>
  <c r="AO94" i="7"/>
  <c r="AN17" i="8" s="1"/>
  <c r="AO59" i="7"/>
  <c r="AV20" i="7"/>
  <c r="AI92" i="7"/>
  <c r="AH15" i="8" s="1"/>
  <c r="AI57" i="7"/>
  <c r="AU74" i="7"/>
  <c r="AU109" i="7"/>
  <c r="AH68" i="7"/>
  <c r="AH103" i="7"/>
  <c r="BI37" i="7"/>
  <c r="AV109" i="7"/>
  <c r="AV74" i="7"/>
  <c r="BR79" i="7"/>
  <c r="BR114" i="7"/>
  <c r="BQ37" i="8" s="1"/>
  <c r="BL99" i="7"/>
  <c r="BK22" i="8" s="1"/>
  <c r="BL64" i="7"/>
  <c r="AR81" i="7"/>
  <c r="AP10" i="3" s="1"/>
  <c r="AL117" i="7"/>
  <c r="AJ15" i="3" s="1"/>
  <c r="AK26" i="8"/>
  <c r="BP37" i="7"/>
  <c r="BC109" i="7"/>
  <c r="BC74" i="7"/>
  <c r="AG110" i="7"/>
  <c r="BK37" i="7"/>
  <c r="AX109" i="7"/>
  <c r="AX74" i="7"/>
  <c r="BN99" i="7"/>
  <c r="BM22" i="8" s="1"/>
  <c r="BN64" i="7"/>
  <c r="BP113" i="7"/>
  <c r="BO36" i="8" s="1"/>
  <c r="BP78" i="7"/>
  <c r="AG114" i="7"/>
  <c r="T37" i="8"/>
  <c r="AF37" i="8" s="1"/>
  <c r="BJ15" i="7"/>
  <c r="AW87" i="7"/>
  <c r="AW52" i="7"/>
  <c r="BI23" i="7"/>
  <c r="AV95" i="7"/>
  <c r="AU18" i="8" s="1"/>
  <c r="AV60" i="7"/>
  <c r="BO18" i="7"/>
  <c r="BB90" i="7"/>
  <c r="BB55" i="7"/>
  <c r="BP24" i="7"/>
  <c r="BC61" i="7"/>
  <c r="BC96" i="7"/>
  <c r="BB19" i="8" s="1"/>
  <c r="BQ23" i="7"/>
  <c r="BD95" i="7"/>
  <c r="BC18" i="8" s="1"/>
  <c r="BD60" i="7"/>
  <c r="AG35" i="8"/>
  <c r="BJ19" i="7"/>
  <c r="AW91" i="7"/>
  <c r="AV14" i="8" s="1"/>
  <c r="AW56" i="7"/>
  <c r="BO21" i="7"/>
  <c r="BB93" i="7"/>
  <c r="BA16" i="8" s="1"/>
  <c r="BB58" i="7"/>
  <c r="BS18" i="7"/>
  <c r="BF90" i="7"/>
  <c r="BF55" i="7"/>
  <c r="BK20" i="7"/>
  <c r="AX92" i="7"/>
  <c r="AW15" i="8" s="1"/>
  <c r="AX57" i="7"/>
  <c r="BN16" i="7"/>
  <c r="BA88" i="7"/>
  <c r="BA53" i="7"/>
  <c r="BS26" i="7"/>
  <c r="BF98" i="7"/>
  <c r="BE21" i="8" s="1"/>
  <c r="BF63" i="7"/>
  <c r="AG92" i="7"/>
  <c r="T15" i="8"/>
  <c r="AF15" i="8" s="1"/>
  <c r="AG89" i="7"/>
  <c r="T12" i="8"/>
  <c r="AF12" i="8" s="1"/>
  <c r="BL115" i="7"/>
  <c r="BK38" i="8" s="1"/>
  <c r="BL80" i="7"/>
  <c r="BJ23" i="7"/>
  <c r="AW95" i="7"/>
  <c r="AV18" i="8" s="1"/>
  <c r="AW60" i="7"/>
  <c r="BJ17" i="7"/>
  <c r="AW89" i="7"/>
  <c r="AW54" i="7"/>
  <c r="BO17" i="7"/>
  <c r="BB89" i="7"/>
  <c r="BB54" i="7"/>
  <c r="BL22" i="7"/>
  <c r="AY94" i="7"/>
  <c r="AX17" i="8" s="1"/>
  <c r="AY59" i="7"/>
  <c r="BJ22" i="7"/>
  <c r="AW94" i="7"/>
  <c r="AV17" i="8" s="1"/>
  <c r="AW59" i="7"/>
  <c r="BN31" i="7"/>
  <c r="BA103" i="7"/>
  <c r="BA68" i="7"/>
  <c r="BP31" i="7"/>
  <c r="BC68" i="7"/>
  <c r="BC103" i="7"/>
  <c r="BJ79" i="7"/>
  <c r="BJ114" i="7"/>
  <c r="BI37" i="8" s="1"/>
  <c r="AG106" i="7"/>
  <c r="T29" i="8"/>
  <c r="AF29" i="8" s="1"/>
  <c r="BR37" i="7"/>
  <c r="BE109" i="7"/>
  <c r="BE74" i="7"/>
  <c r="BN32" i="7"/>
  <c r="BA104" i="7"/>
  <c r="AZ27" i="8" s="1"/>
  <c r="BA69" i="7"/>
  <c r="BN80" i="7"/>
  <c r="BN115" i="7"/>
  <c r="BM38" i="8" s="1"/>
  <c r="BL98" i="7"/>
  <c r="BK21" i="8" s="1"/>
  <c r="BL63" i="7"/>
  <c r="BK36" i="7"/>
  <c r="AX73" i="7"/>
  <c r="AX108" i="7"/>
  <c r="AW31" i="8" s="1"/>
  <c r="BJ113" i="7"/>
  <c r="BI36" i="8" s="1"/>
  <c r="BJ78" i="7"/>
  <c r="BI33" i="7"/>
  <c r="AV105" i="7"/>
  <c r="AU28" i="8" s="1"/>
  <c r="AV70" i="7"/>
  <c r="BS31" i="7"/>
  <c r="BF103" i="7"/>
  <c r="BF68" i="7"/>
  <c r="BP33" i="7"/>
  <c r="BC70" i="7"/>
  <c r="BC105" i="7"/>
  <c r="BB28" i="8" s="1"/>
  <c r="BQ39" i="7"/>
  <c r="BD111" i="7"/>
  <c r="BC34" i="8" s="1"/>
  <c r="BD76" i="7"/>
  <c r="BI39" i="7"/>
  <c r="AV111" i="7"/>
  <c r="AU34" i="8" s="1"/>
  <c r="AV76" i="7"/>
  <c r="BK32" i="7"/>
  <c r="AX69" i="7"/>
  <c r="AX104" i="7"/>
  <c r="AW27" i="8" s="1"/>
  <c r="BM31" i="7"/>
  <c r="AZ103" i="7"/>
  <c r="AY26" i="8" s="1"/>
  <c r="AZ68" i="7"/>
  <c r="BK113" i="7"/>
  <c r="BJ36" i="8" s="1"/>
  <c r="BK78" i="7"/>
  <c r="BM25" i="7"/>
  <c r="AZ97" i="7"/>
  <c r="AY20" i="8" s="1"/>
  <c r="AZ62" i="7"/>
  <c r="BD38" i="7"/>
  <c r="BG38" i="7" s="1"/>
  <c r="AQ110" i="7"/>
  <c r="AP33" i="8" s="1"/>
  <c r="AQ75" i="7"/>
  <c r="AT75" i="7" s="1"/>
  <c r="BG115" i="7"/>
  <c r="AT38" i="8"/>
  <c r="BF38" i="8" s="1"/>
  <c r="BD40" i="7"/>
  <c r="BG40" i="7" s="1"/>
  <c r="AQ112" i="7"/>
  <c r="AP35" i="8" s="1"/>
  <c r="AQ77" i="7"/>
  <c r="AT77" i="7" s="1"/>
  <c r="AG95" i="7"/>
  <c r="T18" i="8"/>
  <c r="AF18" i="8" s="1"/>
  <c r="BP20" i="7"/>
  <c r="BC57" i="7"/>
  <c r="BC92" i="7"/>
  <c r="BB15" i="8" s="1"/>
  <c r="BL23" i="7"/>
  <c r="AY60" i="7"/>
  <c r="AY95" i="7"/>
  <c r="AX18" i="8" s="1"/>
  <c r="BF96" i="7"/>
  <c r="BE19" i="8" s="1"/>
  <c r="BL15" i="7"/>
  <c r="AY52" i="7"/>
  <c r="AY87" i="7"/>
  <c r="BR24" i="7"/>
  <c r="BE96" i="7"/>
  <c r="BD19" i="8" s="1"/>
  <c r="BE61" i="7"/>
  <c r="BS32" i="7"/>
  <c r="BF104" i="7"/>
  <c r="BE27" i="8" s="1"/>
  <c r="BF69" i="7"/>
  <c r="AG112" i="7"/>
  <c r="BM32" i="7"/>
  <c r="AZ104" i="7"/>
  <c r="AZ69" i="7"/>
  <c r="AI81" i="7"/>
  <c r="AG10" i="3" s="1"/>
  <c r="BQ34" i="7"/>
  <c r="BD106" i="7"/>
  <c r="BC29" i="8" s="1"/>
  <c r="BD71" i="7"/>
  <c r="AO81" i="7"/>
  <c r="AM10" i="3" s="1"/>
  <c r="BR115" i="7"/>
  <c r="BQ38" i="8" s="1"/>
  <c r="BR80" i="7"/>
  <c r="BO40" i="7"/>
  <c r="BB112" i="7"/>
  <c r="BA35" i="8" s="1"/>
  <c r="BB77" i="7"/>
  <c r="BI38" i="7"/>
  <c r="AV110" i="7"/>
  <c r="AU33" i="8" s="1"/>
  <c r="AV75" i="7"/>
  <c r="BM38" i="7"/>
  <c r="AZ110" i="7"/>
  <c r="AY33" i="8" s="1"/>
  <c r="AZ75" i="7"/>
  <c r="BJ39" i="7"/>
  <c r="AW111" i="7"/>
  <c r="AV34" i="8" s="1"/>
  <c r="AW76" i="7"/>
  <c r="BI115" i="7"/>
  <c r="BH38" i="8" s="1"/>
  <c r="BI80" i="7"/>
  <c r="BJ37" i="7"/>
  <c r="AW109" i="7"/>
  <c r="AW74" i="7"/>
  <c r="BM19" i="7"/>
  <c r="AZ91" i="7"/>
  <c r="AY14" i="8" s="1"/>
  <c r="AZ56" i="7"/>
  <c r="BK39" i="7"/>
  <c r="AX111" i="7"/>
  <c r="AW34" i="8" s="1"/>
  <c r="AX76" i="7"/>
  <c r="BO35" i="7"/>
  <c r="BB107" i="7"/>
  <c r="BA30" i="8" s="1"/>
  <c r="BB72" i="7"/>
  <c r="AJ81" i="7"/>
  <c r="AH10" i="3" s="1"/>
  <c r="BK114" i="7"/>
  <c r="BJ37" i="8" s="1"/>
  <c r="BK79" i="7"/>
  <c r="AU99" i="7"/>
  <c r="AU64" i="7"/>
  <c r="AZ21" i="7"/>
  <c r="AM93" i="7"/>
  <c r="AL16" i="8" s="1"/>
  <c r="AM58" i="7"/>
  <c r="AX22" i="7"/>
  <c r="AK94" i="7"/>
  <c r="AJ17" i="8" s="1"/>
  <c r="AK59" i="7"/>
  <c r="BN33" i="7"/>
  <c r="BA105" i="7"/>
  <c r="AZ28" i="8" s="1"/>
  <c r="BA70" i="7"/>
  <c r="BL17" i="7"/>
  <c r="AY54" i="7"/>
  <c r="AY89" i="7"/>
  <c r="BS22" i="7"/>
  <c r="BF94" i="7"/>
  <c r="BE17" i="8" s="1"/>
  <c r="BF59" i="7"/>
  <c r="BQ16" i="7"/>
  <c r="BD88" i="7"/>
  <c r="BD53" i="7"/>
  <c r="BJ20" i="7"/>
  <c r="AW92" i="7"/>
  <c r="AV15" i="8" s="1"/>
  <c r="AW57" i="7"/>
  <c r="BL21" i="7"/>
  <c r="AY93" i="7"/>
  <c r="AX16" i="8" s="1"/>
  <c r="AY58" i="7"/>
  <c r="AG19" i="8"/>
  <c r="AP81" i="7"/>
  <c r="AN10" i="3" s="1"/>
  <c r="BN78" i="7"/>
  <c r="BN113" i="7"/>
  <c r="BM36" i="8" s="1"/>
  <c r="BL32" i="7"/>
  <c r="AY69" i="7"/>
  <c r="AY104" i="7"/>
  <c r="AX27" i="8" s="1"/>
  <c r="BM26" i="7"/>
  <c r="AZ98" i="7"/>
  <c r="AY21" i="8" s="1"/>
  <c r="AZ63" i="7"/>
  <c r="AH91" i="7"/>
  <c r="AH56" i="7"/>
  <c r="AH95" i="7"/>
  <c r="AH60" i="7"/>
  <c r="AH53" i="7"/>
  <c r="AH88" i="7"/>
  <c r="AH122" i="7" s="1"/>
  <c r="AH87" i="7"/>
  <c r="AH121" i="7" s="1"/>
  <c r="AH52" i="7"/>
  <c r="BB23" i="7"/>
  <c r="AO95" i="7"/>
  <c r="AN18" i="8" s="1"/>
  <c r="AO60" i="7"/>
  <c r="AX18" i="7"/>
  <c r="AK90" i="7"/>
  <c r="AK55" i="7"/>
  <c r="AG57" i="7"/>
  <c r="AH114" i="7"/>
  <c r="AH79" i="7"/>
  <c r="AT79" i="7" s="1"/>
  <c r="AV18" i="7"/>
  <c r="AI90" i="7"/>
  <c r="AI55" i="7"/>
  <c r="AU104" i="7"/>
  <c r="AU69" i="7"/>
  <c r="BE17" i="7"/>
  <c r="AR89" i="7"/>
  <c r="AR54" i="7"/>
  <c r="BB24" i="7"/>
  <c r="AO96" i="7"/>
  <c r="AN19" i="8" s="1"/>
  <c r="AO61" i="7"/>
  <c r="BE19" i="7"/>
  <c r="AR91" i="7"/>
  <c r="AQ14" i="8" s="1"/>
  <c r="AR56" i="7"/>
  <c r="AX19" i="7"/>
  <c r="AK91" i="7"/>
  <c r="AJ14" i="8" s="1"/>
  <c r="AK56" i="7"/>
  <c r="AZ16" i="7"/>
  <c r="AM88" i="7"/>
  <c r="AM53" i="7"/>
  <c r="AV22" i="7"/>
  <c r="AI94" i="7"/>
  <c r="AH17" i="8" s="1"/>
  <c r="AI59" i="7"/>
  <c r="BQ37" i="7"/>
  <c r="BD109" i="7"/>
  <c r="BD74" i="7"/>
  <c r="BK40" i="7"/>
  <c r="AX112" i="7"/>
  <c r="AW35" i="8" s="1"/>
  <c r="AX77" i="7"/>
  <c r="BO114" i="7"/>
  <c r="BN37" i="8" s="1"/>
  <c r="BO79" i="7"/>
  <c r="BQ98" i="7"/>
  <c r="BP21" i="8" s="1"/>
  <c r="BQ63" i="7"/>
  <c r="BI113" i="7"/>
  <c r="BH36" i="8" s="1"/>
  <c r="BI78" i="7"/>
  <c r="AQ26" i="8"/>
  <c r="BL31" i="7"/>
  <c r="AY103" i="7"/>
  <c r="AY68" i="7"/>
  <c r="BQ35" i="7"/>
  <c r="BD107" i="7"/>
  <c r="BC30" i="8" s="1"/>
  <c r="BD72" i="7"/>
  <c r="BI31" i="7"/>
  <c r="AV103" i="7"/>
  <c r="AU26" i="8" s="1"/>
  <c r="AV68" i="7"/>
  <c r="BJ98" i="7"/>
  <c r="BI21" i="8" s="1"/>
  <c r="BJ63" i="7"/>
  <c r="BJ115" i="7"/>
  <c r="BI38" i="8" s="1"/>
  <c r="BJ80" i="7"/>
  <c r="AG28" i="8"/>
  <c r="BI21" i="7"/>
  <c r="AV93" i="7"/>
  <c r="AU16" i="8" s="1"/>
  <c r="AV58" i="7"/>
  <c r="BP18" i="7"/>
  <c r="BC55" i="7"/>
  <c r="BC90" i="7"/>
  <c r="BN18" i="7"/>
  <c r="BA90" i="7"/>
  <c r="BA55" i="7"/>
  <c r="BQ22" i="7"/>
  <c r="BD94" i="7"/>
  <c r="BC17" i="8" s="1"/>
  <c r="BD59" i="7"/>
  <c r="BL19" i="7"/>
  <c r="AY56" i="7"/>
  <c r="AY91" i="7"/>
  <c r="AX14" i="8" s="1"/>
  <c r="BR25" i="7"/>
  <c r="BE97" i="7"/>
  <c r="BD20" i="8" s="1"/>
  <c r="BE62" i="7"/>
  <c r="BS16" i="7"/>
  <c r="BF88" i="7"/>
  <c r="BF53" i="7"/>
  <c r="BR18" i="7"/>
  <c r="BE90" i="7"/>
  <c r="BE55" i="7"/>
  <c r="BN22" i="7"/>
  <c r="BA94" i="7"/>
  <c r="AZ17" i="8" s="1"/>
  <c r="BA59" i="7"/>
  <c r="BN23" i="7"/>
  <c r="BA95" i="7"/>
  <c r="AZ18" i="8" s="1"/>
  <c r="BA60" i="7"/>
  <c r="BL16" i="7"/>
  <c r="AY88" i="7"/>
  <c r="AY53" i="7"/>
  <c r="AG27" i="8"/>
  <c r="BI27" i="7"/>
  <c r="AV99" i="7"/>
  <c r="AU22" i="8" s="1"/>
  <c r="AV64" i="7"/>
  <c r="AG13" i="8"/>
  <c r="AD117" i="7"/>
  <c r="AB15" i="3" s="1"/>
  <c r="AC27" i="8"/>
  <c r="AF27" i="8" s="1"/>
  <c r="BS27" i="7"/>
  <c r="BF64" i="7"/>
  <c r="BF99" i="7"/>
  <c r="BE22" i="8" s="1"/>
  <c r="BP19" i="7"/>
  <c r="BC91" i="7"/>
  <c r="BB14" i="8" s="1"/>
  <c r="BC56" i="7"/>
  <c r="BL24" i="7"/>
  <c r="AY96" i="7"/>
  <c r="AX19" i="8" s="1"/>
  <c r="AY61" i="7"/>
  <c r="BS25" i="7"/>
  <c r="BF97" i="7"/>
  <c r="BE20" i="8" s="1"/>
  <c r="BF62" i="7"/>
  <c r="BK24" i="7"/>
  <c r="AX96" i="7"/>
  <c r="AW19" i="8" s="1"/>
  <c r="AX61" i="7"/>
  <c r="BR20" i="7"/>
  <c r="BE92" i="7"/>
  <c r="BD15" i="8" s="1"/>
  <c r="BE57" i="7"/>
  <c r="AG87" i="7"/>
  <c r="T10" i="8"/>
  <c r="BI34" i="7"/>
  <c r="AV106" i="7"/>
  <c r="AU29" i="8" s="1"/>
  <c r="AV71" i="7"/>
  <c r="BJ97" i="7"/>
  <c r="BI20" i="8" s="1"/>
  <c r="BJ62" i="7"/>
  <c r="BN36" i="7"/>
  <c r="BA108" i="7"/>
  <c r="AZ31" i="8" s="1"/>
  <c r="BA73" i="7"/>
  <c r="BJ38" i="7"/>
  <c r="AW110" i="7"/>
  <c r="AV33" i="8" s="1"/>
  <c r="AW75" i="7"/>
  <c r="BP32" i="7"/>
  <c r="BC104" i="7"/>
  <c r="BB27" i="8" s="1"/>
  <c r="BC69" i="7"/>
  <c r="T17" i="8"/>
  <c r="AF17" i="8" s="1"/>
  <c r="AG94" i="7"/>
  <c r="BS38" i="7"/>
  <c r="BF110" i="7"/>
  <c r="BE33" i="8" s="1"/>
  <c r="BF75" i="7"/>
  <c r="BN114" i="7"/>
  <c r="BM37" i="8" s="1"/>
  <c r="BN79" i="7"/>
  <c r="BP114" i="7"/>
  <c r="BO37" i="8" s="1"/>
  <c r="BP79" i="7"/>
  <c r="BR34" i="7"/>
  <c r="BE106" i="7"/>
  <c r="BD29" i="8" s="1"/>
  <c r="BE71" i="7"/>
  <c r="BS37" i="7"/>
  <c r="BF109" i="7"/>
  <c r="BF74" i="7"/>
  <c r="BR36" i="7"/>
  <c r="BE108" i="7"/>
  <c r="BD31" i="8" s="1"/>
  <c r="BE73" i="7"/>
  <c r="AG113" i="7"/>
  <c r="T36" i="8"/>
  <c r="AF36" i="8" s="1"/>
  <c r="BD31" i="7"/>
  <c r="AQ103" i="7"/>
  <c r="AP26" i="8" s="1"/>
  <c r="AQ68" i="7"/>
  <c r="BS20" i="7"/>
  <c r="BF92" i="7"/>
  <c r="BE15" i="8" s="1"/>
  <c r="BF57" i="7"/>
  <c r="BI17" i="7"/>
  <c r="AV89" i="7"/>
  <c r="AV54" i="7"/>
  <c r="BN20" i="7"/>
  <c r="BA92" i="7"/>
  <c r="AZ15" i="8" s="1"/>
  <c r="BA57" i="7"/>
  <c r="BK26" i="7"/>
  <c r="AX98" i="7"/>
  <c r="AW21" i="8" s="1"/>
  <c r="AX63" i="7"/>
  <c r="BQ15" i="7"/>
  <c r="BD87" i="7"/>
  <c r="BD52" i="7"/>
  <c r="BQ19" i="7"/>
  <c r="BD91" i="7"/>
  <c r="BC14" i="8" s="1"/>
  <c r="BD56" i="7"/>
  <c r="BE23" i="3"/>
  <c r="BO115" i="7"/>
  <c r="BN38" i="8" s="1"/>
  <c r="BO80" i="7"/>
  <c r="AG108" i="7"/>
  <c r="T31" i="8"/>
  <c r="AF31" i="8" s="1"/>
  <c r="AH27" i="8"/>
  <c r="BM40" i="7"/>
  <c r="AZ112" i="7"/>
  <c r="AY35" i="8" s="1"/>
  <c r="AZ77" i="7"/>
  <c r="BQ113" i="7"/>
  <c r="BP36" i="8" s="1"/>
  <c r="BQ78" i="7"/>
  <c r="BO31" i="7"/>
  <c r="BB103" i="7"/>
  <c r="BB68" i="7"/>
  <c r="BR40" i="7"/>
  <c r="BE112" i="7"/>
  <c r="BD35" i="8" s="1"/>
  <c r="BE77" i="7"/>
  <c r="AK81" i="7"/>
  <c r="AI10" i="3" s="1"/>
  <c r="BS35" i="7"/>
  <c r="BF107" i="7"/>
  <c r="BE30" i="8" s="1"/>
  <c r="BF72" i="7"/>
  <c r="BP38" i="7"/>
  <c r="BC110" i="7"/>
  <c r="BB33" i="8" s="1"/>
  <c r="BC75" i="7"/>
  <c r="BP40" i="7"/>
  <c r="BC112" i="7"/>
  <c r="BB35" i="8" s="1"/>
  <c r="BC77" i="7"/>
  <c r="BM36" i="7"/>
  <c r="AZ108" i="7"/>
  <c r="AY31" i="8" s="1"/>
  <c r="AZ73" i="7"/>
  <c r="BR16" i="7"/>
  <c r="BE88" i="7"/>
  <c r="BE53" i="7"/>
  <c r="BS34" i="7"/>
  <c r="BF106" i="7"/>
  <c r="BE29" i="8" s="1"/>
  <c r="BF71" i="7"/>
  <c r="AJ117" i="7"/>
  <c r="AH15" i="3" s="1"/>
  <c r="AI26" i="8"/>
  <c r="BP35" i="7"/>
  <c r="BC107" i="7"/>
  <c r="BB30" i="8" s="1"/>
  <c r="BC72" i="7"/>
  <c r="BO39" i="7"/>
  <c r="BB111" i="7"/>
  <c r="BA34" i="8" s="1"/>
  <c r="BB76" i="7"/>
  <c r="AT63" i="7"/>
  <c r="AG68" i="7"/>
  <c r="U81" i="7"/>
  <c r="S10" i="3" s="1"/>
  <c r="AZ37" i="7"/>
  <c r="BG37" i="7" s="1"/>
  <c r="AM109" i="7"/>
  <c r="AT109" i="7" s="1"/>
  <c r="AM74" i="7"/>
  <c r="AH93" i="7"/>
  <c r="AH58" i="7"/>
  <c r="AX17" i="7"/>
  <c r="AK89" i="7"/>
  <c r="AK54" i="7"/>
  <c r="AX21" i="7"/>
  <c r="AK93" i="7"/>
  <c r="AJ16" i="8" s="1"/>
  <c r="AK58" i="7"/>
  <c r="BL36" i="7"/>
  <c r="AY108" i="7"/>
  <c r="AX31" i="8" s="1"/>
  <c r="AY73" i="7"/>
  <c r="BI40" i="7"/>
  <c r="AV112" i="7"/>
  <c r="AU35" i="8" s="1"/>
  <c r="AV77" i="7"/>
  <c r="BQ36" i="7"/>
  <c r="BD108" i="7"/>
  <c r="BC31" i="8" s="1"/>
  <c r="BD73" i="7"/>
  <c r="BO33" i="7"/>
  <c r="BB70" i="7"/>
  <c r="BB105" i="7"/>
  <c r="BA28" i="8" s="1"/>
  <c r="BJ16" i="7"/>
  <c r="AW88" i="7"/>
  <c r="AW53" i="7"/>
  <c r="BI16" i="7"/>
  <c r="AV88" i="7"/>
  <c r="AV53" i="7"/>
  <c r="BP16" i="7"/>
  <c r="BC53" i="7"/>
  <c r="BC88" i="7"/>
  <c r="BJ21" i="7"/>
  <c r="AW93" i="7"/>
  <c r="AV16" i="8" s="1"/>
  <c r="AW58" i="7"/>
  <c r="BQ115" i="7"/>
  <c r="BP38" i="8" s="1"/>
  <c r="BQ80" i="7"/>
  <c r="BN24" i="7"/>
  <c r="BA96" i="7"/>
  <c r="AZ19" i="8" s="1"/>
  <c r="BA61" i="7"/>
  <c r="AT98" i="7"/>
  <c r="AG21" i="8"/>
  <c r="AS21" i="8" s="1"/>
  <c r="AM26" i="8"/>
  <c r="BO113" i="7"/>
  <c r="BN36" i="8" s="1"/>
  <c r="BO78" i="7"/>
  <c r="BR33" i="7"/>
  <c r="BE105" i="7"/>
  <c r="BD28" i="8" s="1"/>
  <c r="BE70" i="7"/>
  <c r="BL34" i="7"/>
  <c r="AY106" i="7"/>
  <c r="AX29" i="8" s="1"/>
  <c r="AY71" i="7"/>
  <c r="BK115" i="7"/>
  <c r="BJ38" i="8" s="1"/>
  <c r="BK80" i="7"/>
  <c r="BD33" i="7"/>
  <c r="AQ105" i="7"/>
  <c r="AP28" i="8" s="1"/>
  <c r="AQ70" i="7"/>
  <c r="AT70" i="7" s="1"/>
  <c r="BK38" i="7"/>
  <c r="AX110" i="7"/>
  <c r="AW33" i="8" s="1"/>
  <c r="AX75" i="7"/>
  <c r="BR22" i="7"/>
  <c r="BE94" i="7"/>
  <c r="BD17" i="8" s="1"/>
  <c r="BE59" i="7"/>
  <c r="AG33" i="8"/>
  <c r="AL65" i="7"/>
  <c r="AJ9" i="3" s="1"/>
  <c r="AC46" i="3"/>
  <c r="AU97" i="7"/>
  <c r="AU62" i="7"/>
  <c r="AH106" i="7"/>
  <c r="AH71" i="7"/>
  <c r="AT71" i="7" s="1"/>
  <c r="BE21" i="7"/>
  <c r="AR93" i="7"/>
  <c r="AQ16" i="8" s="1"/>
  <c r="AR58" i="7"/>
  <c r="AZ17" i="7"/>
  <c r="AM89" i="7"/>
  <c r="AM54" i="7"/>
  <c r="AZ20" i="7"/>
  <c r="AM92" i="7"/>
  <c r="AL15" i="8" s="1"/>
  <c r="AM57" i="7"/>
  <c r="AU70" i="7"/>
  <c r="AU105" i="7"/>
  <c r="AH76" i="7"/>
  <c r="AH111" i="7"/>
  <c r="AU112" i="7"/>
  <c r="AU77" i="7"/>
  <c r="AZ23" i="7"/>
  <c r="AM95" i="7"/>
  <c r="AL18" i="8" s="1"/>
  <c r="AM60" i="7"/>
  <c r="AV24" i="7"/>
  <c r="AI96" i="7"/>
  <c r="AH19" i="8" s="1"/>
  <c r="AI61" i="7"/>
  <c r="AH108" i="7"/>
  <c r="AH73" i="7"/>
  <c r="AT73" i="7" s="1"/>
  <c r="AZ24" i="7"/>
  <c r="AM96" i="7"/>
  <c r="AL19" i="8" s="1"/>
  <c r="AM61" i="7"/>
  <c r="BB16" i="7"/>
  <c r="AO88" i="7"/>
  <c r="AO53" i="7"/>
  <c r="AU75" i="7"/>
  <c r="AU110" i="7"/>
  <c r="AG58" i="7"/>
  <c r="BR38" i="7"/>
  <c r="BE110" i="7"/>
  <c r="BD33" i="8" s="1"/>
  <c r="BE75" i="7"/>
  <c r="BQ114" i="7"/>
  <c r="BP37" i="8" s="1"/>
  <c r="BQ79" i="7"/>
  <c r="BR31" i="7"/>
  <c r="BE103" i="7"/>
  <c r="BE68" i="7"/>
  <c r="BI35" i="7"/>
  <c r="AV107" i="7"/>
  <c r="AU30" i="8" s="1"/>
  <c r="AV72" i="7"/>
  <c r="BS39" i="7"/>
  <c r="BF111" i="7"/>
  <c r="BE34" i="8" s="1"/>
  <c r="BF76" i="7"/>
  <c r="BJ36" i="7"/>
  <c r="AW108" i="7"/>
  <c r="AV31" i="8" s="1"/>
  <c r="AW73" i="7"/>
  <c r="BK33" i="7"/>
  <c r="AX105" i="7"/>
  <c r="AW28" i="8" s="1"/>
  <c r="AX70" i="7"/>
  <c r="BL114" i="7"/>
  <c r="BK37" i="8" s="1"/>
  <c r="BL79" i="7"/>
  <c r="BS113" i="7"/>
  <c r="BR36" i="8" s="1"/>
  <c r="BS78" i="7"/>
  <c r="BO38" i="7"/>
  <c r="BB110" i="7"/>
  <c r="BA33" i="8" s="1"/>
  <c r="BB75" i="7"/>
  <c r="BM115" i="7"/>
  <c r="BL38" i="8" s="1"/>
  <c r="BM80" i="7"/>
  <c r="AG111" i="7"/>
  <c r="T34" i="8"/>
  <c r="AF34" i="8" s="1"/>
  <c r="BR26" i="7"/>
  <c r="BE98" i="7"/>
  <c r="BD21" i="8" s="1"/>
  <c r="BE63" i="7"/>
  <c r="AJ65" i="7"/>
  <c r="AH9" i="3" s="1"/>
  <c r="BN17" i="7"/>
  <c r="BA89" i="7"/>
  <c r="BA54" i="7"/>
  <c r="BL20" i="7"/>
  <c r="AY92" i="7"/>
  <c r="AX15" i="8" s="1"/>
  <c r="AY57" i="7"/>
  <c r="BL18" i="7"/>
  <c r="AY90" i="7"/>
  <c r="AY55" i="7"/>
  <c r="BS23" i="7"/>
  <c r="BF60" i="7"/>
  <c r="BF95" i="7"/>
  <c r="BE18" i="8" s="1"/>
  <c r="BP26" i="7"/>
  <c r="BC98" i="7"/>
  <c r="BB21" i="8" s="1"/>
  <c r="BC63" i="7"/>
  <c r="BN21" i="7"/>
  <c r="BA93" i="7"/>
  <c r="AZ16" i="8" s="1"/>
  <c r="BA58" i="7"/>
  <c r="BQ17" i="7"/>
  <c r="BD89" i="7"/>
  <c r="BD54" i="7"/>
  <c r="BQ18" i="7"/>
  <c r="BD90" i="7"/>
  <c r="BD55" i="7"/>
  <c r="BM22" i="7"/>
  <c r="AZ94" i="7"/>
  <c r="AY17" i="8" s="1"/>
  <c r="AZ59" i="7"/>
  <c r="AG88" i="7"/>
  <c r="T11" i="8"/>
  <c r="AF11" i="8" s="1"/>
  <c r="BD32" i="7"/>
  <c r="AQ104" i="7"/>
  <c r="AT104" i="7" s="1"/>
  <c r="AQ69" i="7"/>
  <c r="BJ24" i="7"/>
  <c r="AW96" i="7"/>
  <c r="AV19" i="8" s="1"/>
  <c r="AW61" i="7"/>
  <c r="BS15" i="7"/>
  <c r="BF87" i="7"/>
  <c r="BF52" i="7"/>
  <c r="BQ24" i="7"/>
  <c r="BD96" i="7"/>
  <c r="BC19" i="8" s="1"/>
  <c r="BD61" i="7"/>
  <c r="BN15" i="7"/>
  <c r="BA87" i="7"/>
  <c r="BA52" i="7"/>
  <c r="BP27" i="7"/>
  <c r="BC99" i="7"/>
  <c r="BB22" i="8" s="1"/>
  <c r="BC64" i="7"/>
  <c r="BL39" i="7"/>
  <c r="AY111" i="7"/>
  <c r="AX34" i="8" s="1"/>
  <c r="AY76" i="7"/>
  <c r="BL113" i="7"/>
  <c r="BK36" i="8" s="1"/>
  <c r="BL78" i="7"/>
  <c r="BO37" i="7"/>
  <c r="BB109" i="7"/>
  <c r="BB74" i="7"/>
  <c r="AN81" i="7"/>
  <c r="AL10" i="3" s="1"/>
  <c r="AO26" i="8"/>
  <c r="BK34" i="7"/>
  <c r="AX106" i="7"/>
  <c r="AW29" i="8" s="1"/>
  <c r="AX71" i="7"/>
  <c r="BP25" i="7"/>
  <c r="BC97" i="7"/>
  <c r="BB20" i="8" s="1"/>
  <c r="BC62" i="7"/>
  <c r="BK25" i="7"/>
  <c r="AX62" i="7"/>
  <c r="AX97" i="7"/>
  <c r="AW20" i="8" s="1"/>
  <c r="BM34" i="7"/>
  <c r="AZ106" i="7"/>
  <c r="AY29" i="8" s="1"/>
  <c r="AZ71" i="7"/>
  <c r="BP36" i="7"/>
  <c r="BC108" i="7"/>
  <c r="BB31" i="8" s="1"/>
  <c r="BC73" i="7"/>
  <c r="BS36" i="7"/>
  <c r="BF108" i="7"/>
  <c r="BE31" i="8" s="1"/>
  <c r="BF73" i="7"/>
  <c r="AS81" i="7"/>
  <c r="AQ10" i="3" s="1"/>
  <c r="BJ35" i="7"/>
  <c r="AW107" i="7"/>
  <c r="AV30" i="8" s="1"/>
  <c r="AW72" i="7"/>
  <c r="BN39" i="7"/>
  <c r="BA111" i="7"/>
  <c r="AZ34" i="8" s="1"/>
  <c r="BA76" i="7"/>
  <c r="BN34" i="7"/>
  <c r="BA71" i="7"/>
  <c r="BA106" i="7"/>
  <c r="AZ29" i="8" s="1"/>
  <c r="BI87" i="7"/>
  <c r="BI52" i="7"/>
  <c r="BO27" i="7"/>
  <c r="BB99" i="7"/>
  <c r="BA22" i="8" s="1"/>
  <c r="BB64" i="7"/>
  <c r="AZ35" i="7"/>
  <c r="BG35" i="7" s="1"/>
  <c r="AM107" i="7"/>
  <c r="AL30" i="8" s="1"/>
  <c r="AM72" i="7"/>
  <c r="AT72" i="7" s="1"/>
  <c r="AT64" i="7"/>
  <c r="BL38" i="7"/>
  <c r="AY110" i="7"/>
  <c r="AX33" i="8" s="1"/>
  <c r="AY75" i="7"/>
  <c r="BQ21" i="7"/>
  <c r="BD93" i="7"/>
  <c r="BC16" i="8" s="1"/>
  <c r="BD58" i="7"/>
  <c r="BJ18" i="7"/>
  <c r="AW90" i="7"/>
  <c r="AW55" i="7"/>
  <c r="BI25" i="7"/>
  <c r="AV97" i="7"/>
  <c r="AU20" i="8" s="1"/>
  <c r="AV62" i="7"/>
  <c r="BS17" i="7"/>
  <c r="BF89" i="7"/>
  <c r="BF54" i="7"/>
  <c r="BS19" i="7"/>
  <c r="BF91" i="7"/>
  <c r="BE14" i="8" s="1"/>
  <c r="BF56" i="7"/>
  <c r="BJ99" i="7"/>
  <c r="BI22" i="8" s="1"/>
  <c r="BJ64" i="7"/>
  <c r="BN35" i="7"/>
  <c r="BA107" i="7"/>
  <c r="AZ30" i="8" s="1"/>
  <c r="BA72" i="7"/>
  <c r="BO32" i="7"/>
  <c r="BB104" i="7"/>
  <c r="BA27" i="8" s="1"/>
  <c r="BB69" i="7"/>
  <c r="BS114" i="7"/>
  <c r="BR37" i="8" s="1"/>
  <c r="BS79" i="7"/>
  <c r="AG91" i="7"/>
  <c r="T14" i="8"/>
  <c r="AF14" i="8" s="1"/>
  <c r="BI32" i="7"/>
  <c r="AV104" i="7"/>
  <c r="AV69" i="7"/>
  <c r="BM114" i="7"/>
  <c r="BL37" i="8" s="1"/>
  <c r="BM79" i="7"/>
  <c r="BL97" i="7"/>
  <c r="BK20" i="8" s="1"/>
  <c r="BL62" i="7"/>
  <c r="BJ32" i="7"/>
  <c r="AW104" i="7"/>
  <c r="AV27" i="8" s="1"/>
  <c r="AW69" i="7"/>
  <c r="BL33" i="7"/>
  <c r="AY105" i="7"/>
  <c r="AX28" i="8" s="1"/>
  <c r="AY70" i="7"/>
  <c r="BS40" i="7"/>
  <c r="BF112" i="7"/>
  <c r="BE35" i="8" s="1"/>
  <c r="BF77" i="7"/>
  <c r="AJ26" i="8"/>
  <c r="BL35" i="7"/>
  <c r="AY72" i="7"/>
  <c r="AY107" i="7"/>
  <c r="AX30" i="8" s="1"/>
  <c r="BO36" i="7"/>
  <c r="BB108" i="7"/>
  <c r="BA31" i="8" s="1"/>
  <c r="BB73" i="7"/>
  <c r="BN97" i="7"/>
  <c r="BM20" i="8" s="1"/>
  <c r="BN62" i="7"/>
  <c r="BQ20" i="7"/>
  <c r="BD92" i="7"/>
  <c r="BC15" i="8" s="1"/>
  <c r="BD57" i="7"/>
  <c r="BP115" i="7"/>
  <c r="BO38" i="8" s="1"/>
  <c r="BP80" i="7"/>
  <c r="BJ31" i="7"/>
  <c r="AW103" i="7"/>
  <c r="AW68" i="7"/>
  <c r="BQ99" i="7"/>
  <c r="BP22" i="8" s="1"/>
  <c r="BQ64" i="7"/>
  <c r="AZ41" i="7"/>
  <c r="AM113" i="7"/>
  <c r="AL36" i="8" s="1"/>
  <c r="AM78" i="7"/>
  <c r="U117" i="7"/>
  <c r="S15" i="3" s="1"/>
  <c r="AG103" i="7"/>
  <c r="T26" i="8"/>
  <c r="I23" i="11"/>
  <c r="BA51" i="11"/>
  <c r="BJ33" i="11"/>
  <c r="BM31" i="11"/>
  <c r="J22" i="11"/>
  <c r="K22" i="11" s="1"/>
  <c r="BF33" i="11"/>
  <c r="W16" i="8"/>
  <c r="W23" i="8" s="1"/>
  <c r="V20" i="3" s="1"/>
  <c r="AA16" i="8"/>
  <c r="AA23" i="8" s="1"/>
  <c r="Z20" i="3" s="1"/>
  <c r="AE16" i="8"/>
  <c r="AE23" i="8" s="1"/>
  <c r="AD20" i="3" s="1"/>
  <c r="T16" i="8"/>
  <c r="X16" i="8"/>
  <c r="X23" i="8" s="1"/>
  <c r="W20" i="3" s="1"/>
  <c r="AB16" i="8"/>
  <c r="AB23" i="8" s="1"/>
  <c r="AA20" i="3" s="1"/>
  <c r="V16" i="8"/>
  <c r="V23" i="8" s="1"/>
  <c r="U20" i="3" s="1"/>
  <c r="U16" i="8"/>
  <c r="U23" i="8" s="1"/>
  <c r="T20" i="3" s="1"/>
  <c r="Y16" i="8"/>
  <c r="Y23" i="8" s="1"/>
  <c r="X20" i="3" s="1"/>
  <c r="AC16" i="8"/>
  <c r="AC23" i="8" s="1"/>
  <c r="AB20" i="3" s="1"/>
  <c r="Z16" i="8"/>
  <c r="Z23" i="8" s="1"/>
  <c r="Y20" i="3" s="1"/>
  <c r="AD16" i="8"/>
  <c r="AD23" i="8" s="1"/>
  <c r="AC20" i="3" s="1"/>
  <c r="AU41" i="7"/>
  <c r="AT41" i="7"/>
  <c r="S26" i="8"/>
  <c r="AB65" i="7"/>
  <c r="Z9" i="3" s="1"/>
  <c r="AT18" i="7"/>
  <c r="AT39" i="7"/>
  <c r="AU39" i="7"/>
  <c r="BH35" i="7"/>
  <c r="Z65" i="7"/>
  <c r="X9" i="3" s="1"/>
  <c r="AT36" i="7"/>
  <c r="AU36" i="7"/>
  <c r="AU42" i="7"/>
  <c r="AT42" i="7"/>
  <c r="X65" i="7"/>
  <c r="V9" i="3" s="1"/>
  <c r="BH38" i="7"/>
  <c r="AT34" i="7"/>
  <c r="AU34" i="7"/>
  <c r="AE65" i="7"/>
  <c r="AC9" i="3" s="1"/>
  <c r="BH33" i="7"/>
  <c r="BH40" i="7"/>
  <c r="AG55" i="7"/>
  <c r="AT24" i="7"/>
  <c r="BH32" i="7"/>
  <c r="BH37" i="7"/>
  <c r="AT31" i="7"/>
  <c r="AU31" i="7"/>
  <c r="V65" i="7"/>
  <c r="T9" i="3" s="1"/>
  <c r="T13" i="3" s="1"/>
  <c r="T14" i="3" s="1"/>
  <c r="AU19" i="7"/>
  <c r="AT19" i="7"/>
  <c r="AU23" i="7"/>
  <c r="AT23" i="7"/>
  <c r="AU16" i="7"/>
  <c r="AT16" i="7"/>
  <c r="AU15" i="7"/>
  <c r="AT15" i="7"/>
  <c r="BH27" i="7"/>
  <c r="BG27" i="7"/>
  <c r="AT17" i="7"/>
  <c r="AU17" i="7"/>
  <c r="BH18" i="7"/>
  <c r="AT21" i="7"/>
  <c r="AU21" i="7"/>
  <c r="AU22" i="7"/>
  <c r="AT22" i="7"/>
  <c r="BG9" i="7"/>
  <c r="BH9" i="7"/>
  <c r="BF11" i="3" s="1"/>
  <c r="BR11" i="3" s="1"/>
  <c r="BG25" i="7"/>
  <c r="BH25" i="7"/>
  <c r="BH24" i="7"/>
  <c r="AU20" i="7"/>
  <c r="AT20" i="7"/>
  <c r="BH26" i="7"/>
  <c r="BG26" i="7"/>
  <c r="J16" i="8"/>
  <c r="J23" i="8" s="1"/>
  <c r="I20" i="3" s="1"/>
  <c r="N16" i="8"/>
  <c r="N23" i="8" s="1"/>
  <c r="M20" i="3" s="1"/>
  <c r="R16" i="8"/>
  <c r="R23" i="8" s="1"/>
  <c r="Q20" i="3" s="1"/>
  <c r="M16" i="8"/>
  <c r="M23" i="8" s="1"/>
  <c r="L20" i="3" s="1"/>
  <c r="G16" i="8"/>
  <c r="G23" i="8" s="1"/>
  <c r="F20" i="3" s="1"/>
  <c r="K16" i="8"/>
  <c r="K23" i="8" s="1"/>
  <c r="J20" i="3" s="1"/>
  <c r="O16" i="8"/>
  <c r="O23" i="8" s="1"/>
  <c r="N20" i="3" s="1"/>
  <c r="Q16" i="8"/>
  <c r="Q23" i="8" s="1"/>
  <c r="P20" i="3" s="1"/>
  <c r="H16" i="8"/>
  <c r="H23" i="8" s="1"/>
  <c r="G20" i="3" s="1"/>
  <c r="L16" i="8"/>
  <c r="L23" i="8" s="1"/>
  <c r="K20" i="3" s="1"/>
  <c r="P16" i="8"/>
  <c r="P23" i="8" s="1"/>
  <c r="O20" i="3" s="1"/>
  <c r="A32" i="8"/>
  <c r="I16" i="8"/>
  <c r="I23" i="8" s="1"/>
  <c r="H20" i="3" s="1"/>
  <c r="L132" i="1"/>
  <c r="I53" i="3"/>
  <c r="Z95" i="6"/>
  <c r="Z97" i="6" s="1"/>
  <c r="G82" i="6"/>
  <c r="H78" i="6" s="1"/>
  <c r="H82" i="6" s="1"/>
  <c r="I78" i="6" s="1"/>
  <c r="W9" i="2"/>
  <c r="AA9" i="2"/>
  <c r="X96" i="6"/>
  <c r="AO95" i="6"/>
  <c r="AO97" i="6" s="1"/>
  <c r="O9" i="2"/>
  <c r="L133" i="1"/>
  <c r="F132" i="1"/>
  <c r="I132" i="1"/>
  <c r="O132" i="1"/>
  <c r="R132" i="1"/>
  <c r="I133" i="1"/>
  <c r="R133" i="1"/>
  <c r="F133" i="1"/>
  <c r="O133" i="1"/>
  <c r="BO27" i="11"/>
  <c r="G96" i="6"/>
  <c r="BD96" i="6"/>
  <c r="BT80" i="6"/>
  <c r="H29" i="4"/>
  <c r="H31" i="4" s="1"/>
  <c r="BI25" i="11"/>
  <c r="AO31" i="11"/>
  <c r="BB39" i="11"/>
  <c r="AW43" i="11"/>
  <c r="J53" i="6"/>
  <c r="AS31" i="11"/>
  <c r="BN50" i="13"/>
  <c r="AG96" i="6"/>
  <c r="AS96" i="6" s="1"/>
  <c r="AK96" i="6"/>
  <c r="AT96" i="6"/>
  <c r="BF96" i="6" s="1"/>
  <c r="AX96" i="6"/>
  <c r="BB96" i="6"/>
  <c r="I31" i="11"/>
  <c r="H43" i="11"/>
  <c r="CD10" i="14"/>
  <c r="D2" i="15"/>
  <c r="AJ43" i="11"/>
  <c r="R50" i="13"/>
  <c r="BS74" i="13"/>
  <c r="D3" i="15"/>
  <c r="D9" i="17"/>
  <c r="B9" i="17"/>
  <c r="K9" i="2"/>
  <c r="T47" i="3"/>
  <c r="U16" i="3"/>
  <c r="U37" i="3" s="1"/>
  <c r="F39" i="2"/>
  <c r="G39" i="2" s="1"/>
  <c r="Z9" i="2"/>
  <c r="AN15" i="11"/>
  <c r="AO16" i="11"/>
  <c r="AP16" i="11" s="1"/>
  <c r="AQ16" i="11" s="1"/>
  <c r="AR16" i="11" s="1"/>
  <c r="AS16" i="11" s="1"/>
  <c r="AS15" i="11" s="1"/>
  <c r="AE39" i="3"/>
  <c r="I70" i="1" s="1"/>
  <c r="AR39" i="3"/>
  <c r="L70" i="1" s="1"/>
  <c r="BE39" i="3"/>
  <c r="O70" i="1" s="1"/>
  <c r="N73" i="7"/>
  <c r="T55" i="7"/>
  <c r="BF9" i="11"/>
  <c r="AI21" i="11"/>
  <c r="H21" i="11"/>
  <c r="BH21" i="11"/>
  <c r="AJ21" i="11"/>
  <c r="R41" i="3"/>
  <c r="F72" i="1" s="1"/>
  <c r="AE41" i="3"/>
  <c r="I72" i="1" s="1"/>
  <c r="AR41" i="3"/>
  <c r="L72" i="1" s="1"/>
  <c r="BE41" i="3"/>
  <c r="O72" i="1" s="1"/>
  <c r="AE43" i="3"/>
  <c r="I74" i="1" s="1"/>
  <c r="AR43" i="3"/>
  <c r="L74" i="1" s="1"/>
  <c r="BE43" i="3"/>
  <c r="O74" i="1" s="1"/>
  <c r="R44" i="3"/>
  <c r="F75" i="1" s="1"/>
  <c r="AE44" i="3"/>
  <c r="I75" i="1" s="1"/>
  <c r="AR44" i="3"/>
  <c r="L75" i="1" s="1"/>
  <c r="BE44" i="3"/>
  <c r="O75" i="1" s="1"/>
  <c r="BR44" i="3"/>
  <c r="R75" i="1" s="1"/>
  <c r="R49" i="3"/>
  <c r="F80" i="1" s="1"/>
  <c r="AR49" i="3"/>
  <c r="L80" i="1" s="1"/>
  <c r="BE49" i="3"/>
  <c r="O80" i="1" s="1"/>
  <c r="BR49" i="3"/>
  <c r="R80" i="1" s="1"/>
  <c r="R50" i="3"/>
  <c r="F81" i="1" s="1"/>
  <c r="AE50" i="3"/>
  <c r="I81" i="1" s="1"/>
  <c r="AR50" i="3"/>
  <c r="L81" i="1" s="1"/>
  <c r="BR50" i="3"/>
  <c r="R81" i="1" s="1"/>
  <c r="R51" i="3"/>
  <c r="F82" i="1" s="1"/>
  <c r="AR51" i="3"/>
  <c r="L82" i="1" s="1"/>
  <c r="BE51" i="3"/>
  <c r="O82" i="1" s="1"/>
  <c r="BR51" i="3"/>
  <c r="R82" i="1" s="1"/>
  <c r="BS9" i="11"/>
  <c r="BQ9" i="11"/>
  <c r="AP9" i="11"/>
  <c r="L9" i="11"/>
  <c r="BK9" i="11"/>
  <c r="AK9" i="11"/>
  <c r="H9" i="11"/>
  <c r="BA9" i="11"/>
  <c r="Z9" i="11"/>
  <c r="AU9" i="11"/>
  <c r="U9" i="11"/>
  <c r="O20" i="11"/>
  <c r="P20" i="11" s="1"/>
  <c r="Q20" i="11" s="1"/>
  <c r="R20" i="11" s="1"/>
  <c r="S20" i="11" s="1"/>
  <c r="N19" i="11"/>
  <c r="BM24" i="11"/>
  <c r="BN24" i="11" s="1"/>
  <c r="BO24" i="11" s="1"/>
  <c r="BP24" i="11" s="1"/>
  <c r="BQ24" i="11" s="1"/>
  <c r="BR24" i="11" s="1"/>
  <c r="BS24" i="11" s="1"/>
  <c r="BS23" i="11" s="1"/>
  <c r="BL23" i="11"/>
  <c r="AJ13" i="11"/>
  <c r="L70" i="16"/>
  <c r="U70" i="16"/>
  <c r="AA70" i="16" s="1"/>
  <c r="K70" i="16"/>
  <c r="AF54" i="6"/>
  <c r="AS54" i="6"/>
  <c r="BF54" i="6"/>
  <c r="AN96" i="6"/>
  <c r="BJ96" i="6"/>
  <c r="BN96" i="6"/>
  <c r="BR96" i="6"/>
  <c r="S72" i="6"/>
  <c r="AF72" i="6"/>
  <c r="G89" i="6"/>
  <c r="M74" i="7"/>
  <c r="AD11" i="11"/>
  <c r="AW15" i="11"/>
  <c r="BJ19" i="11"/>
  <c r="AN23" i="11"/>
  <c r="BI31" i="11"/>
  <c r="BN33" i="11"/>
  <c r="J33" i="11"/>
  <c r="BC49" i="13"/>
  <c r="BR50" i="13"/>
  <c r="AR50" i="13"/>
  <c r="AA50" i="13"/>
  <c r="J50" i="13"/>
  <c r="BL64" i="13"/>
  <c r="L65" i="16"/>
  <c r="K65" i="16"/>
  <c r="U65" i="16"/>
  <c r="AA65" i="16" s="1"/>
  <c r="AV23" i="11"/>
  <c r="BO35" i="11"/>
  <c r="AR51" i="13"/>
  <c r="AH58" i="11"/>
  <c r="BL15" i="11"/>
  <c r="H23" i="11"/>
  <c r="AW23" i="11"/>
  <c r="P44" i="13"/>
  <c r="AJ50" i="13"/>
  <c r="AA55" i="13"/>
  <c r="D5" i="15"/>
  <c r="O57" i="16"/>
  <c r="P57" i="16" s="1"/>
  <c r="AV43" i="11"/>
  <c r="BR47" i="13"/>
  <c r="O50" i="13"/>
  <c r="AF50" i="13"/>
  <c r="AX50" i="13"/>
  <c r="AN55" i="13"/>
  <c r="AN57" i="13"/>
  <c r="BS71" i="13"/>
  <c r="BS76" i="13"/>
  <c r="K10" i="14"/>
  <c r="D6" i="15"/>
  <c r="O45" i="16"/>
  <c r="P45" i="16" s="1"/>
  <c r="O49" i="16"/>
  <c r="P49" i="16" s="1"/>
  <c r="K57" i="16"/>
  <c r="F87" i="16"/>
  <c r="C78" i="16"/>
  <c r="C79" i="16" s="1"/>
  <c r="U57" i="16"/>
  <c r="AA57" i="16" s="1"/>
  <c r="O65" i="16"/>
  <c r="P65" i="16" s="1"/>
  <c r="O67" i="16"/>
  <c r="P67" i="16" s="1"/>
  <c r="O69" i="16"/>
  <c r="P69" i="16" s="1"/>
  <c r="E9" i="17"/>
  <c r="I43" i="11"/>
  <c r="AN43" i="11"/>
  <c r="AN49" i="11"/>
  <c r="X50" i="13"/>
  <c r="AO50" i="13"/>
  <c r="W55" i="13"/>
  <c r="BP99" i="13"/>
  <c r="BE55" i="3"/>
  <c r="O86" i="1" s="1"/>
  <c r="AI7" i="11"/>
  <c r="AU7" i="11"/>
  <c r="H37" i="11"/>
  <c r="BH37" i="11"/>
  <c r="P37" i="11"/>
  <c r="L37" i="11"/>
  <c r="BB11" i="11"/>
  <c r="AO25" i="11"/>
  <c r="AU27" i="11"/>
  <c r="N11" i="11"/>
  <c r="BJ11" i="11"/>
  <c r="H13" i="11"/>
  <c r="BM15" i="11"/>
  <c r="I25" i="11"/>
  <c r="AW25" i="11"/>
  <c r="AA27" i="11"/>
  <c r="K35" i="11"/>
  <c r="AK39" i="11"/>
  <c r="BH13" i="11"/>
  <c r="V11" i="11"/>
  <c r="AI13" i="11"/>
  <c r="H15" i="11"/>
  <c r="AV15" i="11"/>
  <c r="Q25" i="11"/>
  <c r="BE25" i="11"/>
  <c r="AE27" i="11"/>
  <c r="AA35" i="11"/>
  <c r="I15" i="11"/>
  <c r="Y25" i="11"/>
  <c r="BN25" i="11"/>
  <c r="AQ27" i="11"/>
  <c r="AQ35" i="11"/>
  <c r="I45" i="11"/>
  <c r="BM45" i="11"/>
  <c r="Y45" i="11"/>
  <c r="AW45" i="11"/>
  <c r="AO45" i="11"/>
  <c r="BE45" i="11"/>
  <c r="BI51" i="11"/>
  <c r="U51" i="11"/>
  <c r="AC51" i="11"/>
  <c r="AS51" i="11"/>
  <c r="H49" i="11"/>
  <c r="AV49" i="11"/>
  <c r="P49" i="11"/>
  <c r="BD49" i="11"/>
  <c r="X49" i="11"/>
  <c r="AF49" i="11"/>
  <c r="BR47" i="11"/>
  <c r="BN47" i="11"/>
  <c r="AP47" i="11"/>
  <c r="AH47" i="11"/>
  <c r="J47" i="11"/>
  <c r="BF47" i="11"/>
  <c r="BT57" i="6"/>
  <c r="BF79" i="6"/>
  <c r="S88" i="6"/>
  <c r="BS54" i="6"/>
  <c r="BT56" i="6"/>
  <c r="AS65" i="6"/>
  <c r="BF65" i="6"/>
  <c r="BS65" i="6"/>
  <c r="S73" i="6"/>
  <c r="AS79" i="6"/>
  <c r="AF89" i="6"/>
  <c r="AS89" i="6"/>
  <c r="BS89" i="6"/>
  <c r="AP53" i="6"/>
  <c r="U96" i="6"/>
  <c r="Y95" i="6"/>
  <c r="Y97" i="6" s="1"/>
  <c r="AC95" i="6"/>
  <c r="AH96" i="6"/>
  <c r="AL96" i="6"/>
  <c r="AP96" i="6"/>
  <c r="BT73" i="6"/>
  <c r="S74" i="6"/>
  <c r="BT74" i="6" s="1"/>
  <c r="BT58" i="6"/>
  <c r="V96" i="6"/>
  <c r="Z96" i="6"/>
  <c r="AD96" i="6"/>
  <c r="U95" i="6"/>
  <c r="AC96" i="6"/>
  <c r="S81" i="6"/>
  <c r="BT81" i="6" s="1"/>
  <c r="AP95" i="6"/>
  <c r="K53" i="6"/>
  <c r="O53" i="6"/>
  <c r="H53" i="6"/>
  <c r="L53" i="6"/>
  <c r="N53" i="6"/>
  <c r="AD53" i="6"/>
  <c r="R53" i="6"/>
  <c r="AH53" i="6"/>
  <c r="V53" i="6"/>
  <c r="AL53" i="6"/>
  <c r="F39" i="1"/>
  <c r="S40" i="2"/>
  <c r="T40" i="2" s="1"/>
  <c r="U40" i="2" s="1"/>
  <c r="V40" i="2" s="1"/>
  <c r="W40" i="2" s="1"/>
  <c r="X40" i="2" s="1"/>
  <c r="Y40" i="2" s="1"/>
  <c r="Z40" i="2" s="1"/>
  <c r="AA40" i="2" s="1"/>
  <c r="AB40" i="2" s="1"/>
  <c r="AC40" i="2" s="1"/>
  <c r="AD40" i="2" s="1"/>
  <c r="U53" i="6"/>
  <c r="Y53" i="6"/>
  <c r="AC53" i="6"/>
  <c r="AG53" i="6"/>
  <c r="AK53" i="6"/>
  <c r="AO53" i="6"/>
  <c r="AW53" i="6"/>
  <c r="BA53" i="6"/>
  <c r="BE53" i="6"/>
  <c r="BG96" i="6"/>
  <c r="BS96" i="6" s="1"/>
  <c r="BG95" i="6"/>
  <c r="BK96" i="6"/>
  <c r="BK95" i="6"/>
  <c r="BO95" i="6"/>
  <c r="BO96" i="6"/>
  <c r="BS66" i="6"/>
  <c r="S89" i="6"/>
  <c r="BR39" i="3"/>
  <c r="R70" i="1" s="1"/>
  <c r="AC42" i="3"/>
  <c r="BR43" i="3"/>
  <c r="R74" i="1" s="1"/>
  <c r="AE49" i="3"/>
  <c r="I80" i="1" s="1"/>
  <c r="I53" i="6"/>
  <c r="M53" i="6"/>
  <c r="Q53" i="6"/>
  <c r="AU96" i="6"/>
  <c r="AU95" i="6"/>
  <c r="AY95" i="6"/>
  <c r="AY96" i="6"/>
  <c r="BC96" i="6"/>
  <c r="BC95" i="6"/>
  <c r="BI96" i="6"/>
  <c r="BQ95" i="6"/>
  <c r="AF10" i="11"/>
  <c r="AF9" i="11" s="1"/>
  <c r="AE9" i="11"/>
  <c r="U9" i="2"/>
  <c r="AC9" i="2"/>
  <c r="R39" i="3"/>
  <c r="R43" i="3"/>
  <c r="BE45" i="3"/>
  <c r="O76" i="1" s="1"/>
  <c r="AE51" i="3"/>
  <c r="I82" i="1" s="1"/>
  <c r="S45" i="6"/>
  <c r="BT8" i="6"/>
  <c r="BT45" i="6" s="1"/>
  <c r="AI95" i="6"/>
  <c r="AI96" i="6"/>
  <c r="AM96" i="6"/>
  <c r="AM95" i="6"/>
  <c r="AQ96" i="6"/>
  <c r="AQ95" i="6"/>
  <c r="BI95" i="6"/>
  <c r="BM96" i="6"/>
  <c r="BQ96" i="6"/>
  <c r="AK95" i="6"/>
  <c r="BA95" i="6"/>
  <c r="S79" i="6"/>
  <c r="AF79" i="6"/>
  <c r="AC47" i="3"/>
  <c r="AB9" i="2"/>
  <c r="I9" i="2"/>
  <c r="T42" i="3"/>
  <c r="BR41" i="3"/>
  <c r="R72" i="1" s="1"/>
  <c r="R45" i="3"/>
  <c r="T46" i="3"/>
  <c r="BE50" i="3"/>
  <c r="O81" i="1" s="1"/>
  <c r="BI53" i="6"/>
  <c r="BM53" i="6"/>
  <c r="BQ53" i="6"/>
  <c r="S54" i="6"/>
  <c r="S65" i="6"/>
  <c r="AF65" i="6"/>
  <c r="W96" i="6"/>
  <c r="W95" i="6"/>
  <c r="AA96" i="6"/>
  <c r="AA95" i="6"/>
  <c r="AE96" i="6"/>
  <c r="AE95" i="6"/>
  <c r="AW96" i="6"/>
  <c r="BA96" i="6"/>
  <c r="BE95" i="6"/>
  <c r="AS72" i="6"/>
  <c r="BF72" i="6"/>
  <c r="BS72" i="6"/>
  <c r="BS79" i="6"/>
  <c r="P9" i="11"/>
  <c r="T54" i="7"/>
  <c r="T17" i="7"/>
  <c r="J73" i="7"/>
  <c r="R73" i="7"/>
  <c r="W58" i="11"/>
  <c r="X7" i="11"/>
  <c r="AN13" i="11"/>
  <c r="AO14" i="11"/>
  <c r="AP14" i="11" s="1"/>
  <c r="AQ14" i="11" s="1"/>
  <c r="BM14" i="11"/>
  <c r="BN14" i="11" s="1"/>
  <c r="BO14" i="11" s="1"/>
  <c r="BL13" i="11"/>
  <c r="BE16" i="11"/>
  <c r="BD15" i="11"/>
  <c r="Y22" i="11"/>
  <c r="Z22" i="11" s="1"/>
  <c r="AA22" i="11" s="1"/>
  <c r="X21" i="11"/>
  <c r="Q24" i="11"/>
  <c r="P23" i="11"/>
  <c r="K27" i="11"/>
  <c r="BQ38" i="11"/>
  <c r="BR38" i="11" s="1"/>
  <c r="BS38" i="11" s="1"/>
  <c r="BP37" i="11"/>
  <c r="S48" i="11"/>
  <c r="R47" i="11"/>
  <c r="G53" i="6"/>
  <c r="AI53" i="6"/>
  <c r="AM53" i="6"/>
  <c r="AQ53" i="6"/>
  <c r="AU53" i="6"/>
  <c r="AY53" i="6"/>
  <c r="BC53" i="6"/>
  <c r="BG53" i="6"/>
  <c r="BK53" i="6"/>
  <c r="BO53" i="6"/>
  <c r="T95" i="6"/>
  <c r="X95" i="6"/>
  <c r="AB95" i="6"/>
  <c r="AF66" i="6"/>
  <c r="AJ95" i="6"/>
  <c r="AN95" i="6"/>
  <c r="AR95" i="6"/>
  <c r="AV95" i="6"/>
  <c r="AZ95" i="6"/>
  <c r="BD95" i="6"/>
  <c r="BH95" i="6"/>
  <c r="BL95" i="6"/>
  <c r="BP95" i="6"/>
  <c r="BF67" i="6"/>
  <c r="BT67" i="6" s="1"/>
  <c r="BF89" i="6"/>
  <c r="V95" i="6"/>
  <c r="AG95" i="6"/>
  <c r="AL95" i="6"/>
  <c r="AW95" i="6"/>
  <c r="BB95" i="6"/>
  <c r="BM95" i="6"/>
  <c r="BR95" i="6"/>
  <c r="T96" i="6"/>
  <c r="AF96" i="6" s="1"/>
  <c r="Y96" i="6"/>
  <c r="AJ96" i="6"/>
  <c r="AO96" i="6"/>
  <c r="AZ96" i="6"/>
  <c r="BE96" i="6"/>
  <c r="BP96" i="6"/>
  <c r="I53" i="7"/>
  <c r="I73" i="7"/>
  <c r="M53" i="7"/>
  <c r="M73" i="7"/>
  <c r="Q53" i="7"/>
  <c r="Q73" i="7"/>
  <c r="N74" i="7"/>
  <c r="BJ7" i="11"/>
  <c r="AH7" i="11"/>
  <c r="V7" i="11"/>
  <c r="J7" i="11"/>
  <c r="BI7" i="11"/>
  <c r="AW7" i="11"/>
  <c r="I7" i="11"/>
  <c r="BH7" i="11"/>
  <c r="AV7" i="11"/>
  <c r="AJ7" i="11"/>
  <c r="H7" i="11"/>
  <c r="W7" i="11"/>
  <c r="AJ58" i="11"/>
  <c r="AK8" i="11"/>
  <c r="AV13" i="11"/>
  <c r="AW14" i="11"/>
  <c r="AX14" i="11" s="1"/>
  <c r="AY14" i="11" s="1"/>
  <c r="X15" i="11"/>
  <c r="Y16" i="11"/>
  <c r="V19" i="11"/>
  <c r="BB19" i="11"/>
  <c r="AN21" i="11"/>
  <c r="AO22" i="11"/>
  <c r="AP22" i="11" s="1"/>
  <c r="AQ22" i="11" s="1"/>
  <c r="BM22" i="11"/>
  <c r="BN22" i="11" s="1"/>
  <c r="BO22" i="11" s="1"/>
  <c r="BL21" i="11"/>
  <c r="BE24" i="11"/>
  <c r="BD23" i="11"/>
  <c r="AD32" i="11"/>
  <c r="AE32" i="11" s="1"/>
  <c r="AF32" i="11" s="1"/>
  <c r="AF31" i="11" s="1"/>
  <c r="AC31" i="11"/>
  <c r="BF32" i="11"/>
  <c r="BE31" i="11"/>
  <c r="AP33" i="11"/>
  <c r="AQ34" i="11"/>
  <c r="AR34" i="11" s="1"/>
  <c r="AS34" i="11" s="1"/>
  <c r="AS33" i="11" s="1"/>
  <c r="AV37" i="11"/>
  <c r="Y38" i="11"/>
  <c r="Z38" i="11" s="1"/>
  <c r="AA38" i="11" s="1"/>
  <c r="AB38" i="11" s="1"/>
  <c r="X37" i="11"/>
  <c r="BP39" i="11"/>
  <c r="BL39" i="11"/>
  <c r="BH39" i="11"/>
  <c r="BD39" i="11"/>
  <c r="AZ39" i="11"/>
  <c r="BQ39" i="11"/>
  <c r="BK39" i="11"/>
  <c r="BF39" i="11"/>
  <c r="BA39" i="11"/>
  <c r="AV39" i="11"/>
  <c r="AR39" i="11"/>
  <c r="AN39" i="11"/>
  <c r="AJ39" i="11"/>
  <c r="AF39" i="11"/>
  <c r="AB39" i="11"/>
  <c r="X39" i="11"/>
  <c r="P39" i="11"/>
  <c r="L39" i="11"/>
  <c r="H39" i="11"/>
  <c r="BO39" i="11"/>
  <c r="BJ39" i="11"/>
  <c r="BE39" i="11"/>
  <c r="AY39" i="11"/>
  <c r="AU39" i="11"/>
  <c r="AQ39" i="11"/>
  <c r="AM39" i="11"/>
  <c r="AI39" i="11"/>
  <c r="AE39" i="11"/>
  <c r="AA39" i="11"/>
  <c r="W39" i="11"/>
  <c r="S39" i="11"/>
  <c r="O39" i="11"/>
  <c r="K39" i="11"/>
  <c r="BS39" i="11"/>
  <c r="BN39" i="11"/>
  <c r="BI39" i="11"/>
  <c r="BC39" i="11"/>
  <c r="AX39" i="11"/>
  <c r="AP39" i="11"/>
  <c r="AL39" i="11"/>
  <c r="AH39" i="11"/>
  <c r="AD39" i="11"/>
  <c r="Z39" i="11"/>
  <c r="V39" i="11"/>
  <c r="R39" i="11"/>
  <c r="N39" i="11"/>
  <c r="J39" i="11"/>
  <c r="BR39" i="11"/>
  <c r="AW39" i="11"/>
  <c r="Q39" i="11"/>
  <c r="BM39" i="11"/>
  <c r="AS39" i="11"/>
  <c r="AC39" i="11"/>
  <c r="M39" i="11"/>
  <c r="AO39" i="11"/>
  <c r="Y39" i="11"/>
  <c r="I39" i="11"/>
  <c r="P53" i="6"/>
  <c r="T53" i="6"/>
  <c r="AJ53" i="6"/>
  <c r="AV53" i="6"/>
  <c r="AZ53" i="6"/>
  <c r="BL53" i="6"/>
  <c r="BP53" i="6"/>
  <c r="H95" i="6"/>
  <c r="AS66" i="6"/>
  <c r="G75" i="6"/>
  <c r="H71" i="6" s="1"/>
  <c r="G95" i="6"/>
  <c r="AH95" i="6"/>
  <c r="AX95" i="6"/>
  <c r="BN95" i="6"/>
  <c r="AV96" i="6"/>
  <c r="BL96" i="6"/>
  <c r="K52" i="7"/>
  <c r="K74" i="7"/>
  <c r="O52" i="7"/>
  <c r="O74" i="7"/>
  <c r="S52" i="7"/>
  <c r="S74" i="7"/>
  <c r="T18" i="7"/>
  <c r="T19" i="7"/>
  <c r="T57" i="7"/>
  <c r="T20" i="7"/>
  <c r="I74" i="7"/>
  <c r="Q74" i="7"/>
  <c r="AG52" i="7"/>
  <c r="AX8" i="11"/>
  <c r="AX7" i="11" s="1"/>
  <c r="BQ11" i="11"/>
  <c r="BM11" i="11"/>
  <c r="BI11" i="11"/>
  <c r="BE11" i="11"/>
  <c r="BA11" i="11"/>
  <c r="AW11" i="11"/>
  <c r="AS11" i="11"/>
  <c r="AO11" i="11"/>
  <c r="AK11" i="11"/>
  <c r="AC11" i="11"/>
  <c r="Y11" i="11"/>
  <c r="U11" i="11"/>
  <c r="Q11" i="11"/>
  <c r="M11" i="11"/>
  <c r="I11" i="11"/>
  <c r="BP11" i="11"/>
  <c r="BL11" i="11"/>
  <c r="BH11" i="11"/>
  <c r="BD11" i="11"/>
  <c r="AZ11" i="11"/>
  <c r="AV11" i="11"/>
  <c r="AR11" i="11"/>
  <c r="AN11" i="11"/>
  <c r="AJ11" i="11"/>
  <c r="AF11" i="11"/>
  <c r="AB11" i="11"/>
  <c r="X11" i="11"/>
  <c r="P11" i="11"/>
  <c r="L11" i="11"/>
  <c r="H11" i="11"/>
  <c r="BO11" i="11"/>
  <c r="AY11" i="11"/>
  <c r="AQ11" i="11"/>
  <c r="AI11" i="11"/>
  <c r="AA11" i="11"/>
  <c r="S11" i="11"/>
  <c r="K11" i="11"/>
  <c r="BN11" i="11"/>
  <c r="BF11" i="11"/>
  <c r="AX11" i="11"/>
  <c r="AP11" i="11"/>
  <c r="AH11" i="11"/>
  <c r="Z11" i="11"/>
  <c r="R11" i="11"/>
  <c r="J11" i="11"/>
  <c r="BS11" i="11"/>
  <c r="BK11" i="11"/>
  <c r="BC11" i="11"/>
  <c r="AU11" i="11"/>
  <c r="AM11" i="11"/>
  <c r="AE11" i="11"/>
  <c r="W11" i="11"/>
  <c r="O11" i="11"/>
  <c r="AL11" i="11"/>
  <c r="BR11" i="11"/>
  <c r="BP15" i="11"/>
  <c r="AD19" i="11"/>
  <c r="AV21" i="11"/>
  <c r="AW22" i="11"/>
  <c r="AX22" i="11" s="1"/>
  <c r="AY22" i="11" s="1"/>
  <c r="AO23" i="11"/>
  <c r="X23" i="11"/>
  <c r="Y24" i="11"/>
  <c r="BK27" i="11"/>
  <c r="AW31" i="11"/>
  <c r="M31" i="11"/>
  <c r="N33" i="11"/>
  <c r="AA34" i="11"/>
  <c r="AB34" i="11" s="1"/>
  <c r="AC34" i="11" s="1"/>
  <c r="AD34" i="11" s="1"/>
  <c r="Z33" i="11"/>
  <c r="AK38" i="11"/>
  <c r="AL38" i="11" s="1"/>
  <c r="AM38" i="11" s="1"/>
  <c r="AN38" i="11" s="1"/>
  <c r="AJ37" i="11"/>
  <c r="U39" i="11"/>
  <c r="BA44" i="11"/>
  <c r="BB44" i="11" s="1"/>
  <c r="BC44" i="11" s="1"/>
  <c r="BD44" i="11" s="1"/>
  <c r="AZ43" i="11"/>
  <c r="BF66" i="6"/>
  <c r="I95" i="6"/>
  <c r="AD95" i="6"/>
  <c r="AT95" i="6"/>
  <c r="BJ95" i="6"/>
  <c r="AB96" i="6"/>
  <c r="AR96" i="6"/>
  <c r="BH96" i="6"/>
  <c r="L74" i="7"/>
  <c r="L73" i="7"/>
  <c r="P74" i="7"/>
  <c r="P73" i="7"/>
  <c r="T15" i="7"/>
  <c r="T58" i="7"/>
  <c r="T21" i="7"/>
  <c r="J74" i="7"/>
  <c r="R74" i="7"/>
  <c r="L12" i="1"/>
  <c r="L52" i="7"/>
  <c r="B118" i="10"/>
  <c r="I29" i="4"/>
  <c r="J58" i="11"/>
  <c r="K8" i="11"/>
  <c r="BJ58" i="11"/>
  <c r="BK8" i="11"/>
  <c r="K13" i="11"/>
  <c r="Y14" i="11"/>
  <c r="Z14" i="11" s="1"/>
  <c r="AA14" i="11" s="1"/>
  <c r="X13" i="11"/>
  <c r="P15" i="11"/>
  <c r="BQ19" i="11"/>
  <c r="BM19" i="11"/>
  <c r="BI19" i="11"/>
  <c r="BE19" i="11"/>
  <c r="BA19" i="11"/>
  <c r="AW19" i="11"/>
  <c r="AS19" i="11"/>
  <c r="AO19" i="11"/>
  <c r="AK19" i="11"/>
  <c r="AC19" i="11"/>
  <c r="Y19" i="11"/>
  <c r="U19" i="11"/>
  <c r="Q19" i="11"/>
  <c r="M19" i="11"/>
  <c r="I19" i="11"/>
  <c r="BP19" i="11"/>
  <c r="BL19" i="11"/>
  <c r="BH19" i="11"/>
  <c r="BD19" i="11"/>
  <c r="AZ19" i="11"/>
  <c r="AV19" i="11"/>
  <c r="AR19" i="11"/>
  <c r="AN19" i="11"/>
  <c r="AJ19" i="11"/>
  <c r="AF19" i="11"/>
  <c r="AB19" i="11"/>
  <c r="X19" i="11"/>
  <c r="P19" i="11"/>
  <c r="L19" i="11"/>
  <c r="H19" i="11"/>
  <c r="BO19" i="11"/>
  <c r="AY19" i="11"/>
  <c r="AQ19" i="11"/>
  <c r="AI19" i="11"/>
  <c r="AA19" i="11"/>
  <c r="S19" i="11"/>
  <c r="K19" i="11"/>
  <c r="BN19" i="11"/>
  <c r="BF19" i="11"/>
  <c r="AX19" i="11"/>
  <c r="AP19" i="11"/>
  <c r="AH19" i="11"/>
  <c r="Z19" i="11"/>
  <c r="R19" i="11"/>
  <c r="J19" i="11"/>
  <c r="BS19" i="11"/>
  <c r="BK19" i="11"/>
  <c r="BC19" i="11"/>
  <c r="AU19" i="11"/>
  <c r="AM19" i="11"/>
  <c r="AE19" i="11"/>
  <c r="W19" i="11"/>
  <c r="O19" i="11"/>
  <c r="AL19" i="11"/>
  <c r="BR19" i="11"/>
  <c r="BL37" i="11"/>
  <c r="BA38" i="11"/>
  <c r="BB38" i="11" s="1"/>
  <c r="BC38" i="11" s="1"/>
  <c r="BD38" i="11" s="1"/>
  <c r="AZ37" i="11"/>
  <c r="M44" i="11"/>
  <c r="N44" i="11" s="1"/>
  <c r="O44" i="11" s="1"/>
  <c r="P44" i="11" s="1"/>
  <c r="L43" i="11"/>
  <c r="AA48" i="11"/>
  <c r="AB48" i="11" s="1"/>
  <c r="AC48" i="11" s="1"/>
  <c r="AD48" i="11" s="1"/>
  <c r="AE48" i="11" s="1"/>
  <c r="AF48" i="11" s="1"/>
  <c r="AF47" i="11" s="1"/>
  <c r="Z47" i="11"/>
  <c r="BM50" i="11"/>
  <c r="BN50" i="11" s="1"/>
  <c r="BO50" i="11" s="1"/>
  <c r="BP50" i="11" s="1"/>
  <c r="BQ50" i="11" s="1"/>
  <c r="BR50" i="11" s="1"/>
  <c r="BS50" i="11" s="1"/>
  <c r="BS49" i="11" s="1"/>
  <c r="BL49" i="11"/>
  <c r="H56" i="7"/>
  <c r="T56" i="7" s="1"/>
  <c r="I9" i="11"/>
  <c r="M9" i="11"/>
  <c r="Q9" i="11"/>
  <c r="V9" i="11"/>
  <c r="AA9" i="11"/>
  <c r="AL9" i="11"/>
  <c r="AQ9" i="11"/>
  <c r="AW9" i="11"/>
  <c r="BB9" i="11"/>
  <c r="BM9" i="11"/>
  <c r="BR9" i="11"/>
  <c r="BJ13" i="11"/>
  <c r="AP13" i="11"/>
  <c r="AL13" i="11"/>
  <c r="AH13" i="11"/>
  <c r="V13" i="11"/>
  <c r="J13" i="11"/>
  <c r="BI13" i="11"/>
  <c r="AO13" i="11"/>
  <c r="AK13" i="11"/>
  <c r="U13" i="11"/>
  <c r="I13" i="11"/>
  <c r="W13" i="11"/>
  <c r="AM13" i="11"/>
  <c r="AU13" i="11"/>
  <c r="BK13" i="11"/>
  <c r="L15" i="11"/>
  <c r="AJ15" i="11"/>
  <c r="AZ15" i="11"/>
  <c r="BH15" i="11"/>
  <c r="BN21" i="11"/>
  <c r="BJ21" i="11"/>
  <c r="AX21" i="11"/>
  <c r="AP21" i="11"/>
  <c r="AL21" i="11"/>
  <c r="AH21" i="11"/>
  <c r="V21" i="11"/>
  <c r="J21" i="11"/>
  <c r="BM21" i="11"/>
  <c r="BI21" i="11"/>
  <c r="AW21" i="11"/>
  <c r="AO21" i="11"/>
  <c r="AK21" i="11"/>
  <c r="U21" i="11"/>
  <c r="I21" i="11"/>
  <c r="W21" i="11"/>
  <c r="AM21" i="11"/>
  <c r="AU21" i="11"/>
  <c r="BK21" i="11"/>
  <c r="L23" i="11"/>
  <c r="AJ23" i="11"/>
  <c r="AR23" i="11"/>
  <c r="AZ23" i="11"/>
  <c r="BH23" i="11"/>
  <c r="J25" i="11"/>
  <c r="R25" i="11"/>
  <c r="Z25" i="11"/>
  <c r="AH25" i="11"/>
  <c r="AP25" i="11"/>
  <c r="AX25" i="11"/>
  <c r="BF25" i="11"/>
  <c r="BR25" i="11"/>
  <c r="AI27" i="11"/>
  <c r="AY27" i="11"/>
  <c r="BP31" i="11"/>
  <c r="BL31" i="11"/>
  <c r="BH31" i="11"/>
  <c r="BD31" i="11"/>
  <c r="AZ31" i="11"/>
  <c r="AV31" i="11"/>
  <c r="AR31" i="11"/>
  <c r="AN31" i="11"/>
  <c r="AJ31" i="11"/>
  <c r="AB31" i="11"/>
  <c r="X31" i="11"/>
  <c r="L31" i="11"/>
  <c r="H31" i="11"/>
  <c r="BS31" i="11"/>
  <c r="BO31" i="11"/>
  <c r="BK31" i="11"/>
  <c r="BC31" i="11"/>
  <c r="AY31" i="11"/>
  <c r="AU31" i="11"/>
  <c r="AQ31" i="11"/>
  <c r="AM31" i="11"/>
  <c r="AI31" i="11"/>
  <c r="AA31" i="11"/>
  <c r="W31" i="11"/>
  <c r="O31" i="11"/>
  <c r="K31" i="11"/>
  <c r="BR31" i="11"/>
  <c r="BN31" i="11"/>
  <c r="BJ31" i="11"/>
  <c r="BF31" i="11"/>
  <c r="BB31" i="11"/>
  <c r="AX31" i="11"/>
  <c r="AP31" i="11"/>
  <c r="AL31" i="11"/>
  <c r="AH31" i="11"/>
  <c r="Z31" i="11"/>
  <c r="V31" i="11"/>
  <c r="J31" i="11"/>
  <c r="U31" i="11"/>
  <c r="AK31" i="11"/>
  <c r="BA31" i="11"/>
  <c r="BQ31" i="11"/>
  <c r="R33" i="11"/>
  <c r="AH33" i="11"/>
  <c r="AX33" i="11"/>
  <c r="O35" i="11"/>
  <c r="AE35" i="11"/>
  <c r="AU35" i="11"/>
  <c r="BK35" i="11"/>
  <c r="BS37" i="11"/>
  <c r="AO43" i="11"/>
  <c r="AX47" i="11"/>
  <c r="T16" i="7"/>
  <c r="I12" i="1"/>
  <c r="U58" i="11"/>
  <c r="AU58" i="11"/>
  <c r="BH58" i="11"/>
  <c r="J9" i="11"/>
  <c r="N9" i="11"/>
  <c r="R9" i="11"/>
  <c r="W9" i="11"/>
  <c r="AC9" i="11"/>
  <c r="AH9" i="11"/>
  <c r="AM9" i="11"/>
  <c r="AS9" i="11"/>
  <c r="AX9" i="11"/>
  <c r="BC9" i="11"/>
  <c r="BI9" i="11"/>
  <c r="BN9" i="11"/>
  <c r="BS15" i="11"/>
  <c r="BO15" i="11"/>
  <c r="BK15" i="11"/>
  <c r="BC15" i="11"/>
  <c r="AY15" i="11"/>
  <c r="AU15" i="11"/>
  <c r="AM15" i="11"/>
  <c r="AI15" i="11"/>
  <c r="W15" i="11"/>
  <c r="O15" i="11"/>
  <c r="K15" i="11"/>
  <c r="BR15" i="11"/>
  <c r="BN15" i="11"/>
  <c r="BJ15" i="11"/>
  <c r="BB15" i="11"/>
  <c r="AX15" i="11"/>
  <c r="AP15" i="11"/>
  <c r="AL15" i="11"/>
  <c r="AH15" i="11"/>
  <c r="V15" i="11"/>
  <c r="N15" i="11"/>
  <c r="J15" i="11"/>
  <c r="M15" i="11"/>
  <c r="U15" i="11"/>
  <c r="AK15" i="11"/>
  <c r="BA15" i="11"/>
  <c r="BI15" i="11"/>
  <c r="BQ15" i="11"/>
  <c r="BK23" i="11"/>
  <c r="BC23" i="11"/>
  <c r="AY23" i="11"/>
  <c r="AU23" i="11"/>
  <c r="AQ23" i="11"/>
  <c r="AM23" i="11"/>
  <c r="AI23" i="11"/>
  <c r="W23" i="11"/>
  <c r="O23" i="11"/>
  <c r="K23" i="11"/>
  <c r="BJ23" i="11"/>
  <c r="BB23" i="11"/>
  <c r="AX23" i="11"/>
  <c r="AP23" i="11"/>
  <c r="AL23" i="11"/>
  <c r="AH23" i="11"/>
  <c r="V23" i="11"/>
  <c r="N23" i="11"/>
  <c r="J23" i="11"/>
  <c r="M23" i="11"/>
  <c r="U23" i="11"/>
  <c r="AK23" i="11"/>
  <c r="AS23" i="11"/>
  <c r="BA23" i="11"/>
  <c r="BI23" i="11"/>
  <c r="M25" i="11"/>
  <c r="U25" i="11"/>
  <c r="AC25" i="11"/>
  <c r="AK25" i="11"/>
  <c r="AS25" i="11"/>
  <c r="BA25" i="11"/>
  <c r="BR27" i="11"/>
  <c r="BN27" i="11"/>
  <c r="BJ27" i="11"/>
  <c r="BF27" i="11"/>
  <c r="BB27" i="11"/>
  <c r="AX27" i="11"/>
  <c r="AP27" i="11"/>
  <c r="AL27" i="11"/>
  <c r="AH27" i="11"/>
  <c r="AD27" i="11"/>
  <c r="Z27" i="11"/>
  <c r="V27" i="11"/>
  <c r="N27" i="11"/>
  <c r="J27" i="11"/>
  <c r="BQ27" i="11"/>
  <c r="BM27" i="11"/>
  <c r="BI27" i="11"/>
  <c r="BE27" i="11"/>
  <c r="BA27" i="11"/>
  <c r="AW27" i="11"/>
  <c r="AS27" i="11"/>
  <c r="AO27" i="11"/>
  <c r="AK27" i="11"/>
  <c r="AC27" i="11"/>
  <c r="Y27" i="11"/>
  <c r="U27" i="11"/>
  <c r="M27" i="11"/>
  <c r="I27" i="11"/>
  <c r="BP27" i="11"/>
  <c r="BL27" i="11"/>
  <c r="BH27" i="11"/>
  <c r="BD27" i="11"/>
  <c r="AZ27" i="11"/>
  <c r="AV27" i="11"/>
  <c r="AR27" i="11"/>
  <c r="AN27" i="11"/>
  <c r="AJ27" i="11"/>
  <c r="AF27" i="11"/>
  <c r="AB27" i="11"/>
  <c r="X27" i="11"/>
  <c r="L27" i="11"/>
  <c r="H27" i="11"/>
  <c r="W27" i="11"/>
  <c r="AM27" i="11"/>
  <c r="BC27" i="11"/>
  <c r="BS27" i="11"/>
  <c r="Y31" i="11"/>
  <c r="BQ33" i="11"/>
  <c r="BM33" i="11"/>
  <c r="BI33" i="11"/>
  <c r="BE33" i="11"/>
  <c r="BA33" i="11"/>
  <c r="AW33" i="11"/>
  <c r="AO33" i="11"/>
  <c r="AK33" i="11"/>
  <c r="Y33" i="11"/>
  <c r="U33" i="11"/>
  <c r="Q33" i="11"/>
  <c r="M33" i="11"/>
  <c r="I33" i="11"/>
  <c r="BP33" i="11"/>
  <c r="BL33" i="11"/>
  <c r="BH33" i="11"/>
  <c r="BD33" i="11"/>
  <c r="AZ33" i="11"/>
  <c r="AV33" i="11"/>
  <c r="AN33" i="11"/>
  <c r="AJ33" i="11"/>
  <c r="AB33" i="11"/>
  <c r="X33" i="11"/>
  <c r="P33" i="11"/>
  <c r="L33" i="11"/>
  <c r="H33" i="11"/>
  <c r="BS33" i="11"/>
  <c r="BO33" i="11"/>
  <c r="BK33" i="11"/>
  <c r="BC33" i="11"/>
  <c r="AY33" i="11"/>
  <c r="AU33" i="11"/>
  <c r="AQ33" i="11"/>
  <c r="AM33" i="11"/>
  <c r="AI33" i="11"/>
  <c r="W33" i="11"/>
  <c r="S33" i="11"/>
  <c r="O33" i="11"/>
  <c r="K33" i="11"/>
  <c r="V33" i="11"/>
  <c r="AL33" i="11"/>
  <c r="BB33" i="11"/>
  <c r="BR33" i="11"/>
  <c r="S35" i="11"/>
  <c r="AI35" i="11"/>
  <c r="AY35" i="11"/>
  <c r="AS44" i="11"/>
  <c r="AR43" i="11"/>
  <c r="BM44" i="11"/>
  <c r="BL43" i="11"/>
  <c r="BS51" i="11"/>
  <c r="BO51" i="11"/>
  <c r="BK51" i="11"/>
  <c r="BC51" i="11"/>
  <c r="AY51" i="11"/>
  <c r="AU51" i="11"/>
  <c r="AQ51" i="11"/>
  <c r="AM51" i="11"/>
  <c r="AI51" i="11"/>
  <c r="AE51" i="11"/>
  <c r="AA51" i="11"/>
  <c r="W51" i="11"/>
  <c r="BR51" i="11"/>
  <c r="BN51" i="11"/>
  <c r="BJ51" i="11"/>
  <c r="BF51" i="11"/>
  <c r="BB51" i="11"/>
  <c r="AX51" i="11"/>
  <c r="AP51" i="11"/>
  <c r="AL51" i="11"/>
  <c r="AD51" i="11"/>
  <c r="Z51" i="11"/>
  <c r="V51" i="11"/>
  <c r="J51" i="11"/>
  <c r="BP51" i="11"/>
  <c r="BH51" i="11"/>
  <c r="AZ51" i="11"/>
  <c r="AR51" i="11"/>
  <c r="AJ51" i="11"/>
  <c r="AB51" i="11"/>
  <c r="BM51" i="11"/>
  <c r="BE51" i="11"/>
  <c r="AW51" i="11"/>
  <c r="AO51" i="11"/>
  <c r="Y51" i="11"/>
  <c r="I51" i="11"/>
  <c r="BL51" i="11"/>
  <c r="BD51" i="11"/>
  <c r="AV51" i="11"/>
  <c r="AN51" i="11"/>
  <c r="AF51" i="11"/>
  <c r="X51" i="11"/>
  <c r="H51" i="11"/>
  <c r="AK51" i="11"/>
  <c r="BQ51" i="11"/>
  <c r="I58" i="11"/>
  <c r="V58" i="11"/>
  <c r="AI58" i="11"/>
  <c r="AV58" i="11"/>
  <c r="BI58" i="11"/>
  <c r="BP9" i="11"/>
  <c r="BL9" i="11"/>
  <c r="BH9" i="11"/>
  <c r="BD9" i="11"/>
  <c r="AZ9" i="11"/>
  <c r="AV9" i="11"/>
  <c r="AR9" i="11"/>
  <c r="AN9" i="11"/>
  <c r="AJ9" i="11"/>
  <c r="AB9" i="11"/>
  <c r="X9" i="11"/>
  <c r="K9" i="11"/>
  <c r="O9" i="11"/>
  <c r="S9" i="11"/>
  <c r="Y9" i="11"/>
  <c r="AD9" i="11"/>
  <c r="AI9" i="11"/>
  <c r="AO9" i="11"/>
  <c r="AY9" i="11"/>
  <c r="BE9" i="11"/>
  <c r="BJ9" i="11"/>
  <c r="BO9" i="11"/>
  <c r="BQ25" i="11"/>
  <c r="BM25" i="11"/>
  <c r="BP25" i="11"/>
  <c r="BL25" i="11"/>
  <c r="BH25" i="11"/>
  <c r="BD25" i="11"/>
  <c r="AZ25" i="11"/>
  <c r="AV25" i="11"/>
  <c r="AR25" i="11"/>
  <c r="AN25" i="11"/>
  <c r="AJ25" i="11"/>
  <c r="AF25" i="11"/>
  <c r="AB25" i="11"/>
  <c r="X25" i="11"/>
  <c r="P25" i="11"/>
  <c r="L25" i="11"/>
  <c r="H25" i="11"/>
  <c r="BS25" i="11"/>
  <c r="BO25" i="11"/>
  <c r="BK25" i="11"/>
  <c r="BC25" i="11"/>
  <c r="AY25" i="11"/>
  <c r="AU25" i="11"/>
  <c r="AQ25" i="11"/>
  <c r="AM25" i="11"/>
  <c r="AI25" i="11"/>
  <c r="AE25" i="11"/>
  <c r="AA25" i="11"/>
  <c r="W25" i="11"/>
  <c r="S25" i="11"/>
  <c r="O25" i="11"/>
  <c r="K25" i="11"/>
  <c r="N25" i="11"/>
  <c r="V25" i="11"/>
  <c r="AD25" i="11"/>
  <c r="AL25" i="11"/>
  <c r="BB25" i="11"/>
  <c r="BJ25" i="11"/>
  <c r="BR35" i="11"/>
  <c r="BN35" i="11"/>
  <c r="BJ35" i="11"/>
  <c r="BF35" i="11"/>
  <c r="BB35" i="11"/>
  <c r="AX35" i="11"/>
  <c r="AP35" i="11"/>
  <c r="AL35" i="11"/>
  <c r="AH35" i="11"/>
  <c r="AD35" i="11"/>
  <c r="Z35" i="11"/>
  <c r="V35" i="11"/>
  <c r="R35" i="11"/>
  <c r="N35" i="11"/>
  <c r="J35" i="11"/>
  <c r="BQ35" i="11"/>
  <c r="BM35" i="11"/>
  <c r="BI35" i="11"/>
  <c r="BE35" i="11"/>
  <c r="BA35" i="11"/>
  <c r="AW35" i="11"/>
  <c r="AS35" i="11"/>
  <c r="AO35" i="11"/>
  <c r="AK35" i="11"/>
  <c r="AC35" i="11"/>
  <c r="Y35" i="11"/>
  <c r="U35" i="11"/>
  <c r="Q35" i="11"/>
  <c r="M35" i="11"/>
  <c r="I35" i="11"/>
  <c r="BP35" i="11"/>
  <c r="BL35" i="11"/>
  <c r="BH35" i="11"/>
  <c r="BD35" i="11"/>
  <c r="AZ35" i="11"/>
  <c r="AV35" i="11"/>
  <c r="AR35" i="11"/>
  <c r="AN35" i="11"/>
  <c r="AJ35" i="11"/>
  <c r="AF35" i="11"/>
  <c r="AB35" i="11"/>
  <c r="X35" i="11"/>
  <c r="P35" i="11"/>
  <c r="L35" i="11"/>
  <c r="H35" i="11"/>
  <c r="W35" i="11"/>
  <c r="AM35" i="11"/>
  <c r="BC35" i="11"/>
  <c r="BS35" i="11"/>
  <c r="X43" i="11"/>
  <c r="Y44" i="11"/>
  <c r="I37" i="11"/>
  <c r="M37" i="11"/>
  <c r="Q37" i="11"/>
  <c r="U37" i="11"/>
  <c r="Y37" i="11"/>
  <c r="AW37" i="11"/>
  <c r="BI37" i="11"/>
  <c r="BM37" i="11"/>
  <c r="BQ37" i="11"/>
  <c r="J45" i="11"/>
  <c r="Z45" i="11"/>
  <c r="AH45" i="11"/>
  <c r="AP45" i="11"/>
  <c r="AX45" i="11"/>
  <c r="BF45" i="11"/>
  <c r="BN45" i="11"/>
  <c r="K47" i="11"/>
  <c r="S47" i="11"/>
  <c r="AA47" i="11"/>
  <c r="AI47" i="11"/>
  <c r="AQ47" i="11"/>
  <c r="AY47" i="11"/>
  <c r="BO47" i="11"/>
  <c r="K49" i="11"/>
  <c r="S49" i="11"/>
  <c r="AA49" i="11"/>
  <c r="AI49" i="11"/>
  <c r="AQ49" i="11"/>
  <c r="AY49" i="11"/>
  <c r="BO49" i="11"/>
  <c r="J37" i="11"/>
  <c r="N37" i="11"/>
  <c r="R37" i="11"/>
  <c r="V37" i="11"/>
  <c r="Z37" i="11"/>
  <c r="AH37" i="11"/>
  <c r="AL37" i="11"/>
  <c r="AX37" i="11"/>
  <c r="BJ37" i="11"/>
  <c r="BN37" i="11"/>
  <c r="BR37" i="11"/>
  <c r="BK43" i="11"/>
  <c r="AY43" i="11"/>
  <c r="AU43" i="11"/>
  <c r="AQ43" i="11"/>
  <c r="AM43" i="11"/>
  <c r="AI43" i="11"/>
  <c r="W43" i="11"/>
  <c r="K43" i="11"/>
  <c r="BJ43" i="11"/>
  <c r="BB43" i="11"/>
  <c r="AX43" i="11"/>
  <c r="AP43" i="11"/>
  <c r="AL43" i="11"/>
  <c r="AH43" i="11"/>
  <c r="V43" i="11"/>
  <c r="N43" i="11"/>
  <c r="J43" i="11"/>
  <c r="U43" i="11"/>
  <c r="AK43" i="11"/>
  <c r="AS43" i="11"/>
  <c r="BI43" i="11"/>
  <c r="U45" i="11"/>
  <c r="AC45" i="11"/>
  <c r="AK45" i="11"/>
  <c r="AS45" i="11"/>
  <c r="BA45" i="11"/>
  <c r="BI45" i="11"/>
  <c r="N47" i="11"/>
  <c r="V47" i="11"/>
  <c r="AL47" i="11"/>
  <c r="BB47" i="11"/>
  <c r="BJ47" i="11"/>
  <c r="L49" i="11"/>
  <c r="AB49" i="11"/>
  <c r="AJ49" i="11"/>
  <c r="AR49" i="11"/>
  <c r="AZ49" i="11"/>
  <c r="BH49" i="11"/>
  <c r="K37" i="11"/>
  <c r="O37" i="11"/>
  <c r="S37" i="11"/>
  <c r="W37" i="11"/>
  <c r="AA37" i="11"/>
  <c r="AI37" i="11"/>
  <c r="AM37" i="11"/>
  <c r="AU37" i="11"/>
  <c r="AY37" i="11"/>
  <c r="BK37" i="11"/>
  <c r="BO37" i="11"/>
  <c r="BP45" i="11"/>
  <c r="BL45" i="11"/>
  <c r="BH45" i="11"/>
  <c r="BD45" i="11"/>
  <c r="AZ45" i="11"/>
  <c r="AV45" i="11"/>
  <c r="AR45" i="11"/>
  <c r="AN45" i="11"/>
  <c r="AJ45" i="11"/>
  <c r="AF45" i="11"/>
  <c r="AB45" i="11"/>
  <c r="X45" i="11"/>
  <c r="H45" i="11"/>
  <c r="BS45" i="11"/>
  <c r="BO45" i="11"/>
  <c r="BK45" i="11"/>
  <c r="BC45" i="11"/>
  <c r="AY45" i="11"/>
  <c r="AU45" i="11"/>
  <c r="AQ45" i="11"/>
  <c r="AM45" i="11"/>
  <c r="AI45" i="11"/>
  <c r="AE45" i="11"/>
  <c r="AA45" i="11"/>
  <c r="W45" i="11"/>
  <c r="V45" i="11"/>
  <c r="AD45" i="11"/>
  <c r="AL45" i="11"/>
  <c r="BB45" i="11"/>
  <c r="BJ45" i="11"/>
  <c r="BR45" i="11"/>
  <c r="BQ47" i="11"/>
  <c r="BM47" i="11"/>
  <c r="BI47" i="11"/>
  <c r="BE47" i="11"/>
  <c r="BA47" i="11"/>
  <c r="AW47" i="11"/>
  <c r="AS47" i="11"/>
  <c r="AO47" i="11"/>
  <c r="AK47" i="11"/>
  <c r="AC47" i="11"/>
  <c r="Y47" i="11"/>
  <c r="U47" i="11"/>
  <c r="Q47" i="11"/>
  <c r="M47" i="11"/>
  <c r="I47" i="11"/>
  <c r="BP47" i="11"/>
  <c r="BL47" i="11"/>
  <c r="BH47" i="11"/>
  <c r="BD47" i="11"/>
  <c r="AZ47" i="11"/>
  <c r="AV47" i="11"/>
  <c r="AR47" i="11"/>
  <c r="AN47" i="11"/>
  <c r="AJ47" i="11"/>
  <c r="AB47" i="11"/>
  <c r="X47" i="11"/>
  <c r="P47" i="11"/>
  <c r="L47" i="11"/>
  <c r="H47" i="11"/>
  <c r="O47" i="11"/>
  <c r="W47" i="11"/>
  <c r="AM47" i="11"/>
  <c r="AU47" i="11"/>
  <c r="BC47" i="11"/>
  <c r="BK47" i="11"/>
  <c r="BS47" i="11"/>
  <c r="BJ49" i="11"/>
  <c r="BF49" i="11"/>
  <c r="BB49" i="11"/>
  <c r="AX49" i="11"/>
  <c r="AP49" i="11"/>
  <c r="AL49" i="11"/>
  <c r="AH49" i="11"/>
  <c r="AD49" i="11"/>
  <c r="Z49" i="11"/>
  <c r="V49" i="11"/>
  <c r="R49" i="11"/>
  <c r="N49" i="11"/>
  <c r="J49" i="11"/>
  <c r="BI49" i="11"/>
  <c r="BE49" i="11"/>
  <c r="BA49" i="11"/>
  <c r="AW49" i="11"/>
  <c r="AS49" i="11"/>
  <c r="AO49" i="11"/>
  <c r="AK49" i="11"/>
  <c r="AC49" i="11"/>
  <c r="Y49" i="11"/>
  <c r="U49" i="11"/>
  <c r="Q49" i="11"/>
  <c r="M49" i="11"/>
  <c r="I49" i="11"/>
  <c r="O49" i="11"/>
  <c r="W49" i="11"/>
  <c r="AE49" i="11"/>
  <c r="AM49" i="11"/>
  <c r="AU49" i="11"/>
  <c r="BC49" i="11"/>
  <c r="BK49" i="11"/>
  <c r="M9" i="13"/>
  <c r="AZ12" i="13"/>
  <c r="AZ16" i="13"/>
  <c r="M17" i="13"/>
  <c r="BD18" i="13"/>
  <c r="AZ20" i="13"/>
  <c r="BL22" i="13"/>
  <c r="BH23" i="13"/>
  <c r="BM25" i="13"/>
  <c r="W43" i="13"/>
  <c r="AB43" i="13"/>
  <c r="AS43" i="13"/>
  <c r="AY43" i="13"/>
  <c r="BP43" i="13"/>
  <c r="K44" i="13"/>
  <c r="AB44" i="13"/>
  <c r="AH44" i="13"/>
  <c r="AY44" i="13"/>
  <c r="BE44" i="13"/>
  <c r="K45" i="13"/>
  <c r="P45" i="13"/>
  <c r="W45" i="13"/>
  <c r="AB45" i="13"/>
  <c r="AH45" i="13"/>
  <c r="AN45" i="13"/>
  <c r="AS45" i="13"/>
  <c r="BA45" i="13"/>
  <c r="BJ45" i="13"/>
  <c r="BR45" i="13"/>
  <c r="N47" i="13"/>
  <c r="W47" i="13"/>
  <c r="AE47" i="13"/>
  <c r="AN47" i="13"/>
  <c r="AW47" i="13"/>
  <c r="BE47" i="13"/>
  <c r="BN47" i="13"/>
  <c r="BP48" i="13"/>
  <c r="BL48" i="13"/>
  <c r="BH48" i="13"/>
  <c r="BC48" i="13"/>
  <c r="AY48" i="13"/>
  <c r="AU48" i="13"/>
  <c r="AP48" i="13"/>
  <c r="AL48" i="13"/>
  <c r="AH48" i="13"/>
  <c r="AC48" i="13"/>
  <c r="Y48" i="13"/>
  <c r="U48" i="13"/>
  <c r="P48" i="13"/>
  <c r="L48" i="13"/>
  <c r="H48" i="13"/>
  <c r="BQ48" i="13"/>
  <c r="BM48" i="13"/>
  <c r="BI48" i="13"/>
  <c r="BD48" i="13"/>
  <c r="AZ48" i="13"/>
  <c r="AV48" i="13"/>
  <c r="AQ48" i="13"/>
  <c r="AM48" i="13"/>
  <c r="AI48" i="13"/>
  <c r="AD48" i="13"/>
  <c r="Z48" i="13"/>
  <c r="V48" i="13"/>
  <c r="Q48" i="13"/>
  <c r="M48" i="13"/>
  <c r="I48" i="13"/>
  <c r="K48" i="13"/>
  <c r="S48" i="13"/>
  <c r="AB48" i="13"/>
  <c r="AK48" i="13"/>
  <c r="AS48" i="13"/>
  <c r="BB48" i="13"/>
  <c r="BK48" i="13"/>
  <c r="BS48" i="13"/>
  <c r="BP52" i="13"/>
  <c r="BL52" i="13"/>
  <c r="BH52" i="13"/>
  <c r="BC52" i="13"/>
  <c r="AY52" i="13"/>
  <c r="AU52" i="13"/>
  <c r="AP52" i="13"/>
  <c r="AL52" i="13"/>
  <c r="AH52" i="13"/>
  <c r="AC52" i="13"/>
  <c r="Y52" i="13"/>
  <c r="U52" i="13"/>
  <c r="P52" i="13"/>
  <c r="L52" i="13"/>
  <c r="H52" i="13"/>
  <c r="BS52" i="13"/>
  <c r="BO52" i="13"/>
  <c r="BK52" i="13"/>
  <c r="BF52" i="13"/>
  <c r="BB52" i="13"/>
  <c r="AX52" i="13"/>
  <c r="AS52" i="13"/>
  <c r="AO52" i="13"/>
  <c r="AK52" i="13"/>
  <c r="AF52" i="13"/>
  <c r="AB52" i="13"/>
  <c r="X52" i="13"/>
  <c r="S52" i="13"/>
  <c r="O52" i="13"/>
  <c r="K52" i="13"/>
  <c r="BQ52" i="13"/>
  <c r="BM52" i="13"/>
  <c r="BI52" i="13"/>
  <c r="BD52" i="13"/>
  <c r="AZ52" i="13"/>
  <c r="AV52" i="13"/>
  <c r="AQ52" i="13"/>
  <c r="AM52" i="13"/>
  <c r="AI52" i="13"/>
  <c r="AD52" i="13"/>
  <c r="Z52" i="13"/>
  <c r="V52" i="13"/>
  <c r="Q52" i="13"/>
  <c r="M52" i="13"/>
  <c r="I52" i="13"/>
  <c r="N52" i="13"/>
  <c r="AE52" i="13"/>
  <c r="AW52" i="13"/>
  <c r="BN52" i="13"/>
  <c r="BP54" i="13"/>
  <c r="BL54" i="13"/>
  <c r="BH54" i="13"/>
  <c r="BC54" i="13"/>
  <c r="AY54" i="13"/>
  <c r="AU54" i="13"/>
  <c r="AP54" i="13"/>
  <c r="AL54" i="13"/>
  <c r="AH54" i="13"/>
  <c r="AC54" i="13"/>
  <c r="Y54" i="13"/>
  <c r="U54" i="13"/>
  <c r="P54" i="13"/>
  <c r="L54" i="13"/>
  <c r="H54" i="13"/>
  <c r="BS54" i="13"/>
  <c r="BO54" i="13"/>
  <c r="BK54" i="13"/>
  <c r="BF54" i="13"/>
  <c r="BB54" i="13"/>
  <c r="AX54" i="13"/>
  <c r="AS54" i="13"/>
  <c r="AO54" i="13"/>
  <c r="AK54" i="13"/>
  <c r="AF54" i="13"/>
  <c r="AB54" i="13"/>
  <c r="X54" i="13"/>
  <c r="S54" i="13"/>
  <c r="O54" i="13"/>
  <c r="K54" i="13"/>
  <c r="BQ54" i="13"/>
  <c r="BM54" i="13"/>
  <c r="BI54" i="13"/>
  <c r="BD54" i="13"/>
  <c r="AZ54" i="13"/>
  <c r="AV54" i="13"/>
  <c r="AQ54" i="13"/>
  <c r="AM54" i="13"/>
  <c r="AI54" i="13"/>
  <c r="AD54" i="13"/>
  <c r="Z54" i="13"/>
  <c r="V54" i="13"/>
  <c r="Q54" i="13"/>
  <c r="M54" i="13"/>
  <c r="I54" i="13"/>
  <c r="N54" i="13"/>
  <c r="AE54" i="13"/>
  <c r="AW54" i="13"/>
  <c r="BN54" i="13"/>
  <c r="BP56" i="13"/>
  <c r="BL56" i="13"/>
  <c r="BH56" i="13"/>
  <c r="BC56" i="13"/>
  <c r="AY56" i="13"/>
  <c r="AU56" i="13"/>
  <c r="AP56" i="13"/>
  <c r="AL56" i="13"/>
  <c r="AH56" i="13"/>
  <c r="AC56" i="13"/>
  <c r="Y56" i="13"/>
  <c r="U56" i="13"/>
  <c r="P56" i="13"/>
  <c r="L56" i="13"/>
  <c r="H56" i="13"/>
  <c r="BS56" i="13"/>
  <c r="BO56" i="13"/>
  <c r="BK56" i="13"/>
  <c r="BF56" i="13"/>
  <c r="BB56" i="13"/>
  <c r="AX56" i="13"/>
  <c r="AS56" i="13"/>
  <c r="AO56" i="13"/>
  <c r="AK56" i="13"/>
  <c r="AF56" i="13"/>
  <c r="AB56" i="13"/>
  <c r="X56" i="13"/>
  <c r="S56" i="13"/>
  <c r="O56" i="13"/>
  <c r="K56" i="13"/>
  <c r="BQ56" i="13"/>
  <c r="BM56" i="13"/>
  <c r="BI56" i="13"/>
  <c r="BD56" i="13"/>
  <c r="AZ56" i="13"/>
  <c r="AV56" i="13"/>
  <c r="AQ56" i="13"/>
  <c r="AM56" i="13"/>
  <c r="AI56" i="13"/>
  <c r="AD56" i="13"/>
  <c r="Z56" i="13"/>
  <c r="V56" i="13"/>
  <c r="Q56" i="13"/>
  <c r="M56" i="13"/>
  <c r="I56" i="13"/>
  <c r="N56" i="13"/>
  <c r="AE56" i="13"/>
  <c r="AW56" i="13"/>
  <c r="BN56" i="13"/>
  <c r="AU64" i="13"/>
  <c r="AL64" i="13"/>
  <c r="R64" i="13"/>
  <c r="M64" i="13"/>
  <c r="BI64" i="13"/>
  <c r="L43" i="13"/>
  <c r="R43" i="13"/>
  <c r="X43" i="13"/>
  <c r="AC43" i="13"/>
  <c r="AJ43" i="13"/>
  <c r="AO43" i="13"/>
  <c r="AU43" i="13"/>
  <c r="BA43" i="13"/>
  <c r="BF43" i="13"/>
  <c r="BL43" i="13"/>
  <c r="BR43" i="13"/>
  <c r="L44" i="13"/>
  <c r="R44" i="13"/>
  <c r="AJ44" i="13"/>
  <c r="AO44" i="13"/>
  <c r="BF44" i="13"/>
  <c r="BL44" i="13"/>
  <c r="L45" i="13"/>
  <c r="R45" i="13"/>
  <c r="X45" i="13"/>
  <c r="AC45" i="13"/>
  <c r="AJ45" i="13"/>
  <c r="AO45" i="13"/>
  <c r="AU45" i="13"/>
  <c r="BB45" i="13"/>
  <c r="BK45" i="13"/>
  <c r="BS45" i="13"/>
  <c r="O47" i="13"/>
  <c r="X47" i="13"/>
  <c r="AF47" i="13"/>
  <c r="AO47" i="13"/>
  <c r="AX47" i="13"/>
  <c r="BF47" i="13"/>
  <c r="BO47" i="13"/>
  <c r="N48" i="13"/>
  <c r="W48" i="13"/>
  <c r="AE48" i="13"/>
  <c r="AN48" i="13"/>
  <c r="AW48" i="13"/>
  <c r="BE48" i="13"/>
  <c r="BN48" i="13"/>
  <c r="BL49" i="13"/>
  <c r="BH49" i="13"/>
  <c r="AU49" i="13"/>
  <c r="AP49" i="13"/>
  <c r="AC49" i="13"/>
  <c r="Y49" i="13"/>
  <c r="L49" i="13"/>
  <c r="H49" i="13"/>
  <c r="BI49" i="13"/>
  <c r="BD49" i="13"/>
  <c r="AQ49" i="13"/>
  <c r="AM49" i="13"/>
  <c r="Z49" i="13"/>
  <c r="V49" i="13"/>
  <c r="I49" i="13"/>
  <c r="K49" i="13"/>
  <c r="AK49" i="13"/>
  <c r="AS49" i="13"/>
  <c r="BS49" i="13"/>
  <c r="R52" i="13"/>
  <c r="AJ52" i="13"/>
  <c r="BA52" i="13"/>
  <c r="BR52" i="13"/>
  <c r="R54" i="13"/>
  <c r="AJ54" i="13"/>
  <c r="BA54" i="13"/>
  <c r="BR54" i="13"/>
  <c r="R56" i="13"/>
  <c r="AJ56" i="13"/>
  <c r="BA56" i="13"/>
  <c r="BR56" i="13"/>
  <c r="L64" i="13"/>
  <c r="H43" i="13"/>
  <c r="N43" i="13"/>
  <c r="S43" i="13"/>
  <c r="Y43" i="13"/>
  <c r="AE43" i="13"/>
  <c r="AK43" i="13"/>
  <c r="AP43" i="13"/>
  <c r="AW43" i="13"/>
  <c r="BB43" i="13"/>
  <c r="BH43" i="13"/>
  <c r="BN43" i="13"/>
  <c r="S44" i="13"/>
  <c r="Y44" i="13"/>
  <c r="AP44" i="13"/>
  <c r="AW44" i="13"/>
  <c r="BN44" i="13"/>
  <c r="H45" i="13"/>
  <c r="N45" i="13"/>
  <c r="S45" i="13"/>
  <c r="Y45" i="13"/>
  <c r="AE45" i="13"/>
  <c r="AK45" i="13"/>
  <c r="AP45" i="13"/>
  <c r="AW45" i="13"/>
  <c r="BE45" i="13"/>
  <c r="BP46" i="13"/>
  <c r="BL46" i="13"/>
  <c r="BH46" i="13"/>
  <c r="BC46" i="13"/>
  <c r="AY46" i="13"/>
  <c r="AU46" i="13"/>
  <c r="AP46" i="13"/>
  <c r="AL46" i="13"/>
  <c r="AH46" i="13"/>
  <c r="AC46" i="13"/>
  <c r="Y46" i="13"/>
  <c r="U46" i="13"/>
  <c r="P46" i="13"/>
  <c r="L46" i="13"/>
  <c r="H46" i="13"/>
  <c r="BQ46" i="13"/>
  <c r="BM46" i="13"/>
  <c r="BI46" i="13"/>
  <c r="BD46" i="13"/>
  <c r="AZ46" i="13"/>
  <c r="AV46" i="13"/>
  <c r="AQ46" i="13"/>
  <c r="AM46" i="13"/>
  <c r="AI46" i="13"/>
  <c r="AD46" i="13"/>
  <c r="Z46" i="13"/>
  <c r="V46" i="13"/>
  <c r="Q46" i="13"/>
  <c r="M46" i="13"/>
  <c r="I46" i="13"/>
  <c r="K46" i="13"/>
  <c r="S46" i="13"/>
  <c r="AB46" i="13"/>
  <c r="AK46" i="13"/>
  <c r="AS46" i="13"/>
  <c r="BB46" i="13"/>
  <c r="BK46" i="13"/>
  <c r="BS46" i="13"/>
  <c r="J47" i="13"/>
  <c r="R47" i="13"/>
  <c r="AA47" i="13"/>
  <c r="AJ47" i="13"/>
  <c r="AR47" i="13"/>
  <c r="BA47" i="13"/>
  <c r="BJ47" i="13"/>
  <c r="O48" i="13"/>
  <c r="X48" i="13"/>
  <c r="AF48" i="13"/>
  <c r="AO48" i="13"/>
  <c r="AX48" i="13"/>
  <c r="BF48" i="13"/>
  <c r="BO48" i="13"/>
  <c r="N49" i="13"/>
  <c r="W49" i="13"/>
  <c r="AE49" i="13"/>
  <c r="AN49" i="13"/>
  <c r="AW49" i="13"/>
  <c r="BE49" i="13"/>
  <c r="BN49" i="13"/>
  <c r="BP50" i="13"/>
  <c r="BL50" i="13"/>
  <c r="BH50" i="13"/>
  <c r="BC50" i="13"/>
  <c r="AY50" i="13"/>
  <c r="AU50" i="13"/>
  <c r="AP50" i="13"/>
  <c r="AL50" i="13"/>
  <c r="AH50" i="13"/>
  <c r="AC50" i="13"/>
  <c r="Y50" i="13"/>
  <c r="U50" i="13"/>
  <c r="P50" i="13"/>
  <c r="L50" i="13"/>
  <c r="H50" i="13"/>
  <c r="BS50" i="13"/>
  <c r="BO50" i="13"/>
  <c r="BK50" i="13"/>
  <c r="BF50" i="13"/>
  <c r="BB50" i="13"/>
  <c r="BQ50" i="13"/>
  <c r="BM50" i="13"/>
  <c r="BI50" i="13"/>
  <c r="BD50" i="13"/>
  <c r="AZ50" i="13"/>
  <c r="AV50" i="13"/>
  <c r="AQ50" i="13"/>
  <c r="AM50" i="13"/>
  <c r="AI50" i="13"/>
  <c r="AD50" i="13"/>
  <c r="Z50" i="13"/>
  <c r="V50" i="13"/>
  <c r="Q50" i="13"/>
  <c r="M50" i="13"/>
  <c r="I50" i="13"/>
  <c r="K50" i="13"/>
  <c r="S50" i="13"/>
  <c r="AB50" i="13"/>
  <c r="AK50" i="13"/>
  <c r="AS50" i="13"/>
  <c r="BE50" i="13"/>
  <c r="BP51" i="13"/>
  <c r="BL51" i="13"/>
  <c r="BH51" i="13"/>
  <c r="BC51" i="13"/>
  <c r="AY51" i="13"/>
  <c r="AU51" i="13"/>
  <c r="AP51" i="13"/>
  <c r="AL51" i="13"/>
  <c r="AH51" i="13"/>
  <c r="AC51" i="13"/>
  <c r="Y51" i="13"/>
  <c r="U51" i="13"/>
  <c r="P51" i="13"/>
  <c r="L51" i="13"/>
  <c r="H51" i="13"/>
  <c r="BS51" i="13"/>
  <c r="BO51" i="13"/>
  <c r="BK51" i="13"/>
  <c r="BF51" i="13"/>
  <c r="BB51" i="13"/>
  <c r="AX51" i="13"/>
  <c r="AS51" i="13"/>
  <c r="AO51" i="13"/>
  <c r="AK51" i="13"/>
  <c r="AF51" i="13"/>
  <c r="AB51" i="13"/>
  <c r="X51" i="13"/>
  <c r="S51" i="13"/>
  <c r="O51" i="13"/>
  <c r="K51" i="13"/>
  <c r="BQ51" i="13"/>
  <c r="BM51" i="13"/>
  <c r="BI51" i="13"/>
  <c r="BD51" i="13"/>
  <c r="AZ51" i="13"/>
  <c r="AV51" i="13"/>
  <c r="AQ51" i="13"/>
  <c r="AM51" i="13"/>
  <c r="AI51" i="13"/>
  <c r="AD51" i="13"/>
  <c r="Z51" i="13"/>
  <c r="V51" i="13"/>
  <c r="Q51" i="13"/>
  <c r="M51" i="13"/>
  <c r="I51" i="13"/>
  <c r="N51" i="13"/>
  <c r="AE51" i="13"/>
  <c r="AW51" i="13"/>
  <c r="BN51" i="13"/>
  <c r="W52" i="13"/>
  <c r="AN52" i="13"/>
  <c r="BE52" i="13"/>
  <c r="BP53" i="13"/>
  <c r="BL53" i="13"/>
  <c r="BH53" i="13"/>
  <c r="BC53" i="13"/>
  <c r="AY53" i="13"/>
  <c r="AU53" i="13"/>
  <c r="AP53" i="13"/>
  <c r="AL53" i="13"/>
  <c r="AH53" i="13"/>
  <c r="AC53" i="13"/>
  <c r="Y53" i="13"/>
  <c r="U53" i="13"/>
  <c r="P53" i="13"/>
  <c r="L53" i="13"/>
  <c r="H53" i="13"/>
  <c r="BS53" i="13"/>
  <c r="BO53" i="13"/>
  <c r="BK53" i="13"/>
  <c r="BF53" i="13"/>
  <c r="BB53" i="13"/>
  <c r="AX53" i="13"/>
  <c r="AS53" i="13"/>
  <c r="AO53" i="13"/>
  <c r="AK53" i="13"/>
  <c r="AF53" i="13"/>
  <c r="AB53" i="13"/>
  <c r="X53" i="13"/>
  <c r="S53" i="13"/>
  <c r="O53" i="13"/>
  <c r="K53" i="13"/>
  <c r="BQ53" i="13"/>
  <c r="BM53" i="13"/>
  <c r="BI53" i="13"/>
  <c r="BD53" i="13"/>
  <c r="AZ53" i="13"/>
  <c r="AV53" i="13"/>
  <c r="AQ53" i="13"/>
  <c r="AM53" i="13"/>
  <c r="AI53" i="13"/>
  <c r="AD53" i="13"/>
  <c r="Z53" i="13"/>
  <c r="V53" i="13"/>
  <c r="Q53" i="13"/>
  <c r="M53" i="13"/>
  <c r="I53" i="13"/>
  <c r="N53" i="13"/>
  <c r="AE53" i="13"/>
  <c r="AW53" i="13"/>
  <c r="BN53" i="13"/>
  <c r="W54" i="13"/>
  <c r="AN54" i="13"/>
  <c r="BE54" i="13"/>
  <c r="BP55" i="13"/>
  <c r="BL55" i="13"/>
  <c r="BH55" i="13"/>
  <c r="BC55" i="13"/>
  <c r="AY55" i="13"/>
  <c r="AU55" i="13"/>
  <c r="AP55" i="13"/>
  <c r="AL55" i="13"/>
  <c r="AH55" i="13"/>
  <c r="AC55" i="13"/>
  <c r="Y55" i="13"/>
  <c r="U55" i="13"/>
  <c r="P55" i="13"/>
  <c r="L55" i="13"/>
  <c r="H55" i="13"/>
  <c r="BS55" i="13"/>
  <c r="BO55" i="13"/>
  <c r="BK55" i="13"/>
  <c r="BF55" i="13"/>
  <c r="BB55" i="13"/>
  <c r="AX55" i="13"/>
  <c r="AS55" i="13"/>
  <c r="AO55" i="13"/>
  <c r="AK55" i="13"/>
  <c r="AF55" i="13"/>
  <c r="AB55" i="13"/>
  <c r="X55" i="13"/>
  <c r="S55" i="13"/>
  <c r="O55" i="13"/>
  <c r="K55" i="13"/>
  <c r="BQ55" i="13"/>
  <c r="BM55" i="13"/>
  <c r="BI55" i="13"/>
  <c r="BD55" i="13"/>
  <c r="AZ55" i="13"/>
  <c r="AV55" i="13"/>
  <c r="AQ55" i="13"/>
  <c r="AM55" i="13"/>
  <c r="AI55" i="13"/>
  <c r="AD55" i="13"/>
  <c r="Z55" i="13"/>
  <c r="V55" i="13"/>
  <c r="Q55" i="13"/>
  <c r="M55" i="13"/>
  <c r="I55" i="13"/>
  <c r="N55" i="13"/>
  <c r="AE55" i="13"/>
  <c r="AW55" i="13"/>
  <c r="BN55" i="13"/>
  <c r="W56" i="13"/>
  <c r="AN56" i="13"/>
  <c r="BE56" i="13"/>
  <c r="BP57" i="13"/>
  <c r="BL57" i="13"/>
  <c r="BH57" i="13"/>
  <c r="BC57" i="13"/>
  <c r="AY57" i="13"/>
  <c r="AU57" i="13"/>
  <c r="AP57" i="13"/>
  <c r="AL57" i="13"/>
  <c r="AH57" i="13"/>
  <c r="AC57" i="13"/>
  <c r="Y57" i="13"/>
  <c r="U57" i="13"/>
  <c r="P57" i="13"/>
  <c r="L57" i="13"/>
  <c r="H57" i="13"/>
  <c r="BS57" i="13"/>
  <c r="BO57" i="13"/>
  <c r="BK57" i="13"/>
  <c r="BF57" i="13"/>
  <c r="BB57" i="13"/>
  <c r="AX57" i="13"/>
  <c r="AS57" i="13"/>
  <c r="AO57" i="13"/>
  <c r="AK57" i="13"/>
  <c r="AF57" i="13"/>
  <c r="AB57" i="13"/>
  <c r="X57" i="13"/>
  <c r="S57" i="13"/>
  <c r="O57" i="13"/>
  <c r="K57" i="13"/>
  <c r="BQ57" i="13"/>
  <c r="BM57" i="13"/>
  <c r="BI57" i="13"/>
  <c r="BD57" i="13"/>
  <c r="AZ57" i="13"/>
  <c r="AV57" i="13"/>
  <c r="AQ57" i="13"/>
  <c r="AM57" i="13"/>
  <c r="AI57" i="13"/>
  <c r="AD57" i="13"/>
  <c r="Z57" i="13"/>
  <c r="V57" i="13"/>
  <c r="Q57" i="13"/>
  <c r="M57" i="13"/>
  <c r="I57" i="13"/>
  <c r="N57" i="13"/>
  <c r="AE57" i="13"/>
  <c r="AW57" i="13"/>
  <c r="BN57" i="13"/>
  <c r="Q64" i="13"/>
  <c r="AQ64" i="13"/>
  <c r="BQ43" i="13"/>
  <c r="BM43" i="13"/>
  <c r="BI43" i="13"/>
  <c r="BD43" i="13"/>
  <c r="AZ43" i="13"/>
  <c r="AV43" i="13"/>
  <c r="AQ43" i="13"/>
  <c r="AM43" i="13"/>
  <c r="AI43" i="13"/>
  <c r="AD43" i="13"/>
  <c r="Z43" i="13"/>
  <c r="V43" i="13"/>
  <c r="Q43" i="13"/>
  <c r="M43" i="13"/>
  <c r="I43" i="13"/>
  <c r="J43" i="13"/>
  <c r="O43" i="13"/>
  <c r="U43" i="13"/>
  <c r="AA43" i="13"/>
  <c r="AF43" i="13"/>
  <c r="AL43" i="13"/>
  <c r="AR43" i="13"/>
  <c r="AX43" i="13"/>
  <c r="BC43" i="13"/>
  <c r="BJ43" i="13"/>
  <c r="BO43" i="13"/>
  <c r="BQ44" i="13"/>
  <c r="BM44" i="13"/>
  <c r="BI44" i="13"/>
  <c r="BD44" i="13"/>
  <c r="AZ44" i="13"/>
  <c r="AV44" i="13"/>
  <c r="AQ44" i="13"/>
  <c r="AM44" i="13"/>
  <c r="AI44" i="13"/>
  <c r="AD44" i="13"/>
  <c r="Z44" i="13"/>
  <c r="V44" i="13"/>
  <c r="Q44" i="13"/>
  <c r="M44" i="13"/>
  <c r="I44" i="13"/>
  <c r="J44" i="13"/>
  <c r="O44" i="13"/>
  <c r="U44" i="13"/>
  <c r="AA44" i="13"/>
  <c r="AF44" i="13"/>
  <c r="AL44" i="13"/>
  <c r="AR44" i="13"/>
  <c r="AX44" i="13"/>
  <c r="BC44" i="13"/>
  <c r="BJ44" i="13"/>
  <c r="BO44" i="13"/>
  <c r="BP45" i="13"/>
  <c r="BL45" i="13"/>
  <c r="BH45" i="13"/>
  <c r="BC45" i="13"/>
  <c r="AY45" i="13"/>
  <c r="BQ45" i="13"/>
  <c r="BM45" i="13"/>
  <c r="BI45" i="13"/>
  <c r="BD45" i="13"/>
  <c r="AZ45" i="13"/>
  <c r="AV45" i="13"/>
  <c r="AQ45" i="13"/>
  <c r="AM45" i="13"/>
  <c r="AI45" i="13"/>
  <c r="AD45" i="13"/>
  <c r="Z45" i="13"/>
  <c r="V45" i="13"/>
  <c r="Q45" i="13"/>
  <c r="M45" i="13"/>
  <c r="I45" i="13"/>
  <c r="J45" i="13"/>
  <c r="O45" i="13"/>
  <c r="U45" i="13"/>
  <c r="AA45" i="13"/>
  <c r="AF45" i="13"/>
  <c r="AL45" i="13"/>
  <c r="AR45" i="13"/>
  <c r="AX45" i="13"/>
  <c r="BF45" i="13"/>
  <c r="BO45" i="13"/>
  <c r="N46" i="13"/>
  <c r="W46" i="13"/>
  <c r="AE46" i="13"/>
  <c r="AN46" i="13"/>
  <c r="AW46" i="13"/>
  <c r="BE46" i="13"/>
  <c r="BN46" i="13"/>
  <c r="BP47" i="13"/>
  <c r="BL47" i="13"/>
  <c r="BH47" i="13"/>
  <c r="BC47" i="13"/>
  <c r="AY47" i="13"/>
  <c r="AU47" i="13"/>
  <c r="AP47" i="13"/>
  <c r="AL47" i="13"/>
  <c r="AH47" i="13"/>
  <c r="AC47" i="13"/>
  <c r="Y47" i="13"/>
  <c r="U47" i="13"/>
  <c r="P47" i="13"/>
  <c r="L47" i="13"/>
  <c r="H47" i="13"/>
  <c r="BQ47" i="13"/>
  <c r="BM47" i="13"/>
  <c r="BI47" i="13"/>
  <c r="BD47" i="13"/>
  <c r="AZ47" i="13"/>
  <c r="AV47" i="13"/>
  <c r="AQ47" i="13"/>
  <c r="AM47" i="13"/>
  <c r="AI47" i="13"/>
  <c r="AD47" i="13"/>
  <c r="Z47" i="13"/>
  <c r="V47" i="13"/>
  <c r="Q47" i="13"/>
  <c r="M47" i="13"/>
  <c r="I47" i="13"/>
  <c r="K47" i="13"/>
  <c r="S47" i="13"/>
  <c r="AB47" i="13"/>
  <c r="AK47" i="13"/>
  <c r="AS47" i="13"/>
  <c r="BB47" i="13"/>
  <c r="BK47" i="13"/>
  <c r="BS47" i="13"/>
  <c r="J48" i="13"/>
  <c r="R48" i="13"/>
  <c r="AA48" i="13"/>
  <c r="AJ48" i="13"/>
  <c r="AR48" i="13"/>
  <c r="BA48" i="13"/>
  <c r="BJ48" i="13"/>
  <c r="BR48" i="13"/>
  <c r="O49" i="13"/>
  <c r="X49" i="13"/>
  <c r="AF49" i="13"/>
  <c r="AO49" i="13"/>
  <c r="AX49" i="13"/>
  <c r="BF49" i="13"/>
  <c r="BO49" i="13"/>
  <c r="N50" i="13"/>
  <c r="W50" i="13"/>
  <c r="AE50" i="13"/>
  <c r="AN50" i="13"/>
  <c r="AW50" i="13"/>
  <c r="BJ50" i="13"/>
  <c r="R51" i="13"/>
  <c r="AJ51" i="13"/>
  <c r="BA51" i="13"/>
  <c r="BR51" i="13"/>
  <c r="J52" i="13"/>
  <c r="AA52" i="13"/>
  <c r="AR52" i="13"/>
  <c r="BJ52" i="13"/>
  <c r="R53" i="13"/>
  <c r="AJ53" i="13"/>
  <c r="BA53" i="13"/>
  <c r="BR53" i="13"/>
  <c r="J54" i="13"/>
  <c r="AA54" i="13"/>
  <c r="AR54" i="13"/>
  <c r="BJ54" i="13"/>
  <c r="R55" i="13"/>
  <c r="AJ55" i="13"/>
  <c r="BA55" i="13"/>
  <c r="BR55" i="13"/>
  <c r="J56" i="13"/>
  <c r="AA56" i="13"/>
  <c r="AR56" i="13"/>
  <c r="BJ56" i="13"/>
  <c r="R57" i="13"/>
  <c r="AJ57" i="13"/>
  <c r="BA57" i="13"/>
  <c r="BR57" i="13"/>
  <c r="W64" i="13"/>
  <c r="AZ64" i="13"/>
  <c r="BS64" i="13"/>
  <c r="BO64" i="13"/>
  <c r="BK64" i="13"/>
  <c r="BF64" i="13"/>
  <c r="BB64" i="13"/>
  <c r="AX64" i="13"/>
  <c r="AS64" i="13"/>
  <c r="AO64" i="13"/>
  <c r="AK64" i="13"/>
  <c r="AF64" i="13"/>
  <c r="AB64" i="13"/>
  <c r="X64" i="13"/>
  <c r="S64" i="13"/>
  <c r="O64" i="13"/>
  <c r="K64" i="13"/>
  <c r="BR64" i="13"/>
  <c r="BN64" i="13"/>
  <c r="BJ64" i="13"/>
  <c r="BE64" i="13"/>
  <c r="BA64" i="13"/>
  <c r="AW64" i="13"/>
  <c r="AR64" i="13"/>
  <c r="AN64" i="13"/>
  <c r="AJ64" i="13"/>
  <c r="J64" i="13"/>
  <c r="P64" i="13"/>
  <c r="V64" i="13"/>
  <c r="AA64" i="13"/>
  <c r="AH64" i="13"/>
  <c r="AP64" i="13"/>
  <c r="AY64" i="13"/>
  <c r="BH64" i="13"/>
  <c r="BP64" i="13"/>
  <c r="I64" i="13"/>
  <c r="N64" i="13"/>
  <c r="U64" i="13"/>
  <c r="Z64" i="13"/>
  <c r="AE64" i="13"/>
  <c r="AM64" i="13"/>
  <c r="AV64" i="13"/>
  <c r="BD64" i="13"/>
  <c r="BM64" i="13"/>
  <c r="H71" i="13"/>
  <c r="L71" i="13"/>
  <c r="P71" i="13"/>
  <c r="U71" i="13"/>
  <c r="Y71" i="13"/>
  <c r="AC71" i="13"/>
  <c r="AH71" i="13"/>
  <c r="AL71" i="13"/>
  <c r="AP71" i="13"/>
  <c r="AU71" i="13"/>
  <c r="AY71" i="13"/>
  <c r="BC71" i="13"/>
  <c r="BH71" i="13"/>
  <c r="BL71" i="13"/>
  <c r="BP71" i="13"/>
  <c r="H72" i="13"/>
  <c r="L72" i="13"/>
  <c r="P72" i="13"/>
  <c r="U72" i="13"/>
  <c r="Y72" i="13"/>
  <c r="AC72" i="13"/>
  <c r="AH72" i="13"/>
  <c r="AL72" i="13"/>
  <c r="AP72" i="13"/>
  <c r="AU72" i="13"/>
  <c r="AY72" i="13"/>
  <c r="BC72" i="13"/>
  <c r="BH72" i="13"/>
  <c r="BL72" i="13"/>
  <c r="BP72" i="13"/>
  <c r="H73" i="13"/>
  <c r="L73" i="13"/>
  <c r="P73" i="13"/>
  <c r="U73" i="13"/>
  <c r="Y73" i="13"/>
  <c r="AC73" i="13"/>
  <c r="AH73" i="13"/>
  <c r="AL73" i="13"/>
  <c r="AP73" i="13"/>
  <c r="AU73" i="13"/>
  <c r="AY73" i="13"/>
  <c r="BC73" i="13"/>
  <c r="BH73" i="13"/>
  <c r="BL73" i="13"/>
  <c r="BP73" i="13"/>
  <c r="H74" i="13"/>
  <c r="L74" i="13"/>
  <c r="P74" i="13"/>
  <c r="U74" i="13"/>
  <c r="Y74" i="13"/>
  <c r="AC74" i="13"/>
  <c r="AH74" i="13"/>
  <c r="AL74" i="13"/>
  <c r="AP74" i="13"/>
  <c r="AU74" i="13"/>
  <c r="AY74" i="13"/>
  <c r="BC74" i="13"/>
  <c r="BH74" i="13"/>
  <c r="BL74" i="13"/>
  <c r="BP74" i="13"/>
  <c r="H75" i="13"/>
  <c r="L75" i="13"/>
  <c r="P75" i="13"/>
  <c r="U75" i="13"/>
  <c r="Y75" i="13"/>
  <c r="AC75" i="13"/>
  <c r="AH75" i="13"/>
  <c r="AL75" i="13"/>
  <c r="AP75" i="13"/>
  <c r="AU75" i="13"/>
  <c r="AY75" i="13"/>
  <c r="BC75" i="13"/>
  <c r="BH75" i="13"/>
  <c r="BL75" i="13"/>
  <c r="BP75" i="13"/>
  <c r="H76" i="13"/>
  <c r="L76" i="13"/>
  <c r="P76" i="13"/>
  <c r="U76" i="13"/>
  <c r="Y76" i="13"/>
  <c r="AC76" i="13"/>
  <c r="AH76" i="13"/>
  <c r="AL76" i="13"/>
  <c r="AP76" i="13"/>
  <c r="AU76" i="13"/>
  <c r="AY76" i="13"/>
  <c r="BC76" i="13"/>
  <c r="BH76" i="13"/>
  <c r="BL76" i="13"/>
  <c r="BP76" i="13"/>
  <c r="H77" i="13"/>
  <c r="L77" i="13"/>
  <c r="P77" i="13"/>
  <c r="U77" i="13"/>
  <c r="Y77" i="13"/>
  <c r="AC77" i="13"/>
  <c r="AH77" i="13"/>
  <c r="AL77" i="13"/>
  <c r="AP77" i="13"/>
  <c r="AU77" i="13"/>
  <c r="AY77" i="13"/>
  <c r="BC77" i="13"/>
  <c r="BH77" i="13"/>
  <c r="BL77" i="13"/>
  <c r="I71" i="13"/>
  <c r="M71" i="13"/>
  <c r="Q71" i="13"/>
  <c r="V71" i="13"/>
  <c r="Z71" i="13"/>
  <c r="AD71" i="13"/>
  <c r="AI71" i="13"/>
  <c r="AM71" i="13"/>
  <c r="AQ71" i="13"/>
  <c r="AV71" i="13"/>
  <c r="AZ71" i="13"/>
  <c r="BD71" i="13"/>
  <c r="BI71" i="13"/>
  <c r="BM71" i="13"/>
  <c r="BQ71" i="13"/>
  <c r="I72" i="13"/>
  <c r="M72" i="13"/>
  <c r="Q72" i="13"/>
  <c r="V72" i="13"/>
  <c r="Z72" i="13"/>
  <c r="AD72" i="13"/>
  <c r="AI72" i="13"/>
  <c r="AM72" i="13"/>
  <c r="AQ72" i="13"/>
  <c r="AV72" i="13"/>
  <c r="AZ72" i="13"/>
  <c r="BD72" i="13"/>
  <c r="BI72" i="13"/>
  <c r="BM72" i="13"/>
  <c r="BQ72" i="13"/>
  <c r="I73" i="13"/>
  <c r="M73" i="13"/>
  <c r="Q73" i="13"/>
  <c r="V73" i="13"/>
  <c r="Z73" i="13"/>
  <c r="AD73" i="13"/>
  <c r="AI73" i="13"/>
  <c r="AM73" i="13"/>
  <c r="AQ73" i="13"/>
  <c r="AV73" i="13"/>
  <c r="AZ73" i="13"/>
  <c r="BD73" i="13"/>
  <c r="BI73" i="13"/>
  <c r="BM73" i="13"/>
  <c r="BQ73" i="13"/>
  <c r="I74" i="13"/>
  <c r="M74" i="13"/>
  <c r="Q74" i="13"/>
  <c r="V74" i="13"/>
  <c r="Z74" i="13"/>
  <c r="AD74" i="13"/>
  <c r="AI74" i="13"/>
  <c r="AM74" i="13"/>
  <c r="AQ74" i="13"/>
  <c r="AV74" i="13"/>
  <c r="AZ74" i="13"/>
  <c r="BD74" i="13"/>
  <c r="BI74" i="13"/>
  <c r="BM74" i="13"/>
  <c r="BQ74" i="13"/>
  <c r="I75" i="13"/>
  <c r="M75" i="13"/>
  <c r="Q75" i="13"/>
  <c r="V75" i="13"/>
  <c r="Z75" i="13"/>
  <c r="AD75" i="13"/>
  <c r="AI75" i="13"/>
  <c r="AM75" i="13"/>
  <c r="AQ75" i="13"/>
  <c r="AV75" i="13"/>
  <c r="AZ75" i="13"/>
  <c r="BD75" i="13"/>
  <c r="BI75" i="13"/>
  <c r="BM75" i="13"/>
  <c r="BQ75" i="13"/>
  <c r="I76" i="13"/>
  <c r="M76" i="13"/>
  <c r="Q76" i="13"/>
  <c r="V76" i="13"/>
  <c r="Z76" i="13"/>
  <c r="AD76" i="13"/>
  <c r="AI76" i="13"/>
  <c r="AM76" i="13"/>
  <c r="AQ76" i="13"/>
  <c r="AV76" i="13"/>
  <c r="AZ76" i="13"/>
  <c r="BD76" i="13"/>
  <c r="BI76" i="13"/>
  <c r="BM76" i="13"/>
  <c r="BQ76" i="13"/>
  <c r="BR77" i="13"/>
  <c r="BN77" i="13"/>
  <c r="I77" i="13"/>
  <c r="M77" i="13"/>
  <c r="Q77" i="13"/>
  <c r="V77" i="13"/>
  <c r="Z77" i="13"/>
  <c r="AD77" i="13"/>
  <c r="AI77" i="13"/>
  <c r="AM77" i="13"/>
  <c r="AQ77" i="13"/>
  <c r="AV77" i="13"/>
  <c r="AZ77" i="13"/>
  <c r="BD77" i="13"/>
  <c r="BI77" i="13"/>
  <c r="BM77" i="13"/>
  <c r="BS77" i="13"/>
  <c r="BK66" i="13"/>
  <c r="BK67" i="13"/>
  <c r="M68" i="13"/>
  <c r="BS69" i="13"/>
  <c r="BE69" i="13"/>
  <c r="BS70" i="13"/>
  <c r="BE70" i="13"/>
  <c r="J71" i="13"/>
  <c r="N71" i="13"/>
  <c r="R71" i="13"/>
  <c r="W71" i="13"/>
  <c r="AA71" i="13"/>
  <c r="AE71" i="13"/>
  <c r="AJ71" i="13"/>
  <c r="AN71" i="13"/>
  <c r="AR71" i="13"/>
  <c r="AW71" i="13"/>
  <c r="BA71" i="13"/>
  <c r="BE71" i="13"/>
  <c r="BJ71" i="13"/>
  <c r="BN71" i="13"/>
  <c r="BR71" i="13"/>
  <c r="J72" i="13"/>
  <c r="N72" i="13"/>
  <c r="R72" i="13"/>
  <c r="W72" i="13"/>
  <c r="AA72" i="13"/>
  <c r="AE72" i="13"/>
  <c r="AJ72" i="13"/>
  <c r="AN72" i="13"/>
  <c r="AR72" i="13"/>
  <c r="AW72" i="13"/>
  <c r="BA72" i="13"/>
  <c r="BE72" i="13"/>
  <c r="BJ72" i="13"/>
  <c r="BN72" i="13"/>
  <c r="BR72" i="13"/>
  <c r="J73" i="13"/>
  <c r="N73" i="13"/>
  <c r="R73" i="13"/>
  <c r="W73" i="13"/>
  <c r="AA73" i="13"/>
  <c r="AE73" i="13"/>
  <c r="AJ73" i="13"/>
  <c r="AN73" i="13"/>
  <c r="AR73" i="13"/>
  <c r="AW73" i="13"/>
  <c r="BA73" i="13"/>
  <c r="BE73" i="13"/>
  <c r="BJ73" i="13"/>
  <c r="BN73" i="13"/>
  <c r="BR73" i="13"/>
  <c r="J74" i="13"/>
  <c r="N74" i="13"/>
  <c r="R74" i="13"/>
  <c r="W74" i="13"/>
  <c r="AA74" i="13"/>
  <c r="AE74" i="13"/>
  <c r="AJ74" i="13"/>
  <c r="AN74" i="13"/>
  <c r="AR74" i="13"/>
  <c r="AW74" i="13"/>
  <c r="BA74" i="13"/>
  <c r="BE74" i="13"/>
  <c r="BJ74" i="13"/>
  <c r="BN74" i="13"/>
  <c r="BR74" i="13"/>
  <c r="J75" i="13"/>
  <c r="N75" i="13"/>
  <c r="R75" i="13"/>
  <c r="W75" i="13"/>
  <c r="AA75" i="13"/>
  <c r="AE75" i="13"/>
  <c r="AJ75" i="13"/>
  <c r="AN75" i="13"/>
  <c r="AR75" i="13"/>
  <c r="AW75" i="13"/>
  <c r="BA75" i="13"/>
  <c r="BE75" i="13"/>
  <c r="BJ75" i="13"/>
  <c r="BN75" i="13"/>
  <c r="BR75" i="13"/>
  <c r="J76" i="13"/>
  <c r="N76" i="13"/>
  <c r="R76" i="13"/>
  <c r="W76" i="13"/>
  <c r="AA76" i="13"/>
  <c r="AE76" i="13"/>
  <c r="AJ76" i="13"/>
  <c r="AN76" i="13"/>
  <c r="AR76" i="13"/>
  <c r="AW76" i="13"/>
  <c r="BA76" i="13"/>
  <c r="BE76" i="13"/>
  <c r="BJ76" i="13"/>
  <c r="BN76" i="13"/>
  <c r="BR76" i="13"/>
  <c r="J77" i="13"/>
  <c r="N77" i="13"/>
  <c r="R77" i="13"/>
  <c r="W77" i="13"/>
  <c r="AA77" i="13"/>
  <c r="AE77" i="13"/>
  <c r="AJ77" i="13"/>
  <c r="AN77" i="13"/>
  <c r="AR77" i="13"/>
  <c r="AW77" i="13"/>
  <c r="BA77" i="13"/>
  <c r="BE77" i="13"/>
  <c r="BJ77" i="13"/>
  <c r="BO77" i="13"/>
  <c r="K69" i="13"/>
  <c r="BK69" i="13"/>
  <c r="S70" i="13"/>
  <c r="K71" i="13"/>
  <c r="O71" i="13"/>
  <c r="S71" i="13"/>
  <c r="X71" i="13"/>
  <c r="AB71" i="13"/>
  <c r="AF71" i="13"/>
  <c r="AK71" i="13"/>
  <c r="AO71" i="13"/>
  <c r="AS71" i="13"/>
  <c r="AX71" i="13"/>
  <c r="BB71" i="13"/>
  <c r="BF71" i="13"/>
  <c r="BK71" i="13"/>
  <c r="BO71" i="13"/>
  <c r="K72" i="13"/>
  <c r="O72" i="13"/>
  <c r="S72" i="13"/>
  <c r="X72" i="13"/>
  <c r="AB72" i="13"/>
  <c r="AF72" i="13"/>
  <c r="AK72" i="13"/>
  <c r="AO72" i="13"/>
  <c r="AS72" i="13"/>
  <c r="AX72" i="13"/>
  <c r="BB72" i="13"/>
  <c r="BF72" i="13"/>
  <c r="BK72" i="13"/>
  <c r="BO72" i="13"/>
  <c r="K73" i="13"/>
  <c r="O73" i="13"/>
  <c r="S73" i="13"/>
  <c r="X73" i="13"/>
  <c r="AB73" i="13"/>
  <c r="AF73" i="13"/>
  <c r="AK73" i="13"/>
  <c r="AO73" i="13"/>
  <c r="AS73" i="13"/>
  <c r="AX73" i="13"/>
  <c r="BB73" i="13"/>
  <c r="BF73" i="13"/>
  <c r="BK73" i="13"/>
  <c r="BO73" i="13"/>
  <c r="K74" i="13"/>
  <c r="O74" i="13"/>
  <c r="S74" i="13"/>
  <c r="X74" i="13"/>
  <c r="AB74" i="13"/>
  <c r="AF74" i="13"/>
  <c r="AK74" i="13"/>
  <c r="AO74" i="13"/>
  <c r="AS74" i="13"/>
  <c r="AX74" i="13"/>
  <c r="BB74" i="13"/>
  <c r="BF74" i="13"/>
  <c r="BK74" i="13"/>
  <c r="BO74" i="13"/>
  <c r="K75" i="13"/>
  <c r="O75" i="13"/>
  <c r="S75" i="13"/>
  <c r="X75" i="13"/>
  <c r="AB75" i="13"/>
  <c r="AF75" i="13"/>
  <c r="AK75" i="13"/>
  <c r="AO75" i="13"/>
  <c r="AS75" i="13"/>
  <c r="AX75" i="13"/>
  <c r="BB75" i="13"/>
  <c r="BF75" i="13"/>
  <c r="BK75" i="13"/>
  <c r="BO75" i="13"/>
  <c r="K76" i="13"/>
  <c r="O76" i="13"/>
  <c r="S76" i="13"/>
  <c r="X76" i="13"/>
  <c r="AB76" i="13"/>
  <c r="AF76" i="13"/>
  <c r="AK76" i="13"/>
  <c r="AO76" i="13"/>
  <c r="AS76" i="13"/>
  <c r="AX76" i="13"/>
  <c r="BB76" i="13"/>
  <c r="BF76" i="13"/>
  <c r="BK76" i="13"/>
  <c r="BO76" i="13"/>
  <c r="K77" i="13"/>
  <c r="O77" i="13"/>
  <c r="S77" i="13"/>
  <c r="X77" i="13"/>
  <c r="AB77" i="13"/>
  <c r="AF77" i="13"/>
  <c r="AK77" i="13"/>
  <c r="AO77" i="13"/>
  <c r="AS77" i="13"/>
  <c r="AX77" i="13"/>
  <c r="BB77" i="13"/>
  <c r="BF77" i="13"/>
  <c r="BK77" i="13"/>
  <c r="BP77" i="13"/>
  <c r="BK79" i="13"/>
  <c r="BH80" i="13"/>
  <c r="L98" i="13"/>
  <c r="Q98" i="13"/>
  <c r="W98" i="13"/>
  <c r="AC98" i="13"/>
  <c r="AI98" i="13"/>
  <c r="AN98" i="13"/>
  <c r="AU98" i="13"/>
  <c r="AZ98" i="13"/>
  <c r="BE98" i="13"/>
  <c r="BL98" i="13"/>
  <c r="BQ98" i="13"/>
  <c r="L99" i="13"/>
  <c r="Q99" i="13"/>
  <c r="Y99" i="13"/>
  <c r="AP99" i="13"/>
  <c r="BH99" i="13"/>
  <c r="H98" i="13"/>
  <c r="M98" i="13"/>
  <c r="R98" i="13"/>
  <c r="Y98" i="13"/>
  <c r="AD98" i="13"/>
  <c r="AJ98" i="13"/>
  <c r="AP98" i="13"/>
  <c r="AV98" i="13"/>
  <c r="BA98" i="13"/>
  <c r="BH98" i="13"/>
  <c r="BM98" i="13"/>
  <c r="BR98" i="13"/>
  <c r="H99" i="13"/>
  <c r="M99" i="13"/>
  <c r="R99" i="13"/>
  <c r="AC99" i="13"/>
  <c r="AU99" i="13"/>
  <c r="BL99" i="13"/>
  <c r="I98" i="13"/>
  <c r="N98" i="13"/>
  <c r="U98" i="13"/>
  <c r="Z98" i="13"/>
  <c r="AE98" i="13"/>
  <c r="AL98" i="13"/>
  <c r="AQ98" i="13"/>
  <c r="AW98" i="13"/>
  <c r="BC98" i="13"/>
  <c r="BI98" i="13"/>
  <c r="I99" i="13"/>
  <c r="N99" i="13"/>
  <c r="U99" i="13"/>
  <c r="AH99" i="13"/>
  <c r="AY99" i="13"/>
  <c r="BS98" i="13"/>
  <c r="BO98" i="13"/>
  <c r="BK98" i="13"/>
  <c r="BF98" i="13"/>
  <c r="BB98" i="13"/>
  <c r="AX98" i="13"/>
  <c r="AS98" i="13"/>
  <c r="AO98" i="13"/>
  <c r="AK98" i="13"/>
  <c r="AF98" i="13"/>
  <c r="AB98" i="13"/>
  <c r="X98" i="13"/>
  <c r="S98" i="13"/>
  <c r="O98" i="13"/>
  <c r="K98" i="13"/>
  <c r="J98" i="13"/>
  <c r="P98" i="13"/>
  <c r="V98" i="13"/>
  <c r="AA98" i="13"/>
  <c r="AH98" i="13"/>
  <c r="AM98" i="13"/>
  <c r="AR98" i="13"/>
  <c r="AY98" i="13"/>
  <c r="BD98" i="13"/>
  <c r="BJ98" i="13"/>
  <c r="BP98" i="13"/>
  <c r="BS99" i="13"/>
  <c r="BO99" i="13"/>
  <c r="BK99" i="13"/>
  <c r="BF99" i="13"/>
  <c r="BB99" i="13"/>
  <c r="AX99" i="13"/>
  <c r="AS99" i="13"/>
  <c r="AO99" i="13"/>
  <c r="AK99" i="13"/>
  <c r="AF99" i="13"/>
  <c r="AB99" i="13"/>
  <c r="X99" i="13"/>
  <c r="S99" i="13"/>
  <c r="O99" i="13"/>
  <c r="K99" i="13"/>
  <c r="BR99" i="13"/>
  <c r="BN99" i="13"/>
  <c r="BJ99" i="13"/>
  <c r="BE99" i="13"/>
  <c r="BA99" i="13"/>
  <c r="AW99" i="13"/>
  <c r="AR99" i="13"/>
  <c r="AN99" i="13"/>
  <c r="AJ99" i="13"/>
  <c r="AE99" i="13"/>
  <c r="AA99" i="13"/>
  <c r="BQ99" i="13"/>
  <c r="BM99" i="13"/>
  <c r="BI99" i="13"/>
  <c r="BD99" i="13"/>
  <c r="AZ99" i="13"/>
  <c r="AV99" i="13"/>
  <c r="AQ99" i="13"/>
  <c r="AM99" i="13"/>
  <c r="AI99" i="13"/>
  <c r="AD99" i="13"/>
  <c r="Z99" i="13"/>
  <c r="V99" i="13"/>
  <c r="J99" i="13"/>
  <c r="P99" i="13"/>
  <c r="W99" i="13"/>
  <c r="AL99" i="13"/>
  <c r="BC99" i="13"/>
  <c r="BV12" i="14"/>
  <c r="BX12" i="14"/>
  <c r="C101" i="13"/>
  <c r="C102" i="13"/>
  <c r="C103" i="13"/>
  <c r="C104" i="13"/>
  <c r="E12" i="14"/>
  <c r="D101" i="13"/>
  <c r="D102" i="13"/>
  <c r="D103" i="13"/>
  <c r="D104" i="13"/>
  <c r="CF11" i="14"/>
  <c r="M11" i="14"/>
  <c r="I7" i="16"/>
  <c r="H7" i="16"/>
  <c r="I15" i="16"/>
  <c r="H15" i="16"/>
  <c r="I23" i="16"/>
  <c r="H23" i="16"/>
  <c r="I31" i="16"/>
  <c r="H31" i="16"/>
  <c r="I10" i="16"/>
  <c r="H10" i="16"/>
  <c r="I18" i="16"/>
  <c r="H18" i="16"/>
  <c r="I26" i="16"/>
  <c r="H26" i="16"/>
  <c r="I34" i="16"/>
  <c r="H34" i="16"/>
  <c r="H37" i="16"/>
  <c r="I37" i="16"/>
  <c r="I3" i="16"/>
  <c r="H3" i="16"/>
  <c r="I11" i="16"/>
  <c r="H11" i="16"/>
  <c r="I19" i="16"/>
  <c r="H19" i="16"/>
  <c r="I27" i="16"/>
  <c r="H27" i="16"/>
  <c r="I35" i="16"/>
  <c r="H35" i="16"/>
  <c r="I6" i="16"/>
  <c r="H6" i="16"/>
  <c r="I14" i="16"/>
  <c r="H14" i="16"/>
  <c r="I22" i="16"/>
  <c r="H22" i="16"/>
  <c r="I30" i="16"/>
  <c r="H30" i="16"/>
  <c r="I38" i="16"/>
  <c r="H38" i="16"/>
  <c r="I4" i="16"/>
  <c r="I8" i="16"/>
  <c r="I12" i="16"/>
  <c r="I16" i="16"/>
  <c r="I20" i="16"/>
  <c r="I24" i="16"/>
  <c r="I28" i="16"/>
  <c r="I32" i="16"/>
  <c r="F48" i="16"/>
  <c r="G48" i="16" s="1"/>
  <c r="I90" i="16"/>
  <c r="Q49" i="16"/>
  <c r="R49" i="16"/>
  <c r="J50" i="16"/>
  <c r="O50" i="16"/>
  <c r="P50" i="16" s="1"/>
  <c r="O64" i="16"/>
  <c r="P64" i="16" s="1"/>
  <c r="J64" i="16"/>
  <c r="I106" i="16"/>
  <c r="R65" i="16"/>
  <c r="Q65" i="16"/>
  <c r="I110" i="16"/>
  <c r="Q69" i="16"/>
  <c r="R69" i="16"/>
  <c r="G111" i="16"/>
  <c r="H111" i="16" s="1"/>
  <c r="N70" i="16"/>
  <c r="M70" i="16"/>
  <c r="G42" i="16"/>
  <c r="F44" i="16"/>
  <c r="G44" i="16" s="1"/>
  <c r="I86" i="16"/>
  <c r="Q45" i="16"/>
  <c r="R45" i="16"/>
  <c r="J46" i="16"/>
  <c r="O46" i="16"/>
  <c r="P46" i="16" s="1"/>
  <c r="U49" i="16"/>
  <c r="AA49" i="16" s="1"/>
  <c r="L49" i="16"/>
  <c r="J53" i="16"/>
  <c r="O53" i="16"/>
  <c r="P53" i="16" s="1"/>
  <c r="G98" i="16"/>
  <c r="H98" i="16" s="1"/>
  <c r="N57" i="16"/>
  <c r="M57" i="16"/>
  <c r="I101" i="16"/>
  <c r="Q60" i="16"/>
  <c r="R60" i="16"/>
  <c r="O43" i="16"/>
  <c r="P43" i="16" s="1"/>
  <c r="U45" i="16"/>
  <c r="AA45" i="16" s="1"/>
  <c r="L45" i="16"/>
  <c r="O51" i="16"/>
  <c r="P51" i="16" s="1"/>
  <c r="O56" i="16"/>
  <c r="P56" i="16" s="1"/>
  <c r="J56" i="16"/>
  <c r="I98" i="16"/>
  <c r="R57" i="16"/>
  <c r="Q57" i="16"/>
  <c r="I100" i="16"/>
  <c r="Q59" i="16"/>
  <c r="R59" i="16"/>
  <c r="I5" i="16"/>
  <c r="I9" i="16"/>
  <c r="I13" i="16"/>
  <c r="I17" i="16"/>
  <c r="I21" i="16"/>
  <c r="I25" i="16"/>
  <c r="I29" i="16"/>
  <c r="I33" i="16"/>
  <c r="K49" i="16"/>
  <c r="I93" i="16"/>
  <c r="Q52" i="16"/>
  <c r="R52" i="16"/>
  <c r="G106" i="16"/>
  <c r="H106" i="16" s="1"/>
  <c r="N65" i="16"/>
  <c r="M65" i="16"/>
  <c r="L61" i="16"/>
  <c r="R67" i="16"/>
  <c r="I108" i="16"/>
  <c r="O75" i="16"/>
  <c r="P75" i="16" s="1"/>
  <c r="J75" i="16"/>
  <c r="O77" i="16"/>
  <c r="P77" i="16" s="1"/>
  <c r="J77" i="16"/>
  <c r="F58" i="16"/>
  <c r="G58" i="16" s="1"/>
  <c r="F66" i="16"/>
  <c r="G66" i="16" s="1"/>
  <c r="U69" i="16"/>
  <c r="AA69" i="16" s="1"/>
  <c r="L69" i="16"/>
  <c r="K69" i="16"/>
  <c r="O74" i="16"/>
  <c r="P74" i="16" s="1"/>
  <c r="J74" i="16"/>
  <c r="J76" i="16"/>
  <c r="O76" i="16"/>
  <c r="P76" i="16" s="1"/>
  <c r="F84" i="16"/>
  <c r="D84" i="16"/>
  <c r="J43" i="16"/>
  <c r="J51" i="16"/>
  <c r="J52" i="16"/>
  <c r="F55" i="16"/>
  <c r="G55" i="16" s="1"/>
  <c r="J59" i="16"/>
  <c r="J60" i="16"/>
  <c r="O61" i="16"/>
  <c r="P61" i="16" s="1"/>
  <c r="U61" i="16"/>
  <c r="AA61" i="16" s="1"/>
  <c r="F63" i="16"/>
  <c r="G63" i="16" s="1"/>
  <c r="J67" i="16"/>
  <c r="F68" i="16"/>
  <c r="G68" i="16" s="1"/>
  <c r="E78" i="16"/>
  <c r="E89" i="16" s="1"/>
  <c r="F47" i="16"/>
  <c r="G47" i="16" s="1"/>
  <c r="F54" i="16"/>
  <c r="G54" i="16" s="1"/>
  <c r="F62" i="16"/>
  <c r="G62" i="16" s="1"/>
  <c r="O70" i="16"/>
  <c r="P70" i="16" s="1"/>
  <c r="F72" i="16"/>
  <c r="G72" i="16" s="1"/>
  <c r="F73" i="16"/>
  <c r="G73" i="16" s="1"/>
  <c r="F83" i="16"/>
  <c r="C119" i="16"/>
  <c r="K29" i="17"/>
  <c r="F71" i="16"/>
  <c r="G71" i="16" s="1"/>
  <c r="D85" i="16"/>
  <c r="D119" i="16" s="1"/>
  <c r="D120" i="16" s="1"/>
  <c r="C9" i="17"/>
  <c r="T9" i="2" l="1"/>
  <c r="Q9" i="2"/>
  <c r="Y9" i="2"/>
  <c r="AA13" i="4" s="1"/>
  <c r="V9" i="2"/>
  <c r="X13" i="4" s="1"/>
  <c r="T128" i="7"/>
  <c r="T132" i="7" s="1"/>
  <c r="AQ132" i="7"/>
  <c r="AO8" i="3" s="1"/>
  <c r="AO53" i="3" s="1"/>
  <c r="X9" i="2"/>
  <c r="Y13" i="4" s="1"/>
  <c r="M9" i="2"/>
  <c r="O13" i="4" s="1"/>
  <c r="H132" i="7"/>
  <c r="F8" i="3" s="1"/>
  <c r="R8" i="3" s="1"/>
  <c r="M53" i="3"/>
  <c r="AJ13" i="3"/>
  <c r="AJ14" i="3" s="1"/>
  <c r="AE10" i="3"/>
  <c r="AE13" i="4"/>
  <c r="AE15" i="3"/>
  <c r="Z13" i="3"/>
  <c r="Z14" i="3" s="1"/>
  <c r="AZ10" i="8"/>
  <c r="BA121" i="7"/>
  <c r="BA128" i="7" s="1"/>
  <c r="BC13" i="8"/>
  <c r="BD124" i="7"/>
  <c r="BD131" i="7" s="1"/>
  <c r="AJ12" i="8"/>
  <c r="AK123" i="7"/>
  <c r="AK130" i="7" s="1"/>
  <c r="AL11" i="8"/>
  <c r="AM122" i="7"/>
  <c r="AM129" i="7" s="1"/>
  <c r="AQ12" i="8"/>
  <c r="AR123" i="7"/>
  <c r="AR130" i="7" s="1"/>
  <c r="BA12" i="8"/>
  <c r="BB123" i="7"/>
  <c r="BB130" i="7" s="1"/>
  <c r="BE13" i="8"/>
  <c r="BF124" i="7"/>
  <c r="BF131" i="7" s="1"/>
  <c r="BA13" i="8"/>
  <c r="BB124" i="7"/>
  <c r="BB131" i="7" s="1"/>
  <c r="AU131" i="7"/>
  <c r="AN10" i="8"/>
  <c r="AO121" i="7"/>
  <c r="AO128" i="7" s="1"/>
  <c r="AH130" i="7"/>
  <c r="AE9" i="3"/>
  <c r="S13" i="3"/>
  <c r="S14" i="3" s="1"/>
  <c r="BT10" i="7"/>
  <c r="BF12" i="3"/>
  <c r="BR12" i="3" s="1"/>
  <c r="AN132" i="7"/>
  <c r="AL8" i="3" s="1"/>
  <c r="AV13" i="8"/>
  <c r="AW124" i="7"/>
  <c r="AW131" i="7" s="1"/>
  <c r="BH10" i="8"/>
  <c r="BI121" i="7"/>
  <c r="BI128" i="7" s="1"/>
  <c r="AZ12" i="8"/>
  <c r="BA123" i="7"/>
  <c r="BA130" i="7" s="1"/>
  <c r="AL12" i="8"/>
  <c r="AM123" i="7"/>
  <c r="AM130" i="7" s="1"/>
  <c r="AX11" i="8"/>
  <c r="AY122" i="7"/>
  <c r="AY129" i="7" s="1"/>
  <c r="BE11" i="8"/>
  <c r="BF122" i="7"/>
  <c r="BF129" i="7" s="1"/>
  <c r="AZ13" i="8"/>
  <c r="BA124" i="7"/>
  <c r="BA131" i="7" s="1"/>
  <c r="AH13" i="8"/>
  <c r="AI124" i="7"/>
  <c r="AH128" i="7"/>
  <c r="BC11" i="8"/>
  <c r="BD122" i="7"/>
  <c r="BD129" i="7" s="1"/>
  <c r="AJ10" i="8"/>
  <c r="AK121" i="7"/>
  <c r="AK128" i="7" s="1"/>
  <c r="AJ11" i="8"/>
  <c r="AK122" i="7"/>
  <c r="AK129" i="7" s="1"/>
  <c r="AR12" i="8"/>
  <c r="AS123" i="7"/>
  <c r="AS130" i="7" s="1"/>
  <c r="AU10" i="8"/>
  <c r="AV121" i="7"/>
  <c r="AV128" i="7" s="1"/>
  <c r="AL13" i="3"/>
  <c r="AL14" i="3" s="1"/>
  <c r="AN13" i="3"/>
  <c r="AN14" i="3" s="1"/>
  <c r="AJ132" i="7"/>
  <c r="AH8" i="3" s="1"/>
  <c r="AS12" i="2"/>
  <c r="AC13" i="3"/>
  <c r="AC14" i="3" s="1"/>
  <c r="V13" i="3"/>
  <c r="V14" i="3" s="1"/>
  <c r="BE10" i="8"/>
  <c r="BF121" i="7"/>
  <c r="BF128" i="7" s="1"/>
  <c r="AN11" i="8"/>
  <c r="AO122" i="7"/>
  <c r="AO129" i="7" s="1"/>
  <c r="AV11" i="8"/>
  <c r="AW122" i="7"/>
  <c r="AW129" i="7" s="1"/>
  <c r="BD11" i="8"/>
  <c r="BE122" i="7"/>
  <c r="BE129" i="7" s="1"/>
  <c r="BC10" i="8"/>
  <c r="BD121" i="7"/>
  <c r="BD128" i="7" s="1"/>
  <c r="BD13" i="8"/>
  <c r="BE124" i="7"/>
  <c r="BE131" i="7" s="1"/>
  <c r="AH129" i="7"/>
  <c r="AX12" i="8"/>
  <c r="AY123" i="7"/>
  <c r="AY130" i="7" s="1"/>
  <c r="AX10" i="8"/>
  <c r="AY121" i="7"/>
  <c r="AY128" i="7" s="1"/>
  <c r="AZ11" i="8"/>
  <c r="BA122" i="7"/>
  <c r="BA129" i="7" s="1"/>
  <c r="AV10" i="8"/>
  <c r="AW121" i="7"/>
  <c r="AW128" i="7" s="1"/>
  <c r="BB10" i="8"/>
  <c r="BC121" i="7"/>
  <c r="BC128" i="7" s="1"/>
  <c r="AL10" i="8"/>
  <c r="AM121" i="7"/>
  <c r="AM128" i="7" s="1"/>
  <c r="AQ13" i="3"/>
  <c r="AQ14" i="3" s="1"/>
  <c r="AB13" i="3"/>
  <c r="AB14" i="3" s="1"/>
  <c r="AL132" i="7"/>
  <c r="AJ8" i="3" s="1"/>
  <c r="AS132" i="7"/>
  <c r="AQ8" i="3" s="1"/>
  <c r="AP132" i="7"/>
  <c r="AN8" i="3" s="1"/>
  <c r="Y14" i="3"/>
  <c r="X13" i="3"/>
  <c r="X24" i="3" s="1"/>
  <c r="BE12" i="8"/>
  <c r="BF123" i="7"/>
  <c r="BF130" i="7" s="1"/>
  <c r="BC12" i="8"/>
  <c r="BD123" i="7"/>
  <c r="BD130" i="7" s="1"/>
  <c r="AX13" i="8"/>
  <c r="AY124" i="7"/>
  <c r="AY131" i="7" s="1"/>
  <c r="AH13" i="3"/>
  <c r="AH14" i="3" s="1"/>
  <c r="BB11" i="8"/>
  <c r="BC122" i="7"/>
  <c r="BC129" i="7" s="1"/>
  <c r="AU11" i="8"/>
  <c r="AV122" i="7"/>
  <c r="AV129" i="7" s="1"/>
  <c r="AU12" i="8"/>
  <c r="AV123" i="7"/>
  <c r="AV130" i="7" s="1"/>
  <c r="BB13" i="8"/>
  <c r="BC124" i="7"/>
  <c r="BC131" i="7" s="1"/>
  <c r="AJ13" i="8"/>
  <c r="AK124" i="7"/>
  <c r="AK131" i="7" s="1"/>
  <c r="AV12" i="8"/>
  <c r="AW123" i="7"/>
  <c r="AW130" i="7" s="1"/>
  <c r="BB12" i="8"/>
  <c r="BC123" i="7"/>
  <c r="BC130" i="7" s="1"/>
  <c r="AY13" i="8"/>
  <c r="AZ124" i="7"/>
  <c r="AZ131" i="7" s="1"/>
  <c r="AQ10" i="8"/>
  <c r="AR121" i="7"/>
  <c r="AR128" i="7" s="1"/>
  <c r="AQ11" i="8"/>
  <c r="AR122" i="7"/>
  <c r="AR129" i="7" s="1"/>
  <c r="W13" i="3"/>
  <c r="W14" i="3"/>
  <c r="U132" i="7"/>
  <c r="S8" i="3" s="1"/>
  <c r="AG128" i="7"/>
  <c r="AG132" i="7" s="1"/>
  <c r="AK23" i="8"/>
  <c r="AJ20" i="3" s="1"/>
  <c r="BS80" i="7"/>
  <c r="BT43" i="7"/>
  <c r="AN117" i="7"/>
  <c r="AL15" i="3" s="1"/>
  <c r="AP23" i="8"/>
  <c r="AO20" i="3" s="1"/>
  <c r="AV56" i="7"/>
  <c r="AP117" i="7"/>
  <c r="AN15" i="3" s="1"/>
  <c r="AO23" i="8"/>
  <c r="AN20" i="3" s="1"/>
  <c r="AB24" i="3"/>
  <c r="BS24" i="7"/>
  <c r="BS96" i="7" s="1"/>
  <c r="BR19" i="8" s="1"/>
  <c r="W24" i="3"/>
  <c r="W16" i="3"/>
  <c r="W37" i="3" s="1"/>
  <c r="AM46" i="3"/>
  <c r="AN24" i="3"/>
  <c r="AK42" i="3"/>
  <c r="AL24" i="3"/>
  <c r="AA24" i="3"/>
  <c r="L52" i="11"/>
  <c r="K51" i="11"/>
  <c r="L46" i="11"/>
  <c r="K45" i="11"/>
  <c r="AR23" i="8"/>
  <c r="AQ20" i="3" s="1"/>
  <c r="BC60" i="7"/>
  <c r="BC95" i="7"/>
  <c r="BB18" i="8" s="1"/>
  <c r="AS117" i="7"/>
  <c r="AQ15" i="3" s="1"/>
  <c r="BU43" i="7"/>
  <c r="AS33" i="8"/>
  <c r="AB16" i="3"/>
  <c r="AB28" i="2" s="1"/>
  <c r="AK47" i="3"/>
  <c r="AA42" i="3"/>
  <c r="AM42" i="3"/>
  <c r="R15" i="3"/>
  <c r="AT52" i="7"/>
  <c r="AT110" i="7"/>
  <c r="AQ81" i="7"/>
  <c r="AO10" i="3" s="1"/>
  <c r="AO13" i="3" s="1"/>
  <c r="AO14" i="3" s="1"/>
  <c r="BG33" i="7"/>
  <c r="AT54" i="7"/>
  <c r="AA47" i="3"/>
  <c r="BE22" i="3"/>
  <c r="BB70" i="13"/>
  <c r="AS69" i="13"/>
  <c r="AN70" i="13"/>
  <c r="AN69" i="13"/>
  <c r="BH44" i="13"/>
  <c r="AK44" i="13"/>
  <c r="N44" i="13"/>
  <c r="BQ64" i="13"/>
  <c r="BK49" i="13"/>
  <c r="AB49" i="13"/>
  <c r="M49" i="13"/>
  <c r="AD49" i="13"/>
  <c r="AV49" i="13"/>
  <c r="BM49" i="13"/>
  <c r="P49" i="13"/>
  <c r="AH49" i="13"/>
  <c r="AY49" i="13"/>
  <c r="BP49" i="13"/>
  <c r="BA44" i="13"/>
  <c r="AC44" i="13"/>
  <c r="AC64" i="13"/>
  <c r="Y64" i="13"/>
  <c r="BC64" i="13"/>
  <c r="BP44" i="13"/>
  <c r="AS44" i="13"/>
  <c r="W44" i="13"/>
  <c r="BK43" i="13"/>
  <c r="AN43" i="13"/>
  <c r="P43" i="13"/>
  <c r="BE51" i="13"/>
  <c r="AN51" i="13"/>
  <c r="AK70" i="13"/>
  <c r="AB69" i="13"/>
  <c r="W70" i="13"/>
  <c r="W69" i="13"/>
  <c r="BB44" i="13"/>
  <c r="AE44" i="13"/>
  <c r="H44" i="13"/>
  <c r="AI64" i="13"/>
  <c r="BB49" i="13"/>
  <c r="S49" i="13"/>
  <c r="Q49" i="13"/>
  <c r="AI49" i="13"/>
  <c r="AZ49" i="13"/>
  <c r="BQ49" i="13"/>
  <c r="U49" i="13"/>
  <c r="AL49" i="13"/>
  <c r="BR44" i="13"/>
  <c r="AU44" i="13"/>
  <c r="X44" i="13"/>
  <c r="H64" i="13"/>
  <c r="AD64" i="13"/>
  <c r="BK44" i="13"/>
  <c r="AN44" i="13"/>
  <c r="BE43" i="13"/>
  <c r="AH43" i="13"/>
  <c r="K43" i="13"/>
  <c r="V10" i="13"/>
  <c r="BS72" i="13"/>
  <c r="W51" i="13"/>
  <c r="M13" i="13"/>
  <c r="J51" i="13"/>
  <c r="AA51" i="13"/>
  <c r="AZ24" i="13"/>
  <c r="BQ21" i="13"/>
  <c r="BH19" i="13"/>
  <c r="BH15" i="13"/>
  <c r="AM81" i="7"/>
  <c r="AK10" i="3" s="1"/>
  <c r="AT78" i="7"/>
  <c r="AT57" i="7"/>
  <c r="AK117" i="7"/>
  <c r="AI15" i="3" s="1"/>
  <c r="AT61" i="7"/>
  <c r="AI117" i="7"/>
  <c r="AG15" i="3" s="1"/>
  <c r="AT60" i="7"/>
  <c r="AZ23" i="8"/>
  <c r="AY20" i="3" s="1"/>
  <c r="AT58" i="7"/>
  <c r="AS13" i="8"/>
  <c r="AR117" i="7"/>
  <c r="AP15" i="3" s="1"/>
  <c r="BG24" i="7"/>
  <c r="BC23" i="8"/>
  <c r="BB20" i="3" s="1"/>
  <c r="AT90" i="7"/>
  <c r="AS28" i="8"/>
  <c r="AT59" i="7"/>
  <c r="BH90" i="7"/>
  <c r="BH124" i="7" s="1"/>
  <c r="BH55" i="7"/>
  <c r="AU91" i="7"/>
  <c r="AU56" i="7"/>
  <c r="AU108" i="7"/>
  <c r="AU73" i="7"/>
  <c r="BG73" i="7" s="1"/>
  <c r="BO104" i="7"/>
  <c r="BO69" i="7"/>
  <c r="BS89" i="7"/>
  <c r="BS54" i="7"/>
  <c r="BO99" i="7"/>
  <c r="BN22" i="8" s="1"/>
  <c r="BO64" i="7"/>
  <c r="BN76" i="7"/>
  <c r="BN111" i="7"/>
  <c r="BM34" i="8" s="1"/>
  <c r="BK106" i="7"/>
  <c r="BJ29" i="8" s="1"/>
  <c r="BK71" i="7"/>
  <c r="BS95" i="7"/>
  <c r="BR18" i="8" s="1"/>
  <c r="BS60" i="7"/>
  <c r="BJ73" i="7"/>
  <c r="BJ108" i="7"/>
  <c r="BI31" i="8" s="1"/>
  <c r="BK21" i="7"/>
  <c r="AX58" i="7"/>
  <c r="AX93" i="7"/>
  <c r="AW16" i="8" s="1"/>
  <c r="BO111" i="7"/>
  <c r="BN34" i="8" s="1"/>
  <c r="BO76" i="7"/>
  <c r="BS106" i="7"/>
  <c r="BR29" i="8" s="1"/>
  <c r="BS71" i="7"/>
  <c r="BS107" i="7"/>
  <c r="BR30" i="8" s="1"/>
  <c r="BS72" i="7"/>
  <c r="BM112" i="7"/>
  <c r="BL35" i="8" s="1"/>
  <c r="BM77" i="7"/>
  <c r="BK98" i="7"/>
  <c r="BJ21" i="8" s="1"/>
  <c r="BK63" i="7"/>
  <c r="BL96" i="7"/>
  <c r="BK19" i="8" s="1"/>
  <c r="BL61" i="7"/>
  <c r="BR97" i="7"/>
  <c r="BQ20" i="8" s="1"/>
  <c r="BR62" i="7"/>
  <c r="BP90" i="7"/>
  <c r="BP55" i="7"/>
  <c r="BI103" i="7"/>
  <c r="BH26" i="8" s="1"/>
  <c r="BI68" i="7"/>
  <c r="AY81" i="7"/>
  <c r="AW10" i="3" s="1"/>
  <c r="BI22" i="7"/>
  <c r="AV94" i="7"/>
  <c r="AU17" i="8" s="1"/>
  <c r="AV59" i="7"/>
  <c r="BO24" i="7"/>
  <c r="BB96" i="7"/>
  <c r="BA19" i="8" s="1"/>
  <c r="BB61" i="7"/>
  <c r="BI18" i="7"/>
  <c r="AV90" i="7"/>
  <c r="AV55" i="7"/>
  <c r="AH65" i="7"/>
  <c r="AF9" i="3" s="1"/>
  <c r="BL104" i="7"/>
  <c r="BK27" i="8" s="1"/>
  <c r="BL69" i="7"/>
  <c r="AS19" i="8"/>
  <c r="BL93" i="7"/>
  <c r="BK16" i="8" s="1"/>
  <c r="BL58" i="7"/>
  <c r="BJ92" i="7"/>
  <c r="BI15" i="8" s="1"/>
  <c r="BJ57" i="7"/>
  <c r="BM21" i="7"/>
  <c r="AZ93" i="7"/>
  <c r="AY16" i="8" s="1"/>
  <c r="AZ58" i="7"/>
  <c r="AT74" i="7"/>
  <c r="BM91" i="7"/>
  <c r="BL14" i="8" s="1"/>
  <c r="BM56" i="7"/>
  <c r="BJ111" i="7"/>
  <c r="BI34" i="8" s="1"/>
  <c r="BJ76" i="7"/>
  <c r="BQ106" i="7"/>
  <c r="BP29" i="8" s="1"/>
  <c r="BQ71" i="7"/>
  <c r="BM104" i="7"/>
  <c r="BM69" i="7"/>
  <c r="BL87" i="7"/>
  <c r="BL52" i="7"/>
  <c r="BQ38" i="7"/>
  <c r="BT38" i="7" s="1"/>
  <c r="BD110" i="7"/>
  <c r="BC33" i="8" s="1"/>
  <c r="BD75" i="7"/>
  <c r="BG75" i="7" s="1"/>
  <c r="BM97" i="7"/>
  <c r="BL20" i="8" s="1"/>
  <c r="BM62" i="7"/>
  <c r="BM103" i="7"/>
  <c r="BL26" i="8" s="1"/>
  <c r="BM68" i="7"/>
  <c r="BP105" i="7"/>
  <c r="BO28" i="8" s="1"/>
  <c r="BP70" i="7"/>
  <c r="BK108" i="7"/>
  <c r="BJ31" i="8" s="1"/>
  <c r="BK73" i="7"/>
  <c r="BB26" i="8"/>
  <c r="BA117" i="7"/>
  <c r="AY15" i="3" s="1"/>
  <c r="AZ26" i="8"/>
  <c r="BO89" i="7"/>
  <c r="BO54" i="7"/>
  <c r="BJ89" i="7"/>
  <c r="BJ54" i="7"/>
  <c r="BS98" i="7"/>
  <c r="BR21" i="8" s="1"/>
  <c r="BS63" i="7"/>
  <c r="BN88" i="7"/>
  <c r="BN53" i="7"/>
  <c r="BJ91" i="7"/>
  <c r="BI14" i="8" s="1"/>
  <c r="BJ56" i="7"/>
  <c r="BP96" i="7"/>
  <c r="BO19" i="8" s="1"/>
  <c r="BP61" i="7"/>
  <c r="AV23" i="8"/>
  <c r="AU20" i="3" s="1"/>
  <c r="BK109" i="7"/>
  <c r="BJ32" i="8" s="1"/>
  <c r="BK74" i="7"/>
  <c r="AH117" i="7"/>
  <c r="AF15" i="3" s="1"/>
  <c r="AT103" i="7"/>
  <c r="AG26" i="8"/>
  <c r="BK15" i="7"/>
  <c r="AX87" i="7"/>
  <c r="AX52" i="7"/>
  <c r="BK23" i="7"/>
  <c r="AX95" i="7"/>
  <c r="AW18" i="8" s="1"/>
  <c r="AX60" i="7"/>
  <c r="BK16" i="7"/>
  <c r="AX88" i="7"/>
  <c r="AX53" i="7"/>
  <c r="BT80" i="7"/>
  <c r="BI108" i="7"/>
  <c r="BH31" i="8" s="1"/>
  <c r="BI73" i="7"/>
  <c r="AX81" i="7"/>
  <c r="AV10" i="3" s="1"/>
  <c r="AM117" i="7"/>
  <c r="AK15" i="3" s="1"/>
  <c r="BS93" i="7"/>
  <c r="BR16" i="8" s="1"/>
  <c r="BS58" i="7"/>
  <c r="BN109" i="7"/>
  <c r="BM32" i="8" s="1"/>
  <c r="BN74" i="7"/>
  <c r="AS30" i="8"/>
  <c r="BM90" i="7"/>
  <c r="BM55" i="7"/>
  <c r="BN91" i="7"/>
  <c r="BM14" i="8" s="1"/>
  <c r="BN56" i="7"/>
  <c r="BP87" i="7"/>
  <c r="BP52" i="7"/>
  <c r="BM15" i="7"/>
  <c r="AZ87" i="7"/>
  <c r="AZ52" i="7"/>
  <c r="AO65" i="7"/>
  <c r="AM9" i="3" s="1"/>
  <c r="AQ23" i="8"/>
  <c r="AP20" i="3" s="1"/>
  <c r="AI46" i="3"/>
  <c r="AI42" i="3"/>
  <c r="BT9" i="7"/>
  <c r="BF12" i="2"/>
  <c r="AU93" i="7"/>
  <c r="AU58" i="7"/>
  <c r="AU89" i="7"/>
  <c r="AU123" i="7" s="1"/>
  <c r="AU54" i="7"/>
  <c r="AG65" i="7"/>
  <c r="W46" i="3"/>
  <c r="BH105" i="7"/>
  <c r="BH70" i="7"/>
  <c r="AU111" i="7"/>
  <c r="AU76" i="7"/>
  <c r="BJ104" i="7"/>
  <c r="BI27" i="8" s="1"/>
  <c r="BJ69" i="7"/>
  <c r="BG62" i="7"/>
  <c r="BL110" i="7"/>
  <c r="BK33" i="8" s="1"/>
  <c r="BL75" i="7"/>
  <c r="BM35" i="7"/>
  <c r="BT35" i="7" s="1"/>
  <c r="AZ107" i="7"/>
  <c r="AY30" i="8" s="1"/>
  <c r="AZ72" i="7"/>
  <c r="BG72" i="7" s="1"/>
  <c r="BN106" i="7"/>
  <c r="BM29" i="8" s="1"/>
  <c r="BN71" i="7"/>
  <c r="BP97" i="7"/>
  <c r="BO20" i="8" s="1"/>
  <c r="BP62" i="7"/>
  <c r="BN87" i="7"/>
  <c r="BN52" i="7"/>
  <c r="BF65" i="7"/>
  <c r="BD9" i="3" s="1"/>
  <c r="AQ117" i="7"/>
  <c r="AO15" i="3" s="1"/>
  <c r="AP27" i="8"/>
  <c r="AS27" i="8" s="1"/>
  <c r="BP95" i="7"/>
  <c r="BO18" i="8" s="1"/>
  <c r="BP60" i="7"/>
  <c r="BN89" i="7"/>
  <c r="BN54" i="7"/>
  <c r="BR98" i="7"/>
  <c r="BQ21" i="8" s="1"/>
  <c r="BR63" i="7"/>
  <c r="BO110" i="7"/>
  <c r="BN33" i="8" s="1"/>
  <c r="BO75" i="7"/>
  <c r="BK105" i="7"/>
  <c r="BJ28" i="8" s="1"/>
  <c r="BK70" i="7"/>
  <c r="BR103" i="7"/>
  <c r="BR68" i="7"/>
  <c r="BM24" i="7"/>
  <c r="AZ96" i="7"/>
  <c r="AY19" i="8" s="1"/>
  <c r="AZ61" i="7"/>
  <c r="BM23" i="7"/>
  <c r="AZ95" i="7"/>
  <c r="AY18" i="8" s="1"/>
  <c r="AZ60" i="7"/>
  <c r="AT76" i="7"/>
  <c r="BM17" i="7"/>
  <c r="AZ89" i="7"/>
  <c r="AZ54" i="7"/>
  <c r="BR94" i="7"/>
  <c r="BQ17" i="8" s="1"/>
  <c r="BR59" i="7"/>
  <c r="BN61" i="7"/>
  <c r="BN96" i="7"/>
  <c r="BM19" i="8" s="1"/>
  <c r="BP88" i="7"/>
  <c r="BP53" i="7"/>
  <c r="BI112" i="7"/>
  <c r="BH35" i="8" s="1"/>
  <c r="BI77" i="7"/>
  <c r="AT93" i="7"/>
  <c r="AG16" i="8"/>
  <c r="AS16" i="8" s="1"/>
  <c r="BP110" i="7"/>
  <c r="BO33" i="8" s="1"/>
  <c r="BP75" i="7"/>
  <c r="BB81" i="7"/>
  <c r="AZ10" i="3" s="1"/>
  <c r="BQ87" i="7"/>
  <c r="BQ52" i="7"/>
  <c r="BS92" i="7"/>
  <c r="BR15" i="8" s="1"/>
  <c r="BS57" i="7"/>
  <c r="BR106" i="7"/>
  <c r="BQ29" i="8" s="1"/>
  <c r="BR71" i="7"/>
  <c r="BP104" i="7"/>
  <c r="BO27" i="8" s="1"/>
  <c r="BP69" i="7"/>
  <c r="BI106" i="7"/>
  <c r="BH29" i="8" s="1"/>
  <c r="BI71" i="7"/>
  <c r="BS97" i="7"/>
  <c r="BR20" i="8" s="1"/>
  <c r="BS62" i="7"/>
  <c r="BS88" i="7"/>
  <c r="BS53" i="7"/>
  <c r="BN90" i="7"/>
  <c r="BN55" i="7"/>
  <c r="AT105" i="7"/>
  <c r="AY117" i="7"/>
  <c r="AW15" i="3" s="1"/>
  <c r="AX26" i="8"/>
  <c r="BQ109" i="7"/>
  <c r="BP32" i="8" s="1"/>
  <c r="BQ74" i="7"/>
  <c r="BR19" i="7"/>
  <c r="BE91" i="7"/>
  <c r="BD14" i="8" s="1"/>
  <c r="BE56" i="7"/>
  <c r="AT27" i="8"/>
  <c r="BO23" i="7"/>
  <c r="BB95" i="7"/>
  <c r="BA18" i="8" s="1"/>
  <c r="BB60" i="7"/>
  <c r="AT87" i="7"/>
  <c r="AG10" i="8"/>
  <c r="AT95" i="7"/>
  <c r="AG18" i="8"/>
  <c r="AS18" i="8" s="1"/>
  <c r="BM98" i="7"/>
  <c r="BL21" i="8" s="1"/>
  <c r="BM63" i="7"/>
  <c r="AT96" i="7"/>
  <c r="BN105" i="7"/>
  <c r="BM28" i="8" s="1"/>
  <c r="BN70" i="7"/>
  <c r="BK22" i="7"/>
  <c r="AX94" i="7"/>
  <c r="AW17" i="8" s="1"/>
  <c r="AX59" i="7"/>
  <c r="BG64" i="7"/>
  <c r="BK111" i="7"/>
  <c r="BJ34" i="8" s="1"/>
  <c r="BK76" i="7"/>
  <c r="BS104" i="7"/>
  <c r="BS69" i="7"/>
  <c r="BR96" i="7"/>
  <c r="BQ19" i="8" s="1"/>
  <c r="BR61" i="7"/>
  <c r="BQ111" i="7"/>
  <c r="BP34" i="8" s="1"/>
  <c r="BQ76" i="7"/>
  <c r="BF81" i="7"/>
  <c r="BD10" i="3" s="1"/>
  <c r="BC81" i="7"/>
  <c r="BA10" i="3" s="1"/>
  <c r="BN103" i="7"/>
  <c r="BN68" i="7"/>
  <c r="BJ94" i="7"/>
  <c r="BI17" i="8" s="1"/>
  <c r="BJ59" i="7"/>
  <c r="BL94" i="7"/>
  <c r="BK17" i="8" s="1"/>
  <c r="BL59" i="7"/>
  <c r="AT69" i="7"/>
  <c r="BO93" i="7"/>
  <c r="BN16" i="8" s="1"/>
  <c r="BO58" i="7"/>
  <c r="AS35" i="8"/>
  <c r="BQ95" i="7"/>
  <c r="BP18" i="8" s="1"/>
  <c r="BQ60" i="7"/>
  <c r="BJ87" i="7"/>
  <c r="BJ52" i="7"/>
  <c r="BP109" i="7"/>
  <c r="BO32" i="8" s="1"/>
  <c r="BP74" i="7"/>
  <c r="AH81" i="7"/>
  <c r="AF10" i="3" s="1"/>
  <c r="AR10" i="3" s="1"/>
  <c r="AT68" i="7"/>
  <c r="BO22" i="7"/>
  <c r="BB59" i="7"/>
  <c r="BB94" i="7"/>
  <c r="BA17" i="8" s="1"/>
  <c r="BO20" i="7"/>
  <c r="BB92" i="7"/>
  <c r="BA15" i="8" s="1"/>
  <c r="BB57" i="7"/>
  <c r="BT115" i="7"/>
  <c r="BG38" i="8"/>
  <c r="BS38" i="8" s="1"/>
  <c r="BT38" i="8" s="1"/>
  <c r="BG98" i="7"/>
  <c r="AT21" i="8"/>
  <c r="BF21" i="8" s="1"/>
  <c r="BI98" i="7"/>
  <c r="BH21" i="8" s="1"/>
  <c r="BI63" i="7"/>
  <c r="AW26" i="8"/>
  <c r="BS105" i="7"/>
  <c r="BR28" i="8" s="1"/>
  <c r="BS70" i="7"/>
  <c r="BP94" i="7"/>
  <c r="BO17" i="8" s="1"/>
  <c r="BP59" i="7"/>
  <c r="BP89" i="7"/>
  <c r="BP54" i="7"/>
  <c r="BR64" i="7"/>
  <c r="BR99" i="7"/>
  <c r="BQ22" i="8" s="1"/>
  <c r="BJ106" i="7"/>
  <c r="BI29" i="8" s="1"/>
  <c r="BJ71" i="7"/>
  <c r="AT107" i="7"/>
  <c r="BO106" i="7"/>
  <c r="BN29" i="8" s="1"/>
  <c r="BO71" i="7"/>
  <c r="BR104" i="7"/>
  <c r="BQ27" i="8" s="1"/>
  <c r="BR69" i="7"/>
  <c r="AN23" i="8"/>
  <c r="AM20" i="3" s="1"/>
  <c r="BR15" i="7"/>
  <c r="BE87" i="7"/>
  <c r="BE52" i="7"/>
  <c r="AT89" i="7"/>
  <c r="AG12" i="8"/>
  <c r="AS12" i="8" s="1"/>
  <c r="BT27" i="7"/>
  <c r="BU27" i="7" s="1"/>
  <c r="BH99" i="7"/>
  <c r="BH64" i="7"/>
  <c r="BI104" i="7"/>
  <c r="BI69" i="7"/>
  <c r="BS91" i="7"/>
  <c r="BR14" i="8" s="1"/>
  <c r="BS56" i="7"/>
  <c r="BQ96" i="7"/>
  <c r="BP19" i="8" s="1"/>
  <c r="BQ61" i="7"/>
  <c r="BM94" i="7"/>
  <c r="BL17" i="8" s="1"/>
  <c r="BM59" i="7"/>
  <c r="BD26" i="8"/>
  <c r="BG97" i="7"/>
  <c r="AT20" i="8"/>
  <c r="BF20" i="8" s="1"/>
  <c r="BR77" i="7"/>
  <c r="BR112" i="7"/>
  <c r="BQ35" i="8" s="1"/>
  <c r="BT26" i="7"/>
  <c r="BU26" i="7" s="1"/>
  <c r="BH98" i="7"/>
  <c r="BH63" i="7"/>
  <c r="BH96" i="7"/>
  <c r="BH61" i="7"/>
  <c r="AU87" i="7"/>
  <c r="AU121" i="7" s="1"/>
  <c r="AU52" i="7"/>
  <c r="AU95" i="7"/>
  <c r="AU60" i="7"/>
  <c r="AU68" i="7"/>
  <c r="AU103" i="7"/>
  <c r="BH104" i="7"/>
  <c r="BH69" i="7"/>
  <c r="AF26" i="8"/>
  <c r="AW81" i="7"/>
  <c r="AU10" i="3" s="1"/>
  <c r="BQ92" i="7"/>
  <c r="BP15" i="8" s="1"/>
  <c r="BQ57" i="7"/>
  <c r="BL107" i="7"/>
  <c r="BK30" i="8" s="1"/>
  <c r="BL72" i="7"/>
  <c r="BL105" i="7"/>
  <c r="BK28" i="8" s="1"/>
  <c r="BL70" i="7"/>
  <c r="BQ93" i="7"/>
  <c r="BP16" i="8" s="1"/>
  <c r="BQ58" i="7"/>
  <c r="BP108" i="7"/>
  <c r="BO31" i="8" s="1"/>
  <c r="BP73" i="7"/>
  <c r="BK97" i="7"/>
  <c r="BJ20" i="8" s="1"/>
  <c r="BK62" i="7"/>
  <c r="BO109" i="7"/>
  <c r="BN32" i="8" s="1"/>
  <c r="BO74" i="7"/>
  <c r="BP99" i="7"/>
  <c r="BO22" i="8" s="1"/>
  <c r="BP64" i="7"/>
  <c r="BE23" i="8"/>
  <c r="BD20" i="3" s="1"/>
  <c r="BQ32" i="7"/>
  <c r="BD104" i="7"/>
  <c r="BD69" i="7"/>
  <c r="BG69" i="7" s="1"/>
  <c r="BP98" i="7"/>
  <c r="BO21" i="8" s="1"/>
  <c r="BP63" i="7"/>
  <c r="BL92" i="7"/>
  <c r="BK15" i="8" s="1"/>
  <c r="BL57" i="7"/>
  <c r="BI107" i="7"/>
  <c r="BH30" i="8" s="1"/>
  <c r="BI72" i="7"/>
  <c r="AT33" i="8"/>
  <c r="BO16" i="7"/>
  <c r="BB88" i="7"/>
  <c r="BB53" i="7"/>
  <c r="BI24" i="7"/>
  <c r="AV96" i="7"/>
  <c r="AU19" i="8" s="1"/>
  <c r="AV61" i="7"/>
  <c r="AT28" i="8"/>
  <c r="BM20" i="7"/>
  <c r="AZ92" i="7"/>
  <c r="AY15" i="8" s="1"/>
  <c r="AZ57" i="7"/>
  <c r="AT106" i="7"/>
  <c r="AG29" i="8"/>
  <c r="AS29" i="8" s="1"/>
  <c r="BJ93" i="7"/>
  <c r="BI16" i="8" s="1"/>
  <c r="BJ58" i="7"/>
  <c r="BO105" i="7"/>
  <c r="BN28" i="8" s="1"/>
  <c r="BO70" i="7"/>
  <c r="BQ108" i="7"/>
  <c r="BP31" i="8" s="1"/>
  <c r="BQ73" i="7"/>
  <c r="BM37" i="7"/>
  <c r="BT37" i="7" s="1"/>
  <c r="AZ109" i="7"/>
  <c r="BG109" i="7" s="1"/>
  <c r="AZ74" i="7"/>
  <c r="BG74" i="7" s="1"/>
  <c r="BP112" i="7"/>
  <c r="BO35" i="8" s="1"/>
  <c r="BP77" i="7"/>
  <c r="BA26" i="8"/>
  <c r="BQ91" i="7"/>
  <c r="BP14" i="8" s="1"/>
  <c r="BQ56" i="7"/>
  <c r="BI89" i="7"/>
  <c r="BI54" i="7"/>
  <c r="BR108" i="7"/>
  <c r="BQ31" i="8" s="1"/>
  <c r="BR73" i="7"/>
  <c r="BS109" i="7"/>
  <c r="BR32" i="8" s="1"/>
  <c r="BS74" i="7"/>
  <c r="T23" i="8"/>
  <c r="S20" i="3" s="1"/>
  <c r="BR92" i="7"/>
  <c r="BQ15" i="8" s="1"/>
  <c r="BR57" i="7"/>
  <c r="BK96" i="7"/>
  <c r="BJ19" i="8" s="1"/>
  <c r="BK61" i="7"/>
  <c r="BI99" i="7"/>
  <c r="BH22" i="8" s="1"/>
  <c r="BI64" i="7"/>
  <c r="BR90" i="7"/>
  <c r="BR55" i="7"/>
  <c r="BQ94" i="7"/>
  <c r="BP17" i="8" s="1"/>
  <c r="BQ59" i="7"/>
  <c r="AV81" i="7"/>
  <c r="AT10" i="3" s="1"/>
  <c r="BL103" i="7"/>
  <c r="BL68" i="7"/>
  <c r="BK112" i="7"/>
  <c r="BJ35" i="8" s="1"/>
  <c r="BK77" i="7"/>
  <c r="BK19" i="7"/>
  <c r="AX91" i="7"/>
  <c r="AW14" i="8" s="1"/>
  <c r="AX56" i="7"/>
  <c r="AT55" i="7"/>
  <c r="AT114" i="7"/>
  <c r="AG37" i="8"/>
  <c r="AS37" i="8" s="1"/>
  <c r="BK18" i="7"/>
  <c r="AX90" i="7"/>
  <c r="AX55" i="7"/>
  <c r="AT88" i="7"/>
  <c r="AG11" i="8"/>
  <c r="AS11" i="8" s="1"/>
  <c r="AT56" i="7"/>
  <c r="BL89" i="7"/>
  <c r="BL54" i="7"/>
  <c r="BG99" i="7"/>
  <c r="AT22" i="8"/>
  <c r="BF22" i="8" s="1"/>
  <c r="BO107" i="7"/>
  <c r="BN30" i="8" s="1"/>
  <c r="BO72" i="7"/>
  <c r="BI110" i="7"/>
  <c r="BH33" i="8" s="1"/>
  <c r="BI75" i="7"/>
  <c r="BO112" i="7"/>
  <c r="BN35" i="8" s="1"/>
  <c r="BO77" i="7"/>
  <c r="AX23" i="8"/>
  <c r="AW20" i="3" s="1"/>
  <c r="BP92" i="7"/>
  <c r="BO15" i="8" s="1"/>
  <c r="BP57" i="7"/>
  <c r="BI111" i="7"/>
  <c r="BH34" i="8" s="1"/>
  <c r="BI76" i="7"/>
  <c r="BF117" i="7"/>
  <c r="BD15" i="3" s="1"/>
  <c r="BE26" i="8"/>
  <c r="BI105" i="7"/>
  <c r="BH28" i="8" s="1"/>
  <c r="BI70" i="7"/>
  <c r="BR109" i="7"/>
  <c r="BQ32" i="8" s="1"/>
  <c r="BR74" i="7"/>
  <c r="BP103" i="7"/>
  <c r="BP68" i="7"/>
  <c r="BS90" i="7"/>
  <c r="BS55" i="7"/>
  <c r="AT112" i="7"/>
  <c r="BI95" i="7"/>
  <c r="BH18" i="8" s="1"/>
  <c r="BI60" i="7"/>
  <c r="BI20" i="7"/>
  <c r="AV92" i="7"/>
  <c r="AU15" i="8" s="1"/>
  <c r="AV57" i="7"/>
  <c r="AJ23" i="8"/>
  <c r="AI20" i="3" s="1"/>
  <c r="AT30" i="8"/>
  <c r="AT53" i="7"/>
  <c r="AT19" i="8"/>
  <c r="BO97" i="7"/>
  <c r="BN20" i="8" s="1"/>
  <c r="BO62" i="7"/>
  <c r="BK103" i="7"/>
  <c r="BJ26" i="8" s="1"/>
  <c r="BK68" i="7"/>
  <c r="BN110" i="7"/>
  <c r="BM33" i="8" s="1"/>
  <c r="BN75" i="7"/>
  <c r="BK99" i="7"/>
  <c r="BJ22" i="8" s="1"/>
  <c r="BK64" i="7"/>
  <c r="BM39" i="7"/>
  <c r="AZ111" i="7"/>
  <c r="AY34" i="8" s="1"/>
  <c r="AZ76" i="7"/>
  <c r="BK107" i="7"/>
  <c r="BJ30" i="8" s="1"/>
  <c r="BK72" i="7"/>
  <c r="BJ105" i="7"/>
  <c r="BI28" i="8" s="1"/>
  <c r="BJ70" i="7"/>
  <c r="BC65" i="7"/>
  <c r="BA9" i="3" s="1"/>
  <c r="BA13" i="3" s="1"/>
  <c r="BA14" i="3" s="1"/>
  <c r="BM99" i="7"/>
  <c r="BL22" i="8" s="1"/>
  <c r="BM64" i="7"/>
  <c r="BL109" i="7"/>
  <c r="BK32" i="8" s="1"/>
  <c r="BL74" i="7"/>
  <c r="BP106" i="7"/>
  <c r="BO29" i="8" s="1"/>
  <c r="BP71" i="7"/>
  <c r="AM65" i="7"/>
  <c r="AK9" i="3" s="1"/>
  <c r="BO15" i="7"/>
  <c r="BB87" i="7"/>
  <c r="BB52" i="7"/>
  <c r="AT94" i="7"/>
  <c r="AG17" i="8"/>
  <c r="AS17" i="8" s="1"/>
  <c r="BF23" i="3"/>
  <c r="AU92" i="7"/>
  <c r="AU57" i="7"/>
  <c r="AU59" i="7"/>
  <c r="AU94" i="7"/>
  <c r="AU53" i="7"/>
  <c r="AU88" i="7"/>
  <c r="AU122" i="7" s="1"/>
  <c r="BH109" i="7"/>
  <c r="BG32" i="8" s="1"/>
  <c r="BH74" i="7"/>
  <c r="AU106" i="7"/>
  <c r="AU71" i="7"/>
  <c r="BG71" i="7" s="1"/>
  <c r="AG117" i="7"/>
  <c r="BJ103" i="7"/>
  <c r="BJ68" i="7"/>
  <c r="BQ90" i="7"/>
  <c r="BQ55" i="7"/>
  <c r="AT111" i="7"/>
  <c r="AG34" i="8"/>
  <c r="AS34" i="8" s="1"/>
  <c r="BR21" i="7"/>
  <c r="BE93" i="7"/>
  <c r="BD16" i="8" s="1"/>
  <c r="BE58" i="7"/>
  <c r="BK110" i="7"/>
  <c r="BJ33" i="8" s="1"/>
  <c r="BK75" i="7"/>
  <c r="BL106" i="7"/>
  <c r="BK29" i="8" s="1"/>
  <c r="BL71" i="7"/>
  <c r="BI88" i="7"/>
  <c r="BI53" i="7"/>
  <c r="BL108" i="7"/>
  <c r="BK31" i="8" s="1"/>
  <c r="BL73" i="7"/>
  <c r="BR88" i="7"/>
  <c r="BR53" i="7"/>
  <c r="BQ31" i="7"/>
  <c r="BD103" i="7"/>
  <c r="BC26" i="8" s="1"/>
  <c r="BD68" i="7"/>
  <c r="BS110" i="7"/>
  <c r="BR33" i="8" s="1"/>
  <c r="BS75" i="7"/>
  <c r="BJ110" i="7"/>
  <c r="BI33" i="8" s="1"/>
  <c r="BJ75" i="7"/>
  <c r="BN108" i="7"/>
  <c r="BM31" i="8" s="1"/>
  <c r="BN73" i="7"/>
  <c r="BP91" i="7"/>
  <c r="BO14" i="8" s="1"/>
  <c r="BP56" i="7"/>
  <c r="BL88" i="7"/>
  <c r="BL53" i="7"/>
  <c r="AI47" i="3"/>
  <c r="BT25" i="7"/>
  <c r="BU25" i="7" s="1"/>
  <c r="BH97" i="7"/>
  <c r="BH62" i="7"/>
  <c r="BG18" i="7"/>
  <c r="BG32" i="7"/>
  <c r="BH112" i="7"/>
  <c r="BH77" i="7"/>
  <c r="BH110" i="7"/>
  <c r="BH75" i="7"/>
  <c r="AU114" i="7"/>
  <c r="AU79" i="7"/>
  <c r="BG79" i="7" s="1"/>
  <c r="BH107" i="7"/>
  <c r="BH72" i="7"/>
  <c r="AU113" i="7"/>
  <c r="AU78" i="7"/>
  <c r="BM41" i="7"/>
  <c r="AZ113" i="7"/>
  <c r="AY36" i="8" s="1"/>
  <c r="AZ78" i="7"/>
  <c r="AW117" i="7"/>
  <c r="AU15" i="3" s="1"/>
  <c r="AV26" i="8"/>
  <c r="BO108" i="7"/>
  <c r="BN31" i="8" s="1"/>
  <c r="BO73" i="7"/>
  <c r="BS112" i="7"/>
  <c r="BR35" i="8" s="1"/>
  <c r="BS77" i="7"/>
  <c r="AU27" i="8"/>
  <c r="BN107" i="7"/>
  <c r="BM30" i="8" s="1"/>
  <c r="BN72" i="7"/>
  <c r="BI97" i="7"/>
  <c r="BH20" i="8" s="1"/>
  <c r="BI62" i="7"/>
  <c r="BJ90" i="7"/>
  <c r="BJ55" i="7"/>
  <c r="BJ107" i="7"/>
  <c r="BI30" i="8" s="1"/>
  <c r="BJ72" i="7"/>
  <c r="BS108" i="7"/>
  <c r="BR31" i="8" s="1"/>
  <c r="BS73" i="7"/>
  <c r="BM106" i="7"/>
  <c r="BL29" i="8" s="1"/>
  <c r="BM71" i="7"/>
  <c r="BL111" i="7"/>
  <c r="BK34" i="8" s="1"/>
  <c r="BL76" i="7"/>
  <c r="BA65" i="7"/>
  <c r="AY9" i="3" s="1"/>
  <c r="BS87" i="7"/>
  <c r="BS52" i="7"/>
  <c r="BJ96" i="7"/>
  <c r="BI19" i="8" s="1"/>
  <c r="BJ61" i="7"/>
  <c r="BQ89" i="7"/>
  <c r="BQ54" i="7"/>
  <c r="BN93" i="7"/>
  <c r="BM16" i="8" s="1"/>
  <c r="BN58" i="7"/>
  <c r="BL90" i="7"/>
  <c r="BL55" i="7"/>
  <c r="BS111" i="7"/>
  <c r="BR34" i="8" s="1"/>
  <c r="BS76" i="7"/>
  <c r="BE81" i="7"/>
  <c r="BC10" i="3" s="1"/>
  <c r="BR75" i="7"/>
  <c r="BR110" i="7"/>
  <c r="BQ33" i="8" s="1"/>
  <c r="AT108" i="7"/>
  <c r="AG31" i="8"/>
  <c r="AS31" i="8" s="1"/>
  <c r="AT35" i="8"/>
  <c r="BQ33" i="7"/>
  <c r="BD105" i="7"/>
  <c r="BC28" i="8" s="1"/>
  <c r="BD70" i="7"/>
  <c r="BR105" i="7"/>
  <c r="BQ28" i="8" s="1"/>
  <c r="BR70" i="7"/>
  <c r="BJ88" i="7"/>
  <c r="BJ53" i="7"/>
  <c r="BK17" i="7"/>
  <c r="AX89" i="7"/>
  <c r="AX54" i="7"/>
  <c r="AG81" i="7"/>
  <c r="BP107" i="7"/>
  <c r="BO30" i="8" s="1"/>
  <c r="BP72" i="7"/>
  <c r="BM108" i="7"/>
  <c r="BL31" i="8" s="1"/>
  <c r="BM73" i="7"/>
  <c r="BO103" i="7"/>
  <c r="BN26" i="8" s="1"/>
  <c r="BO68" i="7"/>
  <c r="BD65" i="7"/>
  <c r="BB9" i="3" s="1"/>
  <c r="BN92" i="7"/>
  <c r="BM15" i="8" s="1"/>
  <c r="BN57" i="7"/>
  <c r="BS99" i="7"/>
  <c r="BR22" i="8" s="1"/>
  <c r="BS64" i="7"/>
  <c r="BN95" i="7"/>
  <c r="BM18" i="8" s="1"/>
  <c r="BN60" i="7"/>
  <c r="BN59" i="7"/>
  <c r="BN94" i="7"/>
  <c r="BM17" i="8" s="1"/>
  <c r="BL91" i="7"/>
  <c r="BK14" i="8" s="1"/>
  <c r="BL56" i="7"/>
  <c r="BI93" i="7"/>
  <c r="BH16" i="8" s="1"/>
  <c r="BI58" i="7"/>
  <c r="BQ107" i="7"/>
  <c r="BP30" i="8" s="1"/>
  <c r="BQ72" i="7"/>
  <c r="BM16" i="7"/>
  <c r="AZ88" i="7"/>
  <c r="AZ53" i="7"/>
  <c r="BR17" i="7"/>
  <c r="BE89" i="7"/>
  <c r="BE54" i="7"/>
  <c r="AH23" i="8"/>
  <c r="AG20" i="3" s="1"/>
  <c r="AA46" i="3"/>
  <c r="AT91" i="7"/>
  <c r="AG14" i="8"/>
  <c r="AS14" i="8" s="1"/>
  <c r="BQ88" i="7"/>
  <c r="BQ53" i="7"/>
  <c r="BS94" i="7"/>
  <c r="BR17" i="8" s="1"/>
  <c r="BS59" i="7"/>
  <c r="BJ109" i="7"/>
  <c r="BI32" i="8" s="1"/>
  <c r="BJ74" i="7"/>
  <c r="BM110" i="7"/>
  <c r="BL33" i="8" s="1"/>
  <c r="BM75" i="7"/>
  <c r="AY27" i="8"/>
  <c r="AY65" i="7"/>
  <c r="AW9" i="3" s="1"/>
  <c r="BL95" i="7"/>
  <c r="BK18" i="8" s="1"/>
  <c r="BL60" i="7"/>
  <c r="BQ40" i="7"/>
  <c r="BP90" i="6" s="1"/>
  <c r="BD112" i="7"/>
  <c r="BC35" i="8" s="1"/>
  <c r="BD77" i="7"/>
  <c r="BG77" i="7" s="1"/>
  <c r="BK104" i="7"/>
  <c r="BK69" i="7"/>
  <c r="BS103" i="7"/>
  <c r="BR26" i="8" s="1"/>
  <c r="BS68" i="7"/>
  <c r="BN104" i="7"/>
  <c r="BM27" i="8" s="1"/>
  <c r="BN69" i="7"/>
  <c r="BA81" i="7"/>
  <c r="AY10" i="3" s="1"/>
  <c r="BJ95" i="7"/>
  <c r="BI18" i="8" s="1"/>
  <c r="BJ60" i="7"/>
  <c r="BK92" i="7"/>
  <c r="BJ15" i="8" s="1"/>
  <c r="BK57" i="7"/>
  <c r="BO90" i="7"/>
  <c r="BO55" i="7"/>
  <c r="AW65" i="7"/>
  <c r="AU9" i="3" s="1"/>
  <c r="BI109" i="7"/>
  <c r="BH32" i="8" s="1"/>
  <c r="BI74" i="7"/>
  <c r="AK65" i="7"/>
  <c r="AI9" i="3" s="1"/>
  <c r="AI13" i="3" s="1"/>
  <c r="AI14" i="3" s="1"/>
  <c r="BO19" i="7"/>
  <c r="BB91" i="7"/>
  <c r="BA14" i="8" s="1"/>
  <c r="BB56" i="7"/>
  <c r="AT113" i="7"/>
  <c r="AG36" i="8"/>
  <c r="AS36" i="8" s="1"/>
  <c r="AT92" i="7"/>
  <c r="AG15" i="8"/>
  <c r="AS15" i="8" s="1"/>
  <c r="AT13" i="8"/>
  <c r="BG63" i="7"/>
  <c r="BR111" i="7"/>
  <c r="BQ34" i="8" s="1"/>
  <c r="BR76" i="7"/>
  <c r="BN112" i="7"/>
  <c r="BM35" i="8" s="1"/>
  <c r="BN77" i="7"/>
  <c r="AO117" i="7"/>
  <c r="AM15" i="3" s="1"/>
  <c r="BO98" i="7"/>
  <c r="BN21" i="8" s="1"/>
  <c r="BO63" i="7"/>
  <c r="BR107" i="7"/>
  <c r="BQ30" i="8" s="1"/>
  <c r="BR72" i="7"/>
  <c r="BJ77" i="7"/>
  <c r="BJ112" i="7"/>
  <c r="BI35" i="8" s="1"/>
  <c r="BP111" i="7"/>
  <c r="BO34" i="8" s="1"/>
  <c r="BP76" i="7"/>
  <c r="BM33" i="7"/>
  <c r="AZ105" i="7"/>
  <c r="AY28" i="8" s="1"/>
  <c r="AZ70" i="7"/>
  <c r="BP93" i="7"/>
  <c r="BO16" i="8" s="1"/>
  <c r="BP58" i="7"/>
  <c r="BB23" i="8"/>
  <c r="BA20" i="3" s="1"/>
  <c r="BI91" i="7"/>
  <c r="BH14" i="8" s="1"/>
  <c r="BI56" i="7"/>
  <c r="BL112" i="7"/>
  <c r="BK35" i="8" s="1"/>
  <c r="BL77" i="7"/>
  <c r="AL23" i="8"/>
  <c r="AK20" i="3" s="1"/>
  <c r="BR23" i="7"/>
  <c r="BE95" i="7"/>
  <c r="BD18" i="8" s="1"/>
  <c r="BE60" i="7"/>
  <c r="AR65" i="7"/>
  <c r="AP9" i="3" s="1"/>
  <c r="AI65" i="7"/>
  <c r="AG9" i="3" s="1"/>
  <c r="AG13" i="3" s="1"/>
  <c r="AG14" i="3" s="1"/>
  <c r="BQ23" i="11"/>
  <c r="BN23" i="11"/>
  <c r="BO23" i="11"/>
  <c r="BR23" i="11"/>
  <c r="AK37" i="11"/>
  <c r="AR15" i="11"/>
  <c r="AQ15" i="11"/>
  <c r="BM13" i="11"/>
  <c r="AX13" i="11"/>
  <c r="Z13" i="11"/>
  <c r="Y13" i="11"/>
  <c r="AT32" i="8"/>
  <c r="AX32" i="8"/>
  <c r="BB32" i="8"/>
  <c r="AU32" i="8"/>
  <c r="BC32" i="8"/>
  <c r="AV32" i="8"/>
  <c r="AZ32" i="8"/>
  <c r="BD32" i="8"/>
  <c r="AW32" i="8"/>
  <c r="BA32" i="8"/>
  <c r="BE32" i="8"/>
  <c r="AJ32" i="8"/>
  <c r="AJ39" i="8" s="1"/>
  <c r="AI21" i="3" s="1"/>
  <c r="AN32" i="8"/>
  <c r="AN39" i="8" s="1"/>
  <c r="AM21" i="3" s="1"/>
  <c r="AR32" i="8"/>
  <c r="AR39" i="8" s="1"/>
  <c r="AQ21" i="3" s="1"/>
  <c r="X32" i="8"/>
  <c r="X39" i="8" s="1"/>
  <c r="W21" i="3" s="1"/>
  <c r="AB32" i="8"/>
  <c r="AB39" i="8" s="1"/>
  <c r="AA21" i="3" s="1"/>
  <c r="T32" i="8"/>
  <c r="T39" i="8" s="1"/>
  <c r="S21" i="3" s="1"/>
  <c r="AG32" i="8"/>
  <c r="AK32" i="8"/>
  <c r="AK39" i="8" s="1"/>
  <c r="AJ21" i="3" s="1"/>
  <c r="AO32" i="8"/>
  <c r="AO39" i="8" s="1"/>
  <c r="AN21" i="3" s="1"/>
  <c r="U32" i="8"/>
  <c r="U39" i="8" s="1"/>
  <c r="T21" i="3" s="1"/>
  <c r="Y32" i="8"/>
  <c r="Y39" i="8" s="1"/>
  <c r="X21" i="3" s="1"/>
  <c r="AC32" i="8"/>
  <c r="AC39" i="8" s="1"/>
  <c r="AB21" i="3" s="1"/>
  <c r="AI32" i="8"/>
  <c r="AI39" i="8" s="1"/>
  <c r="AH21" i="3" s="1"/>
  <c r="AQ32" i="8"/>
  <c r="AQ39" i="8" s="1"/>
  <c r="AP21" i="3" s="1"/>
  <c r="W32" i="8"/>
  <c r="W39" i="8" s="1"/>
  <c r="V21" i="3" s="1"/>
  <c r="AE32" i="8"/>
  <c r="AE39" i="8" s="1"/>
  <c r="AD21" i="3" s="1"/>
  <c r="AH32" i="8"/>
  <c r="AH39" i="8" s="1"/>
  <c r="AG21" i="3" s="1"/>
  <c r="AL32" i="8"/>
  <c r="AL39" i="8" s="1"/>
  <c r="AK21" i="3" s="1"/>
  <c r="AP32" i="8"/>
  <c r="V32" i="8"/>
  <c r="V39" i="8" s="1"/>
  <c r="U21" i="3" s="1"/>
  <c r="Z32" i="8"/>
  <c r="Z39" i="8" s="1"/>
  <c r="Y21" i="3" s="1"/>
  <c r="AD32" i="8"/>
  <c r="AD39" i="8" s="1"/>
  <c r="AC21" i="3" s="1"/>
  <c r="AM32" i="8"/>
  <c r="AM39" i="8" s="1"/>
  <c r="AL21" i="3" s="1"/>
  <c r="AA32" i="8"/>
  <c r="AA39" i="8" s="1"/>
  <c r="Z21" i="3" s="1"/>
  <c r="BN49" i="11"/>
  <c r="BR49" i="11"/>
  <c r="BM49" i="11"/>
  <c r="AD31" i="11"/>
  <c r="K21" i="11"/>
  <c r="L22" i="11"/>
  <c r="BG9" i="11"/>
  <c r="AI17" i="11"/>
  <c r="AG33" i="3" s="1"/>
  <c r="AF16" i="8"/>
  <c r="W42" i="3"/>
  <c r="BG34" i="7"/>
  <c r="BH34" i="7"/>
  <c r="BG36" i="7"/>
  <c r="BH36" i="7"/>
  <c r="BG41" i="7"/>
  <c r="BH41" i="7"/>
  <c r="W47" i="3"/>
  <c r="BG31" i="7"/>
  <c r="BH31" i="7"/>
  <c r="BG39" i="7"/>
  <c r="BH39" i="7"/>
  <c r="BG42" i="7"/>
  <c r="BH42" i="7"/>
  <c r="BH20" i="7"/>
  <c r="BG20" i="7"/>
  <c r="BG22" i="7"/>
  <c r="BH22" i="7"/>
  <c r="BH16" i="7"/>
  <c r="BG16" i="7"/>
  <c r="BH19" i="7"/>
  <c r="BG19" i="7"/>
  <c r="BG21" i="7"/>
  <c r="BH21" i="7"/>
  <c r="BG17" i="7"/>
  <c r="BH17" i="7"/>
  <c r="BG15" i="7"/>
  <c r="BH15" i="7"/>
  <c r="BH23" i="7"/>
  <c r="BG23" i="7"/>
  <c r="J32" i="8"/>
  <c r="N32" i="8"/>
  <c r="R32" i="8"/>
  <c r="I32" i="8"/>
  <c r="G32" i="8"/>
  <c r="K32" i="8"/>
  <c r="O32" i="8"/>
  <c r="M32" i="8"/>
  <c r="H32" i="8"/>
  <c r="L32" i="8"/>
  <c r="P32" i="8"/>
  <c r="Q32" i="8"/>
  <c r="P13" i="4"/>
  <c r="V46" i="3"/>
  <c r="V47" i="3"/>
  <c r="V42" i="3"/>
  <c r="L13" i="4"/>
  <c r="K13" i="4"/>
  <c r="X46" i="3"/>
  <c r="S75" i="6"/>
  <c r="AB13" i="4"/>
  <c r="Z42" i="3"/>
  <c r="X42" i="3"/>
  <c r="AD13" i="4"/>
  <c r="X47" i="3"/>
  <c r="AP47" i="3"/>
  <c r="AP42" i="3"/>
  <c r="Z47" i="3"/>
  <c r="Z46" i="3"/>
  <c r="BR45" i="3"/>
  <c r="R76" i="1" s="1"/>
  <c r="AE55" i="3"/>
  <c r="I86" i="1" s="1"/>
  <c r="AE45" i="3"/>
  <c r="I76" i="1" s="1"/>
  <c r="BJ55" i="13"/>
  <c r="J55" i="13"/>
  <c r="BE55" i="13"/>
  <c r="AL79" i="13"/>
  <c r="AE47" i="11"/>
  <c r="BC37" i="11"/>
  <c r="BC41" i="11" s="1"/>
  <c r="BA43" i="11"/>
  <c r="BA53" i="11" s="1"/>
  <c r="BC43" i="11"/>
  <c r="BA37" i="11"/>
  <c r="BA41" i="11" s="1"/>
  <c r="AA33" i="11"/>
  <c r="N31" i="11"/>
  <c r="BN13" i="11"/>
  <c r="Q67" i="16"/>
  <c r="BP23" i="11"/>
  <c r="AY80" i="13"/>
  <c r="AZ8" i="13"/>
  <c r="AD47" i="11"/>
  <c r="BB37" i="11"/>
  <c r="AR33" i="11"/>
  <c r="AT33" i="11" s="1"/>
  <c r="AC33" i="11"/>
  <c r="AE31" i="11"/>
  <c r="P31" i="11"/>
  <c r="BQ77" i="13"/>
  <c r="BR55" i="3"/>
  <c r="R86" i="1" s="1"/>
  <c r="AR55" i="13"/>
  <c r="BN98" i="13"/>
  <c r="BE57" i="13"/>
  <c r="AR57" i="13"/>
  <c r="BW12" i="14"/>
  <c r="CC12" i="14" s="1"/>
  <c r="BL79" i="13"/>
  <c r="AC79" i="13"/>
  <c r="BO70" i="13"/>
  <c r="AX70" i="13"/>
  <c r="AF70" i="13"/>
  <c r="O70" i="13"/>
  <c r="BF69" i="13"/>
  <c r="AO69" i="13"/>
  <c r="X69" i="13"/>
  <c r="BR70" i="13"/>
  <c r="BA70" i="13"/>
  <c r="AJ70" i="13"/>
  <c r="R70" i="13"/>
  <c r="BR69" i="13"/>
  <c r="BA69" i="13"/>
  <c r="AJ69" i="13"/>
  <c r="R69" i="13"/>
  <c r="T9" i="11"/>
  <c r="BT72" i="6"/>
  <c r="BT75" i="6" s="1"/>
  <c r="V13" i="4"/>
  <c r="W57" i="13"/>
  <c r="C156" i="16"/>
  <c r="D156" i="16" s="1"/>
  <c r="E102" i="16"/>
  <c r="U80" i="13"/>
  <c r="BC79" i="13"/>
  <c r="U79" i="13"/>
  <c r="BK70" i="13"/>
  <c r="AS70" i="13"/>
  <c r="AB70" i="13"/>
  <c r="K70" i="13"/>
  <c r="BB69" i="13"/>
  <c r="AK69" i="13"/>
  <c r="S69" i="13"/>
  <c r="BN70" i="13"/>
  <c r="AW70" i="13"/>
  <c r="AE70" i="13"/>
  <c r="N70" i="13"/>
  <c r="BN69" i="13"/>
  <c r="AW69" i="13"/>
  <c r="AE69" i="13"/>
  <c r="N69" i="13"/>
  <c r="BH11" i="13"/>
  <c r="AQ24" i="13"/>
  <c r="BQ49" i="11"/>
  <c r="O43" i="11"/>
  <c r="BT33" i="11"/>
  <c r="Y21" i="11"/>
  <c r="Z21" i="11"/>
  <c r="AG9" i="11"/>
  <c r="BT54" i="6"/>
  <c r="AP46" i="3"/>
  <c r="BS44" i="3"/>
  <c r="J57" i="13"/>
  <c r="BS75" i="13"/>
  <c r="BJ57" i="13"/>
  <c r="BM90" i="6"/>
  <c r="BI90" i="6"/>
  <c r="BD90" i="6"/>
  <c r="AZ90" i="6"/>
  <c r="AV90" i="6"/>
  <c r="AQ90" i="6"/>
  <c r="AM90" i="6"/>
  <c r="AI90" i="6"/>
  <c r="AD90" i="6"/>
  <c r="Z90" i="6"/>
  <c r="V90" i="6"/>
  <c r="BO90" i="6"/>
  <c r="BK90" i="6"/>
  <c r="BB90" i="6"/>
  <c r="AX90" i="6"/>
  <c r="AT90" i="6"/>
  <c r="AO90" i="6"/>
  <c r="AK90" i="6"/>
  <c r="AG90" i="6"/>
  <c r="AB90" i="6"/>
  <c r="X90" i="6"/>
  <c r="T90" i="6"/>
  <c r="BA90" i="6"/>
  <c r="AR90" i="6"/>
  <c r="AJ90" i="6"/>
  <c r="AA90" i="6"/>
  <c r="AY90" i="6"/>
  <c r="AP90" i="6"/>
  <c r="AH90" i="6"/>
  <c r="Y90" i="6"/>
  <c r="BE90" i="6"/>
  <c r="AW90" i="6"/>
  <c r="AN90" i="6"/>
  <c r="AE90" i="6"/>
  <c r="W90" i="6"/>
  <c r="AL90" i="6"/>
  <c r="AU90" i="6"/>
  <c r="AC90" i="6"/>
  <c r="BC90" i="6"/>
  <c r="U90" i="6"/>
  <c r="BR46" i="13"/>
  <c r="BA46" i="13"/>
  <c r="AJ46" i="13"/>
  <c r="R46" i="13"/>
  <c r="BJ46" i="13"/>
  <c r="AR46" i="13"/>
  <c r="AA46" i="13"/>
  <c r="J46" i="13"/>
  <c r="BF46" i="13"/>
  <c r="AO46" i="13"/>
  <c r="X46" i="13"/>
  <c r="BO46" i="13"/>
  <c r="AX46" i="13"/>
  <c r="AF46" i="13"/>
  <c r="O46" i="13"/>
  <c r="BS73" i="13"/>
  <c r="E117" i="16"/>
  <c r="AU79" i="13"/>
  <c r="L79" i="13"/>
  <c r="BF70" i="13"/>
  <c r="AO70" i="13"/>
  <c r="X70" i="13"/>
  <c r="BO69" i="13"/>
  <c r="AX69" i="13"/>
  <c r="AF69" i="13"/>
  <c r="O69" i="13"/>
  <c r="BJ70" i="13"/>
  <c r="AR70" i="13"/>
  <c r="AA70" i="13"/>
  <c r="J70" i="13"/>
  <c r="BJ69" i="13"/>
  <c r="AR69" i="13"/>
  <c r="AA69" i="13"/>
  <c r="J69" i="13"/>
  <c r="Z24" i="13"/>
  <c r="M43" i="11"/>
  <c r="T33" i="11"/>
  <c r="BP49" i="11"/>
  <c r="AW13" i="11"/>
  <c r="AW17" i="11" s="1"/>
  <c r="AU33" i="3" s="1"/>
  <c r="AO15" i="11"/>
  <c r="AA57" i="13"/>
  <c r="BS44" i="13"/>
  <c r="BJ49" i="13"/>
  <c r="AA49" i="13"/>
  <c r="AR49" i="13"/>
  <c r="J49" i="13"/>
  <c r="BR49" i="13"/>
  <c r="AJ49" i="13"/>
  <c r="BA49" i="13"/>
  <c r="R49" i="13"/>
  <c r="BJ53" i="13"/>
  <c r="AA53" i="13"/>
  <c r="AR53" i="13"/>
  <c r="J53" i="13"/>
  <c r="AN53" i="13"/>
  <c r="BE53" i="13"/>
  <c r="W53" i="13"/>
  <c r="BM23" i="11"/>
  <c r="R55" i="3"/>
  <c r="F86" i="1" s="1"/>
  <c r="AR55" i="3"/>
  <c r="L86" i="1" s="1"/>
  <c r="T37" i="11"/>
  <c r="BG27" i="11"/>
  <c r="BM41" i="11"/>
  <c r="AG39" i="11"/>
  <c r="AX17" i="11"/>
  <c r="AV33" i="3" s="1"/>
  <c r="BT37" i="11"/>
  <c r="I41" i="11"/>
  <c r="BI41" i="11"/>
  <c r="BJ29" i="11"/>
  <c r="BH25" i="3" s="1"/>
  <c r="AU17" i="11"/>
  <c r="AS33" i="3" s="1"/>
  <c r="T47" i="11"/>
  <c r="AG51" i="11"/>
  <c r="I53" i="11"/>
  <c r="AW53" i="11"/>
  <c r="T49" i="11"/>
  <c r="AT47" i="11"/>
  <c r="AV53" i="11"/>
  <c r="AJ53" i="11"/>
  <c r="AN53" i="11"/>
  <c r="U97" i="6"/>
  <c r="AP97" i="6"/>
  <c r="AC97" i="6"/>
  <c r="BF53" i="6"/>
  <c r="AF53" i="6"/>
  <c r="I111" i="16"/>
  <c r="R70" i="16"/>
  <c r="Q70" i="16"/>
  <c r="E87" i="16"/>
  <c r="K67" i="16"/>
  <c r="L67" i="16"/>
  <c r="U67" i="16"/>
  <c r="AA67" i="16" s="1"/>
  <c r="K60" i="16"/>
  <c r="U60" i="16"/>
  <c r="AA60" i="16" s="1"/>
  <c r="L60" i="16"/>
  <c r="E84" i="16"/>
  <c r="O66" i="16"/>
  <c r="P66" i="16" s="1"/>
  <c r="J66" i="16"/>
  <c r="E99" i="16"/>
  <c r="S67" i="16"/>
  <c r="L28" i="16"/>
  <c r="N28" i="16" s="1"/>
  <c r="E86" i="16"/>
  <c r="I84" i="16"/>
  <c r="R43" i="16"/>
  <c r="Q43" i="16"/>
  <c r="K53" i="16"/>
  <c r="U53" i="16"/>
  <c r="AA53" i="16" s="1"/>
  <c r="L53" i="16"/>
  <c r="E111" i="16"/>
  <c r="E118" i="16"/>
  <c r="E106" i="16"/>
  <c r="C155" i="16"/>
  <c r="D155" i="16" s="1"/>
  <c r="O62" i="16"/>
  <c r="P62" i="16" s="1"/>
  <c r="J62" i="16"/>
  <c r="E95" i="16"/>
  <c r="E83" i="16"/>
  <c r="E112" i="16"/>
  <c r="O63" i="16"/>
  <c r="P63" i="16" s="1"/>
  <c r="J63" i="16"/>
  <c r="U59" i="16"/>
  <c r="AA59" i="16" s="1"/>
  <c r="L59" i="16"/>
  <c r="K59" i="16"/>
  <c r="E92" i="16"/>
  <c r="R76" i="16"/>
  <c r="I117" i="16"/>
  <c r="Q76" i="16"/>
  <c r="E107" i="16"/>
  <c r="E96" i="16"/>
  <c r="Q75" i="16"/>
  <c r="I116" i="16"/>
  <c r="R75" i="16"/>
  <c r="E105" i="16"/>
  <c r="S52" i="16"/>
  <c r="L13" i="16"/>
  <c r="N13" i="16" s="1"/>
  <c r="L20" i="16"/>
  <c r="N20" i="16" s="1"/>
  <c r="S59" i="16"/>
  <c r="S57" i="16"/>
  <c r="L18" i="16"/>
  <c r="N18" i="16" s="1"/>
  <c r="I92" i="16"/>
  <c r="Q51" i="16"/>
  <c r="R51" i="16"/>
  <c r="S60" i="16"/>
  <c r="L21" i="16"/>
  <c r="N21" i="16" s="1"/>
  <c r="E93" i="16"/>
  <c r="K46" i="16"/>
  <c r="L46" i="16"/>
  <c r="U46" i="16"/>
  <c r="AA46" i="16" s="1"/>
  <c r="O44" i="16"/>
  <c r="P44" i="16" s="1"/>
  <c r="J44" i="16"/>
  <c r="L64" i="16"/>
  <c r="K64" i="16"/>
  <c r="U64" i="16"/>
  <c r="AA64" i="16" s="1"/>
  <c r="S49" i="16"/>
  <c r="L10" i="16"/>
  <c r="N10" i="16" s="1"/>
  <c r="O48" i="16"/>
  <c r="P48" i="16" s="1"/>
  <c r="J48" i="16"/>
  <c r="D12" i="14"/>
  <c r="BS104" i="13"/>
  <c r="BO104" i="13"/>
  <c r="BK104" i="13"/>
  <c r="BF104" i="13"/>
  <c r="BB104" i="13"/>
  <c r="AX104" i="13"/>
  <c r="AS104" i="13"/>
  <c r="AO104" i="13"/>
  <c r="AK104" i="13"/>
  <c r="AF104" i="13"/>
  <c r="AB104" i="13"/>
  <c r="X104" i="13"/>
  <c r="S104" i="13"/>
  <c r="O104" i="13"/>
  <c r="K104" i="13"/>
  <c r="BR104" i="13"/>
  <c r="BN104" i="13"/>
  <c r="BJ104" i="13"/>
  <c r="BE104" i="13"/>
  <c r="BA104" i="13"/>
  <c r="AW104" i="13"/>
  <c r="AR104" i="13"/>
  <c r="AN104" i="13"/>
  <c r="AJ104" i="13"/>
  <c r="AE104" i="13"/>
  <c r="AA104" i="13"/>
  <c r="W104" i="13"/>
  <c r="R104" i="13"/>
  <c r="N104" i="13"/>
  <c r="J104" i="13"/>
  <c r="BQ104" i="13"/>
  <c r="BM104" i="13"/>
  <c r="BI104" i="13"/>
  <c r="BD104" i="13"/>
  <c r="AZ104" i="13"/>
  <c r="AV104" i="13"/>
  <c r="AQ104" i="13"/>
  <c r="AM104" i="13"/>
  <c r="AI104" i="13"/>
  <c r="AD104" i="13"/>
  <c r="Z104" i="13"/>
  <c r="V104" i="13"/>
  <c r="Q104" i="13"/>
  <c r="M104" i="13"/>
  <c r="I104" i="13"/>
  <c r="BP104" i="13"/>
  <c r="BL104" i="13"/>
  <c r="BH104" i="13"/>
  <c r="BC104" i="13"/>
  <c r="AY104" i="13"/>
  <c r="AU104" i="13"/>
  <c r="AP104" i="13"/>
  <c r="AL104" i="13"/>
  <c r="AH104" i="13"/>
  <c r="AC104" i="13"/>
  <c r="Y104" i="13"/>
  <c r="U104" i="13"/>
  <c r="P104" i="13"/>
  <c r="L104" i="13"/>
  <c r="H104" i="13"/>
  <c r="BS97" i="13"/>
  <c r="BP97" i="13"/>
  <c r="BL97" i="13"/>
  <c r="BH97" i="13"/>
  <c r="BC97" i="13"/>
  <c r="AY97" i="13"/>
  <c r="AU97" i="13"/>
  <c r="AP97" i="13"/>
  <c r="AL97" i="13"/>
  <c r="AH97" i="13"/>
  <c r="AC97" i="13"/>
  <c r="Y97" i="13"/>
  <c r="U97" i="13"/>
  <c r="P97" i="13"/>
  <c r="L97" i="13"/>
  <c r="H97" i="13"/>
  <c r="BO97" i="13"/>
  <c r="BK97" i="13"/>
  <c r="BF97" i="13"/>
  <c r="BB97" i="13"/>
  <c r="AX97" i="13"/>
  <c r="AS97" i="13"/>
  <c r="AO97" i="13"/>
  <c r="AK97" i="13"/>
  <c r="AF97" i="13"/>
  <c r="AB97" i="13"/>
  <c r="X97" i="13"/>
  <c r="S97" i="13"/>
  <c r="O97" i="13"/>
  <c r="K97" i="13"/>
  <c r="BR97" i="13"/>
  <c r="BN97" i="13"/>
  <c r="BJ97" i="13"/>
  <c r="BE97" i="13"/>
  <c r="BA97" i="13"/>
  <c r="AW97" i="13"/>
  <c r="AR97" i="13"/>
  <c r="AN97" i="13"/>
  <c r="AJ97" i="13"/>
  <c r="AE97" i="13"/>
  <c r="AA97" i="13"/>
  <c r="W97" i="13"/>
  <c r="R97" i="13"/>
  <c r="N97" i="13"/>
  <c r="J97" i="13"/>
  <c r="BQ97" i="13"/>
  <c r="BM97" i="13"/>
  <c r="BI97" i="13"/>
  <c r="BD97" i="13"/>
  <c r="AZ97" i="13"/>
  <c r="AV97" i="13"/>
  <c r="AQ97" i="13"/>
  <c r="AM97" i="13"/>
  <c r="AI97" i="13"/>
  <c r="AD97" i="13"/>
  <c r="Z97" i="13"/>
  <c r="V97" i="13"/>
  <c r="Q97" i="13"/>
  <c r="M97" i="13"/>
  <c r="I97" i="13"/>
  <c r="BP93" i="13"/>
  <c r="BL93" i="13"/>
  <c r="BH93" i="13"/>
  <c r="BC93" i="13"/>
  <c r="AY93" i="13"/>
  <c r="AU93" i="13"/>
  <c r="AP93" i="13"/>
  <c r="AL93" i="13"/>
  <c r="AH93" i="13"/>
  <c r="AC93" i="13"/>
  <c r="Y93" i="13"/>
  <c r="U93" i="13"/>
  <c r="P93" i="13"/>
  <c r="L93" i="13"/>
  <c r="H93" i="13"/>
  <c r="BS93" i="13"/>
  <c r="BO93" i="13"/>
  <c r="BK93" i="13"/>
  <c r="BF93" i="13"/>
  <c r="BB93" i="13"/>
  <c r="AX93" i="13"/>
  <c r="AS93" i="13"/>
  <c r="AO93" i="13"/>
  <c r="AK93" i="13"/>
  <c r="AF93" i="13"/>
  <c r="AB93" i="13"/>
  <c r="X93" i="13"/>
  <c r="S93" i="13"/>
  <c r="O93" i="13"/>
  <c r="K93" i="13"/>
  <c r="BR93" i="13"/>
  <c r="BN93" i="13"/>
  <c r="BJ93" i="13"/>
  <c r="BE93" i="13"/>
  <c r="BA93" i="13"/>
  <c r="AW93" i="13"/>
  <c r="AR93" i="13"/>
  <c r="AN93" i="13"/>
  <c r="AJ93" i="13"/>
  <c r="AE93" i="13"/>
  <c r="AA93" i="13"/>
  <c r="W93" i="13"/>
  <c r="R93" i="13"/>
  <c r="N93" i="13"/>
  <c r="J93" i="13"/>
  <c r="BQ93" i="13"/>
  <c r="BM93" i="13"/>
  <c r="BI93" i="13"/>
  <c r="BD93" i="13"/>
  <c r="AZ93" i="13"/>
  <c r="AV93" i="13"/>
  <c r="AQ93" i="13"/>
  <c r="AM93" i="13"/>
  <c r="AI93" i="13"/>
  <c r="AD93" i="13"/>
  <c r="Z93" i="13"/>
  <c r="V93" i="13"/>
  <c r="Q93" i="13"/>
  <c r="M93" i="13"/>
  <c r="I93" i="13"/>
  <c r="BP89" i="13"/>
  <c r="BL89" i="13"/>
  <c r="BH89" i="13"/>
  <c r="BC89" i="13"/>
  <c r="AY89" i="13"/>
  <c r="AU89" i="13"/>
  <c r="AP89" i="13"/>
  <c r="AL89" i="13"/>
  <c r="AH89" i="13"/>
  <c r="AC89" i="13"/>
  <c r="Y89" i="13"/>
  <c r="U89" i="13"/>
  <c r="P89" i="13"/>
  <c r="L89" i="13"/>
  <c r="H89" i="13"/>
  <c r="BS89" i="13"/>
  <c r="BO89" i="13"/>
  <c r="BK89" i="13"/>
  <c r="BF89" i="13"/>
  <c r="BB89" i="13"/>
  <c r="AX89" i="13"/>
  <c r="AS89" i="13"/>
  <c r="AO89" i="13"/>
  <c r="AK89" i="13"/>
  <c r="AF89" i="13"/>
  <c r="AB89" i="13"/>
  <c r="X89" i="13"/>
  <c r="S89" i="13"/>
  <c r="O89" i="13"/>
  <c r="K89" i="13"/>
  <c r="BR89" i="13"/>
  <c r="BN89" i="13"/>
  <c r="BJ89" i="13"/>
  <c r="BE89" i="13"/>
  <c r="BA89" i="13"/>
  <c r="AW89" i="13"/>
  <c r="AR89" i="13"/>
  <c r="AN89" i="13"/>
  <c r="AJ89" i="13"/>
  <c r="AE89" i="13"/>
  <c r="AA89" i="13"/>
  <c r="W89" i="13"/>
  <c r="R89" i="13"/>
  <c r="N89" i="13"/>
  <c r="J89" i="13"/>
  <c r="BQ89" i="13"/>
  <c r="BM89" i="13"/>
  <c r="BI89" i="13"/>
  <c r="BD89" i="13"/>
  <c r="AZ89" i="13"/>
  <c r="AV89" i="13"/>
  <c r="AQ89" i="13"/>
  <c r="AM89" i="13"/>
  <c r="AI89" i="13"/>
  <c r="AD89" i="13"/>
  <c r="Z89" i="13"/>
  <c r="V89" i="13"/>
  <c r="Q89" i="13"/>
  <c r="M89" i="13"/>
  <c r="I89" i="13"/>
  <c r="BP85" i="13"/>
  <c r="BL85" i="13"/>
  <c r="BH85" i="13"/>
  <c r="BC85" i="13"/>
  <c r="AY85" i="13"/>
  <c r="AU85" i="13"/>
  <c r="AP85" i="13"/>
  <c r="AL85" i="13"/>
  <c r="AH85" i="13"/>
  <c r="AC85" i="13"/>
  <c r="Y85" i="13"/>
  <c r="U85" i="13"/>
  <c r="P85" i="13"/>
  <c r="L85" i="13"/>
  <c r="H85" i="13"/>
  <c r="BS85" i="13"/>
  <c r="BO85" i="13"/>
  <c r="BK85" i="13"/>
  <c r="BF85" i="13"/>
  <c r="BB85" i="13"/>
  <c r="AX85" i="13"/>
  <c r="AS85" i="13"/>
  <c r="AO85" i="13"/>
  <c r="AK85" i="13"/>
  <c r="AF85" i="13"/>
  <c r="AB85" i="13"/>
  <c r="X85" i="13"/>
  <c r="S85" i="13"/>
  <c r="O85" i="13"/>
  <c r="K85" i="13"/>
  <c r="BR85" i="13"/>
  <c r="BN85" i="13"/>
  <c r="BJ85" i="13"/>
  <c r="BE85" i="13"/>
  <c r="BA85" i="13"/>
  <c r="AW85" i="13"/>
  <c r="AR85" i="13"/>
  <c r="AN85" i="13"/>
  <c r="AJ85" i="13"/>
  <c r="AE85" i="13"/>
  <c r="AA85" i="13"/>
  <c r="W85" i="13"/>
  <c r="R85" i="13"/>
  <c r="N85" i="13"/>
  <c r="J85" i="13"/>
  <c r="BQ85" i="13"/>
  <c r="BM85" i="13"/>
  <c r="BI85" i="13"/>
  <c r="BD85" i="13"/>
  <c r="AZ85" i="13"/>
  <c r="AV85" i="13"/>
  <c r="AQ85" i="13"/>
  <c r="AM85" i="13"/>
  <c r="AI85" i="13"/>
  <c r="AD85" i="13"/>
  <c r="Z85" i="13"/>
  <c r="V85" i="13"/>
  <c r="Q85" i="13"/>
  <c r="M85" i="13"/>
  <c r="I85" i="13"/>
  <c r="BP81" i="13"/>
  <c r="BL81" i="13"/>
  <c r="BH81" i="13"/>
  <c r="BC81" i="13"/>
  <c r="AY81" i="13"/>
  <c r="AU81" i="13"/>
  <c r="AP81" i="13"/>
  <c r="AL81" i="13"/>
  <c r="AH81" i="13"/>
  <c r="AC81" i="13"/>
  <c r="Y81" i="13"/>
  <c r="U81" i="13"/>
  <c r="P81" i="13"/>
  <c r="L81" i="13"/>
  <c r="H81" i="13"/>
  <c r="BS81" i="13"/>
  <c r="BO81" i="13"/>
  <c r="BK81" i="13"/>
  <c r="BF81" i="13"/>
  <c r="BB81" i="13"/>
  <c r="AX81" i="13"/>
  <c r="AS81" i="13"/>
  <c r="AO81" i="13"/>
  <c r="AK81" i="13"/>
  <c r="AF81" i="13"/>
  <c r="AB81" i="13"/>
  <c r="X81" i="13"/>
  <c r="S81" i="13"/>
  <c r="O81" i="13"/>
  <c r="K81" i="13"/>
  <c r="BR81" i="13"/>
  <c r="BN81" i="13"/>
  <c r="BJ81" i="13"/>
  <c r="BE81" i="13"/>
  <c r="BA81" i="13"/>
  <c r="AW81" i="13"/>
  <c r="AR81" i="13"/>
  <c r="AN81" i="13"/>
  <c r="AJ81" i="13"/>
  <c r="AE81" i="13"/>
  <c r="AA81" i="13"/>
  <c r="W81" i="13"/>
  <c r="R81" i="13"/>
  <c r="N81" i="13"/>
  <c r="J81" i="13"/>
  <c r="BQ81" i="13"/>
  <c r="BM81" i="13"/>
  <c r="BI81" i="13"/>
  <c r="BD81" i="13"/>
  <c r="AZ81" i="13"/>
  <c r="AV81" i="13"/>
  <c r="AQ81" i="13"/>
  <c r="AM81" i="13"/>
  <c r="AI81" i="13"/>
  <c r="AD81" i="13"/>
  <c r="Z81" i="13"/>
  <c r="V81" i="13"/>
  <c r="Q81" i="13"/>
  <c r="M81" i="13"/>
  <c r="I81" i="13"/>
  <c r="L80" i="13"/>
  <c r="BS78" i="13"/>
  <c r="BO78" i="13"/>
  <c r="BK78" i="13"/>
  <c r="BF78" i="13"/>
  <c r="BB78" i="13"/>
  <c r="AX78" i="13"/>
  <c r="AS78" i="13"/>
  <c r="BR78" i="13"/>
  <c r="BN78" i="13"/>
  <c r="BJ78" i="13"/>
  <c r="BE78" i="13"/>
  <c r="BA78" i="13"/>
  <c r="AW78" i="13"/>
  <c r="AR78" i="13"/>
  <c r="AN78" i="13"/>
  <c r="AJ78" i="13"/>
  <c r="AE78" i="13"/>
  <c r="AA78" i="13"/>
  <c r="W78" i="13"/>
  <c r="R78" i="13"/>
  <c r="N78" i="13"/>
  <c r="J78" i="13"/>
  <c r="BL78" i="13"/>
  <c r="BC78" i="13"/>
  <c r="AU78" i="13"/>
  <c r="AM78" i="13"/>
  <c r="AH78" i="13"/>
  <c r="AB78" i="13"/>
  <c r="V78" i="13"/>
  <c r="P78" i="13"/>
  <c r="K78" i="13"/>
  <c r="BQ78" i="13"/>
  <c r="BI78" i="13"/>
  <c r="AZ78" i="13"/>
  <c r="AQ78" i="13"/>
  <c r="AL78" i="13"/>
  <c r="AF78" i="13"/>
  <c r="Z78" i="13"/>
  <c r="U78" i="13"/>
  <c r="O78" i="13"/>
  <c r="I78" i="13"/>
  <c r="BP78" i="13"/>
  <c r="BH78" i="13"/>
  <c r="AY78" i="13"/>
  <c r="AP78" i="13"/>
  <c r="AK78" i="13"/>
  <c r="AD78" i="13"/>
  <c r="Y78" i="13"/>
  <c r="S78" i="13"/>
  <c r="M78" i="13"/>
  <c r="H78" i="13"/>
  <c r="BM78" i="13"/>
  <c r="BD78" i="13"/>
  <c r="AV78" i="13"/>
  <c r="AO78" i="13"/>
  <c r="AI78" i="13"/>
  <c r="AC78" i="13"/>
  <c r="X78" i="13"/>
  <c r="Q78" i="13"/>
  <c r="L78" i="13"/>
  <c r="BD70" i="13"/>
  <c r="AM70" i="13"/>
  <c r="V70" i="13"/>
  <c r="BQ69" i="13"/>
  <c r="AZ69" i="13"/>
  <c r="AI69" i="13"/>
  <c r="Q69" i="13"/>
  <c r="V80" i="13"/>
  <c r="AI80" i="13"/>
  <c r="AZ80" i="13"/>
  <c r="BQ80" i="13"/>
  <c r="W80" i="13"/>
  <c r="AN80" i="13"/>
  <c r="BE80" i="13"/>
  <c r="K80" i="13"/>
  <c r="AB80" i="13"/>
  <c r="AS80" i="13"/>
  <c r="BK80" i="13"/>
  <c r="BD79" i="13"/>
  <c r="V79" i="13"/>
  <c r="R79" i="13"/>
  <c r="AJ79" i="13"/>
  <c r="BA79" i="13"/>
  <c r="BR79" i="13"/>
  <c r="X79" i="13"/>
  <c r="AO79" i="13"/>
  <c r="BF79" i="13"/>
  <c r="BC70" i="13"/>
  <c r="AL70" i="13"/>
  <c r="U70" i="13"/>
  <c r="BP69" i="13"/>
  <c r="AY69" i="13"/>
  <c r="AH69" i="13"/>
  <c r="P69" i="13"/>
  <c r="BI68" i="13"/>
  <c r="BQ66" i="13"/>
  <c r="BS65" i="13"/>
  <c r="BO65" i="13"/>
  <c r="BK65" i="13"/>
  <c r="BF65" i="13"/>
  <c r="BB65" i="13"/>
  <c r="AX65" i="13"/>
  <c r="AS65" i="13"/>
  <c r="AO65" i="13"/>
  <c r="AK65" i="13"/>
  <c r="AF65" i="13"/>
  <c r="AB65" i="13"/>
  <c r="X65" i="13"/>
  <c r="S65" i="13"/>
  <c r="O65" i="13"/>
  <c r="K65" i="13"/>
  <c r="BR65" i="13"/>
  <c r="BN65" i="13"/>
  <c r="BJ65" i="13"/>
  <c r="BE65" i="13"/>
  <c r="BA65" i="13"/>
  <c r="AW65" i="13"/>
  <c r="AR65" i="13"/>
  <c r="AN65" i="13"/>
  <c r="AJ65" i="13"/>
  <c r="AE65" i="13"/>
  <c r="AA65" i="13"/>
  <c r="W65" i="13"/>
  <c r="R65" i="13"/>
  <c r="N65" i="13"/>
  <c r="J65" i="13"/>
  <c r="BP65" i="13"/>
  <c r="BL65" i="13"/>
  <c r="BH65" i="13"/>
  <c r="BC65" i="13"/>
  <c r="AY65" i="13"/>
  <c r="AU65" i="13"/>
  <c r="AP65" i="13"/>
  <c r="BD65" i="13"/>
  <c r="AM65" i="13"/>
  <c r="AD65" i="13"/>
  <c r="V65" i="13"/>
  <c r="M65" i="13"/>
  <c r="BQ65" i="13"/>
  <c r="AZ65" i="13"/>
  <c r="AL65" i="13"/>
  <c r="AC65" i="13"/>
  <c r="U65" i="13"/>
  <c r="L65" i="13"/>
  <c r="BI65" i="13"/>
  <c r="AQ65" i="13"/>
  <c r="AH65" i="13"/>
  <c r="Y65" i="13"/>
  <c r="P65" i="13"/>
  <c r="H65" i="13"/>
  <c r="AV65" i="13"/>
  <c r="I65" i="13"/>
  <c r="AI65" i="13"/>
  <c r="Z65" i="13"/>
  <c r="BM65" i="13"/>
  <c r="Q65" i="13"/>
  <c r="V68" i="13"/>
  <c r="U68" i="13"/>
  <c r="AL68" i="13"/>
  <c r="BC68" i="13"/>
  <c r="J68" i="13"/>
  <c r="AA68" i="13"/>
  <c r="AR68" i="13"/>
  <c r="BJ68" i="13"/>
  <c r="O68" i="13"/>
  <c r="AF68" i="13"/>
  <c r="AX68" i="13"/>
  <c r="BO68" i="13"/>
  <c r="AV68" i="13"/>
  <c r="AM66" i="13"/>
  <c r="P66" i="13"/>
  <c r="AH66" i="13"/>
  <c r="AY66" i="13"/>
  <c r="BP66" i="13"/>
  <c r="W66" i="13"/>
  <c r="AN66" i="13"/>
  <c r="BE66" i="13"/>
  <c r="K66" i="13"/>
  <c r="AB66" i="13"/>
  <c r="AS66" i="13"/>
  <c r="BS63" i="13"/>
  <c r="BO63" i="13"/>
  <c r="BK63" i="13"/>
  <c r="BF63" i="13"/>
  <c r="BB63" i="13"/>
  <c r="AX63" i="13"/>
  <c r="AS63" i="13"/>
  <c r="AO63" i="13"/>
  <c r="AK63" i="13"/>
  <c r="AF63" i="13"/>
  <c r="AB63" i="13"/>
  <c r="X63" i="13"/>
  <c r="S63" i="13"/>
  <c r="O63" i="13"/>
  <c r="K63" i="13"/>
  <c r="BN63" i="13"/>
  <c r="BI63" i="13"/>
  <c r="BC63" i="13"/>
  <c r="AW63" i="13"/>
  <c r="AQ63" i="13"/>
  <c r="AL63" i="13"/>
  <c r="AE63" i="13"/>
  <c r="Z63" i="13"/>
  <c r="U63" i="13"/>
  <c r="N63" i="13"/>
  <c r="I63" i="13"/>
  <c r="BR63" i="13"/>
  <c r="BM63" i="13"/>
  <c r="BH63" i="13"/>
  <c r="BA63" i="13"/>
  <c r="AV63" i="13"/>
  <c r="AP63" i="13"/>
  <c r="AJ63" i="13"/>
  <c r="AD63" i="13"/>
  <c r="Y63" i="13"/>
  <c r="R63" i="13"/>
  <c r="M63" i="13"/>
  <c r="H63" i="13"/>
  <c r="BP63" i="13"/>
  <c r="BJ63" i="13"/>
  <c r="BD63" i="13"/>
  <c r="AY63" i="13"/>
  <c r="AR63" i="13"/>
  <c r="AM63" i="13"/>
  <c r="AH63" i="13"/>
  <c r="AA63" i="13"/>
  <c r="V63" i="13"/>
  <c r="P63" i="13"/>
  <c r="J63" i="13"/>
  <c r="BE63" i="13"/>
  <c r="AI63" i="13"/>
  <c r="L63" i="13"/>
  <c r="AZ63" i="13"/>
  <c r="AC63" i="13"/>
  <c r="BQ63" i="13"/>
  <c r="AU63" i="13"/>
  <c r="W63" i="13"/>
  <c r="BL63" i="13"/>
  <c r="AN63" i="13"/>
  <c r="Q63" i="13"/>
  <c r="BS59" i="13"/>
  <c r="BO59" i="13"/>
  <c r="BK59" i="13"/>
  <c r="BF59" i="13"/>
  <c r="BB59" i="13"/>
  <c r="AX59" i="13"/>
  <c r="AS59" i="13"/>
  <c r="AO59" i="13"/>
  <c r="AK59" i="13"/>
  <c r="AF59" i="13"/>
  <c r="AB59" i="13"/>
  <c r="X59" i="13"/>
  <c r="S59" i="13"/>
  <c r="O59" i="13"/>
  <c r="K59" i="13"/>
  <c r="BN59" i="13"/>
  <c r="BI59" i="13"/>
  <c r="BC59" i="13"/>
  <c r="AW59" i="13"/>
  <c r="AQ59" i="13"/>
  <c r="AL59" i="13"/>
  <c r="AE59" i="13"/>
  <c r="Z59" i="13"/>
  <c r="U59" i="13"/>
  <c r="N59" i="13"/>
  <c r="I59" i="13"/>
  <c r="BR59" i="13"/>
  <c r="BM59" i="13"/>
  <c r="BH59" i="13"/>
  <c r="BA59" i="13"/>
  <c r="AV59" i="13"/>
  <c r="AP59" i="13"/>
  <c r="AJ59" i="13"/>
  <c r="AD59" i="13"/>
  <c r="Y59" i="13"/>
  <c r="R59" i="13"/>
  <c r="M59" i="13"/>
  <c r="H59" i="13"/>
  <c r="BP59" i="13"/>
  <c r="BJ59" i="13"/>
  <c r="BD59" i="13"/>
  <c r="AY59" i="13"/>
  <c r="AR59" i="13"/>
  <c r="AM59" i="13"/>
  <c r="AH59" i="13"/>
  <c r="AA59" i="13"/>
  <c r="V59" i="13"/>
  <c r="P59" i="13"/>
  <c r="J59" i="13"/>
  <c r="BE59" i="13"/>
  <c r="AI59" i="13"/>
  <c r="L59" i="13"/>
  <c r="AZ59" i="13"/>
  <c r="AC59" i="13"/>
  <c r="BQ59" i="13"/>
  <c r="AU59" i="13"/>
  <c r="W59" i="13"/>
  <c r="BL59" i="13"/>
  <c r="AN59" i="13"/>
  <c r="Q59" i="13"/>
  <c r="BQ42" i="13"/>
  <c r="BM42" i="13"/>
  <c r="BO42" i="13"/>
  <c r="BJ42" i="13"/>
  <c r="BE42" i="13"/>
  <c r="BA42" i="13"/>
  <c r="AW42" i="13"/>
  <c r="AR42" i="13"/>
  <c r="AN42" i="13"/>
  <c r="AJ42" i="13"/>
  <c r="AE42" i="13"/>
  <c r="AA42" i="13"/>
  <c r="W42" i="13"/>
  <c r="R42" i="13"/>
  <c r="N42" i="13"/>
  <c r="J42" i="13"/>
  <c r="BS42" i="13"/>
  <c r="BN42" i="13"/>
  <c r="BI42" i="13"/>
  <c r="BD42" i="13"/>
  <c r="AZ42" i="13"/>
  <c r="AV42" i="13"/>
  <c r="AQ42" i="13"/>
  <c r="AM42" i="13"/>
  <c r="AI42" i="13"/>
  <c r="AD42" i="13"/>
  <c r="Z42" i="13"/>
  <c r="V42" i="13"/>
  <c r="Q42" i="13"/>
  <c r="M42" i="13"/>
  <c r="I42" i="13"/>
  <c r="BR42" i="13"/>
  <c r="BL42" i="13"/>
  <c r="BH42" i="13"/>
  <c r="BC42" i="13"/>
  <c r="AY42" i="13"/>
  <c r="AU42" i="13"/>
  <c r="AP42" i="13"/>
  <c r="AL42" i="13"/>
  <c r="AH42" i="13"/>
  <c r="AC42" i="13"/>
  <c r="Y42" i="13"/>
  <c r="U42" i="13"/>
  <c r="P42" i="13"/>
  <c r="L42" i="13"/>
  <c r="H42" i="13"/>
  <c r="BP42" i="13"/>
  <c r="BK42" i="13"/>
  <c r="BF42" i="13"/>
  <c r="BB42" i="13"/>
  <c r="AX42" i="13"/>
  <c r="AS42" i="13"/>
  <c r="AO42" i="13"/>
  <c r="AK42" i="13"/>
  <c r="AF42" i="13"/>
  <c r="AB42" i="13"/>
  <c r="X42" i="13"/>
  <c r="S42" i="13"/>
  <c r="O42" i="13"/>
  <c r="K42" i="13"/>
  <c r="BR38" i="13"/>
  <c r="BN38" i="13"/>
  <c r="BJ38" i="13"/>
  <c r="BE38" i="13"/>
  <c r="BA38" i="13"/>
  <c r="AW38" i="13"/>
  <c r="AR38" i="13"/>
  <c r="AN38" i="13"/>
  <c r="AJ38" i="13"/>
  <c r="AE38" i="13"/>
  <c r="AA38" i="13"/>
  <c r="W38" i="13"/>
  <c r="R38" i="13"/>
  <c r="N38" i="13"/>
  <c r="J38" i="13"/>
  <c r="BQ38" i="13"/>
  <c r="BM38" i="13"/>
  <c r="BI38" i="13"/>
  <c r="BD38" i="13"/>
  <c r="AZ38" i="13"/>
  <c r="AV38" i="13"/>
  <c r="AQ38" i="13"/>
  <c r="AM38" i="13"/>
  <c r="AI38" i="13"/>
  <c r="AD38" i="13"/>
  <c r="Z38" i="13"/>
  <c r="V38" i="13"/>
  <c r="Q38" i="13"/>
  <c r="M38" i="13"/>
  <c r="I38" i="13"/>
  <c r="BP38" i="13"/>
  <c r="BL38" i="13"/>
  <c r="BH38" i="13"/>
  <c r="BC38" i="13"/>
  <c r="AY38" i="13"/>
  <c r="AU38" i="13"/>
  <c r="AP38" i="13"/>
  <c r="AL38" i="13"/>
  <c r="AH38" i="13"/>
  <c r="AC38" i="13"/>
  <c r="Y38" i="13"/>
  <c r="U38" i="13"/>
  <c r="P38" i="13"/>
  <c r="L38" i="13"/>
  <c r="H38" i="13"/>
  <c r="BS38" i="13"/>
  <c r="BB38" i="13"/>
  <c r="AK38" i="13"/>
  <c r="S38" i="13"/>
  <c r="BO38" i="13"/>
  <c r="AX38" i="13"/>
  <c r="AF38" i="13"/>
  <c r="O38" i="13"/>
  <c r="BK38" i="13"/>
  <c r="AS38" i="13"/>
  <c r="AB38" i="13"/>
  <c r="K38" i="13"/>
  <c r="BF38" i="13"/>
  <c r="AO38" i="13"/>
  <c r="X38" i="13"/>
  <c r="BM68" i="13"/>
  <c r="BQ67" i="13"/>
  <c r="BI67" i="13"/>
  <c r="BM67" i="13"/>
  <c r="U67" i="13"/>
  <c r="AL67" i="13"/>
  <c r="BC67" i="13"/>
  <c r="J67" i="13"/>
  <c r="AA67" i="13"/>
  <c r="AR67" i="13"/>
  <c r="BJ67" i="13"/>
  <c r="O67" i="13"/>
  <c r="AF67" i="13"/>
  <c r="AX67" i="13"/>
  <c r="BO67" i="13"/>
  <c r="BR26" i="13"/>
  <c r="BN26" i="13"/>
  <c r="BJ26" i="13"/>
  <c r="BE26" i="13"/>
  <c r="BA26" i="13"/>
  <c r="AW26" i="13"/>
  <c r="AR26" i="13"/>
  <c r="AN26" i="13"/>
  <c r="AJ26" i="13"/>
  <c r="AE26" i="13"/>
  <c r="AA26" i="13"/>
  <c r="W26" i="13"/>
  <c r="R26" i="13"/>
  <c r="N26" i="13"/>
  <c r="J26" i="13"/>
  <c r="BQ26" i="13"/>
  <c r="BL26" i="13"/>
  <c r="BF26" i="13"/>
  <c r="AZ26" i="13"/>
  <c r="AU26" i="13"/>
  <c r="AO26" i="13"/>
  <c r="AI26" i="13"/>
  <c r="AC26" i="13"/>
  <c r="X26" i="13"/>
  <c r="Q26" i="13"/>
  <c r="L26" i="13"/>
  <c r="BP26" i="13"/>
  <c r="BK26" i="13"/>
  <c r="BD26" i="13"/>
  <c r="AY26" i="13"/>
  <c r="AS26" i="13"/>
  <c r="AM26" i="13"/>
  <c r="AH26" i="13"/>
  <c r="AB26" i="13"/>
  <c r="V26" i="13"/>
  <c r="P26" i="13"/>
  <c r="K26" i="13"/>
  <c r="BO26" i="13"/>
  <c r="BI26" i="13"/>
  <c r="BC26" i="13"/>
  <c r="AX26" i="13"/>
  <c r="AQ26" i="13"/>
  <c r="AL26" i="13"/>
  <c r="AF26" i="13"/>
  <c r="Z26" i="13"/>
  <c r="U26" i="13"/>
  <c r="O26" i="13"/>
  <c r="I26" i="13"/>
  <c r="BH26" i="13"/>
  <c r="AK26" i="13"/>
  <c r="M26" i="13"/>
  <c r="BB26" i="13"/>
  <c r="AD26" i="13"/>
  <c r="H26" i="13"/>
  <c r="BS26" i="13"/>
  <c r="AV26" i="13"/>
  <c r="Y26" i="13"/>
  <c r="S26" i="13"/>
  <c r="BM26" i="13"/>
  <c r="AP26" i="13"/>
  <c r="BD14" i="13"/>
  <c r="AM14" i="13"/>
  <c r="AV25" i="13"/>
  <c r="U25" i="13"/>
  <c r="AQ25" i="13"/>
  <c r="BO25" i="13"/>
  <c r="AB25" i="13"/>
  <c r="AY25" i="13"/>
  <c r="H25" i="13"/>
  <c r="AC25" i="13"/>
  <c r="AZ25" i="13"/>
  <c r="N25" i="13"/>
  <c r="AE25" i="13"/>
  <c r="AW25" i="13"/>
  <c r="BN25" i="13"/>
  <c r="M23" i="13"/>
  <c r="V21" i="13"/>
  <c r="W21" i="13"/>
  <c r="AN21" i="13"/>
  <c r="BE21" i="13"/>
  <c r="K21" i="13"/>
  <c r="AB21" i="13"/>
  <c r="AS21" i="13"/>
  <c r="BK21" i="13"/>
  <c r="L21" i="13"/>
  <c r="AC21" i="13"/>
  <c r="AU21" i="13"/>
  <c r="BL21" i="13"/>
  <c r="AM17" i="13"/>
  <c r="R17" i="13"/>
  <c r="AJ17" i="13"/>
  <c r="BA17" i="13"/>
  <c r="BR17" i="13"/>
  <c r="X17" i="13"/>
  <c r="AO17" i="13"/>
  <c r="BF17" i="13"/>
  <c r="H17" i="13"/>
  <c r="Y17" i="13"/>
  <c r="AP17" i="13"/>
  <c r="BH17" i="13"/>
  <c r="BD13" i="13"/>
  <c r="N13" i="13"/>
  <c r="AE13" i="13"/>
  <c r="AW13" i="13"/>
  <c r="BN13" i="13"/>
  <c r="S13" i="13"/>
  <c r="AK13" i="13"/>
  <c r="BB13" i="13"/>
  <c r="BS13" i="13"/>
  <c r="U13" i="13"/>
  <c r="AL13" i="13"/>
  <c r="BC13" i="13"/>
  <c r="J9" i="13"/>
  <c r="AA9" i="13"/>
  <c r="AR9" i="13"/>
  <c r="BJ9" i="13"/>
  <c r="O9" i="13"/>
  <c r="AF9" i="13"/>
  <c r="AX9" i="13"/>
  <c r="BO9" i="13"/>
  <c r="P9" i="13"/>
  <c r="AH9" i="13"/>
  <c r="AY9" i="13"/>
  <c r="BP9" i="13"/>
  <c r="BG49" i="11"/>
  <c r="AG49" i="11"/>
  <c r="BD24" i="13"/>
  <c r="N24" i="13"/>
  <c r="AE24" i="13"/>
  <c r="AW24" i="13"/>
  <c r="BN24" i="13"/>
  <c r="S24" i="13"/>
  <c r="AK24" i="13"/>
  <c r="BB24" i="13"/>
  <c r="BS24" i="13"/>
  <c r="U24" i="13"/>
  <c r="AL24" i="13"/>
  <c r="BC24" i="13"/>
  <c r="BI23" i="13"/>
  <c r="AZ21" i="13"/>
  <c r="BD20" i="13"/>
  <c r="N20" i="13"/>
  <c r="AE20" i="13"/>
  <c r="AW20" i="13"/>
  <c r="BN20" i="13"/>
  <c r="S20" i="13"/>
  <c r="AK20" i="13"/>
  <c r="BB20" i="13"/>
  <c r="BS20" i="13"/>
  <c r="U20" i="13"/>
  <c r="AL20" i="13"/>
  <c r="BC20" i="13"/>
  <c r="BI19" i="13"/>
  <c r="AZ17" i="13"/>
  <c r="BD16" i="13"/>
  <c r="N16" i="13"/>
  <c r="AE16" i="13"/>
  <c r="AW16" i="13"/>
  <c r="BN16" i="13"/>
  <c r="S16" i="13"/>
  <c r="AK16" i="13"/>
  <c r="BB16" i="13"/>
  <c r="BS16" i="13"/>
  <c r="U16" i="13"/>
  <c r="AL16" i="13"/>
  <c r="BC16" i="13"/>
  <c r="BI15" i="13"/>
  <c r="AZ13" i="13"/>
  <c r="BD12" i="13"/>
  <c r="N12" i="13"/>
  <c r="AE12" i="13"/>
  <c r="AW12" i="13"/>
  <c r="BN12" i="13"/>
  <c r="S12" i="13"/>
  <c r="AK12" i="13"/>
  <c r="BB12" i="13"/>
  <c r="BS12" i="13"/>
  <c r="U12" i="13"/>
  <c r="AL12" i="13"/>
  <c r="BC12" i="13"/>
  <c r="BI11" i="13"/>
  <c r="AZ9" i="13"/>
  <c r="BD8" i="13"/>
  <c r="N8" i="13"/>
  <c r="AE8" i="13"/>
  <c r="AW8" i="13"/>
  <c r="BN8" i="13"/>
  <c r="S8" i="13"/>
  <c r="AK8" i="13"/>
  <c r="BB8" i="13"/>
  <c r="BS8" i="13"/>
  <c r="U8" i="13"/>
  <c r="AL8" i="13"/>
  <c r="BC8" i="13"/>
  <c r="BS7" i="13"/>
  <c r="BO7" i="13"/>
  <c r="BK7" i="13"/>
  <c r="BF7" i="13"/>
  <c r="BB7" i="13"/>
  <c r="AX7" i="13"/>
  <c r="AS7" i="13"/>
  <c r="AO7" i="13"/>
  <c r="AK7" i="13"/>
  <c r="AF7" i="13"/>
  <c r="AB7" i="13"/>
  <c r="X7" i="13"/>
  <c r="S7" i="13"/>
  <c r="O7" i="13"/>
  <c r="K7" i="13"/>
  <c r="BR7" i="13"/>
  <c r="BN7" i="13"/>
  <c r="BJ7" i="13"/>
  <c r="BE7" i="13"/>
  <c r="BA7" i="13"/>
  <c r="AW7" i="13"/>
  <c r="AR7" i="13"/>
  <c r="AN7" i="13"/>
  <c r="AJ7" i="13"/>
  <c r="AE7" i="13"/>
  <c r="AA7" i="13"/>
  <c r="W7" i="13"/>
  <c r="R7" i="13"/>
  <c r="N7" i="13"/>
  <c r="J7" i="13"/>
  <c r="BP7" i="13"/>
  <c r="BH7" i="13"/>
  <c r="AY7" i="13"/>
  <c r="AP7" i="13"/>
  <c r="AH7" i="13"/>
  <c r="Y7" i="13"/>
  <c r="P7" i="13"/>
  <c r="H7" i="13"/>
  <c r="BM7" i="13"/>
  <c r="BD7" i="13"/>
  <c r="AV7" i="13"/>
  <c r="AM7" i="13"/>
  <c r="AD7" i="13"/>
  <c r="V7" i="13"/>
  <c r="M7" i="13"/>
  <c r="BL7" i="13"/>
  <c r="BC7" i="13"/>
  <c r="AU7" i="13"/>
  <c r="AL7" i="13"/>
  <c r="AC7" i="13"/>
  <c r="U7" i="13"/>
  <c r="L7" i="13"/>
  <c r="AZ7" i="13"/>
  <c r="Q7" i="13"/>
  <c r="AQ7" i="13"/>
  <c r="I7" i="13"/>
  <c r="BQ7" i="13"/>
  <c r="AI7" i="13"/>
  <c r="BI7" i="13"/>
  <c r="Z7" i="13"/>
  <c r="AS53" i="11"/>
  <c r="V53" i="11"/>
  <c r="AL53" i="11"/>
  <c r="K53" i="11"/>
  <c r="AQ53" i="11"/>
  <c r="BK53" i="11"/>
  <c r="M25" i="13"/>
  <c r="J23" i="13"/>
  <c r="AA23" i="13"/>
  <c r="AR23" i="13"/>
  <c r="BJ23" i="13"/>
  <c r="O23" i="13"/>
  <c r="AF23" i="13"/>
  <c r="AX23" i="13"/>
  <c r="BO23" i="13"/>
  <c r="P23" i="13"/>
  <c r="AH23" i="13"/>
  <c r="AY23" i="13"/>
  <c r="BP23" i="13"/>
  <c r="M21" i="13"/>
  <c r="J19" i="13"/>
  <c r="AA19" i="13"/>
  <c r="AR19" i="13"/>
  <c r="BJ19" i="13"/>
  <c r="O19" i="13"/>
  <c r="AF19" i="13"/>
  <c r="AX19" i="13"/>
  <c r="BO19" i="13"/>
  <c r="P19" i="13"/>
  <c r="AH19" i="13"/>
  <c r="AY19" i="13"/>
  <c r="BP19" i="13"/>
  <c r="J15" i="13"/>
  <c r="AA15" i="13"/>
  <c r="AR15" i="13"/>
  <c r="BJ15" i="13"/>
  <c r="O15" i="13"/>
  <c r="AF15" i="13"/>
  <c r="AX15" i="13"/>
  <c r="BO15" i="13"/>
  <c r="P15" i="13"/>
  <c r="AH15" i="13"/>
  <c r="AY15" i="13"/>
  <c r="BP15" i="13"/>
  <c r="J11" i="13"/>
  <c r="AA11" i="13"/>
  <c r="AR11" i="13"/>
  <c r="BJ11" i="13"/>
  <c r="O11" i="13"/>
  <c r="AF11" i="13"/>
  <c r="AX11" i="13"/>
  <c r="BO11" i="13"/>
  <c r="P11" i="13"/>
  <c r="AH11" i="13"/>
  <c r="AY11" i="13"/>
  <c r="BP11" i="13"/>
  <c r="BQ24" i="13"/>
  <c r="BI10" i="13"/>
  <c r="BM10" i="13"/>
  <c r="BQ10" i="13"/>
  <c r="W10" i="13"/>
  <c r="AN10" i="13"/>
  <c r="BE10" i="13"/>
  <c r="K10" i="13"/>
  <c r="AB10" i="13"/>
  <c r="AS10" i="13"/>
  <c r="BK10" i="13"/>
  <c r="L10" i="13"/>
  <c r="AC10" i="13"/>
  <c r="AU10" i="13"/>
  <c r="BL10" i="13"/>
  <c r="Z44" i="11"/>
  <c r="Y43" i="11"/>
  <c r="Y53" i="11" s="1"/>
  <c r="T35" i="11"/>
  <c r="BT35" i="11"/>
  <c r="AT35" i="11"/>
  <c r="T25" i="11"/>
  <c r="BT25" i="11"/>
  <c r="Z14" i="13"/>
  <c r="AD14" i="13"/>
  <c r="AI14" i="13"/>
  <c r="N14" i="13"/>
  <c r="AE14" i="13"/>
  <c r="AW14" i="13"/>
  <c r="BN14" i="13"/>
  <c r="S14" i="13"/>
  <c r="AK14" i="13"/>
  <c r="BB14" i="13"/>
  <c r="BS14" i="13"/>
  <c r="U14" i="13"/>
  <c r="AL14" i="13"/>
  <c r="BC14" i="13"/>
  <c r="BQ12" i="13"/>
  <c r="BT27" i="11"/>
  <c r="AT27" i="11"/>
  <c r="AQ18" i="13"/>
  <c r="AV18" i="13"/>
  <c r="AZ18" i="13"/>
  <c r="R18" i="13"/>
  <c r="AJ18" i="13"/>
  <c r="BA18" i="13"/>
  <c r="BR18" i="13"/>
  <c r="X18" i="13"/>
  <c r="AO18" i="13"/>
  <c r="BF18" i="13"/>
  <c r="H18" i="13"/>
  <c r="Y18" i="13"/>
  <c r="AP18" i="13"/>
  <c r="BH18" i="13"/>
  <c r="AM10" i="13"/>
  <c r="BG35" i="11"/>
  <c r="AK41" i="11"/>
  <c r="AH41" i="11"/>
  <c r="AT31" i="11"/>
  <c r="BB41" i="11"/>
  <c r="BR41" i="11"/>
  <c r="W41" i="11"/>
  <c r="AM41" i="11"/>
  <c r="H41" i="11"/>
  <c r="BT31" i="11"/>
  <c r="BH41" i="11"/>
  <c r="I22" i="13"/>
  <c r="M22" i="13"/>
  <c r="Q22" i="13"/>
  <c r="J22" i="13"/>
  <c r="AA22" i="13"/>
  <c r="AR22" i="13"/>
  <c r="BJ22" i="13"/>
  <c r="O22" i="13"/>
  <c r="AF22" i="13"/>
  <c r="AX22" i="13"/>
  <c r="BO22" i="13"/>
  <c r="P22" i="13"/>
  <c r="AH22" i="13"/>
  <c r="AY22" i="13"/>
  <c r="BP22" i="13"/>
  <c r="AL29" i="11"/>
  <c r="AJ25" i="3" s="1"/>
  <c r="AM29" i="11"/>
  <c r="AK25" i="3" s="1"/>
  <c r="AH29" i="11"/>
  <c r="AF25" i="3" s="1"/>
  <c r="AT19" i="11"/>
  <c r="BN29" i="11"/>
  <c r="BL25" i="3" s="1"/>
  <c r="AI29" i="11"/>
  <c r="AG25" i="3" s="1"/>
  <c r="H29" i="11"/>
  <c r="F25" i="3" s="1"/>
  <c r="T19" i="11"/>
  <c r="BH29" i="11"/>
  <c r="BF25" i="3" s="1"/>
  <c r="BT19" i="11"/>
  <c r="AW29" i="11"/>
  <c r="AU25" i="3" s="1"/>
  <c r="L13" i="11"/>
  <c r="K58" i="11"/>
  <c r="L8" i="11"/>
  <c r="B119" i="10"/>
  <c r="J29" i="4"/>
  <c r="AT97" i="6"/>
  <c r="BF95" i="6"/>
  <c r="BF97" i="6" s="1"/>
  <c r="BE44" i="11"/>
  <c r="BD43" i="11"/>
  <c r="BD53" i="11" s="1"/>
  <c r="M41" i="11"/>
  <c r="Z24" i="11"/>
  <c r="Y23" i="11"/>
  <c r="AT11" i="11"/>
  <c r="T11" i="11"/>
  <c r="BT11" i="11"/>
  <c r="AX97" i="6"/>
  <c r="BQ20" i="13"/>
  <c r="BG39" i="11"/>
  <c r="BF24" i="11"/>
  <c r="BF23" i="11" s="1"/>
  <c r="BE23" i="11"/>
  <c r="Z16" i="11"/>
  <c r="Y15" i="11"/>
  <c r="AK58" i="11"/>
  <c r="AL8" i="11"/>
  <c r="AJ17" i="11"/>
  <c r="AH33" i="3" s="1"/>
  <c r="U17" i="11"/>
  <c r="S33" i="3" s="1"/>
  <c r="J17" i="11"/>
  <c r="H33" i="3" s="1"/>
  <c r="BJ17" i="11"/>
  <c r="BH33" i="3" s="1"/>
  <c r="BB97" i="6"/>
  <c r="V97" i="6"/>
  <c r="BD97" i="6"/>
  <c r="AN97" i="6"/>
  <c r="X97" i="6"/>
  <c r="BS53" i="6"/>
  <c r="O27" i="11"/>
  <c r="BP14" i="11"/>
  <c r="BO13" i="11"/>
  <c r="T53" i="7"/>
  <c r="BT65" i="6"/>
  <c r="F76" i="1"/>
  <c r="AK97" i="6"/>
  <c r="BI97" i="6"/>
  <c r="F70" i="1"/>
  <c r="BS39" i="3"/>
  <c r="BC97" i="6"/>
  <c r="AU97" i="6"/>
  <c r="AR45" i="3"/>
  <c r="L76" i="1" s="1"/>
  <c r="I82" i="6"/>
  <c r="J78" i="6" s="1"/>
  <c r="J82" i="6" s="1"/>
  <c r="K78" i="6" s="1"/>
  <c r="K82" i="6" s="1"/>
  <c r="L78" i="6" s="1"/>
  <c r="L82" i="6" s="1"/>
  <c r="M78" i="6" s="1"/>
  <c r="M82" i="6" s="1"/>
  <c r="N78" i="6" s="1"/>
  <c r="N82" i="6" s="1"/>
  <c r="O78" i="6" s="1"/>
  <c r="O82" i="6" s="1"/>
  <c r="P78" i="6" s="1"/>
  <c r="P82" i="6" s="1"/>
  <c r="Q78" i="6" s="1"/>
  <c r="Q82" i="6" s="1"/>
  <c r="R78" i="6" s="1"/>
  <c r="R82" i="6" s="1"/>
  <c r="T78" i="6" s="1"/>
  <c r="BO97" i="6"/>
  <c r="AC13" i="4"/>
  <c r="J72" i="16"/>
  <c r="O72" i="16"/>
  <c r="P72" i="16" s="1"/>
  <c r="E103" i="16"/>
  <c r="E91" i="16"/>
  <c r="C162" i="16"/>
  <c r="D162" i="16" s="1"/>
  <c r="K76" i="16"/>
  <c r="U76" i="16"/>
  <c r="AA76" i="16" s="1"/>
  <c r="L76" i="16"/>
  <c r="E104" i="16"/>
  <c r="E115" i="16"/>
  <c r="G86" i="16"/>
  <c r="H86" i="16" s="1"/>
  <c r="M45" i="16"/>
  <c r="N45" i="16"/>
  <c r="G90" i="16"/>
  <c r="H90" i="16" s="1"/>
  <c r="M49" i="16"/>
  <c r="N49" i="16"/>
  <c r="S45" i="16"/>
  <c r="L6" i="16"/>
  <c r="N6" i="16" s="1"/>
  <c r="E85" i="16"/>
  <c r="I105" i="16"/>
  <c r="Q64" i="16"/>
  <c r="R64" i="16"/>
  <c r="CG11" i="14"/>
  <c r="CF10" i="14"/>
  <c r="BS103" i="13"/>
  <c r="BO103" i="13"/>
  <c r="BK103" i="13"/>
  <c r="BF103" i="13"/>
  <c r="BB103" i="13"/>
  <c r="AX103" i="13"/>
  <c r="AS103" i="13"/>
  <c r="AO103" i="13"/>
  <c r="AK103" i="13"/>
  <c r="AF103" i="13"/>
  <c r="AB103" i="13"/>
  <c r="X103" i="13"/>
  <c r="S103" i="13"/>
  <c r="O103" i="13"/>
  <c r="K103" i="13"/>
  <c r="BR103" i="13"/>
  <c r="BN103" i="13"/>
  <c r="BJ103" i="13"/>
  <c r="BE103" i="13"/>
  <c r="BA103" i="13"/>
  <c r="AW103" i="13"/>
  <c r="AR103" i="13"/>
  <c r="AN103" i="13"/>
  <c r="AJ103" i="13"/>
  <c r="AE103" i="13"/>
  <c r="AA103" i="13"/>
  <c r="W103" i="13"/>
  <c r="R103" i="13"/>
  <c r="N103" i="13"/>
  <c r="J103" i="13"/>
  <c r="BQ103" i="13"/>
  <c r="BM103" i="13"/>
  <c r="BI103" i="13"/>
  <c r="BD103" i="13"/>
  <c r="AZ103" i="13"/>
  <c r="AV103" i="13"/>
  <c r="AQ103" i="13"/>
  <c r="AM103" i="13"/>
  <c r="AI103" i="13"/>
  <c r="AD103" i="13"/>
  <c r="Z103" i="13"/>
  <c r="V103" i="13"/>
  <c r="Q103" i="13"/>
  <c r="M103" i="13"/>
  <c r="I103" i="13"/>
  <c r="BP103" i="13"/>
  <c r="BL103" i="13"/>
  <c r="BH103" i="13"/>
  <c r="BC103" i="13"/>
  <c r="AY103" i="13"/>
  <c r="AU103" i="13"/>
  <c r="AP103" i="13"/>
  <c r="AL103" i="13"/>
  <c r="AH103" i="13"/>
  <c r="AC103" i="13"/>
  <c r="Y103" i="13"/>
  <c r="U103" i="13"/>
  <c r="P103" i="13"/>
  <c r="L103" i="13"/>
  <c r="H103" i="13"/>
  <c r="BS100" i="13"/>
  <c r="BO100" i="13"/>
  <c r="BK100" i="13"/>
  <c r="BF100" i="13"/>
  <c r="BB100" i="13"/>
  <c r="AX100" i="13"/>
  <c r="AS100" i="13"/>
  <c r="AO100" i="13"/>
  <c r="AK100" i="13"/>
  <c r="AF100" i="13"/>
  <c r="AB100" i="13"/>
  <c r="X100" i="13"/>
  <c r="S100" i="13"/>
  <c r="O100" i="13"/>
  <c r="K100" i="13"/>
  <c r="BR100" i="13"/>
  <c r="BN100" i="13"/>
  <c r="BJ100" i="13"/>
  <c r="BE100" i="13"/>
  <c r="BA100" i="13"/>
  <c r="AW100" i="13"/>
  <c r="AR100" i="13"/>
  <c r="AN100" i="13"/>
  <c r="AJ100" i="13"/>
  <c r="AE100" i="13"/>
  <c r="AA100" i="13"/>
  <c r="W100" i="13"/>
  <c r="R100" i="13"/>
  <c r="N100" i="13"/>
  <c r="J100" i="13"/>
  <c r="BQ100" i="13"/>
  <c r="BM100" i="13"/>
  <c r="BI100" i="13"/>
  <c r="BD100" i="13"/>
  <c r="AZ100" i="13"/>
  <c r="AV100" i="13"/>
  <c r="AQ100" i="13"/>
  <c r="AM100" i="13"/>
  <c r="AI100" i="13"/>
  <c r="AD100" i="13"/>
  <c r="Z100" i="13"/>
  <c r="V100" i="13"/>
  <c r="Q100" i="13"/>
  <c r="M100" i="13"/>
  <c r="I100" i="13"/>
  <c r="BP100" i="13"/>
  <c r="BL100" i="13"/>
  <c r="BH100" i="13"/>
  <c r="BC100" i="13"/>
  <c r="AY100" i="13"/>
  <c r="AU100" i="13"/>
  <c r="AP100" i="13"/>
  <c r="AL100" i="13"/>
  <c r="AH100" i="13"/>
  <c r="AC100" i="13"/>
  <c r="Y100" i="13"/>
  <c r="U100" i="13"/>
  <c r="P100" i="13"/>
  <c r="L100" i="13"/>
  <c r="H100" i="13"/>
  <c r="BP96" i="13"/>
  <c r="BL96" i="13"/>
  <c r="BH96" i="13"/>
  <c r="BC96" i="13"/>
  <c r="AY96" i="13"/>
  <c r="AU96" i="13"/>
  <c r="AP96" i="13"/>
  <c r="AL96" i="13"/>
  <c r="AH96" i="13"/>
  <c r="AC96" i="13"/>
  <c r="Y96" i="13"/>
  <c r="U96" i="13"/>
  <c r="P96" i="13"/>
  <c r="L96" i="13"/>
  <c r="H96" i="13"/>
  <c r="BS96" i="13"/>
  <c r="BO96" i="13"/>
  <c r="BK96" i="13"/>
  <c r="BF96" i="13"/>
  <c r="BB96" i="13"/>
  <c r="AX96" i="13"/>
  <c r="AS96" i="13"/>
  <c r="AO96" i="13"/>
  <c r="AK96" i="13"/>
  <c r="AF96" i="13"/>
  <c r="AB96" i="13"/>
  <c r="X96" i="13"/>
  <c r="S96" i="13"/>
  <c r="O96" i="13"/>
  <c r="K96" i="13"/>
  <c r="BR96" i="13"/>
  <c r="BN96" i="13"/>
  <c r="BJ96" i="13"/>
  <c r="BE96" i="13"/>
  <c r="BA96" i="13"/>
  <c r="AW96" i="13"/>
  <c r="AR96" i="13"/>
  <c r="AN96" i="13"/>
  <c r="AJ96" i="13"/>
  <c r="AE96" i="13"/>
  <c r="AA96" i="13"/>
  <c r="W96" i="13"/>
  <c r="R96" i="13"/>
  <c r="N96" i="13"/>
  <c r="J96" i="13"/>
  <c r="BQ96" i="13"/>
  <c r="BM96" i="13"/>
  <c r="BI96" i="13"/>
  <c r="BD96" i="13"/>
  <c r="AZ96" i="13"/>
  <c r="AV96" i="13"/>
  <c r="AQ96" i="13"/>
  <c r="AM96" i="13"/>
  <c r="AI96" i="13"/>
  <c r="AD96" i="13"/>
  <c r="Z96" i="13"/>
  <c r="V96" i="13"/>
  <c r="Q96" i="13"/>
  <c r="M96" i="13"/>
  <c r="I96" i="13"/>
  <c r="BP92" i="13"/>
  <c r="BL92" i="13"/>
  <c r="BH92" i="13"/>
  <c r="BC92" i="13"/>
  <c r="AY92" i="13"/>
  <c r="AU92" i="13"/>
  <c r="AP92" i="13"/>
  <c r="AL92" i="13"/>
  <c r="AH92" i="13"/>
  <c r="AC92" i="13"/>
  <c r="Y92" i="13"/>
  <c r="U92" i="13"/>
  <c r="P92" i="13"/>
  <c r="L92" i="13"/>
  <c r="H92" i="13"/>
  <c r="BS92" i="13"/>
  <c r="BO92" i="13"/>
  <c r="BK92" i="13"/>
  <c r="BF92" i="13"/>
  <c r="BB92" i="13"/>
  <c r="AX92" i="13"/>
  <c r="AS92" i="13"/>
  <c r="AO92" i="13"/>
  <c r="AK92" i="13"/>
  <c r="AF92" i="13"/>
  <c r="AB92" i="13"/>
  <c r="X92" i="13"/>
  <c r="S92" i="13"/>
  <c r="O92" i="13"/>
  <c r="K92" i="13"/>
  <c r="BR92" i="13"/>
  <c r="BN92" i="13"/>
  <c r="BJ92" i="13"/>
  <c r="BE92" i="13"/>
  <c r="BA92" i="13"/>
  <c r="AW92" i="13"/>
  <c r="AR92" i="13"/>
  <c r="AN92" i="13"/>
  <c r="AJ92" i="13"/>
  <c r="AE92" i="13"/>
  <c r="AA92" i="13"/>
  <c r="W92" i="13"/>
  <c r="R92" i="13"/>
  <c r="N92" i="13"/>
  <c r="J92" i="13"/>
  <c r="BQ92" i="13"/>
  <c r="BM92" i="13"/>
  <c r="BI92" i="13"/>
  <c r="BD92" i="13"/>
  <c r="AZ92" i="13"/>
  <c r="AV92" i="13"/>
  <c r="AQ92" i="13"/>
  <c r="AM92" i="13"/>
  <c r="AI92" i="13"/>
  <c r="AD92" i="13"/>
  <c r="Z92" i="13"/>
  <c r="V92" i="13"/>
  <c r="Q92" i="13"/>
  <c r="M92" i="13"/>
  <c r="I92" i="13"/>
  <c r="BP88" i="13"/>
  <c r="BL88" i="13"/>
  <c r="BH88" i="13"/>
  <c r="BC88" i="13"/>
  <c r="AY88" i="13"/>
  <c r="AU88" i="13"/>
  <c r="AP88" i="13"/>
  <c r="AL88" i="13"/>
  <c r="AH88" i="13"/>
  <c r="AC88" i="13"/>
  <c r="Y88" i="13"/>
  <c r="U88" i="13"/>
  <c r="P88" i="13"/>
  <c r="L88" i="13"/>
  <c r="H88" i="13"/>
  <c r="BS88" i="13"/>
  <c r="BO88" i="13"/>
  <c r="BK88" i="13"/>
  <c r="BF88" i="13"/>
  <c r="BB88" i="13"/>
  <c r="AX88" i="13"/>
  <c r="AS88" i="13"/>
  <c r="AO88" i="13"/>
  <c r="AK88" i="13"/>
  <c r="AF88" i="13"/>
  <c r="AB88" i="13"/>
  <c r="X88" i="13"/>
  <c r="S88" i="13"/>
  <c r="O88" i="13"/>
  <c r="K88" i="13"/>
  <c r="BR88" i="13"/>
  <c r="BN88" i="13"/>
  <c r="BJ88" i="13"/>
  <c r="BE88" i="13"/>
  <c r="BA88" i="13"/>
  <c r="AW88" i="13"/>
  <c r="AR88" i="13"/>
  <c r="AN88" i="13"/>
  <c r="AJ88" i="13"/>
  <c r="AE88" i="13"/>
  <c r="AA88" i="13"/>
  <c r="W88" i="13"/>
  <c r="R88" i="13"/>
  <c r="N88" i="13"/>
  <c r="J88" i="13"/>
  <c r="BQ88" i="13"/>
  <c r="BM88" i="13"/>
  <c r="BI88" i="13"/>
  <c r="BD88" i="13"/>
  <c r="AZ88" i="13"/>
  <c r="AV88" i="13"/>
  <c r="AQ88" i="13"/>
  <c r="AM88" i="13"/>
  <c r="AI88" i="13"/>
  <c r="AD88" i="13"/>
  <c r="Z88" i="13"/>
  <c r="V88" i="13"/>
  <c r="Q88" i="13"/>
  <c r="M88" i="13"/>
  <c r="I88" i="13"/>
  <c r="BP84" i="13"/>
  <c r="BL84" i="13"/>
  <c r="BH84" i="13"/>
  <c r="BC84" i="13"/>
  <c r="AY84" i="13"/>
  <c r="AU84" i="13"/>
  <c r="AP84" i="13"/>
  <c r="AL84" i="13"/>
  <c r="AH84" i="13"/>
  <c r="AC84" i="13"/>
  <c r="Y84" i="13"/>
  <c r="U84" i="13"/>
  <c r="P84" i="13"/>
  <c r="L84" i="13"/>
  <c r="H84" i="13"/>
  <c r="BS84" i="13"/>
  <c r="BO84" i="13"/>
  <c r="BK84" i="13"/>
  <c r="BF84" i="13"/>
  <c r="BB84" i="13"/>
  <c r="AX84" i="13"/>
  <c r="AS84" i="13"/>
  <c r="AO84" i="13"/>
  <c r="AK84" i="13"/>
  <c r="AF84" i="13"/>
  <c r="AB84" i="13"/>
  <c r="X84" i="13"/>
  <c r="S84" i="13"/>
  <c r="O84" i="13"/>
  <c r="K84" i="13"/>
  <c r="BR84" i="13"/>
  <c r="BN84" i="13"/>
  <c r="BJ84" i="13"/>
  <c r="BE84" i="13"/>
  <c r="BA84" i="13"/>
  <c r="AW84" i="13"/>
  <c r="AR84" i="13"/>
  <c r="AN84" i="13"/>
  <c r="AJ84" i="13"/>
  <c r="AE84" i="13"/>
  <c r="AA84" i="13"/>
  <c r="W84" i="13"/>
  <c r="R84" i="13"/>
  <c r="N84" i="13"/>
  <c r="J84" i="13"/>
  <c r="BQ84" i="13"/>
  <c r="BM84" i="13"/>
  <c r="BI84" i="13"/>
  <c r="BD84" i="13"/>
  <c r="AZ84" i="13"/>
  <c r="AV84" i="13"/>
  <c r="AQ84" i="13"/>
  <c r="AM84" i="13"/>
  <c r="AI84" i="13"/>
  <c r="AD84" i="13"/>
  <c r="Z84" i="13"/>
  <c r="V84" i="13"/>
  <c r="Q84" i="13"/>
  <c r="M84" i="13"/>
  <c r="I84" i="13"/>
  <c r="AU80" i="13"/>
  <c r="AC80" i="13"/>
  <c r="Q80" i="13"/>
  <c r="I80" i="13"/>
  <c r="AP80" i="13"/>
  <c r="Y80" i="13"/>
  <c r="P80" i="13"/>
  <c r="H80" i="13"/>
  <c r="BM66" i="13"/>
  <c r="AV66" i="13"/>
  <c r="AD66" i="13"/>
  <c r="M66" i="13"/>
  <c r="I66" i="13"/>
  <c r="BI66" i="13"/>
  <c r="AQ66" i="13"/>
  <c r="Z66" i="13"/>
  <c r="BQ70" i="13"/>
  <c r="AZ70" i="13"/>
  <c r="AI70" i="13"/>
  <c r="Q70" i="13"/>
  <c r="BM69" i="13"/>
  <c r="AV69" i="13"/>
  <c r="AD69" i="13"/>
  <c r="M69" i="13"/>
  <c r="M80" i="13"/>
  <c r="AM80" i="13"/>
  <c r="BD80" i="13"/>
  <c r="J80" i="13"/>
  <c r="AA80" i="13"/>
  <c r="AR80" i="13"/>
  <c r="BJ80" i="13"/>
  <c r="O80" i="13"/>
  <c r="AF80" i="13"/>
  <c r="AX80" i="13"/>
  <c r="BO80" i="13"/>
  <c r="BL80" i="13"/>
  <c r="AV79" i="13"/>
  <c r="M79" i="13"/>
  <c r="W79" i="13"/>
  <c r="AN79" i="13"/>
  <c r="BE79" i="13"/>
  <c r="K79" i="13"/>
  <c r="AB79" i="13"/>
  <c r="AS79" i="13"/>
  <c r="BP70" i="13"/>
  <c r="AY70" i="13"/>
  <c r="AH70" i="13"/>
  <c r="P70" i="13"/>
  <c r="BL69" i="13"/>
  <c r="AU69" i="13"/>
  <c r="AC69" i="13"/>
  <c r="L69" i="13"/>
  <c r="AQ68" i="13"/>
  <c r="AZ66" i="13"/>
  <c r="H68" i="13"/>
  <c r="Y68" i="13"/>
  <c r="AP68" i="13"/>
  <c r="BH68" i="13"/>
  <c r="N68" i="13"/>
  <c r="AE68" i="13"/>
  <c r="AW68" i="13"/>
  <c r="BN68" i="13"/>
  <c r="S68" i="13"/>
  <c r="AK68" i="13"/>
  <c r="BB68" i="13"/>
  <c r="BS68" i="13"/>
  <c r="AD68" i="13"/>
  <c r="V66" i="13"/>
  <c r="U66" i="13"/>
  <c r="AL66" i="13"/>
  <c r="BC66" i="13"/>
  <c r="J66" i="13"/>
  <c r="AA66" i="13"/>
  <c r="AR66" i="13"/>
  <c r="BJ66" i="13"/>
  <c r="O66" i="13"/>
  <c r="AF66" i="13"/>
  <c r="AX66" i="13"/>
  <c r="BO66" i="13"/>
  <c r="BS62" i="13"/>
  <c r="BO62" i="13"/>
  <c r="BK62" i="13"/>
  <c r="BF62" i="13"/>
  <c r="BB62" i="13"/>
  <c r="AX62" i="13"/>
  <c r="AS62" i="13"/>
  <c r="AO62" i="13"/>
  <c r="AK62" i="13"/>
  <c r="AF62" i="13"/>
  <c r="AB62" i="13"/>
  <c r="X62" i="13"/>
  <c r="S62" i="13"/>
  <c r="O62" i="13"/>
  <c r="K62" i="13"/>
  <c r="BN62" i="13"/>
  <c r="BI62" i="13"/>
  <c r="BC62" i="13"/>
  <c r="AW62" i="13"/>
  <c r="AQ62" i="13"/>
  <c r="AL62" i="13"/>
  <c r="AE62" i="13"/>
  <c r="Z62" i="13"/>
  <c r="U62" i="13"/>
  <c r="N62" i="13"/>
  <c r="I62" i="13"/>
  <c r="BR62" i="13"/>
  <c r="BM62" i="13"/>
  <c r="BH62" i="13"/>
  <c r="BA62" i="13"/>
  <c r="AV62" i="13"/>
  <c r="AP62" i="13"/>
  <c r="AJ62" i="13"/>
  <c r="AD62" i="13"/>
  <c r="Y62" i="13"/>
  <c r="R62" i="13"/>
  <c r="M62" i="13"/>
  <c r="H62" i="13"/>
  <c r="BP62" i="13"/>
  <c r="BJ62" i="13"/>
  <c r="BD62" i="13"/>
  <c r="AY62" i="13"/>
  <c r="AR62" i="13"/>
  <c r="AM62" i="13"/>
  <c r="AH62" i="13"/>
  <c r="AA62" i="13"/>
  <c r="V62" i="13"/>
  <c r="P62" i="13"/>
  <c r="J62" i="13"/>
  <c r="BL62" i="13"/>
  <c r="AN62" i="13"/>
  <c r="Q62" i="13"/>
  <c r="BE62" i="13"/>
  <c r="AI62" i="13"/>
  <c r="L62" i="13"/>
  <c r="AZ62" i="13"/>
  <c r="AC62" i="13"/>
  <c r="BQ62" i="13"/>
  <c r="AU62" i="13"/>
  <c r="W62" i="13"/>
  <c r="BS58" i="13"/>
  <c r="BO58" i="13"/>
  <c r="BK58" i="13"/>
  <c r="BF58" i="13"/>
  <c r="BB58" i="13"/>
  <c r="AX58" i="13"/>
  <c r="AS58" i="13"/>
  <c r="AO58" i="13"/>
  <c r="AK58" i="13"/>
  <c r="AF58" i="13"/>
  <c r="AB58" i="13"/>
  <c r="X58" i="13"/>
  <c r="S58" i="13"/>
  <c r="O58" i="13"/>
  <c r="K58" i="13"/>
  <c r="BN58" i="13"/>
  <c r="BI58" i="13"/>
  <c r="BC58" i="13"/>
  <c r="AW58" i="13"/>
  <c r="AQ58" i="13"/>
  <c r="AL58" i="13"/>
  <c r="AE58" i="13"/>
  <c r="Z58" i="13"/>
  <c r="U58" i="13"/>
  <c r="N58" i="13"/>
  <c r="I58" i="13"/>
  <c r="BR58" i="13"/>
  <c r="BM58" i="13"/>
  <c r="BH58" i="13"/>
  <c r="BA58" i="13"/>
  <c r="AV58" i="13"/>
  <c r="AP58" i="13"/>
  <c r="AJ58" i="13"/>
  <c r="AD58" i="13"/>
  <c r="Y58" i="13"/>
  <c r="R58" i="13"/>
  <c r="M58" i="13"/>
  <c r="H58" i="13"/>
  <c r="BP58" i="13"/>
  <c r="BJ58" i="13"/>
  <c r="BD58" i="13"/>
  <c r="AY58" i="13"/>
  <c r="AR58" i="13"/>
  <c r="AM58" i="13"/>
  <c r="AH58" i="13"/>
  <c r="AA58" i="13"/>
  <c r="V58" i="13"/>
  <c r="P58" i="13"/>
  <c r="J58" i="13"/>
  <c r="BL58" i="13"/>
  <c r="AN58" i="13"/>
  <c r="Q58" i="13"/>
  <c r="BE58" i="13"/>
  <c r="AI58" i="13"/>
  <c r="L58" i="13"/>
  <c r="AZ58" i="13"/>
  <c r="AC58" i="13"/>
  <c r="BQ58" i="13"/>
  <c r="AU58" i="13"/>
  <c r="W58" i="13"/>
  <c r="AM67" i="13"/>
  <c r="BR41" i="13"/>
  <c r="BN41" i="13"/>
  <c r="BJ41" i="13"/>
  <c r="BE41" i="13"/>
  <c r="BA41" i="13"/>
  <c r="AW41" i="13"/>
  <c r="AR41" i="13"/>
  <c r="AN41" i="13"/>
  <c r="AJ41" i="13"/>
  <c r="AE41" i="13"/>
  <c r="AA41" i="13"/>
  <c r="W41" i="13"/>
  <c r="R41" i="13"/>
  <c r="N41" i="13"/>
  <c r="J41" i="13"/>
  <c r="BQ41" i="13"/>
  <c r="BM41" i="13"/>
  <c r="BI41" i="13"/>
  <c r="BD41" i="13"/>
  <c r="AZ41" i="13"/>
  <c r="AV41" i="13"/>
  <c r="AQ41" i="13"/>
  <c r="AM41" i="13"/>
  <c r="AI41" i="13"/>
  <c r="AD41" i="13"/>
  <c r="Z41" i="13"/>
  <c r="V41" i="13"/>
  <c r="Q41" i="13"/>
  <c r="M41" i="13"/>
  <c r="I41" i="13"/>
  <c r="BP41" i="13"/>
  <c r="BL41" i="13"/>
  <c r="BH41" i="13"/>
  <c r="BC41" i="13"/>
  <c r="AY41" i="13"/>
  <c r="AU41" i="13"/>
  <c r="AP41" i="13"/>
  <c r="AL41" i="13"/>
  <c r="AH41" i="13"/>
  <c r="AC41" i="13"/>
  <c r="Y41" i="13"/>
  <c r="U41" i="13"/>
  <c r="P41" i="13"/>
  <c r="L41" i="13"/>
  <c r="H41" i="13"/>
  <c r="BS41" i="13"/>
  <c r="BO41" i="13"/>
  <c r="BK41" i="13"/>
  <c r="BF41" i="13"/>
  <c r="BB41" i="13"/>
  <c r="AX41" i="13"/>
  <c r="AS41" i="13"/>
  <c r="AO41" i="13"/>
  <c r="AK41" i="13"/>
  <c r="AF41" i="13"/>
  <c r="AB41" i="13"/>
  <c r="X41" i="13"/>
  <c r="S41" i="13"/>
  <c r="O41" i="13"/>
  <c r="K41" i="13"/>
  <c r="BR37" i="13"/>
  <c r="BN37" i="13"/>
  <c r="BJ37" i="13"/>
  <c r="BE37" i="13"/>
  <c r="BA37" i="13"/>
  <c r="AW37" i="13"/>
  <c r="AR37" i="13"/>
  <c r="AN37" i="13"/>
  <c r="AJ37" i="13"/>
  <c r="AE37" i="13"/>
  <c r="AA37" i="13"/>
  <c r="W37" i="13"/>
  <c r="R37" i="13"/>
  <c r="N37" i="13"/>
  <c r="J37" i="13"/>
  <c r="BQ37" i="13"/>
  <c r="BM37" i="13"/>
  <c r="BI37" i="13"/>
  <c r="BD37" i="13"/>
  <c r="AZ37" i="13"/>
  <c r="AV37" i="13"/>
  <c r="AQ37" i="13"/>
  <c r="AM37" i="13"/>
  <c r="AI37" i="13"/>
  <c r="AD37" i="13"/>
  <c r="Z37" i="13"/>
  <c r="V37" i="13"/>
  <c r="Q37" i="13"/>
  <c r="M37" i="13"/>
  <c r="I37" i="13"/>
  <c r="BP37" i="13"/>
  <c r="BL37" i="13"/>
  <c r="BH37" i="13"/>
  <c r="BC37" i="13"/>
  <c r="AY37" i="13"/>
  <c r="AU37" i="13"/>
  <c r="AP37" i="13"/>
  <c r="AL37" i="13"/>
  <c r="AH37" i="13"/>
  <c r="AC37" i="13"/>
  <c r="Y37" i="13"/>
  <c r="U37" i="13"/>
  <c r="P37" i="13"/>
  <c r="L37" i="13"/>
  <c r="H37" i="13"/>
  <c r="BF37" i="13"/>
  <c r="AO37" i="13"/>
  <c r="X37" i="13"/>
  <c r="BS37" i="13"/>
  <c r="BB37" i="13"/>
  <c r="AK37" i="13"/>
  <c r="S37" i="13"/>
  <c r="BO37" i="13"/>
  <c r="AX37" i="13"/>
  <c r="AF37" i="13"/>
  <c r="O37" i="13"/>
  <c r="K37" i="13"/>
  <c r="BK37" i="13"/>
  <c r="AS37" i="13"/>
  <c r="AB37" i="13"/>
  <c r="V67" i="13"/>
  <c r="Q67" i="13"/>
  <c r="I67" i="13"/>
  <c r="M67" i="13"/>
  <c r="H67" i="13"/>
  <c r="Y67" i="13"/>
  <c r="AP67" i="13"/>
  <c r="BH67" i="13"/>
  <c r="N67" i="13"/>
  <c r="AE67" i="13"/>
  <c r="AW67" i="13"/>
  <c r="BN67" i="13"/>
  <c r="S67" i="13"/>
  <c r="AK67" i="13"/>
  <c r="BB67" i="13"/>
  <c r="BS67" i="13"/>
  <c r="BR35" i="13"/>
  <c r="BN35" i="13"/>
  <c r="BJ35" i="13"/>
  <c r="BE35" i="13"/>
  <c r="BA35" i="13"/>
  <c r="AW35" i="13"/>
  <c r="AR35" i="13"/>
  <c r="AN35" i="13"/>
  <c r="AJ35" i="13"/>
  <c r="AE35" i="13"/>
  <c r="AA35" i="13"/>
  <c r="W35" i="13"/>
  <c r="R35" i="13"/>
  <c r="N35" i="13"/>
  <c r="J35" i="13"/>
  <c r="BQ35" i="13"/>
  <c r="BM35" i="13"/>
  <c r="BI35" i="13"/>
  <c r="BD35" i="13"/>
  <c r="AZ35" i="13"/>
  <c r="AV35" i="13"/>
  <c r="AQ35" i="13"/>
  <c r="AM35" i="13"/>
  <c r="AI35" i="13"/>
  <c r="AD35" i="13"/>
  <c r="Z35" i="13"/>
  <c r="V35" i="13"/>
  <c r="Q35" i="13"/>
  <c r="M35" i="13"/>
  <c r="I35" i="13"/>
  <c r="BP35" i="13"/>
  <c r="BL35" i="13"/>
  <c r="BH35" i="13"/>
  <c r="BC35" i="13"/>
  <c r="AY35" i="13"/>
  <c r="AU35" i="13"/>
  <c r="AP35" i="13"/>
  <c r="AL35" i="13"/>
  <c r="AH35" i="13"/>
  <c r="AC35" i="13"/>
  <c r="Y35" i="13"/>
  <c r="U35" i="13"/>
  <c r="P35" i="13"/>
  <c r="L35" i="13"/>
  <c r="BO35" i="13"/>
  <c r="AX35" i="13"/>
  <c r="AF35" i="13"/>
  <c r="O35" i="13"/>
  <c r="BK35" i="13"/>
  <c r="AS35" i="13"/>
  <c r="AB35" i="13"/>
  <c r="K35" i="13"/>
  <c r="BF35" i="13"/>
  <c r="AO35" i="13"/>
  <c r="X35" i="13"/>
  <c r="H35" i="13"/>
  <c r="S35" i="13"/>
  <c r="BS35" i="13"/>
  <c r="BB35" i="13"/>
  <c r="AK35" i="13"/>
  <c r="BR33" i="13"/>
  <c r="BN33" i="13"/>
  <c r="BJ33" i="13"/>
  <c r="BE33" i="13"/>
  <c r="BA33" i="13"/>
  <c r="AW33" i="13"/>
  <c r="AR33" i="13"/>
  <c r="AN33" i="13"/>
  <c r="AJ33" i="13"/>
  <c r="AE33" i="13"/>
  <c r="AA33" i="13"/>
  <c r="W33" i="13"/>
  <c r="R33" i="13"/>
  <c r="N33" i="13"/>
  <c r="J33" i="13"/>
  <c r="BQ33" i="13"/>
  <c r="BM33" i="13"/>
  <c r="BI33" i="13"/>
  <c r="BD33" i="13"/>
  <c r="AZ33" i="13"/>
  <c r="AV33" i="13"/>
  <c r="AQ33" i="13"/>
  <c r="AM33" i="13"/>
  <c r="AI33" i="13"/>
  <c r="AD33" i="13"/>
  <c r="Z33" i="13"/>
  <c r="V33" i="13"/>
  <c r="Q33" i="13"/>
  <c r="M33" i="13"/>
  <c r="I33" i="13"/>
  <c r="BL33" i="13"/>
  <c r="BC33" i="13"/>
  <c r="AU33" i="13"/>
  <c r="AL33" i="13"/>
  <c r="AC33" i="13"/>
  <c r="U33" i="13"/>
  <c r="L33" i="13"/>
  <c r="BS33" i="13"/>
  <c r="BK33" i="13"/>
  <c r="BB33" i="13"/>
  <c r="AS33" i="13"/>
  <c r="AK33" i="13"/>
  <c r="AB33" i="13"/>
  <c r="S33" i="13"/>
  <c r="K33" i="13"/>
  <c r="BP33" i="13"/>
  <c r="BH33" i="13"/>
  <c r="AY33" i="13"/>
  <c r="AP33" i="13"/>
  <c r="AH33" i="13"/>
  <c r="Y33" i="13"/>
  <c r="P33" i="13"/>
  <c r="H33" i="13"/>
  <c r="BO33" i="13"/>
  <c r="AF33" i="13"/>
  <c r="BF33" i="13"/>
  <c r="X33" i="13"/>
  <c r="AX33" i="13"/>
  <c r="O33" i="13"/>
  <c r="AO33" i="13"/>
  <c r="BR31" i="13"/>
  <c r="BN31" i="13"/>
  <c r="BJ31" i="13"/>
  <c r="BE31" i="13"/>
  <c r="BA31" i="13"/>
  <c r="AW31" i="13"/>
  <c r="AR31" i="13"/>
  <c r="AN31" i="13"/>
  <c r="AJ31" i="13"/>
  <c r="AE31" i="13"/>
  <c r="AA31" i="13"/>
  <c r="W31" i="13"/>
  <c r="R31" i="13"/>
  <c r="N31" i="13"/>
  <c r="J31" i="13"/>
  <c r="BQ31" i="13"/>
  <c r="BM31" i="13"/>
  <c r="BI31" i="13"/>
  <c r="BD31" i="13"/>
  <c r="AZ31" i="13"/>
  <c r="AV31" i="13"/>
  <c r="AQ31" i="13"/>
  <c r="AM31" i="13"/>
  <c r="AI31" i="13"/>
  <c r="AD31" i="13"/>
  <c r="Z31" i="13"/>
  <c r="V31" i="13"/>
  <c r="Q31" i="13"/>
  <c r="M31" i="13"/>
  <c r="I31" i="13"/>
  <c r="BL31" i="13"/>
  <c r="BC31" i="13"/>
  <c r="AU31" i="13"/>
  <c r="AL31" i="13"/>
  <c r="AC31" i="13"/>
  <c r="U31" i="13"/>
  <c r="L31" i="13"/>
  <c r="BS31" i="13"/>
  <c r="BK31" i="13"/>
  <c r="BB31" i="13"/>
  <c r="AS31" i="13"/>
  <c r="AK31" i="13"/>
  <c r="AB31" i="13"/>
  <c r="S31" i="13"/>
  <c r="K31" i="13"/>
  <c r="BP31" i="13"/>
  <c r="BH31" i="13"/>
  <c r="AY31" i="13"/>
  <c r="AP31" i="13"/>
  <c r="AH31" i="13"/>
  <c r="Y31" i="13"/>
  <c r="P31" i="13"/>
  <c r="H31" i="13"/>
  <c r="AX31" i="13"/>
  <c r="O31" i="13"/>
  <c r="AO31" i="13"/>
  <c r="BO31" i="13"/>
  <c r="AF31" i="13"/>
  <c r="BF31" i="13"/>
  <c r="X31" i="13"/>
  <c r="BR29" i="13"/>
  <c r="BN29" i="13"/>
  <c r="BJ29" i="13"/>
  <c r="BE29" i="13"/>
  <c r="BA29" i="13"/>
  <c r="AW29" i="13"/>
  <c r="AR29" i="13"/>
  <c r="AN29" i="13"/>
  <c r="AJ29" i="13"/>
  <c r="AE29" i="13"/>
  <c r="AA29" i="13"/>
  <c r="W29" i="13"/>
  <c r="R29" i="13"/>
  <c r="N29" i="13"/>
  <c r="J29" i="13"/>
  <c r="BQ29" i="13"/>
  <c r="BM29" i="13"/>
  <c r="BI29" i="13"/>
  <c r="BD29" i="13"/>
  <c r="AZ29" i="13"/>
  <c r="AV29" i="13"/>
  <c r="AQ29" i="13"/>
  <c r="AM29" i="13"/>
  <c r="AI29" i="13"/>
  <c r="AD29" i="13"/>
  <c r="Z29" i="13"/>
  <c r="V29" i="13"/>
  <c r="Q29" i="13"/>
  <c r="M29" i="13"/>
  <c r="BL29" i="13"/>
  <c r="BC29" i="13"/>
  <c r="AU29" i="13"/>
  <c r="AL29" i="13"/>
  <c r="AC29" i="13"/>
  <c r="U29" i="13"/>
  <c r="L29" i="13"/>
  <c r="BS29" i="13"/>
  <c r="BK29" i="13"/>
  <c r="BB29" i="13"/>
  <c r="AS29" i="13"/>
  <c r="AK29" i="13"/>
  <c r="AB29" i="13"/>
  <c r="S29" i="13"/>
  <c r="K29" i="13"/>
  <c r="BP29" i="13"/>
  <c r="BH29" i="13"/>
  <c r="AY29" i="13"/>
  <c r="AP29" i="13"/>
  <c r="AH29" i="13"/>
  <c r="Y29" i="13"/>
  <c r="P29" i="13"/>
  <c r="I29" i="13"/>
  <c r="BO29" i="13"/>
  <c r="AF29" i="13"/>
  <c r="BF29" i="13"/>
  <c r="X29" i="13"/>
  <c r="AX29" i="13"/>
  <c r="O29" i="13"/>
  <c r="AO29" i="13"/>
  <c r="H29" i="13"/>
  <c r="AD25" i="13"/>
  <c r="I25" i="13"/>
  <c r="BB25" i="13"/>
  <c r="I21" i="13"/>
  <c r="BI21" i="13"/>
  <c r="AQ21" i="13"/>
  <c r="Z21" i="13"/>
  <c r="BI17" i="13"/>
  <c r="AQ17" i="13"/>
  <c r="Z17" i="13"/>
  <c r="I17" i="13"/>
  <c r="AQ13" i="13"/>
  <c r="Z13" i="13"/>
  <c r="I13" i="13"/>
  <c r="BI13" i="13"/>
  <c r="Z9" i="13"/>
  <c r="I9" i="13"/>
  <c r="BI9" i="13"/>
  <c r="AQ9" i="13"/>
  <c r="Y25" i="13"/>
  <c r="Z25" i="13"/>
  <c r="AX25" i="13"/>
  <c r="K25" i="13"/>
  <c r="AH25" i="13"/>
  <c r="BD25" i="13"/>
  <c r="L25" i="13"/>
  <c r="AI25" i="13"/>
  <c r="BF25" i="13"/>
  <c r="R25" i="13"/>
  <c r="AJ25" i="13"/>
  <c r="BA25" i="13"/>
  <c r="BR25" i="13"/>
  <c r="BM23" i="13"/>
  <c r="J21" i="13"/>
  <c r="AA21" i="13"/>
  <c r="AR21" i="13"/>
  <c r="BJ21" i="13"/>
  <c r="O21" i="13"/>
  <c r="AF21" i="13"/>
  <c r="AX21" i="13"/>
  <c r="BO21" i="13"/>
  <c r="P21" i="13"/>
  <c r="AH21" i="13"/>
  <c r="AY21" i="13"/>
  <c r="BP21" i="13"/>
  <c r="V17" i="13"/>
  <c r="W17" i="13"/>
  <c r="AN17" i="13"/>
  <c r="BE17" i="13"/>
  <c r="K17" i="13"/>
  <c r="AB17" i="13"/>
  <c r="AS17" i="13"/>
  <c r="BK17" i="13"/>
  <c r="L17" i="13"/>
  <c r="AC17" i="13"/>
  <c r="AU17" i="13"/>
  <c r="BL17" i="13"/>
  <c r="AM13" i="13"/>
  <c r="R13" i="13"/>
  <c r="AJ13" i="13"/>
  <c r="BA13" i="13"/>
  <c r="BR13" i="13"/>
  <c r="X13" i="13"/>
  <c r="AO13" i="13"/>
  <c r="BF13" i="13"/>
  <c r="H13" i="13"/>
  <c r="Y13" i="13"/>
  <c r="AP13" i="13"/>
  <c r="BH13" i="13"/>
  <c r="BD9" i="13"/>
  <c r="N9" i="13"/>
  <c r="AE9" i="13"/>
  <c r="AW9" i="13"/>
  <c r="BN9" i="13"/>
  <c r="S9" i="13"/>
  <c r="AK9" i="13"/>
  <c r="BB9" i="13"/>
  <c r="BS9" i="13"/>
  <c r="U9" i="13"/>
  <c r="AL9" i="13"/>
  <c r="BC9" i="13"/>
  <c r="BG45" i="11"/>
  <c r="AM24" i="13"/>
  <c r="R24" i="13"/>
  <c r="AJ24" i="13"/>
  <c r="BA24" i="13"/>
  <c r="BR24" i="13"/>
  <c r="X24" i="13"/>
  <c r="AO24" i="13"/>
  <c r="BF24" i="13"/>
  <c r="H24" i="13"/>
  <c r="Y24" i="13"/>
  <c r="AP24" i="13"/>
  <c r="BH24" i="13"/>
  <c r="AQ23" i="13"/>
  <c r="AI21" i="13"/>
  <c r="AM20" i="13"/>
  <c r="R20" i="13"/>
  <c r="AJ20" i="13"/>
  <c r="BA20" i="13"/>
  <c r="BR20" i="13"/>
  <c r="X20" i="13"/>
  <c r="AO20" i="13"/>
  <c r="BF20" i="13"/>
  <c r="H20" i="13"/>
  <c r="Y20" i="13"/>
  <c r="AP20" i="13"/>
  <c r="BH20" i="13"/>
  <c r="AQ19" i="13"/>
  <c r="AI17" i="13"/>
  <c r="AM16" i="13"/>
  <c r="R16" i="13"/>
  <c r="AJ16" i="13"/>
  <c r="BA16" i="13"/>
  <c r="BR16" i="13"/>
  <c r="X16" i="13"/>
  <c r="AO16" i="13"/>
  <c r="BF16" i="13"/>
  <c r="H16" i="13"/>
  <c r="Y16" i="13"/>
  <c r="AP16" i="13"/>
  <c r="BH16" i="13"/>
  <c r="AQ15" i="13"/>
  <c r="AI13" i="13"/>
  <c r="AM12" i="13"/>
  <c r="R12" i="13"/>
  <c r="AJ12" i="13"/>
  <c r="BA12" i="13"/>
  <c r="BR12" i="13"/>
  <c r="X12" i="13"/>
  <c r="AO12" i="13"/>
  <c r="BF12" i="13"/>
  <c r="H12" i="13"/>
  <c r="Y12" i="13"/>
  <c r="AP12" i="13"/>
  <c r="BH12" i="13"/>
  <c r="AQ11" i="13"/>
  <c r="AI9" i="13"/>
  <c r="AM8" i="13"/>
  <c r="R8" i="13"/>
  <c r="AJ8" i="13"/>
  <c r="BA8" i="13"/>
  <c r="BR8" i="13"/>
  <c r="X8" i="13"/>
  <c r="AO8" i="13"/>
  <c r="BF8" i="13"/>
  <c r="H8" i="13"/>
  <c r="Y8" i="13"/>
  <c r="AP8" i="13"/>
  <c r="BH8" i="13"/>
  <c r="BS6" i="13"/>
  <c r="BO6" i="13"/>
  <c r="BK6" i="13"/>
  <c r="BF6" i="13"/>
  <c r="BB6" i="13"/>
  <c r="AX6" i="13"/>
  <c r="AS6" i="13"/>
  <c r="AO6" i="13"/>
  <c r="AK6" i="13"/>
  <c r="AF6" i="13"/>
  <c r="AB6" i="13"/>
  <c r="X6" i="13"/>
  <c r="S6" i="13"/>
  <c r="O6" i="13"/>
  <c r="K6" i="13"/>
  <c r="BR6" i="13"/>
  <c r="BN6" i="13"/>
  <c r="BJ6" i="13"/>
  <c r="BE6" i="13"/>
  <c r="BA6" i="13"/>
  <c r="AW6" i="13"/>
  <c r="AR6" i="13"/>
  <c r="AN6" i="13"/>
  <c r="AJ6" i="13"/>
  <c r="AE6" i="13"/>
  <c r="AA6" i="13"/>
  <c r="W6" i="13"/>
  <c r="R6" i="13"/>
  <c r="N6" i="13"/>
  <c r="J6" i="13"/>
  <c r="BP6" i="13"/>
  <c r="BH6" i="13"/>
  <c r="AY6" i="13"/>
  <c r="AP6" i="13"/>
  <c r="AH6" i="13"/>
  <c r="Y6" i="13"/>
  <c r="P6" i="13"/>
  <c r="H6" i="13"/>
  <c r="BM6" i="13"/>
  <c r="BD6" i="13"/>
  <c r="AV6" i="13"/>
  <c r="AM6" i="13"/>
  <c r="AD6" i="13"/>
  <c r="V6" i="13"/>
  <c r="M6" i="13"/>
  <c r="BL6" i="13"/>
  <c r="BC6" i="13"/>
  <c r="AU6" i="13"/>
  <c r="AL6" i="13"/>
  <c r="AC6" i="13"/>
  <c r="U6" i="13"/>
  <c r="L6" i="13"/>
  <c r="BI6" i="13"/>
  <c r="Z6" i="13"/>
  <c r="AZ6" i="13"/>
  <c r="Q6" i="13"/>
  <c r="AQ6" i="13"/>
  <c r="I6" i="13"/>
  <c r="AI6" i="13"/>
  <c r="BQ6" i="13"/>
  <c r="AK53" i="11"/>
  <c r="J53" i="11"/>
  <c r="AP53" i="11"/>
  <c r="BJ53" i="11"/>
  <c r="AU53" i="11"/>
  <c r="BD23" i="13"/>
  <c r="N23" i="13"/>
  <c r="AE23" i="13"/>
  <c r="AW23" i="13"/>
  <c r="BN23" i="13"/>
  <c r="S23" i="13"/>
  <c r="AK23" i="13"/>
  <c r="BB23" i="13"/>
  <c r="BS23" i="13"/>
  <c r="U23" i="13"/>
  <c r="AL23" i="13"/>
  <c r="BC23" i="13"/>
  <c r="BM21" i="13"/>
  <c r="BD19" i="13"/>
  <c r="N19" i="13"/>
  <c r="AE19" i="13"/>
  <c r="AW19" i="13"/>
  <c r="BN19" i="13"/>
  <c r="S19" i="13"/>
  <c r="AK19" i="13"/>
  <c r="BB19" i="13"/>
  <c r="BS19" i="13"/>
  <c r="U19" i="13"/>
  <c r="AL19" i="13"/>
  <c r="BC19" i="13"/>
  <c r="BM17" i="13"/>
  <c r="BD15" i="13"/>
  <c r="N15" i="13"/>
  <c r="AE15" i="13"/>
  <c r="AW15" i="13"/>
  <c r="BN15" i="13"/>
  <c r="S15" i="13"/>
  <c r="AK15" i="13"/>
  <c r="BB15" i="13"/>
  <c r="BS15" i="13"/>
  <c r="U15" i="13"/>
  <c r="AL15" i="13"/>
  <c r="BC15" i="13"/>
  <c r="BM13" i="13"/>
  <c r="BD11" i="13"/>
  <c r="N11" i="13"/>
  <c r="AE11" i="13"/>
  <c r="AW11" i="13"/>
  <c r="BN11" i="13"/>
  <c r="S11" i="13"/>
  <c r="AK11" i="13"/>
  <c r="BB11" i="13"/>
  <c r="BS11" i="13"/>
  <c r="U11" i="13"/>
  <c r="AL11" i="13"/>
  <c r="BC11" i="13"/>
  <c r="BM9" i="13"/>
  <c r="AM18" i="13"/>
  <c r="I10" i="13"/>
  <c r="M10" i="13"/>
  <c r="Q10" i="13"/>
  <c r="J10" i="13"/>
  <c r="AA10" i="13"/>
  <c r="AR10" i="13"/>
  <c r="BJ10" i="13"/>
  <c r="O10" i="13"/>
  <c r="AF10" i="13"/>
  <c r="AX10" i="13"/>
  <c r="BO10" i="13"/>
  <c r="P10" i="13"/>
  <c r="AH10" i="13"/>
  <c r="AY10" i="13"/>
  <c r="BP10" i="13"/>
  <c r="X53" i="11"/>
  <c r="BT9" i="11"/>
  <c r="V18" i="13"/>
  <c r="AQ14" i="13"/>
  <c r="AV14" i="13"/>
  <c r="AZ14" i="13"/>
  <c r="R14" i="13"/>
  <c r="AJ14" i="13"/>
  <c r="BA14" i="13"/>
  <c r="BR14" i="13"/>
  <c r="X14" i="13"/>
  <c r="AO14" i="13"/>
  <c r="BF14" i="13"/>
  <c r="H14" i="13"/>
  <c r="Y14" i="13"/>
  <c r="AP14" i="13"/>
  <c r="BH14" i="13"/>
  <c r="BG51" i="11"/>
  <c r="BL53" i="11"/>
  <c r="BG33" i="11"/>
  <c r="AG25" i="11"/>
  <c r="AT23" i="11"/>
  <c r="AT9" i="11"/>
  <c r="BI18" i="13"/>
  <c r="BM18" i="13"/>
  <c r="BQ18" i="13"/>
  <c r="W18" i="13"/>
  <c r="AN18" i="13"/>
  <c r="BE18" i="13"/>
  <c r="K18" i="13"/>
  <c r="AB18" i="13"/>
  <c r="AS18" i="13"/>
  <c r="BK18" i="13"/>
  <c r="L18" i="13"/>
  <c r="AC18" i="13"/>
  <c r="AU18" i="13"/>
  <c r="BL18" i="13"/>
  <c r="BQ9" i="13"/>
  <c r="AO53" i="11"/>
  <c r="U41" i="11"/>
  <c r="V41" i="11"/>
  <c r="T26" i="3" s="1"/>
  <c r="AL41" i="11"/>
  <c r="K41" i="11"/>
  <c r="AA41" i="11"/>
  <c r="BK41" i="11"/>
  <c r="BI26" i="3" s="1"/>
  <c r="L41" i="11"/>
  <c r="AV41" i="11"/>
  <c r="BL41" i="11"/>
  <c r="BJ26" i="3" s="1"/>
  <c r="V22" i="13"/>
  <c r="Z22" i="13"/>
  <c r="AD22" i="13"/>
  <c r="AI22" i="13"/>
  <c r="N22" i="13"/>
  <c r="AE22" i="13"/>
  <c r="AW22" i="13"/>
  <c r="BN22" i="13"/>
  <c r="S22" i="13"/>
  <c r="AK22" i="13"/>
  <c r="BB22" i="13"/>
  <c r="BS22" i="13"/>
  <c r="U22" i="13"/>
  <c r="AL22" i="13"/>
  <c r="BC22" i="13"/>
  <c r="BD10" i="13"/>
  <c r="BE38" i="11"/>
  <c r="BD37" i="11"/>
  <c r="AU29" i="11"/>
  <c r="AS25" i="3" s="1"/>
  <c r="BG19" i="11"/>
  <c r="J29" i="11"/>
  <c r="H25" i="3" s="1"/>
  <c r="AP29" i="11"/>
  <c r="AN25" i="3" s="1"/>
  <c r="K29" i="11"/>
  <c r="I25" i="3" s="1"/>
  <c r="AV29" i="11"/>
  <c r="AT25" i="3" s="1"/>
  <c r="BL29" i="11"/>
  <c r="BJ25" i="3" s="1"/>
  <c r="AK29" i="11"/>
  <c r="AI25" i="3" s="1"/>
  <c r="O53" i="3"/>
  <c r="P9" i="2"/>
  <c r="AD97" i="6"/>
  <c r="Q31" i="11"/>
  <c r="Q41" i="11" s="1"/>
  <c r="BG11" i="11"/>
  <c r="AH97" i="6"/>
  <c r="T39" i="11"/>
  <c r="BT39" i="11"/>
  <c r="AC38" i="11"/>
  <c r="AB37" i="11"/>
  <c r="W17" i="11"/>
  <c r="U33" i="3" s="1"/>
  <c r="X17" i="11"/>
  <c r="V33" i="3" s="1"/>
  <c r="I17" i="11"/>
  <c r="G33" i="3" s="1"/>
  <c r="BI17" i="11"/>
  <c r="BG33" i="3" s="1"/>
  <c r="AW97" i="6"/>
  <c r="BP97" i="6"/>
  <c r="AZ97" i="6"/>
  <c r="AJ97" i="6"/>
  <c r="T97" i="6"/>
  <c r="AF95" i="6"/>
  <c r="AF97" i="6" s="1"/>
  <c r="BQ13" i="13"/>
  <c r="AA21" i="11"/>
  <c r="AB22" i="11"/>
  <c r="AQ13" i="11"/>
  <c r="AR14" i="11"/>
  <c r="AE97" i="6"/>
  <c r="W97" i="6"/>
  <c r="F8" i="1"/>
  <c r="H39" i="2"/>
  <c r="BA97" i="6"/>
  <c r="AQ97" i="6"/>
  <c r="BK97" i="6"/>
  <c r="BS49" i="3"/>
  <c r="BS41" i="3"/>
  <c r="E79" i="16"/>
  <c r="C159" i="16"/>
  <c r="D159" i="16" s="1"/>
  <c r="C163" i="16"/>
  <c r="D163" i="16" s="1"/>
  <c r="C158" i="16"/>
  <c r="D158" i="16" s="1"/>
  <c r="E110" i="16"/>
  <c r="E108" i="16"/>
  <c r="C161" i="16"/>
  <c r="D161" i="16" s="1"/>
  <c r="O68" i="16"/>
  <c r="P68" i="16" s="1"/>
  <c r="J68" i="16"/>
  <c r="O55" i="16"/>
  <c r="P55" i="16" s="1"/>
  <c r="J55" i="16"/>
  <c r="E88" i="16"/>
  <c r="G110" i="16"/>
  <c r="H110" i="16" s="1"/>
  <c r="M69" i="16"/>
  <c r="N69" i="16"/>
  <c r="K77" i="16"/>
  <c r="L77" i="16"/>
  <c r="U77" i="16"/>
  <c r="AA77" i="16" s="1"/>
  <c r="G102" i="16"/>
  <c r="H102" i="16" s="1"/>
  <c r="N61" i="16"/>
  <c r="M61" i="16"/>
  <c r="C160" i="16"/>
  <c r="D160" i="16" s="1"/>
  <c r="O73" i="16"/>
  <c r="P73" i="16" s="1"/>
  <c r="J73" i="16"/>
  <c r="E98" i="16"/>
  <c r="E113" i="16"/>
  <c r="E100" i="16"/>
  <c r="O47" i="16"/>
  <c r="P47" i="16" s="1"/>
  <c r="J47" i="16"/>
  <c r="C157" i="16"/>
  <c r="D157" i="16" s="1"/>
  <c r="E109" i="16"/>
  <c r="I102" i="16"/>
  <c r="R61" i="16"/>
  <c r="Q61" i="16"/>
  <c r="K52" i="16"/>
  <c r="U52" i="16"/>
  <c r="AA52" i="16" s="1"/>
  <c r="L52" i="16"/>
  <c r="K43" i="16"/>
  <c r="U43" i="16"/>
  <c r="AA43" i="16" s="1"/>
  <c r="L43" i="16"/>
  <c r="U74" i="16"/>
  <c r="AA74" i="16" s="1"/>
  <c r="L74" i="16"/>
  <c r="K74" i="16"/>
  <c r="O58" i="16"/>
  <c r="P58" i="16" s="1"/>
  <c r="J58" i="16"/>
  <c r="I118" i="16"/>
  <c r="Q77" i="16"/>
  <c r="R77" i="16"/>
  <c r="E97" i="16"/>
  <c r="L56" i="16"/>
  <c r="K56" i="16"/>
  <c r="U56" i="16"/>
  <c r="AA56" i="16" s="1"/>
  <c r="I94" i="16"/>
  <c r="R53" i="16"/>
  <c r="Q53" i="16"/>
  <c r="G78" i="16"/>
  <c r="G79" i="16" s="1"/>
  <c r="J42" i="16"/>
  <c r="O42" i="16"/>
  <c r="S69" i="16"/>
  <c r="L30" i="16"/>
  <c r="N30" i="16" s="1"/>
  <c r="S65" i="16"/>
  <c r="L26" i="16"/>
  <c r="N26" i="16" s="1"/>
  <c r="I91" i="16"/>
  <c r="R50" i="16"/>
  <c r="Q50" i="16"/>
  <c r="F78" i="16"/>
  <c r="F79" i="16" s="1"/>
  <c r="BS102" i="13"/>
  <c r="BO102" i="13"/>
  <c r="BK102" i="13"/>
  <c r="BF102" i="13"/>
  <c r="BB102" i="13"/>
  <c r="AX102" i="13"/>
  <c r="AS102" i="13"/>
  <c r="AO102" i="13"/>
  <c r="AK102" i="13"/>
  <c r="AF102" i="13"/>
  <c r="AB102" i="13"/>
  <c r="X102" i="13"/>
  <c r="S102" i="13"/>
  <c r="O102" i="13"/>
  <c r="K102" i="13"/>
  <c r="BR102" i="13"/>
  <c r="BN102" i="13"/>
  <c r="BJ102" i="13"/>
  <c r="BE102" i="13"/>
  <c r="BA102" i="13"/>
  <c r="AW102" i="13"/>
  <c r="AR102" i="13"/>
  <c r="AN102" i="13"/>
  <c r="AJ102" i="13"/>
  <c r="AE102" i="13"/>
  <c r="AA102" i="13"/>
  <c r="W102" i="13"/>
  <c r="R102" i="13"/>
  <c r="N102" i="13"/>
  <c r="J102" i="13"/>
  <c r="BQ102" i="13"/>
  <c r="BM102" i="13"/>
  <c r="BI102" i="13"/>
  <c r="BD102" i="13"/>
  <c r="AZ102" i="13"/>
  <c r="AV102" i="13"/>
  <c r="AQ102" i="13"/>
  <c r="AM102" i="13"/>
  <c r="AI102" i="13"/>
  <c r="AD102" i="13"/>
  <c r="Z102" i="13"/>
  <c r="V102" i="13"/>
  <c r="Q102" i="13"/>
  <c r="M102" i="13"/>
  <c r="I102" i="13"/>
  <c r="BP102" i="13"/>
  <c r="BL102" i="13"/>
  <c r="BH102" i="13"/>
  <c r="BC102" i="13"/>
  <c r="AY102" i="13"/>
  <c r="AU102" i="13"/>
  <c r="AP102" i="13"/>
  <c r="AL102" i="13"/>
  <c r="AH102" i="13"/>
  <c r="AC102" i="13"/>
  <c r="Y102" i="13"/>
  <c r="U102" i="13"/>
  <c r="P102" i="13"/>
  <c r="L102" i="13"/>
  <c r="H102" i="13"/>
  <c r="BP95" i="13"/>
  <c r="BL95" i="13"/>
  <c r="BH95" i="13"/>
  <c r="BC95" i="13"/>
  <c r="AY95" i="13"/>
  <c r="AU95" i="13"/>
  <c r="AP95" i="13"/>
  <c r="AL95" i="13"/>
  <c r="AH95" i="13"/>
  <c r="AC95" i="13"/>
  <c r="Y95" i="13"/>
  <c r="U95" i="13"/>
  <c r="P95" i="13"/>
  <c r="L95" i="13"/>
  <c r="H95" i="13"/>
  <c r="BS95" i="13"/>
  <c r="BO95" i="13"/>
  <c r="BK95" i="13"/>
  <c r="BF95" i="13"/>
  <c r="BB95" i="13"/>
  <c r="AX95" i="13"/>
  <c r="AS95" i="13"/>
  <c r="AO95" i="13"/>
  <c r="AK95" i="13"/>
  <c r="AF95" i="13"/>
  <c r="AB95" i="13"/>
  <c r="X95" i="13"/>
  <c r="S95" i="13"/>
  <c r="O95" i="13"/>
  <c r="K95" i="13"/>
  <c r="BR95" i="13"/>
  <c r="BN95" i="13"/>
  <c r="BJ95" i="13"/>
  <c r="BE95" i="13"/>
  <c r="BA95" i="13"/>
  <c r="AW95" i="13"/>
  <c r="AR95" i="13"/>
  <c r="AN95" i="13"/>
  <c r="AJ95" i="13"/>
  <c r="AE95" i="13"/>
  <c r="AA95" i="13"/>
  <c r="W95" i="13"/>
  <c r="R95" i="13"/>
  <c r="N95" i="13"/>
  <c r="J95" i="13"/>
  <c r="BQ95" i="13"/>
  <c r="BM95" i="13"/>
  <c r="BI95" i="13"/>
  <c r="BD95" i="13"/>
  <c r="AZ95" i="13"/>
  <c r="AV95" i="13"/>
  <c r="AQ95" i="13"/>
  <c r="AM95" i="13"/>
  <c r="AI95" i="13"/>
  <c r="AD95" i="13"/>
  <c r="Z95" i="13"/>
  <c r="V95" i="13"/>
  <c r="Q95" i="13"/>
  <c r="M95" i="13"/>
  <c r="I95" i="13"/>
  <c r="BP91" i="13"/>
  <c r="BL91" i="13"/>
  <c r="BH91" i="13"/>
  <c r="BC91" i="13"/>
  <c r="AY91" i="13"/>
  <c r="AU91" i="13"/>
  <c r="AP91" i="13"/>
  <c r="AL91" i="13"/>
  <c r="AH91" i="13"/>
  <c r="AC91" i="13"/>
  <c r="Y91" i="13"/>
  <c r="U91" i="13"/>
  <c r="P91" i="13"/>
  <c r="L91" i="13"/>
  <c r="H91" i="13"/>
  <c r="BS91" i="13"/>
  <c r="BO91" i="13"/>
  <c r="BK91" i="13"/>
  <c r="BF91" i="13"/>
  <c r="BB91" i="13"/>
  <c r="AX91" i="13"/>
  <c r="AS91" i="13"/>
  <c r="AO91" i="13"/>
  <c r="AK91" i="13"/>
  <c r="AF91" i="13"/>
  <c r="AB91" i="13"/>
  <c r="X91" i="13"/>
  <c r="S91" i="13"/>
  <c r="O91" i="13"/>
  <c r="K91" i="13"/>
  <c r="BR91" i="13"/>
  <c r="BN91" i="13"/>
  <c r="BJ91" i="13"/>
  <c r="BE91" i="13"/>
  <c r="BA91" i="13"/>
  <c r="AW91" i="13"/>
  <c r="AR91" i="13"/>
  <c r="AN91" i="13"/>
  <c r="AJ91" i="13"/>
  <c r="AE91" i="13"/>
  <c r="AA91" i="13"/>
  <c r="W91" i="13"/>
  <c r="R91" i="13"/>
  <c r="N91" i="13"/>
  <c r="J91" i="13"/>
  <c r="BQ91" i="13"/>
  <c r="BM91" i="13"/>
  <c r="BI91" i="13"/>
  <c r="BD91" i="13"/>
  <c r="AZ91" i="13"/>
  <c r="AV91" i="13"/>
  <c r="AQ91" i="13"/>
  <c r="AM91" i="13"/>
  <c r="AI91" i="13"/>
  <c r="AD91" i="13"/>
  <c r="Z91" i="13"/>
  <c r="V91" i="13"/>
  <c r="Q91" i="13"/>
  <c r="M91" i="13"/>
  <c r="I91" i="13"/>
  <c r="BP87" i="13"/>
  <c r="BL87" i="13"/>
  <c r="BH87" i="13"/>
  <c r="BC87" i="13"/>
  <c r="AY87" i="13"/>
  <c r="AU87" i="13"/>
  <c r="AP87" i="13"/>
  <c r="AL87" i="13"/>
  <c r="AH87" i="13"/>
  <c r="AC87" i="13"/>
  <c r="Y87" i="13"/>
  <c r="U87" i="13"/>
  <c r="P87" i="13"/>
  <c r="L87" i="13"/>
  <c r="H87" i="13"/>
  <c r="BS87" i="13"/>
  <c r="BO87" i="13"/>
  <c r="BK87" i="13"/>
  <c r="BF87" i="13"/>
  <c r="BB87" i="13"/>
  <c r="AX87" i="13"/>
  <c r="AS87" i="13"/>
  <c r="AO87" i="13"/>
  <c r="AK87" i="13"/>
  <c r="AF87" i="13"/>
  <c r="AB87" i="13"/>
  <c r="X87" i="13"/>
  <c r="S87" i="13"/>
  <c r="O87" i="13"/>
  <c r="K87" i="13"/>
  <c r="BR87" i="13"/>
  <c r="BN87" i="13"/>
  <c r="BJ87" i="13"/>
  <c r="BE87" i="13"/>
  <c r="BA87" i="13"/>
  <c r="AW87" i="13"/>
  <c r="AR87" i="13"/>
  <c r="AN87" i="13"/>
  <c r="AJ87" i="13"/>
  <c r="AE87" i="13"/>
  <c r="AA87" i="13"/>
  <c r="W87" i="13"/>
  <c r="R87" i="13"/>
  <c r="N87" i="13"/>
  <c r="J87" i="13"/>
  <c r="BQ87" i="13"/>
  <c r="BM87" i="13"/>
  <c r="BI87" i="13"/>
  <c r="BD87" i="13"/>
  <c r="AZ87" i="13"/>
  <c r="AV87" i="13"/>
  <c r="AQ87" i="13"/>
  <c r="AM87" i="13"/>
  <c r="AI87" i="13"/>
  <c r="AD87" i="13"/>
  <c r="Z87" i="13"/>
  <c r="V87" i="13"/>
  <c r="Q87" i="13"/>
  <c r="M87" i="13"/>
  <c r="I87" i="13"/>
  <c r="BP83" i="13"/>
  <c r="BL83" i="13"/>
  <c r="BH83" i="13"/>
  <c r="BC83" i="13"/>
  <c r="AY83" i="13"/>
  <c r="AU83" i="13"/>
  <c r="AP83" i="13"/>
  <c r="AL83" i="13"/>
  <c r="AH83" i="13"/>
  <c r="AC83" i="13"/>
  <c r="Y83" i="13"/>
  <c r="U83" i="13"/>
  <c r="P83" i="13"/>
  <c r="L83" i="13"/>
  <c r="H83" i="13"/>
  <c r="BS83" i="13"/>
  <c r="BO83" i="13"/>
  <c r="BK83" i="13"/>
  <c r="BF83" i="13"/>
  <c r="BB83" i="13"/>
  <c r="AX83" i="13"/>
  <c r="AS83" i="13"/>
  <c r="AO83" i="13"/>
  <c r="AK83" i="13"/>
  <c r="AF83" i="13"/>
  <c r="AB83" i="13"/>
  <c r="X83" i="13"/>
  <c r="S83" i="13"/>
  <c r="O83" i="13"/>
  <c r="K83" i="13"/>
  <c r="BR83" i="13"/>
  <c r="BN83" i="13"/>
  <c r="BJ83" i="13"/>
  <c r="BE83" i="13"/>
  <c r="BA83" i="13"/>
  <c r="AW83" i="13"/>
  <c r="AR83" i="13"/>
  <c r="AN83" i="13"/>
  <c r="AJ83" i="13"/>
  <c r="AE83" i="13"/>
  <c r="AA83" i="13"/>
  <c r="W83" i="13"/>
  <c r="R83" i="13"/>
  <c r="N83" i="13"/>
  <c r="J83" i="13"/>
  <c r="BQ83" i="13"/>
  <c r="BM83" i="13"/>
  <c r="BI83" i="13"/>
  <c r="BD83" i="13"/>
  <c r="AZ83" i="13"/>
  <c r="AV83" i="13"/>
  <c r="AQ83" i="13"/>
  <c r="AM83" i="13"/>
  <c r="AI83" i="13"/>
  <c r="AD83" i="13"/>
  <c r="Z83" i="13"/>
  <c r="V83" i="13"/>
  <c r="Q83" i="13"/>
  <c r="M83" i="13"/>
  <c r="I83" i="13"/>
  <c r="AH80" i="13"/>
  <c r="BQ79" i="13"/>
  <c r="BI79" i="13"/>
  <c r="AZ79" i="13"/>
  <c r="AQ79" i="13"/>
  <c r="AI79" i="13"/>
  <c r="Z79" i="13"/>
  <c r="Q79" i="13"/>
  <c r="I79" i="13"/>
  <c r="BP79" i="13"/>
  <c r="BH79" i="13"/>
  <c r="AY79" i="13"/>
  <c r="AP79" i="13"/>
  <c r="AH79" i="13"/>
  <c r="Y79" i="13"/>
  <c r="P79" i="13"/>
  <c r="H79" i="13"/>
  <c r="BM70" i="13"/>
  <c r="AV70" i="13"/>
  <c r="AD70" i="13"/>
  <c r="M70" i="13"/>
  <c r="BI69" i="13"/>
  <c r="AQ69" i="13"/>
  <c r="Z69" i="13"/>
  <c r="I69" i="13"/>
  <c r="Z80" i="13"/>
  <c r="AQ80" i="13"/>
  <c r="BI80" i="13"/>
  <c r="N80" i="13"/>
  <c r="AE80" i="13"/>
  <c r="AW80" i="13"/>
  <c r="BN80" i="13"/>
  <c r="S80" i="13"/>
  <c r="AK80" i="13"/>
  <c r="BB80" i="13"/>
  <c r="BS80" i="13"/>
  <c r="BP80" i="13"/>
  <c r="AM79" i="13"/>
  <c r="J79" i="13"/>
  <c r="AA79" i="13"/>
  <c r="AR79" i="13"/>
  <c r="BJ79" i="13"/>
  <c r="O79" i="13"/>
  <c r="AF79" i="13"/>
  <c r="AX79" i="13"/>
  <c r="BO79" i="13"/>
  <c r="BL70" i="13"/>
  <c r="AU70" i="13"/>
  <c r="AC70" i="13"/>
  <c r="L70" i="13"/>
  <c r="BH69" i="13"/>
  <c r="AP69" i="13"/>
  <c r="Y69" i="13"/>
  <c r="H69" i="13"/>
  <c r="Z68" i="13"/>
  <c r="AI66" i="13"/>
  <c r="BD68" i="13"/>
  <c r="L68" i="13"/>
  <c r="AC68" i="13"/>
  <c r="AU68" i="13"/>
  <c r="BL68" i="13"/>
  <c r="R68" i="13"/>
  <c r="AJ68" i="13"/>
  <c r="BA68" i="13"/>
  <c r="BR68" i="13"/>
  <c r="X68" i="13"/>
  <c r="AO68" i="13"/>
  <c r="BF68" i="13"/>
  <c r="H66" i="13"/>
  <c r="Y66" i="13"/>
  <c r="AP66" i="13"/>
  <c r="BH66" i="13"/>
  <c r="N66" i="13"/>
  <c r="AE66" i="13"/>
  <c r="AW66" i="13"/>
  <c r="BN66" i="13"/>
  <c r="S66" i="13"/>
  <c r="AK66" i="13"/>
  <c r="BB66" i="13"/>
  <c r="BS66" i="13"/>
  <c r="BS61" i="13"/>
  <c r="BO61" i="13"/>
  <c r="BK61" i="13"/>
  <c r="BF61" i="13"/>
  <c r="BB61" i="13"/>
  <c r="AX61" i="13"/>
  <c r="AS61" i="13"/>
  <c r="AO61" i="13"/>
  <c r="AK61" i="13"/>
  <c r="AF61" i="13"/>
  <c r="AB61" i="13"/>
  <c r="X61" i="13"/>
  <c r="S61" i="13"/>
  <c r="O61" i="13"/>
  <c r="K61" i="13"/>
  <c r="BN61" i="13"/>
  <c r="BI61" i="13"/>
  <c r="BC61" i="13"/>
  <c r="AW61" i="13"/>
  <c r="AQ61" i="13"/>
  <c r="AL61" i="13"/>
  <c r="AE61" i="13"/>
  <c r="Z61" i="13"/>
  <c r="U61" i="13"/>
  <c r="N61" i="13"/>
  <c r="I61" i="13"/>
  <c r="BR61" i="13"/>
  <c r="BM61" i="13"/>
  <c r="BH61" i="13"/>
  <c r="BA61" i="13"/>
  <c r="AV61" i="13"/>
  <c r="AP61" i="13"/>
  <c r="AJ61" i="13"/>
  <c r="AD61" i="13"/>
  <c r="Y61" i="13"/>
  <c r="R61" i="13"/>
  <c r="M61" i="13"/>
  <c r="H61" i="13"/>
  <c r="BP61" i="13"/>
  <c r="BJ61" i="13"/>
  <c r="BD61" i="13"/>
  <c r="AY61" i="13"/>
  <c r="AR61" i="13"/>
  <c r="AM61" i="13"/>
  <c r="AH61" i="13"/>
  <c r="AA61" i="13"/>
  <c r="V61" i="13"/>
  <c r="P61" i="13"/>
  <c r="J61" i="13"/>
  <c r="BQ61" i="13"/>
  <c r="AU61" i="13"/>
  <c r="W61" i="13"/>
  <c r="BL61" i="13"/>
  <c r="AN61" i="13"/>
  <c r="Q61" i="13"/>
  <c r="BE61" i="13"/>
  <c r="AI61" i="13"/>
  <c r="L61" i="13"/>
  <c r="AZ61" i="13"/>
  <c r="AC61" i="13"/>
  <c r="BD67" i="13"/>
  <c r="BR40" i="13"/>
  <c r="BN40" i="13"/>
  <c r="BJ40" i="13"/>
  <c r="BE40" i="13"/>
  <c r="BA40" i="13"/>
  <c r="AW40" i="13"/>
  <c r="AR40" i="13"/>
  <c r="AN40" i="13"/>
  <c r="AJ40" i="13"/>
  <c r="AE40" i="13"/>
  <c r="AA40" i="13"/>
  <c r="W40" i="13"/>
  <c r="R40" i="13"/>
  <c r="N40" i="13"/>
  <c r="J40" i="13"/>
  <c r="BQ40" i="13"/>
  <c r="BM40" i="13"/>
  <c r="BI40" i="13"/>
  <c r="BD40" i="13"/>
  <c r="AZ40" i="13"/>
  <c r="AV40" i="13"/>
  <c r="AQ40" i="13"/>
  <c r="AM40" i="13"/>
  <c r="AI40" i="13"/>
  <c r="AD40" i="13"/>
  <c r="Z40" i="13"/>
  <c r="V40" i="13"/>
  <c r="Q40" i="13"/>
  <c r="M40" i="13"/>
  <c r="I40" i="13"/>
  <c r="BP40" i="13"/>
  <c r="BL40" i="13"/>
  <c r="BH40" i="13"/>
  <c r="BC40" i="13"/>
  <c r="AY40" i="13"/>
  <c r="AU40" i="13"/>
  <c r="AP40" i="13"/>
  <c r="AL40" i="13"/>
  <c r="AH40" i="13"/>
  <c r="AC40" i="13"/>
  <c r="Y40" i="13"/>
  <c r="U40" i="13"/>
  <c r="P40" i="13"/>
  <c r="L40" i="13"/>
  <c r="H40" i="13"/>
  <c r="BS40" i="13"/>
  <c r="BO40" i="13"/>
  <c r="BK40" i="13"/>
  <c r="BF40" i="13"/>
  <c r="BB40" i="13"/>
  <c r="AX40" i="13"/>
  <c r="AS40" i="13"/>
  <c r="AO40" i="13"/>
  <c r="AK40" i="13"/>
  <c r="AF40" i="13"/>
  <c r="AB40" i="13"/>
  <c r="X40" i="13"/>
  <c r="S40" i="13"/>
  <c r="O40" i="13"/>
  <c r="K40" i="13"/>
  <c r="BR36" i="13"/>
  <c r="BN36" i="13"/>
  <c r="BJ36" i="13"/>
  <c r="BE36" i="13"/>
  <c r="BA36" i="13"/>
  <c r="AW36" i="13"/>
  <c r="AR36" i="13"/>
  <c r="AN36" i="13"/>
  <c r="AJ36" i="13"/>
  <c r="AE36" i="13"/>
  <c r="AA36" i="13"/>
  <c r="W36" i="13"/>
  <c r="R36" i="13"/>
  <c r="N36" i="13"/>
  <c r="J36" i="13"/>
  <c r="BQ36" i="13"/>
  <c r="BM36" i="13"/>
  <c r="BI36" i="13"/>
  <c r="BD36" i="13"/>
  <c r="AZ36" i="13"/>
  <c r="AV36" i="13"/>
  <c r="AQ36" i="13"/>
  <c r="AM36" i="13"/>
  <c r="AI36" i="13"/>
  <c r="AD36" i="13"/>
  <c r="Z36" i="13"/>
  <c r="V36" i="13"/>
  <c r="Q36" i="13"/>
  <c r="M36" i="13"/>
  <c r="I36" i="13"/>
  <c r="BP36" i="13"/>
  <c r="BL36" i="13"/>
  <c r="BH36" i="13"/>
  <c r="BC36" i="13"/>
  <c r="AY36" i="13"/>
  <c r="AU36" i="13"/>
  <c r="AP36" i="13"/>
  <c r="AL36" i="13"/>
  <c r="AH36" i="13"/>
  <c r="AC36" i="13"/>
  <c r="Y36" i="13"/>
  <c r="U36" i="13"/>
  <c r="P36" i="13"/>
  <c r="L36" i="13"/>
  <c r="H36" i="13"/>
  <c r="BK36" i="13"/>
  <c r="AS36" i="13"/>
  <c r="AB36" i="13"/>
  <c r="K36" i="13"/>
  <c r="BF36" i="13"/>
  <c r="AO36" i="13"/>
  <c r="X36" i="13"/>
  <c r="BS36" i="13"/>
  <c r="BB36" i="13"/>
  <c r="AK36" i="13"/>
  <c r="S36" i="13"/>
  <c r="AX36" i="13"/>
  <c r="AF36" i="13"/>
  <c r="O36" i="13"/>
  <c r="BO36" i="13"/>
  <c r="AI67" i="13"/>
  <c r="Z67" i="13"/>
  <c r="AD67" i="13"/>
  <c r="L67" i="13"/>
  <c r="AC67" i="13"/>
  <c r="AU67" i="13"/>
  <c r="BL67" i="13"/>
  <c r="R67" i="13"/>
  <c r="AJ67" i="13"/>
  <c r="BA67" i="13"/>
  <c r="BR67" i="13"/>
  <c r="X67" i="13"/>
  <c r="AO67" i="13"/>
  <c r="BF67" i="13"/>
  <c r="BR28" i="13"/>
  <c r="BN28" i="13"/>
  <c r="BJ28" i="13"/>
  <c r="BE28" i="13"/>
  <c r="BA28" i="13"/>
  <c r="AW28" i="13"/>
  <c r="AR28" i="13"/>
  <c r="AN28" i="13"/>
  <c r="AJ28" i="13"/>
  <c r="AE28" i="13"/>
  <c r="AA28" i="13"/>
  <c r="W28" i="13"/>
  <c r="R28" i="13"/>
  <c r="N28" i="13"/>
  <c r="J28" i="13"/>
  <c r="BQ28" i="13"/>
  <c r="BL28" i="13"/>
  <c r="BF28" i="13"/>
  <c r="AZ28" i="13"/>
  <c r="AU28" i="13"/>
  <c r="AO28" i="13"/>
  <c r="AI28" i="13"/>
  <c r="AC28" i="13"/>
  <c r="X28" i="13"/>
  <c r="Q28" i="13"/>
  <c r="L28" i="13"/>
  <c r="BP28" i="13"/>
  <c r="BK28" i="13"/>
  <c r="BD28" i="13"/>
  <c r="AY28" i="13"/>
  <c r="AS28" i="13"/>
  <c r="AM28" i="13"/>
  <c r="AH28" i="13"/>
  <c r="AB28" i="13"/>
  <c r="V28" i="13"/>
  <c r="P28" i="13"/>
  <c r="K28" i="13"/>
  <c r="BO28" i="13"/>
  <c r="BI28" i="13"/>
  <c r="BC28" i="13"/>
  <c r="AX28" i="13"/>
  <c r="AQ28" i="13"/>
  <c r="AL28" i="13"/>
  <c r="AF28" i="13"/>
  <c r="Z28" i="13"/>
  <c r="U28" i="13"/>
  <c r="O28" i="13"/>
  <c r="I28" i="13"/>
  <c r="BH28" i="13"/>
  <c r="AK28" i="13"/>
  <c r="M28" i="13"/>
  <c r="BB28" i="13"/>
  <c r="AD28" i="13"/>
  <c r="H28" i="13"/>
  <c r="BS28" i="13"/>
  <c r="AV28" i="13"/>
  <c r="Y28" i="13"/>
  <c r="BM28" i="13"/>
  <c r="AP28" i="13"/>
  <c r="S28" i="13"/>
  <c r="I24" i="13"/>
  <c r="BM24" i="13"/>
  <c r="AV24" i="13"/>
  <c r="AD24" i="13"/>
  <c r="M24" i="13"/>
  <c r="BI20" i="13"/>
  <c r="AQ20" i="13"/>
  <c r="Z20" i="13"/>
  <c r="I20" i="13"/>
  <c r="AV20" i="13"/>
  <c r="AD20" i="13"/>
  <c r="M20" i="13"/>
  <c r="BM20" i="13"/>
  <c r="BI16" i="13"/>
  <c r="AQ16" i="13"/>
  <c r="Z16" i="13"/>
  <c r="I16" i="13"/>
  <c r="AD16" i="13"/>
  <c r="M16" i="13"/>
  <c r="BM16" i="13"/>
  <c r="AV16" i="13"/>
  <c r="BI12" i="13"/>
  <c r="AQ12" i="13"/>
  <c r="Z12" i="13"/>
  <c r="I12" i="13"/>
  <c r="M12" i="13"/>
  <c r="BM12" i="13"/>
  <c r="AV12" i="13"/>
  <c r="AD12" i="13"/>
  <c r="BI8" i="13"/>
  <c r="AQ8" i="13"/>
  <c r="Z8" i="13"/>
  <c r="I8" i="13"/>
  <c r="BM8" i="13"/>
  <c r="AV8" i="13"/>
  <c r="AD8" i="13"/>
  <c r="M8" i="13"/>
  <c r="J25" i="13"/>
  <c r="AF25" i="13"/>
  <c r="BC25" i="13"/>
  <c r="P25" i="13"/>
  <c r="AM25" i="13"/>
  <c r="BK25" i="13"/>
  <c r="Q25" i="13"/>
  <c r="AO25" i="13"/>
  <c r="BL25" i="13"/>
  <c r="W25" i="13"/>
  <c r="AN25" i="13"/>
  <c r="BE25" i="13"/>
  <c r="BI24" i="13"/>
  <c r="AV23" i="13"/>
  <c r="BD21" i="13"/>
  <c r="N21" i="13"/>
  <c r="AE21" i="13"/>
  <c r="AW21" i="13"/>
  <c r="BN21" i="13"/>
  <c r="S21" i="13"/>
  <c r="AK21" i="13"/>
  <c r="BB21" i="13"/>
  <c r="BS21" i="13"/>
  <c r="U21" i="13"/>
  <c r="AL21" i="13"/>
  <c r="BC21" i="13"/>
  <c r="J17" i="13"/>
  <c r="AA17" i="13"/>
  <c r="AR17" i="13"/>
  <c r="BJ17" i="13"/>
  <c r="O17" i="13"/>
  <c r="AF17" i="13"/>
  <c r="AX17" i="13"/>
  <c r="BO17" i="13"/>
  <c r="P17" i="13"/>
  <c r="AH17" i="13"/>
  <c r="AY17" i="13"/>
  <c r="BP17" i="13"/>
  <c r="V13" i="13"/>
  <c r="W13" i="13"/>
  <c r="AN13" i="13"/>
  <c r="BE13" i="13"/>
  <c r="K13" i="13"/>
  <c r="AB13" i="13"/>
  <c r="AS13" i="13"/>
  <c r="BK13" i="13"/>
  <c r="L13" i="13"/>
  <c r="AC13" i="13"/>
  <c r="AU13" i="13"/>
  <c r="BL13" i="13"/>
  <c r="AM9" i="13"/>
  <c r="R9" i="13"/>
  <c r="AJ9" i="13"/>
  <c r="BA9" i="13"/>
  <c r="BR9" i="13"/>
  <c r="X9" i="13"/>
  <c r="AO9" i="13"/>
  <c r="BF9" i="13"/>
  <c r="H9" i="13"/>
  <c r="Y9" i="13"/>
  <c r="AP9" i="13"/>
  <c r="BH9" i="13"/>
  <c r="AT49" i="11"/>
  <c r="BG47" i="11"/>
  <c r="AP25" i="13"/>
  <c r="V24" i="13"/>
  <c r="W24" i="13"/>
  <c r="AN24" i="13"/>
  <c r="BE24" i="13"/>
  <c r="K24" i="13"/>
  <c r="AB24" i="13"/>
  <c r="AS24" i="13"/>
  <c r="BK24" i="13"/>
  <c r="L24" i="13"/>
  <c r="AC24" i="13"/>
  <c r="AU24" i="13"/>
  <c r="BL24" i="13"/>
  <c r="Z23" i="13"/>
  <c r="Q21" i="13"/>
  <c r="V20" i="13"/>
  <c r="W20" i="13"/>
  <c r="AN20" i="13"/>
  <c r="BE20" i="13"/>
  <c r="K20" i="13"/>
  <c r="AB20" i="13"/>
  <c r="AS20" i="13"/>
  <c r="BK20" i="13"/>
  <c r="L20" i="13"/>
  <c r="AC20" i="13"/>
  <c r="AU20" i="13"/>
  <c r="BL20" i="13"/>
  <c r="Z19" i="13"/>
  <c r="Q17" i="13"/>
  <c r="V16" i="13"/>
  <c r="W16" i="13"/>
  <c r="AN16" i="13"/>
  <c r="BE16" i="13"/>
  <c r="K16" i="13"/>
  <c r="AB16" i="13"/>
  <c r="AS16" i="13"/>
  <c r="BK16" i="13"/>
  <c r="L16" i="13"/>
  <c r="AC16" i="13"/>
  <c r="AU16" i="13"/>
  <c r="BL16" i="13"/>
  <c r="Z15" i="13"/>
  <c r="Q13" i="13"/>
  <c r="V12" i="13"/>
  <c r="W12" i="13"/>
  <c r="AN12" i="13"/>
  <c r="BE12" i="13"/>
  <c r="K12" i="13"/>
  <c r="AB12" i="13"/>
  <c r="AS12" i="13"/>
  <c r="BK12" i="13"/>
  <c r="L12" i="13"/>
  <c r="AC12" i="13"/>
  <c r="AU12" i="13"/>
  <c r="BL12" i="13"/>
  <c r="Z11" i="13"/>
  <c r="Q9" i="13"/>
  <c r="V8" i="13"/>
  <c r="W8" i="13"/>
  <c r="AN8" i="13"/>
  <c r="BE8" i="13"/>
  <c r="K8" i="13"/>
  <c r="AB8" i="13"/>
  <c r="AS8" i="13"/>
  <c r="BK8" i="13"/>
  <c r="L8" i="13"/>
  <c r="AC8" i="13"/>
  <c r="AU8" i="13"/>
  <c r="BL8" i="13"/>
  <c r="BI53" i="11"/>
  <c r="AX53" i="11"/>
  <c r="AI53" i="11"/>
  <c r="AY53" i="11"/>
  <c r="BH25" i="13"/>
  <c r="AI24" i="13"/>
  <c r="AM23" i="13"/>
  <c r="R23" i="13"/>
  <c r="AJ23" i="13"/>
  <c r="BA23" i="13"/>
  <c r="BR23" i="13"/>
  <c r="X23" i="13"/>
  <c r="AO23" i="13"/>
  <c r="BF23" i="13"/>
  <c r="H23" i="13"/>
  <c r="Y23" i="13"/>
  <c r="AP23" i="13"/>
  <c r="AV21" i="13"/>
  <c r="AI20" i="13"/>
  <c r="AM19" i="13"/>
  <c r="R19" i="13"/>
  <c r="AJ19" i="13"/>
  <c r="BA19" i="13"/>
  <c r="BR19" i="13"/>
  <c r="X19" i="13"/>
  <c r="AO19" i="13"/>
  <c r="BF19" i="13"/>
  <c r="H19" i="13"/>
  <c r="Y19" i="13"/>
  <c r="AP19" i="13"/>
  <c r="AV17" i="13"/>
  <c r="AI16" i="13"/>
  <c r="AM15" i="13"/>
  <c r="R15" i="13"/>
  <c r="AJ15" i="13"/>
  <c r="BA15" i="13"/>
  <c r="BR15" i="13"/>
  <c r="X15" i="13"/>
  <c r="AO15" i="13"/>
  <c r="BF15" i="13"/>
  <c r="H15" i="13"/>
  <c r="Y15" i="13"/>
  <c r="AP15" i="13"/>
  <c r="AV13" i="13"/>
  <c r="AI12" i="13"/>
  <c r="AM11" i="13"/>
  <c r="R11" i="13"/>
  <c r="AJ11" i="13"/>
  <c r="BA11" i="13"/>
  <c r="BR11" i="13"/>
  <c r="X11" i="13"/>
  <c r="AO11" i="13"/>
  <c r="BF11" i="13"/>
  <c r="H11" i="13"/>
  <c r="Y11" i="13"/>
  <c r="AP11" i="13"/>
  <c r="AV9" i="13"/>
  <c r="AI8" i="13"/>
  <c r="BQ17" i="13"/>
  <c r="Z10" i="13"/>
  <c r="AD10" i="13"/>
  <c r="AI10" i="13"/>
  <c r="N10" i="13"/>
  <c r="AE10" i="13"/>
  <c r="AW10" i="13"/>
  <c r="BN10" i="13"/>
  <c r="S10" i="13"/>
  <c r="AK10" i="13"/>
  <c r="BB10" i="13"/>
  <c r="BS10" i="13"/>
  <c r="U10" i="13"/>
  <c r="AL10" i="13"/>
  <c r="BC10" i="13"/>
  <c r="BQ8" i="13"/>
  <c r="AG35" i="11"/>
  <c r="BG25" i="11"/>
  <c r="BI14" i="13"/>
  <c r="BM14" i="13"/>
  <c r="BQ14" i="13"/>
  <c r="W14" i="13"/>
  <c r="AN14" i="13"/>
  <c r="BE14" i="13"/>
  <c r="K14" i="13"/>
  <c r="AB14" i="13"/>
  <c r="AS14" i="13"/>
  <c r="BK14" i="13"/>
  <c r="L14" i="13"/>
  <c r="AC14" i="13"/>
  <c r="AU14" i="13"/>
  <c r="BL14" i="13"/>
  <c r="BN44" i="11"/>
  <c r="BM43" i="11"/>
  <c r="BM53" i="11" s="1"/>
  <c r="Y41" i="11"/>
  <c r="W26" i="3" s="1"/>
  <c r="AG27" i="11"/>
  <c r="I18" i="13"/>
  <c r="M18" i="13"/>
  <c r="Q18" i="13"/>
  <c r="J18" i="13"/>
  <c r="AA18" i="13"/>
  <c r="AR18" i="13"/>
  <c r="BJ18" i="13"/>
  <c r="O18" i="13"/>
  <c r="AF18" i="13"/>
  <c r="AX18" i="13"/>
  <c r="BO18" i="13"/>
  <c r="P18" i="13"/>
  <c r="AH18" i="13"/>
  <c r="AY18" i="13"/>
  <c r="BP18" i="13"/>
  <c r="BQ41" i="11"/>
  <c r="J41" i="11"/>
  <c r="H26" i="3" s="1"/>
  <c r="Z41" i="11"/>
  <c r="BJ41" i="11"/>
  <c r="BH26" i="3" s="1"/>
  <c r="O41" i="11"/>
  <c r="AU41" i="11"/>
  <c r="AS26" i="3" s="1"/>
  <c r="BG31" i="11"/>
  <c r="BO41" i="11"/>
  <c r="P41" i="11"/>
  <c r="AJ41" i="11"/>
  <c r="AZ41" i="11"/>
  <c r="BP41" i="11"/>
  <c r="AT25" i="11"/>
  <c r="BT15" i="11"/>
  <c r="AM22" i="13"/>
  <c r="AQ22" i="13"/>
  <c r="AV22" i="13"/>
  <c r="AZ22" i="13"/>
  <c r="R22" i="13"/>
  <c r="AJ22" i="13"/>
  <c r="BA22" i="13"/>
  <c r="BR22" i="13"/>
  <c r="X22" i="13"/>
  <c r="AO22" i="13"/>
  <c r="BF22" i="13"/>
  <c r="H22" i="13"/>
  <c r="Y22" i="13"/>
  <c r="AP22" i="13"/>
  <c r="BH22" i="13"/>
  <c r="W29" i="11"/>
  <c r="U25" i="3" s="1"/>
  <c r="AX29" i="11"/>
  <c r="AV25" i="3" s="1"/>
  <c r="AJ29" i="11"/>
  <c r="AH25" i="3" s="1"/>
  <c r="AG19" i="11"/>
  <c r="U29" i="11"/>
  <c r="S25" i="3" s="1"/>
  <c r="AO29" i="11"/>
  <c r="AM25" i="3" s="1"/>
  <c r="AA13" i="11"/>
  <c r="AB14" i="11"/>
  <c r="BK58" i="11"/>
  <c r="BL8" i="11"/>
  <c r="BK7" i="11"/>
  <c r="BK17" i="11" s="1"/>
  <c r="BI33" i="3" s="1"/>
  <c r="K53" i="3"/>
  <c r="L9" i="2"/>
  <c r="T36" i="7"/>
  <c r="H73" i="7"/>
  <c r="T73" i="7" s="1"/>
  <c r="AE34" i="11"/>
  <c r="AD33" i="11"/>
  <c r="AW41" i="11"/>
  <c r="AG11" i="11"/>
  <c r="AX58" i="11"/>
  <c r="AY8" i="11"/>
  <c r="K7" i="11"/>
  <c r="K17" i="11" s="1"/>
  <c r="I33" i="3" s="1"/>
  <c r="S95" i="6"/>
  <c r="G97" i="6"/>
  <c r="H75" i="6"/>
  <c r="BP22" i="11"/>
  <c r="BO21" i="11"/>
  <c r="AZ14" i="11"/>
  <c r="AY13" i="11"/>
  <c r="H17" i="11"/>
  <c r="F33" i="3" s="1"/>
  <c r="BH17" i="11"/>
  <c r="BF33" i="3" s="1"/>
  <c r="AH17" i="11"/>
  <c r="AF33" i="3" s="1"/>
  <c r="BR97" i="6"/>
  <c r="AL97" i="6"/>
  <c r="BL97" i="6"/>
  <c r="AV97" i="6"/>
  <c r="R24" i="11"/>
  <c r="Q23" i="11"/>
  <c r="BF16" i="11"/>
  <c r="BF15" i="11" s="1"/>
  <c r="BE15" i="11"/>
  <c r="X58" i="11"/>
  <c r="BE97" i="6"/>
  <c r="AI97" i="6"/>
  <c r="BT89" i="6"/>
  <c r="AS53" i="6"/>
  <c r="O71" i="16"/>
  <c r="P71" i="16" s="1"/>
  <c r="J71" i="16"/>
  <c r="E114" i="16"/>
  <c r="E94" i="16"/>
  <c r="O54" i="16"/>
  <c r="P54" i="16" s="1"/>
  <c r="J54" i="16"/>
  <c r="E116" i="16"/>
  <c r="U51" i="16"/>
  <c r="AA51" i="16" s="1"/>
  <c r="L51" i="16"/>
  <c r="K51" i="16"/>
  <c r="I115" i="16"/>
  <c r="R74" i="16"/>
  <c r="Q74" i="16"/>
  <c r="U75" i="16"/>
  <c r="AA75" i="16" s="1"/>
  <c r="L75" i="16"/>
  <c r="K75" i="16"/>
  <c r="E101" i="16"/>
  <c r="I97" i="16"/>
  <c r="Q56" i="16"/>
  <c r="R56" i="16"/>
  <c r="I87" i="16"/>
  <c r="R46" i="16"/>
  <c r="Q46" i="16"/>
  <c r="K50" i="16"/>
  <c r="L50" i="16"/>
  <c r="U50" i="16"/>
  <c r="AA50" i="16" s="1"/>
  <c r="E90" i="16"/>
  <c r="M10" i="14"/>
  <c r="N11" i="14"/>
  <c r="BS101" i="13"/>
  <c r="BO101" i="13"/>
  <c r="BK101" i="13"/>
  <c r="BF101" i="13"/>
  <c r="BB101" i="13"/>
  <c r="AX101" i="13"/>
  <c r="AS101" i="13"/>
  <c r="AO101" i="13"/>
  <c r="AK101" i="13"/>
  <c r="AF101" i="13"/>
  <c r="AB101" i="13"/>
  <c r="X101" i="13"/>
  <c r="S101" i="13"/>
  <c r="O101" i="13"/>
  <c r="K101" i="13"/>
  <c r="BR101" i="13"/>
  <c r="BN101" i="13"/>
  <c r="BJ101" i="13"/>
  <c r="BE101" i="13"/>
  <c r="BA101" i="13"/>
  <c r="AW101" i="13"/>
  <c r="AR101" i="13"/>
  <c r="AN101" i="13"/>
  <c r="AJ101" i="13"/>
  <c r="AE101" i="13"/>
  <c r="AA101" i="13"/>
  <c r="W101" i="13"/>
  <c r="R101" i="13"/>
  <c r="N101" i="13"/>
  <c r="J101" i="13"/>
  <c r="BQ101" i="13"/>
  <c r="BM101" i="13"/>
  <c r="BI101" i="13"/>
  <c r="BD101" i="13"/>
  <c r="AZ101" i="13"/>
  <c r="AV101" i="13"/>
  <c r="AQ101" i="13"/>
  <c r="AM101" i="13"/>
  <c r="AI101" i="13"/>
  <c r="AD101" i="13"/>
  <c r="Z101" i="13"/>
  <c r="V101" i="13"/>
  <c r="Q101" i="13"/>
  <c r="M101" i="13"/>
  <c r="I101" i="13"/>
  <c r="BP101" i="13"/>
  <c r="BL101" i="13"/>
  <c r="BH101" i="13"/>
  <c r="BC101" i="13"/>
  <c r="AY101" i="13"/>
  <c r="AU101" i="13"/>
  <c r="AP101" i="13"/>
  <c r="AL101" i="13"/>
  <c r="AH101" i="13"/>
  <c r="AC101" i="13"/>
  <c r="Y101" i="13"/>
  <c r="U101" i="13"/>
  <c r="P101" i="13"/>
  <c r="L101" i="13"/>
  <c r="H101" i="13"/>
  <c r="BP94" i="13"/>
  <c r="BL94" i="13"/>
  <c r="BH94" i="13"/>
  <c r="BC94" i="13"/>
  <c r="AY94" i="13"/>
  <c r="AU94" i="13"/>
  <c r="AP94" i="13"/>
  <c r="AL94" i="13"/>
  <c r="AH94" i="13"/>
  <c r="AC94" i="13"/>
  <c r="Y94" i="13"/>
  <c r="U94" i="13"/>
  <c r="P94" i="13"/>
  <c r="L94" i="13"/>
  <c r="H94" i="13"/>
  <c r="BS94" i="13"/>
  <c r="BO94" i="13"/>
  <c r="BK94" i="13"/>
  <c r="BF94" i="13"/>
  <c r="BB94" i="13"/>
  <c r="AX94" i="13"/>
  <c r="AS94" i="13"/>
  <c r="AO94" i="13"/>
  <c r="AK94" i="13"/>
  <c r="AF94" i="13"/>
  <c r="AB94" i="13"/>
  <c r="X94" i="13"/>
  <c r="S94" i="13"/>
  <c r="O94" i="13"/>
  <c r="K94" i="13"/>
  <c r="BR94" i="13"/>
  <c r="BN94" i="13"/>
  <c r="BJ94" i="13"/>
  <c r="BE94" i="13"/>
  <c r="BA94" i="13"/>
  <c r="AW94" i="13"/>
  <c r="AR94" i="13"/>
  <c r="AN94" i="13"/>
  <c r="AJ94" i="13"/>
  <c r="AE94" i="13"/>
  <c r="AA94" i="13"/>
  <c r="W94" i="13"/>
  <c r="R94" i="13"/>
  <c r="N94" i="13"/>
  <c r="J94" i="13"/>
  <c r="BQ94" i="13"/>
  <c r="BM94" i="13"/>
  <c r="BI94" i="13"/>
  <c r="BD94" i="13"/>
  <c r="AZ94" i="13"/>
  <c r="AV94" i="13"/>
  <c r="AQ94" i="13"/>
  <c r="AM94" i="13"/>
  <c r="AI94" i="13"/>
  <c r="AD94" i="13"/>
  <c r="Z94" i="13"/>
  <c r="V94" i="13"/>
  <c r="Q94" i="13"/>
  <c r="M94" i="13"/>
  <c r="I94" i="13"/>
  <c r="BP90" i="13"/>
  <c r="BL90" i="13"/>
  <c r="BH90" i="13"/>
  <c r="BC90" i="13"/>
  <c r="AY90" i="13"/>
  <c r="AU90" i="13"/>
  <c r="AP90" i="13"/>
  <c r="AL90" i="13"/>
  <c r="AH90" i="13"/>
  <c r="AC90" i="13"/>
  <c r="Y90" i="13"/>
  <c r="U90" i="13"/>
  <c r="P90" i="13"/>
  <c r="L90" i="13"/>
  <c r="H90" i="13"/>
  <c r="BS90" i="13"/>
  <c r="BO90" i="13"/>
  <c r="BK90" i="13"/>
  <c r="BF90" i="13"/>
  <c r="BB90" i="13"/>
  <c r="AX90" i="13"/>
  <c r="AS90" i="13"/>
  <c r="AO90" i="13"/>
  <c r="AK90" i="13"/>
  <c r="AF90" i="13"/>
  <c r="AB90" i="13"/>
  <c r="X90" i="13"/>
  <c r="S90" i="13"/>
  <c r="O90" i="13"/>
  <c r="K90" i="13"/>
  <c r="BR90" i="13"/>
  <c r="BN90" i="13"/>
  <c r="BJ90" i="13"/>
  <c r="BE90" i="13"/>
  <c r="BA90" i="13"/>
  <c r="AW90" i="13"/>
  <c r="AR90" i="13"/>
  <c r="AN90" i="13"/>
  <c r="AJ90" i="13"/>
  <c r="AE90" i="13"/>
  <c r="AA90" i="13"/>
  <c r="W90" i="13"/>
  <c r="R90" i="13"/>
  <c r="N90" i="13"/>
  <c r="J90" i="13"/>
  <c r="BQ90" i="13"/>
  <c r="BM90" i="13"/>
  <c r="BI90" i="13"/>
  <c r="BD90" i="13"/>
  <c r="AZ90" i="13"/>
  <c r="AV90" i="13"/>
  <c r="AQ90" i="13"/>
  <c r="AM90" i="13"/>
  <c r="AI90" i="13"/>
  <c r="AD90" i="13"/>
  <c r="Z90" i="13"/>
  <c r="V90" i="13"/>
  <c r="Q90" i="13"/>
  <c r="M90" i="13"/>
  <c r="I90" i="13"/>
  <c r="BP86" i="13"/>
  <c r="BL86" i="13"/>
  <c r="BH86" i="13"/>
  <c r="BC86" i="13"/>
  <c r="AY86" i="13"/>
  <c r="AU86" i="13"/>
  <c r="AP86" i="13"/>
  <c r="AL86" i="13"/>
  <c r="AH86" i="13"/>
  <c r="AC86" i="13"/>
  <c r="Y86" i="13"/>
  <c r="U86" i="13"/>
  <c r="P86" i="13"/>
  <c r="L86" i="13"/>
  <c r="H86" i="13"/>
  <c r="BS86" i="13"/>
  <c r="BO86" i="13"/>
  <c r="BK86" i="13"/>
  <c r="BF86" i="13"/>
  <c r="BB86" i="13"/>
  <c r="AX86" i="13"/>
  <c r="AS86" i="13"/>
  <c r="AO86" i="13"/>
  <c r="AK86" i="13"/>
  <c r="AF86" i="13"/>
  <c r="AB86" i="13"/>
  <c r="X86" i="13"/>
  <c r="S86" i="13"/>
  <c r="O86" i="13"/>
  <c r="K86" i="13"/>
  <c r="BR86" i="13"/>
  <c r="BN86" i="13"/>
  <c r="BJ86" i="13"/>
  <c r="BE86" i="13"/>
  <c r="BA86" i="13"/>
  <c r="AW86" i="13"/>
  <c r="AR86" i="13"/>
  <c r="AN86" i="13"/>
  <c r="AJ86" i="13"/>
  <c r="AE86" i="13"/>
  <c r="AA86" i="13"/>
  <c r="W86" i="13"/>
  <c r="R86" i="13"/>
  <c r="N86" i="13"/>
  <c r="J86" i="13"/>
  <c r="BQ86" i="13"/>
  <c r="BM86" i="13"/>
  <c r="BI86" i="13"/>
  <c r="BD86" i="13"/>
  <c r="AZ86" i="13"/>
  <c r="AV86" i="13"/>
  <c r="AQ86" i="13"/>
  <c r="AM86" i="13"/>
  <c r="AI86" i="13"/>
  <c r="AD86" i="13"/>
  <c r="Z86" i="13"/>
  <c r="V86" i="13"/>
  <c r="Q86" i="13"/>
  <c r="M86" i="13"/>
  <c r="I86" i="13"/>
  <c r="BP82" i="13"/>
  <c r="BL82" i="13"/>
  <c r="BH82" i="13"/>
  <c r="BC82" i="13"/>
  <c r="AY82" i="13"/>
  <c r="AU82" i="13"/>
  <c r="AP82" i="13"/>
  <c r="AL82" i="13"/>
  <c r="AH82" i="13"/>
  <c r="AC82" i="13"/>
  <c r="Y82" i="13"/>
  <c r="U82" i="13"/>
  <c r="P82" i="13"/>
  <c r="L82" i="13"/>
  <c r="H82" i="13"/>
  <c r="BS82" i="13"/>
  <c r="BO82" i="13"/>
  <c r="BK82" i="13"/>
  <c r="BF82" i="13"/>
  <c r="BB82" i="13"/>
  <c r="AX82" i="13"/>
  <c r="AS82" i="13"/>
  <c r="AO82" i="13"/>
  <c r="AK82" i="13"/>
  <c r="AF82" i="13"/>
  <c r="AB82" i="13"/>
  <c r="X82" i="13"/>
  <c r="S82" i="13"/>
  <c r="O82" i="13"/>
  <c r="K82" i="13"/>
  <c r="BR82" i="13"/>
  <c r="BN82" i="13"/>
  <c r="BJ82" i="13"/>
  <c r="BE82" i="13"/>
  <c r="BA82" i="13"/>
  <c r="AW82" i="13"/>
  <c r="AR82" i="13"/>
  <c r="AN82" i="13"/>
  <c r="AJ82" i="13"/>
  <c r="AE82" i="13"/>
  <c r="AA82" i="13"/>
  <c r="W82" i="13"/>
  <c r="R82" i="13"/>
  <c r="N82" i="13"/>
  <c r="J82" i="13"/>
  <c r="BQ82" i="13"/>
  <c r="BM82" i="13"/>
  <c r="BI82" i="13"/>
  <c r="BD82" i="13"/>
  <c r="AZ82" i="13"/>
  <c r="AV82" i="13"/>
  <c r="AQ82" i="13"/>
  <c r="AM82" i="13"/>
  <c r="AI82" i="13"/>
  <c r="AD82" i="13"/>
  <c r="Z82" i="13"/>
  <c r="V82" i="13"/>
  <c r="Q82" i="13"/>
  <c r="M82" i="13"/>
  <c r="I82" i="13"/>
  <c r="AI68" i="13"/>
  <c r="Q68" i="13"/>
  <c r="BQ68" i="13"/>
  <c r="AZ68" i="13"/>
  <c r="BI70" i="13"/>
  <c r="AQ70" i="13"/>
  <c r="Z70" i="13"/>
  <c r="I70" i="13"/>
  <c r="BD69" i="13"/>
  <c r="AM69" i="13"/>
  <c r="V69" i="13"/>
  <c r="AL80" i="13"/>
  <c r="AD80" i="13"/>
  <c r="AV80" i="13"/>
  <c r="BM80" i="13"/>
  <c r="R80" i="13"/>
  <c r="AJ80" i="13"/>
  <c r="BA80" i="13"/>
  <c r="BR80" i="13"/>
  <c r="X80" i="13"/>
  <c r="AO80" i="13"/>
  <c r="BF80" i="13"/>
  <c r="BC80" i="13"/>
  <c r="BM79" i="13"/>
  <c r="AD79" i="13"/>
  <c r="N79" i="13"/>
  <c r="AE79" i="13"/>
  <c r="AW79" i="13"/>
  <c r="BN79" i="13"/>
  <c r="S79" i="13"/>
  <c r="AK79" i="13"/>
  <c r="BB79" i="13"/>
  <c r="BS79" i="13"/>
  <c r="BH70" i="13"/>
  <c r="AP70" i="13"/>
  <c r="Y70" i="13"/>
  <c r="H70" i="13"/>
  <c r="BC69" i="13"/>
  <c r="AL69" i="13"/>
  <c r="U69" i="13"/>
  <c r="I68" i="13"/>
  <c r="Q66" i="13"/>
  <c r="AM68" i="13"/>
  <c r="P68" i="13"/>
  <c r="AH68" i="13"/>
  <c r="AY68" i="13"/>
  <c r="BP68" i="13"/>
  <c r="W68" i="13"/>
  <c r="AN68" i="13"/>
  <c r="BE68" i="13"/>
  <c r="K68" i="13"/>
  <c r="AB68" i="13"/>
  <c r="AS68" i="13"/>
  <c r="BK68" i="13"/>
  <c r="BD66" i="13"/>
  <c r="L66" i="13"/>
  <c r="AC66" i="13"/>
  <c r="AU66" i="13"/>
  <c r="BL66" i="13"/>
  <c r="R66" i="13"/>
  <c r="AJ66" i="13"/>
  <c r="BA66" i="13"/>
  <c r="BR66" i="13"/>
  <c r="X66" i="13"/>
  <c r="AO66" i="13"/>
  <c r="BF66" i="13"/>
  <c r="BS60" i="13"/>
  <c r="BO60" i="13"/>
  <c r="BK60" i="13"/>
  <c r="BF60" i="13"/>
  <c r="BB60" i="13"/>
  <c r="AX60" i="13"/>
  <c r="AS60" i="13"/>
  <c r="AO60" i="13"/>
  <c r="AK60" i="13"/>
  <c r="AF60" i="13"/>
  <c r="AB60" i="13"/>
  <c r="X60" i="13"/>
  <c r="S60" i="13"/>
  <c r="O60" i="13"/>
  <c r="K60" i="13"/>
  <c r="BN60" i="13"/>
  <c r="BI60" i="13"/>
  <c r="BC60" i="13"/>
  <c r="AW60" i="13"/>
  <c r="AQ60" i="13"/>
  <c r="AL60" i="13"/>
  <c r="AE60" i="13"/>
  <c r="Z60" i="13"/>
  <c r="U60" i="13"/>
  <c r="N60" i="13"/>
  <c r="I60" i="13"/>
  <c r="BR60" i="13"/>
  <c r="BM60" i="13"/>
  <c r="BH60" i="13"/>
  <c r="BA60" i="13"/>
  <c r="AV60" i="13"/>
  <c r="AP60" i="13"/>
  <c r="AJ60" i="13"/>
  <c r="AD60" i="13"/>
  <c r="Y60" i="13"/>
  <c r="R60" i="13"/>
  <c r="M60" i="13"/>
  <c r="H60" i="13"/>
  <c r="BP60" i="13"/>
  <c r="BJ60" i="13"/>
  <c r="BD60" i="13"/>
  <c r="AY60" i="13"/>
  <c r="AR60" i="13"/>
  <c r="AM60" i="13"/>
  <c r="AH60" i="13"/>
  <c r="AA60" i="13"/>
  <c r="V60" i="13"/>
  <c r="P60" i="13"/>
  <c r="J60" i="13"/>
  <c r="AZ60" i="13"/>
  <c r="AC60" i="13"/>
  <c r="BQ60" i="13"/>
  <c r="AU60" i="13"/>
  <c r="W60" i="13"/>
  <c r="BL60" i="13"/>
  <c r="AN60" i="13"/>
  <c r="Q60" i="13"/>
  <c r="BE60" i="13"/>
  <c r="AI60" i="13"/>
  <c r="L60" i="13"/>
  <c r="BR39" i="13"/>
  <c r="BN39" i="13"/>
  <c r="BJ39" i="13"/>
  <c r="BE39" i="13"/>
  <c r="BA39" i="13"/>
  <c r="AW39" i="13"/>
  <c r="AR39" i="13"/>
  <c r="AN39" i="13"/>
  <c r="AJ39" i="13"/>
  <c r="AE39" i="13"/>
  <c r="AA39" i="13"/>
  <c r="W39" i="13"/>
  <c r="R39" i="13"/>
  <c r="N39" i="13"/>
  <c r="J39" i="13"/>
  <c r="BQ39" i="13"/>
  <c r="BM39" i="13"/>
  <c r="BI39" i="13"/>
  <c r="BD39" i="13"/>
  <c r="AZ39" i="13"/>
  <c r="AV39" i="13"/>
  <c r="AQ39" i="13"/>
  <c r="AM39" i="13"/>
  <c r="AI39" i="13"/>
  <c r="AD39" i="13"/>
  <c r="Z39" i="13"/>
  <c r="V39" i="13"/>
  <c r="Q39" i="13"/>
  <c r="M39" i="13"/>
  <c r="I39" i="13"/>
  <c r="BP39" i="13"/>
  <c r="BL39" i="13"/>
  <c r="BH39" i="13"/>
  <c r="BC39" i="13"/>
  <c r="AY39" i="13"/>
  <c r="AU39" i="13"/>
  <c r="AP39" i="13"/>
  <c r="AL39" i="13"/>
  <c r="AH39" i="13"/>
  <c r="AC39" i="13"/>
  <c r="Y39" i="13"/>
  <c r="U39" i="13"/>
  <c r="P39" i="13"/>
  <c r="L39" i="13"/>
  <c r="H39" i="13"/>
  <c r="BS39" i="13"/>
  <c r="BO39" i="13"/>
  <c r="BK39" i="13"/>
  <c r="BF39" i="13"/>
  <c r="AX39" i="13"/>
  <c r="AF39" i="13"/>
  <c r="O39" i="13"/>
  <c r="AS39" i="13"/>
  <c r="AB39" i="13"/>
  <c r="K39" i="13"/>
  <c r="AO39" i="13"/>
  <c r="X39" i="13"/>
  <c r="AK39" i="13"/>
  <c r="S39" i="13"/>
  <c r="BB39" i="13"/>
  <c r="AZ67" i="13"/>
  <c r="AQ67" i="13"/>
  <c r="AV67" i="13"/>
  <c r="P67" i="13"/>
  <c r="AH67" i="13"/>
  <c r="AY67" i="13"/>
  <c r="BP67" i="13"/>
  <c r="W67" i="13"/>
  <c r="AN67" i="13"/>
  <c r="BE67" i="13"/>
  <c r="K67" i="13"/>
  <c r="AB67" i="13"/>
  <c r="AS67" i="13"/>
  <c r="BR34" i="13"/>
  <c r="BN34" i="13"/>
  <c r="BJ34" i="13"/>
  <c r="BE34" i="13"/>
  <c r="BA34" i="13"/>
  <c r="AW34" i="13"/>
  <c r="AR34" i="13"/>
  <c r="AN34" i="13"/>
  <c r="AJ34" i="13"/>
  <c r="AE34" i="13"/>
  <c r="AA34" i="13"/>
  <c r="W34" i="13"/>
  <c r="R34" i="13"/>
  <c r="N34" i="13"/>
  <c r="J34" i="13"/>
  <c r="BQ34" i="13"/>
  <c r="BM34" i="13"/>
  <c r="BI34" i="13"/>
  <c r="BD34" i="13"/>
  <c r="AZ34" i="13"/>
  <c r="AV34" i="13"/>
  <c r="AQ34" i="13"/>
  <c r="AM34" i="13"/>
  <c r="AI34" i="13"/>
  <c r="AD34" i="13"/>
  <c r="Z34" i="13"/>
  <c r="V34" i="13"/>
  <c r="Q34" i="13"/>
  <c r="M34" i="13"/>
  <c r="I34" i="13"/>
  <c r="BL34" i="13"/>
  <c r="BC34" i="13"/>
  <c r="AU34" i="13"/>
  <c r="AL34" i="13"/>
  <c r="AC34" i="13"/>
  <c r="U34" i="13"/>
  <c r="L34" i="13"/>
  <c r="BS34" i="13"/>
  <c r="BK34" i="13"/>
  <c r="BB34" i="13"/>
  <c r="AS34" i="13"/>
  <c r="AK34" i="13"/>
  <c r="AB34" i="13"/>
  <c r="S34" i="13"/>
  <c r="K34" i="13"/>
  <c r="BP34" i="13"/>
  <c r="BH34" i="13"/>
  <c r="AY34" i="13"/>
  <c r="AP34" i="13"/>
  <c r="AH34" i="13"/>
  <c r="Y34" i="13"/>
  <c r="P34" i="13"/>
  <c r="H34" i="13"/>
  <c r="BF34" i="13"/>
  <c r="X34" i="13"/>
  <c r="AX34" i="13"/>
  <c r="O34" i="13"/>
  <c r="AO34" i="13"/>
  <c r="BO34" i="13"/>
  <c r="AF34" i="13"/>
  <c r="BR32" i="13"/>
  <c r="BN32" i="13"/>
  <c r="BJ32" i="13"/>
  <c r="BE32" i="13"/>
  <c r="BA32" i="13"/>
  <c r="AW32" i="13"/>
  <c r="AR32" i="13"/>
  <c r="AN32" i="13"/>
  <c r="AJ32" i="13"/>
  <c r="AE32" i="13"/>
  <c r="AA32" i="13"/>
  <c r="W32" i="13"/>
  <c r="R32" i="13"/>
  <c r="N32" i="13"/>
  <c r="J32" i="13"/>
  <c r="BQ32" i="13"/>
  <c r="BM32" i="13"/>
  <c r="BI32" i="13"/>
  <c r="BD32" i="13"/>
  <c r="AZ32" i="13"/>
  <c r="AV32" i="13"/>
  <c r="AQ32" i="13"/>
  <c r="AM32" i="13"/>
  <c r="AI32" i="13"/>
  <c r="AD32" i="13"/>
  <c r="Z32" i="13"/>
  <c r="V32" i="13"/>
  <c r="Q32" i="13"/>
  <c r="M32" i="13"/>
  <c r="I32" i="13"/>
  <c r="BL32" i="13"/>
  <c r="BC32" i="13"/>
  <c r="AU32" i="13"/>
  <c r="AL32" i="13"/>
  <c r="AC32" i="13"/>
  <c r="U32" i="13"/>
  <c r="L32" i="13"/>
  <c r="BS32" i="13"/>
  <c r="BK32" i="13"/>
  <c r="BB32" i="13"/>
  <c r="AS32" i="13"/>
  <c r="AK32" i="13"/>
  <c r="AB32" i="13"/>
  <c r="S32" i="13"/>
  <c r="K32" i="13"/>
  <c r="BP32" i="13"/>
  <c r="BH32" i="13"/>
  <c r="AY32" i="13"/>
  <c r="AP32" i="13"/>
  <c r="AH32" i="13"/>
  <c r="Y32" i="13"/>
  <c r="P32" i="13"/>
  <c r="H32" i="13"/>
  <c r="AO32" i="13"/>
  <c r="BO32" i="13"/>
  <c r="AF32" i="13"/>
  <c r="BF32" i="13"/>
  <c r="X32" i="13"/>
  <c r="AX32" i="13"/>
  <c r="O32" i="13"/>
  <c r="BR30" i="13"/>
  <c r="BN30" i="13"/>
  <c r="BJ30" i="13"/>
  <c r="BE30" i="13"/>
  <c r="BA30" i="13"/>
  <c r="AW30" i="13"/>
  <c r="AR30" i="13"/>
  <c r="AN30" i="13"/>
  <c r="AJ30" i="13"/>
  <c r="AE30" i="13"/>
  <c r="AA30" i="13"/>
  <c r="W30" i="13"/>
  <c r="R30" i="13"/>
  <c r="N30" i="13"/>
  <c r="J30" i="13"/>
  <c r="BQ30" i="13"/>
  <c r="BM30" i="13"/>
  <c r="BI30" i="13"/>
  <c r="BD30" i="13"/>
  <c r="AZ30" i="13"/>
  <c r="AV30" i="13"/>
  <c r="AQ30" i="13"/>
  <c r="AM30" i="13"/>
  <c r="AI30" i="13"/>
  <c r="AD30" i="13"/>
  <c r="Z30" i="13"/>
  <c r="V30" i="13"/>
  <c r="Q30" i="13"/>
  <c r="M30" i="13"/>
  <c r="I30" i="13"/>
  <c r="BL30" i="13"/>
  <c r="BC30" i="13"/>
  <c r="AU30" i="13"/>
  <c r="AL30" i="13"/>
  <c r="AC30" i="13"/>
  <c r="U30" i="13"/>
  <c r="L30" i="13"/>
  <c r="BS30" i="13"/>
  <c r="BK30" i="13"/>
  <c r="BB30" i="13"/>
  <c r="AS30" i="13"/>
  <c r="AK30" i="13"/>
  <c r="AB30" i="13"/>
  <c r="S30" i="13"/>
  <c r="K30" i="13"/>
  <c r="BP30" i="13"/>
  <c r="BH30" i="13"/>
  <c r="AY30" i="13"/>
  <c r="AP30" i="13"/>
  <c r="AH30" i="13"/>
  <c r="Y30" i="13"/>
  <c r="P30" i="13"/>
  <c r="H30" i="13"/>
  <c r="BF30" i="13"/>
  <c r="X30" i="13"/>
  <c r="AX30" i="13"/>
  <c r="O30" i="13"/>
  <c r="AO30" i="13"/>
  <c r="BO30" i="13"/>
  <c r="AF30" i="13"/>
  <c r="BR27" i="13"/>
  <c r="BN27" i="13"/>
  <c r="BJ27" i="13"/>
  <c r="BE27" i="13"/>
  <c r="BA27" i="13"/>
  <c r="AW27" i="13"/>
  <c r="AR27" i="13"/>
  <c r="AN27" i="13"/>
  <c r="AJ27" i="13"/>
  <c r="AE27" i="13"/>
  <c r="AA27" i="13"/>
  <c r="W27" i="13"/>
  <c r="R27" i="13"/>
  <c r="N27" i="13"/>
  <c r="J27" i="13"/>
  <c r="BQ27" i="13"/>
  <c r="BL27" i="13"/>
  <c r="BF27" i="13"/>
  <c r="AZ27" i="13"/>
  <c r="AU27" i="13"/>
  <c r="AO27" i="13"/>
  <c r="AI27" i="13"/>
  <c r="AC27" i="13"/>
  <c r="X27" i="13"/>
  <c r="Q27" i="13"/>
  <c r="L27" i="13"/>
  <c r="BP27" i="13"/>
  <c r="BK27" i="13"/>
  <c r="BD27" i="13"/>
  <c r="AY27" i="13"/>
  <c r="AS27" i="13"/>
  <c r="AM27" i="13"/>
  <c r="AH27" i="13"/>
  <c r="AB27" i="13"/>
  <c r="V27" i="13"/>
  <c r="P27" i="13"/>
  <c r="K27" i="13"/>
  <c r="BO27" i="13"/>
  <c r="BI27" i="13"/>
  <c r="BC27" i="13"/>
  <c r="AX27" i="13"/>
  <c r="AQ27" i="13"/>
  <c r="AL27" i="13"/>
  <c r="AF27" i="13"/>
  <c r="Z27" i="13"/>
  <c r="U27" i="13"/>
  <c r="O27" i="13"/>
  <c r="I27" i="13"/>
  <c r="BS27" i="13"/>
  <c r="AV27" i="13"/>
  <c r="Y27" i="13"/>
  <c r="BM27" i="13"/>
  <c r="AP27" i="13"/>
  <c r="S27" i="13"/>
  <c r="BH27" i="13"/>
  <c r="AK27" i="13"/>
  <c r="M27" i="13"/>
  <c r="BB27" i="13"/>
  <c r="AD27" i="13"/>
  <c r="H27" i="13"/>
  <c r="AI23" i="13"/>
  <c r="Q23" i="13"/>
  <c r="BQ23" i="13"/>
  <c r="AZ23" i="13"/>
  <c r="BM19" i="13"/>
  <c r="AV19" i="13"/>
  <c r="AD19" i="13"/>
  <c r="M19" i="13"/>
  <c r="Q19" i="13"/>
  <c r="BQ19" i="13"/>
  <c r="AZ19" i="13"/>
  <c r="AI19" i="13"/>
  <c r="BM15" i="13"/>
  <c r="AV15" i="13"/>
  <c r="AD15" i="13"/>
  <c r="M15" i="13"/>
  <c r="BQ15" i="13"/>
  <c r="AZ15" i="13"/>
  <c r="AI15" i="13"/>
  <c r="Q15" i="13"/>
  <c r="BM11" i="13"/>
  <c r="AV11" i="13"/>
  <c r="AD11" i="13"/>
  <c r="M11" i="13"/>
  <c r="AZ11" i="13"/>
  <c r="AI11" i="13"/>
  <c r="Q11" i="13"/>
  <c r="BQ11" i="13"/>
  <c r="BS25" i="13"/>
  <c r="O25" i="13"/>
  <c r="AL25" i="13"/>
  <c r="BI25" i="13"/>
  <c r="V25" i="13"/>
  <c r="AS25" i="13"/>
  <c r="BP25" i="13"/>
  <c r="X25" i="13"/>
  <c r="AU25" i="13"/>
  <c r="BQ25" i="13"/>
  <c r="AA25" i="13"/>
  <c r="AR25" i="13"/>
  <c r="BJ25" i="13"/>
  <c r="AD23" i="13"/>
  <c r="AM21" i="13"/>
  <c r="R21" i="13"/>
  <c r="AJ21" i="13"/>
  <c r="BA21" i="13"/>
  <c r="BR21" i="13"/>
  <c r="X21" i="13"/>
  <c r="AO21" i="13"/>
  <c r="BF21" i="13"/>
  <c r="H21" i="13"/>
  <c r="Y21" i="13"/>
  <c r="AP21" i="13"/>
  <c r="BH21" i="13"/>
  <c r="BD17" i="13"/>
  <c r="N17" i="13"/>
  <c r="AE17" i="13"/>
  <c r="AW17" i="13"/>
  <c r="BN17" i="13"/>
  <c r="S17" i="13"/>
  <c r="AK17" i="13"/>
  <c r="BB17" i="13"/>
  <c r="BS17" i="13"/>
  <c r="U17" i="13"/>
  <c r="AL17" i="13"/>
  <c r="BC17" i="13"/>
  <c r="J13" i="13"/>
  <c r="AA13" i="13"/>
  <c r="AR13" i="13"/>
  <c r="BJ13" i="13"/>
  <c r="O13" i="13"/>
  <c r="AF13" i="13"/>
  <c r="AX13" i="13"/>
  <c r="BO13" i="13"/>
  <c r="P13" i="13"/>
  <c r="AH13" i="13"/>
  <c r="AY13" i="13"/>
  <c r="BP13" i="13"/>
  <c r="V9" i="13"/>
  <c r="W9" i="13"/>
  <c r="AN9" i="13"/>
  <c r="BE9" i="13"/>
  <c r="K9" i="13"/>
  <c r="AB9" i="13"/>
  <c r="AS9" i="13"/>
  <c r="BK9" i="13"/>
  <c r="L9" i="13"/>
  <c r="AC9" i="13"/>
  <c r="AU9" i="13"/>
  <c r="BL9" i="13"/>
  <c r="BT47" i="11"/>
  <c r="BT45" i="11"/>
  <c r="H53" i="11"/>
  <c r="S25" i="13"/>
  <c r="J24" i="13"/>
  <c r="AA24" i="13"/>
  <c r="AR24" i="13"/>
  <c r="BJ24" i="13"/>
  <c r="O24" i="13"/>
  <c r="AF24" i="13"/>
  <c r="AX24" i="13"/>
  <c r="BO24" i="13"/>
  <c r="P24" i="13"/>
  <c r="AH24" i="13"/>
  <c r="AY24" i="13"/>
  <c r="BP24" i="13"/>
  <c r="I23" i="13"/>
  <c r="J20" i="13"/>
  <c r="AA20" i="13"/>
  <c r="AR20" i="13"/>
  <c r="BJ20" i="13"/>
  <c r="O20" i="13"/>
  <c r="AF20" i="13"/>
  <c r="AX20" i="13"/>
  <c r="BO20" i="13"/>
  <c r="P20" i="13"/>
  <c r="AH20" i="13"/>
  <c r="AY20" i="13"/>
  <c r="BP20" i="13"/>
  <c r="I19" i="13"/>
  <c r="J16" i="13"/>
  <c r="AA16" i="13"/>
  <c r="AR16" i="13"/>
  <c r="BJ16" i="13"/>
  <c r="O16" i="13"/>
  <c r="AF16" i="13"/>
  <c r="AX16" i="13"/>
  <c r="BO16" i="13"/>
  <c r="P16" i="13"/>
  <c r="AH16" i="13"/>
  <c r="AY16" i="13"/>
  <c r="BP16" i="13"/>
  <c r="I15" i="13"/>
  <c r="J12" i="13"/>
  <c r="AA12" i="13"/>
  <c r="AR12" i="13"/>
  <c r="BJ12" i="13"/>
  <c r="O12" i="13"/>
  <c r="AF12" i="13"/>
  <c r="AX12" i="13"/>
  <c r="BO12" i="13"/>
  <c r="P12" i="13"/>
  <c r="AH12" i="13"/>
  <c r="AY12" i="13"/>
  <c r="BP12" i="13"/>
  <c r="I11" i="13"/>
  <c r="J8" i="13"/>
  <c r="AA8" i="13"/>
  <c r="AR8" i="13"/>
  <c r="BJ8" i="13"/>
  <c r="O8" i="13"/>
  <c r="AF8" i="13"/>
  <c r="AX8" i="13"/>
  <c r="BO8" i="13"/>
  <c r="P8" i="13"/>
  <c r="AH8" i="13"/>
  <c r="AY8" i="13"/>
  <c r="BP8" i="13"/>
  <c r="AG45" i="11"/>
  <c r="U53" i="11"/>
  <c r="AT43" i="11"/>
  <c r="AH53" i="11"/>
  <c r="BB53" i="11"/>
  <c r="W53" i="11"/>
  <c r="AM53" i="11"/>
  <c r="BC53" i="11"/>
  <c r="AK25" i="13"/>
  <c r="Q24" i="13"/>
  <c r="V23" i="13"/>
  <c r="W23" i="13"/>
  <c r="AN23" i="13"/>
  <c r="BE23" i="13"/>
  <c r="K23" i="13"/>
  <c r="AB23" i="13"/>
  <c r="AS23" i="13"/>
  <c r="BK23" i="13"/>
  <c r="L23" i="13"/>
  <c r="AC23" i="13"/>
  <c r="AU23" i="13"/>
  <c r="BL23" i="13"/>
  <c r="AD21" i="13"/>
  <c r="Q20" i="13"/>
  <c r="V19" i="13"/>
  <c r="W19" i="13"/>
  <c r="AN19" i="13"/>
  <c r="BE19" i="13"/>
  <c r="K19" i="13"/>
  <c r="AB19" i="13"/>
  <c r="AS19" i="13"/>
  <c r="BK19" i="13"/>
  <c r="L19" i="13"/>
  <c r="AC19" i="13"/>
  <c r="AU19" i="13"/>
  <c r="BL19" i="13"/>
  <c r="AD17" i="13"/>
  <c r="Q16" i="13"/>
  <c r="V15" i="13"/>
  <c r="W15" i="13"/>
  <c r="AN15" i="13"/>
  <c r="BE15" i="13"/>
  <c r="K15" i="13"/>
  <c r="AB15" i="13"/>
  <c r="AS15" i="13"/>
  <c r="BK15" i="13"/>
  <c r="L15" i="13"/>
  <c r="AC15" i="13"/>
  <c r="AU15" i="13"/>
  <c r="BL15" i="13"/>
  <c r="AD13" i="13"/>
  <c r="Q12" i="13"/>
  <c r="V11" i="13"/>
  <c r="W11" i="13"/>
  <c r="AN11" i="13"/>
  <c r="BE11" i="13"/>
  <c r="K11" i="13"/>
  <c r="AB11" i="13"/>
  <c r="AS11" i="13"/>
  <c r="BK11" i="13"/>
  <c r="L11" i="13"/>
  <c r="AC11" i="13"/>
  <c r="AU11" i="13"/>
  <c r="BL11" i="13"/>
  <c r="AD9" i="13"/>
  <c r="Q8" i="13"/>
  <c r="AT45" i="11"/>
  <c r="BH53" i="11"/>
  <c r="V14" i="13"/>
  <c r="AQ10" i="13"/>
  <c r="AV10" i="13"/>
  <c r="AZ10" i="13"/>
  <c r="R10" i="13"/>
  <c r="AJ10" i="13"/>
  <c r="BA10" i="13"/>
  <c r="BR10" i="13"/>
  <c r="X10" i="13"/>
  <c r="AO10" i="13"/>
  <c r="BF10" i="13"/>
  <c r="H10" i="13"/>
  <c r="Y10" i="13"/>
  <c r="AP10" i="13"/>
  <c r="BH10" i="13"/>
  <c r="I14" i="13"/>
  <c r="M14" i="13"/>
  <c r="Q14" i="13"/>
  <c r="J14" i="13"/>
  <c r="AA14" i="13"/>
  <c r="AR14" i="13"/>
  <c r="BJ14" i="13"/>
  <c r="O14" i="13"/>
  <c r="AF14" i="13"/>
  <c r="AX14" i="13"/>
  <c r="BO14" i="13"/>
  <c r="P14" i="13"/>
  <c r="AH14" i="13"/>
  <c r="AY14" i="13"/>
  <c r="BP14" i="13"/>
  <c r="BT51" i="11"/>
  <c r="AT51" i="11"/>
  <c r="AR53" i="11"/>
  <c r="BG23" i="11"/>
  <c r="Z18" i="13"/>
  <c r="AD18" i="13"/>
  <c r="AI18" i="13"/>
  <c r="N18" i="13"/>
  <c r="AE18" i="13"/>
  <c r="AW18" i="13"/>
  <c r="BN18" i="13"/>
  <c r="S18" i="13"/>
  <c r="AK18" i="13"/>
  <c r="BB18" i="13"/>
  <c r="BS18" i="13"/>
  <c r="U18" i="13"/>
  <c r="AL18" i="13"/>
  <c r="BC18" i="13"/>
  <c r="BQ16" i="13"/>
  <c r="N41" i="11"/>
  <c r="AX41" i="11"/>
  <c r="AV26" i="3" s="1"/>
  <c r="BN41" i="11"/>
  <c r="AI41" i="11"/>
  <c r="AY41" i="11"/>
  <c r="BS41" i="11"/>
  <c r="X41" i="11"/>
  <c r="BD41" i="11"/>
  <c r="BB26" i="3" s="1"/>
  <c r="BD22" i="13"/>
  <c r="BI22" i="13"/>
  <c r="BM22" i="13"/>
  <c r="BQ22" i="13"/>
  <c r="W22" i="13"/>
  <c r="AN22" i="13"/>
  <c r="BE22" i="13"/>
  <c r="K22" i="13"/>
  <c r="AB22" i="13"/>
  <c r="AS22" i="13"/>
  <c r="BK22" i="13"/>
  <c r="L22" i="13"/>
  <c r="AC22" i="13"/>
  <c r="AU22" i="13"/>
  <c r="Q44" i="11"/>
  <c r="P43" i="11"/>
  <c r="BK29" i="11"/>
  <c r="BI25" i="3" s="1"/>
  <c r="BO29" i="11"/>
  <c r="BM25" i="3" s="1"/>
  <c r="X29" i="11"/>
  <c r="V25" i="3" s="1"/>
  <c r="AN29" i="11"/>
  <c r="AL25" i="3" s="1"/>
  <c r="I29" i="11"/>
  <c r="G25" i="3" s="1"/>
  <c r="BI29" i="11"/>
  <c r="BG25" i="3" s="1"/>
  <c r="Q15" i="11"/>
  <c r="I31" i="4"/>
  <c r="G53" i="3"/>
  <c r="H9" i="2"/>
  <c r="T37" i="7"/>
  <c r="H74" i="7"/>
  <c r="T74" i="7" s="1"/>
  <c r="BJ97" i="6"/>
  <c r="AZ53" i="11"/>
  <c r="AO38" i="11"/>
  <c r="AN37" i="11"/>
  <c r="AZ22" i="11"/>
  <c r="AY21" i="11"/>
  <c r="AY29" i="11" s="1"/>
  <c r="AW25" i="3" s="1"/>
  <c r="AW58" i="11"/>
  <c r="BN97" i="6"/>
  <c r="AT39" i="11"/>
  <c r="AQ21" i="11"/>
  <c r="AQ29" i="11" s="1"/>
  <c r="AO25" i="3" s="1"/>
  <c r="AR22" i="11"/>
  <c r="V29" i="11"/>
  <c r="T25" i="3" s="1"/>
  <c r="AV17" i="11"/>
  <c r="AT33" i="3" s="1"/>
  <c r="AK7" i="11"/>
  <c r="AK17" i="11" s="1"/>
  <c r="AI33" i="3" s="1"/>
  <c r="V17" i="11"/>
  <c r="T33" i="3" s="1"/>
  <c r="BM97" i="6"/>
  <c r="AS95" i="6"/>
  <c r="AS97" i="6" s="1"/>
  <c r="AG97" i="6"/>
  <c r="BH97" i="6"/>
  <c r="AR97" i="6"/>
  <c r="AB97" i="6"/>
  <c r="G55" i="6"/>
  <c r="S53" i="6"/>
  <c r="M22" i="11"/>
  <c r="L21" i="11"/>
  <c r="AA97" i="6"/>
  <c r="BT79" i="6"/>
  <c r="BT82" i="6" s="1"/>
  <c r="S82" i="6"/>
  <c r="AM97" i="6"/>
  <c r="F74" i="1"/>
  <c r="BS43" i="3"/>
  <c r="T52" i="7"/>
  <c r="BQ97" i="6"/>
  <c r="AY97" i="6"/>
  <c r="BS95" i="6"/>
  <c r="BS97" i="6" s="1"/>
  <c r="BG97" i="6"/>
  <c r="R56" i="3"/>
  <c r="BS51" i="3"/>
  <c r="BS50" i="3"/>
  <c r="I39" i="1"/>
  <c r="AF40" i="2"/>
  <c r="AG40" i="2" s="1"/>
  <c r="AH40" i="2" s="1"/>
  <c r="AI40" i="2" s="1"/>
  <c r="AJ40" i="2" s="1"/>
  <c r="AK40" i="2" s="1"/>
  <c r="AL40" i="2" s="1"/>
  <c r="AM40" i="2" s="1"/>
  <c r="AN40" i="2" s="1"/>
  <c r="AO40" i="2" s="1"/>
  <c r="AP40" i="2" s="1"/>
  <c r="AQ40" i="2" s="1"/>
  <c r="Z13" i="4" l="1"/>
  <c r="W13" i="4"/>
  <c r="AR132" i="7"/>
  <c r="AP8" i="3" s="1"/>
  <c r="AP9" i="2" s="1"/>
  <c r="AO9" i="2"/>
  <c r="AM132" i="7"/>
  <c r="AK8" i="3" s="1"/>
  <c r="AK9" i="2" s="1"/>
  <c r="F53" i="3"/>
  <c r="R53" i="3" s="1"/>
  <c r="G9" i="2"/>
  <c r="H13" i="4" s="1"/>
  <c r="AJ24" i="3"/>
  <c r="AK13" i="3"/>
  <c r="AK14" i="3" s="1"/>
  <c r="AQ24" i="3"/>
  <c r="X14" i="3"/>
  <c r="AE14" i="3" s="1"/>
  <c r="AY11" i="8"/>
  <c r="AZ122" i="7"/>
  <c r="AZ129" i="7" s="1"/>
  <c r="BI11" i="8"/>
  <c r="BJ122" i="7"/>
  <c r="BJ129" i="7" s="1"/>
  <c r="AY13" i="3"/>
  <c r="AY14" i="3" s="1"/>
  <c r="BA10" i="8"/>
  <c r="BB121" i="7"/>
  <c r="BB128" i="7" s="1"/>
  <c r="BR13" i="8"/>
  <c r="BS124" i="7"/>
  <c r="BS131" i="7" s="1"/>
  <c r="AW13" i="8"/>
  <c r="AX124" i="7"/>
  <c r="AX131" i="7" s="1"/>
  <c r="BQ13" i="8"/>
  <c r="BR124" i="7"/>
  <c r="BR131" i="7" s="1"/>
  <c r="AU128" i="7"/>
  <c r="BR11" i="8"/>
  <c r="BS122" i="7"/>
  <c r="BS129" i="7" s="1"/>
  <c r="BP10" i="8"/>
  <c r="BQ121" i="7"/>
  <c r="BQ128" i="7" s="1"/>
  <c r="BM10" i="8"/>
  <c r="BN121" i="7"/>
  <c r="BN128" i="7" s="1"/>
  <c r="AU130" i="7"/>
  <c r="AM13" i="3"/>
  <c r="AM14" i="3"/>
  <c r="BM11" i="8"/>
  <c r="BN122" i="7"/>
  <c r="BN129" i="7" s="1"/>
  <c r="BI12" i="8"/>
  <c r="BJ123" i="7"/>
  <c r="BJ130" i="7" s="1"/>
  <c r="AU13" i="8"/>
  <c r="AV124" i="7"/>
  <c r="BO13" i="8"/>
  <c r="BP124" i="7"/>
  <c r="BP131" i="7" s="1"/>
  <c r="S53" i="3"/>
  <c r="AE53" i="3" s="1"/>
  <c r="I84" i="1" s="1"/>
  <c r="AE8" i="3"/>
  <c r="I50" i="1" s="1"/>
  <c r="S9" i="2"/>
  <c r="AJ53" i="3"/>
  <c r="AJ9" i="2"/>
  <c r="AH53" i="3"/>
  <c r="AH9" i="2"/>
  <c r="AI131" i="7"/>
  <c r="AT124" i="7"/>
  <c r="AL53" i="3"/>
  <c r="AL9" i="2"/>
  <c r="AT130" i="7"/>
  <c r="BN13" i="8"/>
  <c r="BO124" i="7"/>
  <c r="BO131" i="7" s="1"/>
  <c r="BD12" i="8"/>
  <c r="BE123" i="7"/>
  <c r="BE130" i="7" s="1"/>
  <c r="AW12" i="8"/>
  <c r="AX123" i="7"/>
  <c r="AX130" i="7" s="1"/>
  <c r="BH12" i="8"/>
  <c r="BI123" i="7"/>
  <c r="BI130" i="7" s="1"/>
  <c r="BD10" i="8"/>
  <c r="BD23" i="8" s="1"/>
  <c r="BC20" i="3" s="1"/>
  <c r="BE121" i="7"/>
  <c r="BE128" i="7" s="1"/>
  <c r="BI10" i="8"/>
  <c r="BJ121" i="7"/>
  <c r="BJ128" i="7" s="1"/>
  <c r="BO11" i="8"/>
  <c r="BP122" i="7"/>
  <c r="BP129" i="7" s="1"/>
  <c r="BM12" i="8"/>
  <c r="BN123" i="7"/>
  <c r="BN130" i="7" s="1"/>
  <c r="BO10" i="8"/>
  <c r="BP121" i="7"/>
  <c r="BP128" i="7" s="1"/>
  <c r="BL13" i="8"/>
  <c r="BM124" i="7"/>
  <c r="BM131" i="7" s="1"/>
  <c r="AW11" i="8"/>
  <c r="AX122" i="7"/>
  <c r="AX129" i="7" s="1"/>
  <c r="BR12" i="8"/>
  <c r="BS123" i="7"/>
  <c r="BS130" i="7" s="1"/>
  <c r="BH131" i="7"/>
  <c r="AP53" i="3"/>
  <c r="AK53" i="3"/>
  <c r="AW132" i="7"/>
  <c r="AU8" i="3" s="1"/>
  <c r="AY132" i="7"/>
  <c r="AW8" i="3" s="1"/>
  <c r="AT122" i="7"/>
  <c r="BD132" i="7"/>
  <c r="BB8" i="3" s="1"/>
  <c r="BF132" i="7"/>
  <c r="BD8" i="3" s="1"/>
  <c r="AE13" i="3"/>
  <c r="AO132" i="7"/>
  <c r="AM8" i="3" s="1"/>
  <c r="AW13" i="3"/>
  <c r="AW14" i="3" s="1"/>
  <c r="BI13" i="8"/>
  <c r="BJ124" i="7"/>
  <c r="BJ131" i="7" s="1"/>
  <c r="BK11" i="8"/>
  <c r="BL122" i="7"/>
  <c r="BL129" i="7" s="1"/>
  <c r="BP13" i="8"/>
  <c r="BQ124" i="7"/>
  <c r="BQ131" i="7" s="1"/>
  <c r="AU129" i="7"/>
  <c r="BA11" i="8"/>
  <c r="BB122" i="7"/>
  <c r="BB129" i="7" s="1"/>
  <c r="BO12" i="8"/>
  <c r="BP123" i="7"/>
  <c r="BP130" i="7" s="1"/>
  <c r="BM13" i="8"/>
  <c r="BN124" i="7"/>
  <c r="BN131" i="7" s="1"/>
  <c r="BD13" i="3"/>
  <c r="BD24" i="3" s="1"/>
  <c r="AY10" i="8"/>
  <c r="AZ121" i="7"/>
  <c r="AZ128" i="7" s="1"/>
  <c r="BN12" i="8"/>
  <c r="BO123" i="7"/>
  <c r="BO130" i="7" s="1"/>
  <c r="BK10" i="8"/>
  <c r="BL121" i="7"/>
  <c r="BL128" i="7" s="1"/>
  <c r="AR9" i="3"/>
  <c r="AF13" i="3"/>
  <c r="AF14" i="3" s="1"/>
  <c r="AN53" i="3"/>
  <c r="AN9" i="2"/>
  <c r="AT129" i="7"/>
  <c r="AK132" i="7"/>
  <c r="AI8" i="3" s="1"/>
  <c r="AI16" i="3" s="1"/>
  <c r="AT121" i="7"/>
  <c r="AP13" i="3"/>
  <c r="AP14" i="3" s="1"/>
  <c r="AU13" i="3"/>
  <c r="AU14" i="3"/>
  <c r="BP11" i="8"/>
  <c r="BQ122" i="7"/>
  <c r="BQ129" i="7" s="1"/>
  <c r="BK13" i="8"/>
  <c r="BL124" i="7"/>
  <c r="BL131" i="7" s="1"/>
  <c r="BP12" i="8"/>
  <c r="BQ123" i="7"/>
  <c r="BQ130" i="7" s="1"/>
  <c r="BR10" i="8"/>
  <c r="BS121" i="7"/>
  <c r="BS128" i="7" s="1"/>
  <c r="BQ11" i="8"/>
  <c r="BR122" i="7"/>
  <c r="BR129" i="7" s="1"/>
  <c r="BH11" i="8"/>
  <c r="BI122" i="7"/>
  <c r="BI129" i="7" s="1"/>
  <c r="BK12" i="8"/>
  <c r="BL123" i="7"/>
  <c r="BL130" i="7" s="1"/>
  <c r="AY12" i="8"/>
  <c r="AZ123" i="7"/>
  <c r="AZ130" i="7" s="1"/>
  <c r="AW10" i="8"/>
  <c r="AX121" i="7"/>
  <c r="AX128" i="7" s="1"/>
  <c r="AR15" i="3"/>
  <c r="AQ53" i="3"/>
  <c r="AQ9" i="2"/>
  <c r="BC132" i="7"/>
  <c r="BA8" i="3" s="1"/>
  <c r="AH132" i="7"/>
  <c r="AF8" i="3" s="1"/>
  <c r="AT128" i="7"/>
  <c r="AT123" i="7"/>
  <c r="BA132" i="7"/>
  <c r="AY8" i="3" s="1"/>
  <c r="Y24" i="3"/>
  <c r="Y16" i="3"/>
  <c r="AC24" i="3"/>
  <c r="AH24" i="3"/>
  <c r="AD24" i="3"/>
  <c r="AD16" i="3"/>
  <c r="AD37" i="3" s="1"/>
  <c r="AI24" i="3"/>
  <c r="AL16" i="3"/>
  <c r="AL37" i="3" s="1"/>
  <c r="AJ16" i="3"/>
  <c r="AJ37" i="3" s="1"/>
  <c r="X16" i="3"/>
  <c r="X37" i="3" s="1"/>
  <c r="BR90" i="6"/>
  <c r="AN16" i="3"/>
  <c r="AN37" i="3" s="1"/>
  <c r="BN90" i="6"/>
  <c r="AU24" i="3"/>
  <c r="BC117" i="7"/>
  <c r="BA15" i="3" s="1"/>
  <c r="BS61" i="7"/>
  <c r="BS65" i="7" s="1"/>
  <c r="BQ9" i="3" s="1"/>
  <c r="AQ16" i="3"/>
  <c r="AQ37" i="3" s="1"/>
  <c r="S24" i="3"/>
  <c r="AZ47" i="3"/>
  <c r="BA24" i="3"/>
  <c r="AJ46" i="3"/>
  <c r="AK24" i="3"/>
  <c r="AK27" i="3" s="1"/>
  <c r="AN42" i="3"/>
  <c r="AO24" i="3"/>
  <c r="AA16" i="3"/>
  <c r="AA37" i="3" s="1"/>
  <c r="AF47" i="3"/>
  <c r="AG24" i="3"/>
  <c r="Z24" i="3"/>
  <c r="V24" i="3"/>
  <c r="AL46" i="3"/>
  <c r="AM24" i="3"/>
  <c r="AV42" i="3"/>
  <c r="T24" i="3"/>
  <c r="AP39" i="8"/>
  <c r="AO21" i="3" s="1"/>
  <c r="AM11" i="2" s="1"/>
  <c r="AH26" i="3"/>
  <c r="M46" i="11"/>
  <c r="L45" i="11"/>
  <c r="M52" i="11"/>
  <c r="L51" i="11"/>
  <c r="AY26" i="3"/>
  <c r="F26" i="3"/>
  <c r="BA26" i="3"/>
  <c r="AW26" i="3"/>
  <c r="S26" i="3"/>
  <c r="AK26" i="3"/>
  <c r="I26" i="3"/>
  <c r="AZ26" i="3"/>
  <c r="AU26" i="3"/>
  <c r="AG26" i="3"/>
  <c r="AT26" i="3"/>
  <c r="BF26" i="3"/>
  <c r="U26" i="3"/>
  <c r="U27" i="3" s="1"/>
  <c r="AF26" i="3"/>
  <c r="BG26" i="3"/>
  <c r="V26" i="3"/>
  <c r="AX26" i="3"/>
  <c r="AJ26" i="3"/>
  <c r="AJ27" i="3" s="1"/>
  <c r="AI26" i="3"/>
  <c r="G26" i="3"/>
  <c r="BK26" i="3"/>
  <c r="T27" i="3"/>
  <c r="AT15" i="11"/>
  <c r="AH27" i="3"/>
  <c r="AB37" i="3"/>
  <c r="AL47" i="3"/>
  <c r="AJ47" i="3"/>
  <c r="BQ90" i="6"/>
  <c r="AV117" i="7"/>
  <c r="AT15" i="3" s="1"/>
  <c r="BJ90" i="6"/>
  <c r="BG58" i="7"/>
  <c r="AN46" i="3"/>
  <c r="AY32" i="8"/>
  <c r="AY39" i="8" s="1"/>
  <c r="AX21" i="3" s="1"/>
  <c r="BF30" i="8"/>
  <c r="Z11" i="2"/>
  <c r="BG90" i="7"/>
  <c r="BG110" i="7"/>
  <c r="AA11" i="2"/>
  <c r="AF46" i="3"/>
  <c r="AI11" i="2"/>
  <c r="AZ81" i="7"/>
  <c r="AX10" i="3" s="1"/>
  <c r="AK11" i="2"/>
  <c r="AF11" i="2"/>
  <c r="Y11" i="2"/>
  <c r="AL11" i="2"/>
  <c r="BG61" i="7"/>
  <c r="T11" i="2"/>
  <c r="AU39" i="8"/>
  <c r="AT21" i="3" s="1"/>
  <c r="AD11" i="2"/>
  <c r="BG107" i="7"/>
  <c r="P11" i="2"/>
  <c r="AN11" i="2"/>
  <c r="AJ11" i="2"/>
  <c r="S11" i="2"/>
  <c r="U11" i="2"/>
  <c r="AH11" i="2"/>
  <c r="BR23" i="3"/>
  <c r="BD13" i="2"/>
  <c r="O12" i="1" s="1"/>
  <c r="BU37" i="7"/>
  <c r="AL42" i="3"/>
  <c r="BF19" i="8"/>
  <c r="AG11" i="2"/>
  <c r="BF33" i="8"/>
  <c r="Q11" i="2"/>
  <c r="AO11" i="2"/>
  <c r="W11" i="2"/>
  <c r="V11" i="2"/>
  <c r="X11" i="2"/>
  <c r="AB11" i="2"/>
  <c r="BS81" i="7"/>
  <c r="BQ10" i="3" s="1"/>
  <c r="AF42" i="3"/>
  <c r="BG57" i="7"/>
  <c r="BT18" i="7"/>
  <c r="BU18" i="7" s="1"/>
  <c r="BP81" i="7"/>
  <c r="BN10" i="3" s="1"/>
  <c r="AK46" i="3"/>
  <c r="BG53" i="7"/>
  <c r="BG76" i="7"/>
  <c r="BG54" i="7"/>
  <c r="BG112" i="7"/>
  <c r="AZ39" i="8"/>
  <c r="AY21" i="3" s="1"/>
  <c r="BF13" i="8"/>
  <c r="BD81" i="7"/>
  <c r="BB10" i="3" s="1"/>
  <c r="BB13" i="3" s="1"/>
  <c r="BA39" i="8"/>
  <c r="AZ21" i="3" s="1"/>
  <c r="AE21" i="3"/>
  <c r="BT20" i="7"/>
  <c r="BU20" i="7" s="1"/>
  <c r="BH92" i="7"/>
  <c r="BH57" i="7"/>
  <c r="AM47" i="3"/>
  <c r="BM105" i="7"/>
  <c r="BL28" i="8" s="1"/>
  <c r="BM70" i="7"/>
  <c r="AX42" i="3"/>
  <c r="AX47" i="3"/>
  <c r="AX46" i="3"/>
  <c r="AC16" i="3"/>
  <c r="BJ117" i="7"/>
  <c r="BH15" i="3" s="1"/>
  <c r="BI26" i="8"/>
  <c r="BI39" i="8" s="1"/>
  <c r="BH21" i="3" s="1"/>
  <c r="BG105" i="7"/>
  <c r="BI96" i="7"/>
  <c r="BH19" i="8" s="1"/>
  <c r="BI61" i="7"/>
  <c r="BQ104" i="7"/>
  <c r="BT104" i="7" s="1"/>
  <c r="BQ69" i="7"/>
  <c r="BT69" i="7" s="1"/>
  <c r="AU117" i="7"/>
  <c r="AS15" i="3" s="1"/>
  <c r="BG103" i="7"/>
  <c r="AT26" i="8"/>
  <c r="AU65" i="7"/>
  <c r="AS9" i="3" s="1"/>
  <c r="BT24" i="7"/>
  <c r="BT63" i="7"/>
  <c r="BO92" i="7"/>
  <c r="BN15" i="8" s="1"/>
  <c r="BO57" i="7"/>
  <c r="BO94" i="7"/>
  <c r="BN17" i="8" s="1"/>
  <c r="BO59" i="7"/>
  <c r="BM96" i="7"/>
  <c r="BL19" i="8" s="1"/>
  <c r="BM61" i="7"/>
  <c r="BM23" i="8"/>
  <c r="BL20" i="3" s="1"/>
  <c r="AZ65" i="7"/>
  <c r="AX9" i="3" s="1"/>
  <c r="BO23" i="8"/>
  <c r="BN20" i="3" s="1"/>
  <c r="AW23" i="8"/>
  <c r="AV20" i="3" s="1"/>
  <c r="AT117" i="7"/>
  <c r="BL27" i="8"/>
  <c r="BI94" i="7"/>
  <c r="BH17" i="8" s="1"/>
  <c r="BI59" i="7"/>
  <c r="BN27" i="8"/>
  <c r="BN39" i="8" s="1"/>
  <c r="BM21" i="3" s="1"/>
  <c r="BG56" i="7"/>
  <c r="AB46" i="3"/>
  <c r="AJ42" i="3"/>
  <c r="BT23" i="7"/>
  <c r="BH95" i="7"/>
  <c r="BH60" i="7"/>
  <c r="BT22" i="7"/>
  <c r="BH94" i="7"/>
  <c r="BH59" i="7"/>
  <c r="BT31" i="7"/>
  <c r="BH103" i="7"/>
  <c r="BH68" i="7"/>
  <c r="BT36" i="7"/>
  <c r="BU36" i="7" s="1"/>
  <c r="BH108" i="7"/>
  <c r="BH73" i="7"/>
  <c r="BT73" i="7" s="1"/>
  <c r="BR95" i="7"/>
  <c r="BQ18" i="8" s="1"/>
  <c r="BR60" i="7"/>
  <c r="AH46" i="3"/>
  <c r="AH42" i="3"/>
  <c r="AV65" i="7"/>
  <c r="AT9" i="3" s="1"/>
  <c r="BR89" i="7"/>
  <c r="BR54" i="7"/>
  <c r="BK89" i="7"/>
  <c r="BK54" i="7"/>
  <c r="BQ105" i="7"/>
  <c r="BP28" i="8" s="1"/>
  <c r="BQ70" i="7"/>
  <c r="BG30" i="8"/>
  <c r="BG106" i="7"/>
  <c r="AT29" i="8"/>
  <c r="BF29" i="8" s="1"/>
  <c r="BG88" i="7"/>
  <c r="AT11" i="8"/>
  <c r="BF11" i="8" s="1"/>
  <c r="BA23" i="8"/>
  <c r="AZ20" i="3" s="1"/>
  <c r="BG96" i="7"/>
  <c r="BP117" i="7"/>
  <c r="BN15" i="3" s="1"/>
  <c r="BO26" i="8"/>
  <c r="BO39" i="8" s="1"/>
  <c r="BN21" i="3" s="1"/>
  <c r="BL81" i="7"/>
  <c r="BJ10" i="3" s="1"/>
  <c r="BB117" i="7"/>
  <c r="AZ15" i="3" s="1"/>
  <c r="AG42" i="3"/>
  <c r="AG46" i="3"/>
  <c r="AH16" i="3"/>
  <c r="AH37" i="3" s="1"/>
  <c r="AG47" i="3"/>
  <c r="BG68" i="7"/>
  <c r="AU81" i="7"/>
  <c r="AS10" i="3" s="1"/>
  <c r="BG87" i="7"/>
  <c r="AT10" i="8"/>
  <c r="BD39" i="8"/>
  <c r="BC21" i="3" s="1"/>
  <c r="BT64" i="7"/>
  <c r="BR87" i="7"/>
  <c r="BR52" i="7"/>
  <c r="BJ65" i="7"/>
  <c r="BH9" i="3" s="1"/>
  <c r="BK94" i="7"/>
  <c r="BJ17" i="8" s="1"/>
  <c r="BK59" i="7"/>
  <c r="AG23" i="8"/>
  <c r="AF20" i="3" s="1"/>
  <c r="AS10" i="8"/>
  <c r="AS23" i="8" s="1"/>
  <c r="BO95" i="7"/>
  <c r="BN18" i="8" s="1"/>
  <c r="BO60" i="7"/>
  <c r="AX39" i="8"/>
  <c r="BQ65" i="7"/>
  <c r="BO9" i="3" s="1"/>
  <c r="BM89" i="7"/>
  <c r="BM54" i="7"/>
  <c r="BM95" i="7"/>
  <c r="BL18" i="8" s="1"/>
  <c r="BM60" i="7"/>
  <c r="BR81" i="7"/>
  <c r="BP10" i="3" s="1"/>
  <c r="BG111" i="7"/>
  <c r="AT34" i="8"/>
  <c r="BF34" i="8" s="1"/>
  <c r="BG28" i="8"/>
  <c r="BG93" i="7"/>
  <c r="AT16" i="8"/>
  <c r="BF16" i="8" s="1"/>
  <c r="AY23" i="8"/>
  <c r="AX20" i="3" s="1"/>
  <c r="BK87" i="7"/>
  <c r="BK52" i="7"/>
  <c r="BL65" i="7"/>
  <c r="BJ9" i="3" s="1"/>
  <c r="BJ13" i="3" s="1"/>
  <c r="BJ14" i="3" s="1"/>
  <c r="BI90" i="7"/>
  <c r="BI55" i="7"/>
  <c r="BO96" i="7"/>
  <c r="BN19" i="8" s="1"/>
  <c r="BO61" i="7"/>
  <c r="BG91" i="7"/>
  <c r="AT14" i="8"/>
  <c r="BF14" i="8" s="1"/>
  <c r="BL90" i="6"/>
  <c r="AB42" i="3"/>
  <c r="AZ46" i="3"/>
  <c r="BH87" i="7"/>
  <c r="BH121" i="7" s="1"/>
  <c r="BH52" i="7"/>
  <c r="BT21" i="7"/>
  <c r="BU21" i="7" s="1"/>
  <c r="BH93" i="7"/>
  <c r="BH58" i="7"/>
  <c r="BT19" i="7"/>
  <c r="BU19" i="7" s="1"/>
  <c r="BH91" i="7"/>
  <c r="BH56" i="7"/>
  <c r="BT39" i="7"/>
  <c r="BH111" i="7"/>
  <c r="BH76" i="7"/>
  <c r="AV46" i="3"/>
  <c r="AO46" i="3"/>
  <c r="AO47" i="3"/>
  <c r="AT42" i="3"/>
  <c r="AZ117" i="7"/>
  <c r="AX15" i="3" s="1"/>
  <c r="BA46" i="3"/>
  <c r="BA42" i="3"/>
  <c r="BA47" i="3"/>
  <c r="S16" i="3"/>
  <c r="BG70" i="7"/>
  <c r="BR23" i="8"/>
  <c r="BQ20" i="3" s="1"/>
  <c r="AV39" i="8"/>
  <c r="AU21" i="3" s="1"/>
  <c r="BM113" i="7"/>
  <c r="BL36" i="8" s="1"/>
  <c r="BM78" i="7"/>
  <c r="BG78" i="7"/>
  <c r="BG33" i="8"/>
  <c r="BQ103" i="7"/>
  <c r="BP26" i="8" s="1"/>
  <c r="BQ68" i="7"/>
  <c r="BR93" i="7"/>
  <c r="BQ16" i="8" s="1"/>
  <c r="BR58" i="7"/>
  <c r="BG92" i="7"/>
  <c r="AT15" i="8"/>
  <c r="BF15" i="8" s="1"/>
  <c r="BO87" i="7"/>
  <c r="BO52" i="7"/>
  <c r="AN47" i="3"/>
  <c r="BK91" i="7"/>
  <c r="BJ14" i="8" s="1"/>
  <c r="BK56" i="7"/>
  <c r="BL117" i="7"/>
  <c r="BJ15" i="3" s="1"/>
  <c r="BK26" i="8"/>
  <c r="BK39" i="8" s="1"/>
  <c r="BJ21" i="3" s="1"/>
  <c r="AE20" i="3"/>
  <c r="BM109" i="7"/>
  <c r="BL32" i="8" s="1"/>
  <c r="BS32" i="8" s="1"/>
  <c r="BM74" i="7"/>
  <c r="BT74" i="7" s="1"/>
  <c r="BM92" i="7"/>
  <c r="BL15" i="8" s="1"/>
  <c r="BM57" i="7"/>
  <c r="BG27" i="8"/>
  <c r="BG60" i="7"/>
  <c r="BT98" i="7"/>
  <c r="BG21" i="8"/>
  <c r="BS21" i="8" s="1"/>
  <c r="BT21" i="8" s="1"/>
  <c r="BE117" i="7"/>
  <c r="BC15" i="3" s="1"/>
  <c r="BH27" i="8"/>
  <c r="BH39" i="8" s="1"/>
  <c r="BG21" i="3" s="1"/>
  <c r="BT99" i="7"/>
  <c r="BG22" i="8"/>
  <c r="BS22" i="8" s="1"/>
  <c r="BT22" i="8" s="1"/>
  <c r="AW39" i="8"/>
  <c r="AV21" i="3" s="1"/>
  <c r="AT81" i="7"/>
  <c r="BI23" i="8"/>
  <c r="BH20" i="3" s="1"/>
  <c r="BN81" i="7"/>
  <c r="BL10" i="3" s="1"/>
  <c r="BS117" i="7"/>
  <c r="BQ15" i="3" s="1"/>
  <c r="BR27" i="8"/>
  <c r="BR39" i="8" s="1"/>
  <c r="BQ21" i="3" s="1"/>
  <c r="BR91" i="7"/>
  <c r="BQ14" i="8" s="1"/>
  <c r="BR56" i="7"/>
  <c r="BP23" i="8"/>
  <c r="BO20" i="3" s="1"/>
  <c r="BQ26" i="8"/>
  <c r="BQ39" i="8" s="1"/>
  <c r="BP21" i="3" s="1"/>
  <c r="BC47" i="3"/>
  <c r="BC42" i="3"/>
  <c r="BM107" i="7"/>
  <c r="BL30" i="8" s="1"/>
  <c r="BM72" i="7"/>
  <c r="BT33" i="7"/>
  <c r="BF22" i="3"/>
  <c r="BR22" i="3" s="1"/>
  <c r="BM87" i="7"/>
  <c r="BM52" i="7"/>
  <c r="BK95" i="7"/>
  <c r="BJ18" i="8" s="1"/>
  <c r="BK60" i="7"/>
  <c r="AG39" i="8"/>
  <c r="AF21" i="3" s="1"/>
  <c r="AS26" i="8"/>
  <c r="BB39" i="8"/>
  <c r="BQ110" i="7"/>
  <c r="BP33" i="8" s="1"/>
  <c r="BQ75" i="7"/>
  <c r="BT75" i="7" s="1"/>
  <c r="BK23" i="8"/>
  <c r="BJ20" i="3" s="1"/>
  <c r="BM93" i="7"/>
  <c r="BL16" i="8" s="1"/>
  <c r="BM58" i="7"/>
  <c r="AT65" i="7"/>
  <c r="BG59" i="7"/>
  <c r="BI81" i="7"/>
  <c r="BG10" i="3" s="1"/>
  <c r="BK93" i="7"/>
  <c r="BJ16" i="8" s="1"/>
  <c r="BK58" i="7"/>
  <c r="BT17" i="7"/>
  <c r="BU17" i="7" s="1"/>
  <c r="BH89" i="7"/>
  <c r="BH123" i="7" s="1"/>
  <c r="BH54" i="7"/>
  <c r="BT16" i="7"/>
  <c r="BU16" i="7" s="1"/>
  <c r="BH88" i="7"/>
  <c r="BH122" i="7" s="1"/>
  <c r="BH53" i="7"/>
  <c r="BT42" i="7"/>
  <c r="BU42" i="7" s="1"/>
  <c r="BH114" i="7"/>
  <c r="BH79" i="7"/>
  <c r="BT79" i="7" s="1"/>
  <c r="AH47" i="3"/>
  <c r="BQ112" i="7"/>
  <c r="BP35" i="8" s="1"/>
  <c r="BQ77" i="7"/>
  <c r="BT77" i="7" s="1"/>
  <c r="BM88" i="7"/>
  <c r="BM53" i="7"/>
  <c r="BG114" i="7"/>
  <c r="AT37" i="8"/>
  <c r="BF37" i="8" s="1"/>
  <c r="BT40" i="7"/>
  <c r="BT97" i="7"/>
  <c r="BG20" i="8"/>
  <c r="BS20" i="8" s="1"/>
  <c r="BT20" i="8" s="1"/>
  <c r="BB65" i="7"/>
  <c r="AZ9" i="3" s="1"/>
  <c r="AZ13" i="3" s="1"/>
  <c r="AZ14" i="3" s="1"/>
  <c r="BM111" i="7"/>
  <c r="BL34" i="8" s="1"/>
  <c r="BM76" i="7"/>
  <c r="BK81" i="7"/>
  <c r="BI10" i="3" s="1"/>
  <c r="BI92" i="7"/>
  <c r="BH15" i="8" s="1"/>
  <c r="BI57" i="7"/>
  <c r="AT47" i="3"/>
  <c r="BH90" i="6"/>
  <c r="AT46" i="3"/>
  <c r="AB47" i="3"/>
  <c r="AZ42" i="3"/>
  <c r="AV47" i="3"/>
  <c r="BT41" i="7"/>
  <c r="BU41" i="7" s="1"/>
  <c r="BH113" i="7"/>
  <c r="BH78" i="7"/>
  <c r="BT34" i="7"/>
  <c r="BH106" i="7"/>
  <c r="BH71" i="7"/>
  <c r="BT71" i="7" s="1"/>
  <c r="BO91" i="7"/>
  <c r="BN14" i="8" s="1"/>
  <c r="BO56" i="7"/>
  <c r="BJ27" i="8"/>
  <c r="BJ39" i="8" s="1"/>
  <c r="BI21" i="3" s="1"/>
  <c r="BO81" i="7"/>
  <c r="BM10" i="3" s="1"/>
  <c r="BF35" i="8"/>
  <c r="BT62" i="7"/>
  <c r="BG113" i="7"/>
  <c r="AT36" i="8"/>
  <c r="BF36" i="8" s="1"/>
  <c r="BG35" i="8"/>
  <c r="BJ81" i="7"/>
  <c r="BH10" i="3" s="1"/>
  <c r="BG94" i="7"/>
  <c r="AT17" i="8"/>
  <c r="BF17" i="8" s="1"/>
  <c r="BE39" i="8"/>
  <c r="BD21" i="3" s="1"/>
  <c r="BK90" i="7"/>
  <c r="BK55" i="7"/>
  <c r="BF28" i="8"/>
  <c r="BO88" i="7"/>
  <c r="BO53" i="7"/>
  <c r="BD117" i="7"/>
  <c r="BB15" i="3" s="1"/>
  <c r="BC27" i="8"/>
  <c r="BC39" i="8" s="1"/>
  <c r="BT32" i="7"/>
  <c r="BG95" i="7"/>
  <c r="AT18" i="8"/>
  <c r="BF18" i="8" s="1"/>
  <c r="BG19" i="8"/>
  <c r="BE65" i="7"/>
  <c r="BC9" i="3" s="1"/>
  <c r="AX117" i="7"/>
  <c r="AV15" i="3" s="1"/>
  <c r="BN117" i="7"/>
  <c r="BL15" i="3" s="1"/>
  <c r="BM26" i="8"/>
  <c r="BM39" i="8" s="1"/>
  <c r="BL21" i="3" s="1"/>
  <c r="BG104" i="7"/>
  <c r="BN65" i="7"/>
  <c r="BL9" i="3" s="1"/>
  <c r="BG89" i="7"/>
  <c r="AT12" i="8"/>
  <c r="BF12" i="8" s="1"/>
  <c r="BP65" i="7"/>
  <c r="BN9" i="3" s="1"/>
  <c r="BK88" i="7"/>
  <c r="BK53" i="7"/>
  <c r="AX65" i="7"/>
  <c r="AV9" i="3" s="1"/>
  <c r="AV13" i="3" s="1"/>
  <c r="AV14" i="3" s="1"/>
  <c r="BG55" i="7"/>
  <c r="BG108" i="7"/>
  <c r="AT31" i="8"/>
  <c r="BF31" i="8" s="1"/>
  <c r="BG13" i="8"/>
  <c r="AU23" i="8"/>
  <c r="AT20" i="3" s="1"/>
  <c r="BT49" i="11"/>
  <c r="BU49" i="11" s="1"/>
  <c r="BT23" i="11"/>
  <c r="Y29" i="11"/>
  <c r="W25" i="3" s="1"/>
  <c r="W27" i="3" s="1"/>
  <c r="L39" i="8"/>
  <c r="K21" i="3" s="1"/>
  <c r="I11" i="2" s="1"/>
  <c r="N39" i="8"/>
  <c r="M21" i="3" s="1"/>
  <c r="K11" i="2" s="1"/>
  <c r="H39" i="8"/>
  <c r="G21" i="3" s="1"/>
  <c r="G39" i="8"/>
  <c r="F21" i="3" s="1"/>
  <c r="J39" i="8"/>
  <c r="I21" i="3" s="1"/>
  <c r="G11" i="2" s="1"/>
  <c r="AS32" i="8"/>
  <c r="K39" i="8"/>
  <c r="J21" i="3" s="1"/>
  <c r="H11" i="2" s="1"/>
  <c r="Q39" i="8"/>
  <c r="P21" i="3" s="1"/>
  <c r="N11" i="2" s="1"/>
  <c r="M39" i="8"/>
  <c r="L21" i="3" s="1"/>
  <c r="J11" i="2" s="1"/>
  <c r="I39" i="8"/>
  <c r="H21" i="3" s="1"/>
  <c r="AF32" i="8"/>
  <c r="AF39" i="8" s="1"/>
  <c r="P39" i="8"/>
  <c r="O21" i="3" s="1"/>
  <c r="M11" i="2" s="1"/>
  <c r="O39" i="8"/>
  <c r="N21" i="3" s="1"/>
  <c r="L11" i="2" s="1"/>
  <c r="R39" i="8"/>
  <c r="Q21" i="3" s="1"/>
  <c r="O11" i="2" s="1"/>
  <c r="AG31" i="11"/>
  <c r="BU9" i="11"/>
  <c r="AG47" i="11"/>
  <c r="K55" i="11"/>
  <c r="BM29" i="11"/>
  <c r="BK25" i="3" s="1"/>
  <c r="BG90" i="6"/>
  <c r="U46" i="3"/>
  <c r="U42" i="3"/>
  <c r="U47" i="3"/>
  <c r="Y47" i="3"/>
  <c r="Y42" i="3"/>
  <c r="Y46" i="3"/>
  <c r="BT15" i="7"/>
  <c r="BU15" i="7" s="1"/>
  <c r="BG52" i="7"/>
  <c r="S32" i="8"/>
  <c r="S39" i="8" s="1"/>
  <c r="F50" i="1"/>
  <c r="BJ21" i="4"/>
  <c r="BM21" i="4"/>
  <c r="L121" i="1"/>
  <c r="BZ12" i="14"/>
  <c r="BV13" i="14" s="1"/>
  <c r="BQ21" i="4"/>
  <c r="BP21" i="4"/>
  <c r="BL21" i="4"/>
  <c r="BS55" i="3"/>
  <c r="BF90" i="6"/>
  <c r="AS90" i="6"/>
  <c r="AF90" i="6"/>
  <c r="AU55" i="11"/>
  <c r="BG15" i="11"/>
  <c r="AV55" i="11"/>
  <c r="V55" i="11"/>
  <c r="AW55" i="11"/>
  <c r="AI55" i="11"/>
  <c r="AK55" i="11"/>
  <c r="AX55" i="11"/>
  <c r="BU47" i="11"/>
  <c r="BG21" i="4"/>
  <c r="F87" i="1"/>
  <c r="BA22" i="11"/>
  <c r="AZ21" i="11"/>
  <c r="AZ29" i="11" s="1"/>
  <c r="AX25" i="3" s="1"/>
  <c r="AN41" i="11"/>
  <c r="AL26" i="3" s="1"/>
  <c r="AT53" i="11"/>
  <c r="N10" i="14"/>
  <c r="O11" i="14"/>
  <c r="M75" i="16"/>
  <c r="N75" i="16"/>
  <c r="G116" i="16"/>
  <c r="H116" i="16" s="1"/>
  <c r="S24" i="11"/>
  <c r="S23" i="11" s="1"/>
  <c r="R23" i="11"/>
  <c r="H55" i="11"/>
  <c r="AC14" i="11"/>
  <c r="AB13" i="11"/>
  <c r="J78" i="16"/>
  <c r="K42" i="16"/>
  <c r="U42" i="16"/>
  <c r="AA42" i="16" s="1"/>
  <c r="L42" i="16"/>
  <c r="K58" i="16"/>
  <c r="U58" i="16"/>
  <c r="AA58" i="16" s="1"/>
  <c r="L58" i="16"/>
  <c r="G93" i="16"/>
  <c r="H93" i="16" s="1"/>
  <c r="M52" i="16"/>
  <c r="N52" i="16"/>
  <c r="S61" i="16"/>
  <c r="L22" i="16"/>
  <c r="N22" i="16" s="1"/>
  <c r="K47" i="16"/>
  <c r="U47" i="16"/>
  <c r="AA47" i="16" s="1"/>
  <c r="L47" i="16"/>
  <c r="G118" i="16"/>
  <c r="H118" i="16" s="1"/>
  <c r="N77" i="16"/>
  <c r="M77" i="16"/>
  <c r="U68" i="16"/>
  <c r="AA68" i="16" s="1"/>
  <c r="L68" i="16"/>
  <c r="K68" i="16"/>
  <c r="I39" i="2"/>
  <c r="AS14" i="11"/>
  <c r="AS13" i="11" s="1"/>
  <c r="AR13" i="11"/>
  <c r="X55" i="11"/>
  <c r="R13" i="4"/>
  <c r="Q13" i="4"/>
  <c r="AQ105" i="13"/>
  <c r="AO62" i="3" s="1"/>
  <c r="BI105" i="13"/>
  <c r="BG62" i="3" s="1"/>
  <c r="AL105" i="13"/>
  <c r="AJ62" i="3" s="1"/>
  <c r="M105" i="13"/>
  <c r="K62" i="3" s="1"/>
  <c r="AV105" i="13"/>
  <c r="AT62" i="3" s="1"/>
  <c r="P105" i="13"/>
  <c r="N62" i="3" s="1"/>
  <c r="AY105" i="13"/>
  <c r="AW62" i="3" s="1"/>
  <c r="N105" i="13"/>
  <c r="L62" i="3" s="1"/>
  <c r="AE105" i="13"/>
  <c r="AC62" i="3" s="1"/>
  <c r="AW105" i="13"/>
  <c r="AU62" i="3" s="1"/>
  <c r="BN105" i="13"/>
  <c r="BL62" i="3" s="1"/>
  <c r="S105" i="13"/>
  <c r="Q62" i="3" s="1"/>
  <c r="AK105" i="13"/>
  <c r="AI62" i="3" s="1"/>
  <c r="BB105" i="13"/>
  <c r="AZ62" i="3" s="1"/>
  <c r="BS105" i="13"/>
  <c r="BQ62" i="3" s="1"/>
  <c r="S64" i="16"/>
  <c r="L25" i="16"/>
  <c r="N25" i="16" s="1"/>
  <c r="R72" i="16"/>
  <c r="Q72" i="16"/>
  <c r="I113" i="16"/>
  <c r="BS45" i="3"/>
  <c r="BJ55" i="11"/>
  <c r="AJ55" i="11"/>
  <c r="AA16" i="11"/>
  <c r="Z15" i="11"/>
  <c r="L58" i="11"/>
  <c r="M8" i="11"/>
  <c r="L7" i="11"/>
  <c r="BU19" i="11"/>
  <c r="BT41" i="11"/>
  <c r="I89" i="16"/>
  <c r="Q48" i="16"/>
  <c r="R48" i="16"/>
  <c r="S75" i="16"/>
  <c r="L36" i="16"/>
  <c r="N36" i="16" s="1"/>
  <c r="U63" i="16"/>
  <c r="AA63" i="16" s="1"/>
  <c r="L63" i="16"/>
  <c r="K63" i="16"/>
  <c r="G101" i="16"/>
  <c r="H101" i="16" s="1"/>
  <c r="M60" i="16"/>
  <c r="N60" i="16"/>
  <c r="G108" i="16"/>
  <c r="H108" i="16" s="1"/>
  <c r="N67" i="16"/>
  <c r="M67" i="16"/>
  <c r="L31" i="16"/>
  <c r="N31" i="16" s="1"/>
  <c r="N76" i="7" s="1"/>
  <c r="S70" i="16"/>
  <c r="BT53" i="6"/>
  <c r="BT55" i="6" s="1"/>
  <c r="S55" i="6"/>
  <c r="U52" i="6" s="1"/>
  <c r="U55" i="6" s="1"/>
  <c r="AS22" i="11"/>
  <c r="AS21" i="11" s="1"/>
  <c r="AS29" i="11" s="1"/>
  <c r="AQ25" i="3" s="1"/>
  <c r="AR21" i="11"/>
  <c r="AR29" i="11" s="1"/>
  <c r="AP25" i="3" s="1"/>
  <c r="J13" i="4"/>
  <c r="L7" i="16"/>
  <c r="N7" i="16" s="1"/>
  <c r="S46" i="16"/>
  <c r="K54" i="16"/>
  <c r="L54" i="16"/>
  <c r="U54" i="16"/>
  <c r="AA54" i="16" s="1"/>
  <c r="K71" i="16"/>
  <c r="U71" i="16"/>
  <c r="AA71" i="16" s="1"/>
  <c r="L71" i="16"/>
  <c r="BR21" i="4"/>
  <c r="BQ22" i="11"/>
  <c r="BP21" i="11"/>
  <c r="BP29" i="11" s="1"/>
  <c r="BN25" i="3" s="1"/>
  <c r="BK55" i="11"/>
  <c r="L11" i="16"/>
  <c r="N11" i="16" s="1"/>
  <c r="S50" i="16"/>
  <c r="S77" i="16"/>
  <c r="L38" i="16"/>
  <c r="N38" i="16" s="1"/>
  <c r="I99" i="16"/>
  <c r="R58" i="16"/>
  <c r="Q58" i="16"/>
  <c r="G84" i="16"/>
  <c r="H84" i="16" s="1"/>
  <c r="N43" i="16"/>
  <c r="M43" i="16"/>
  <c r="I88" i="16"/>
  <c r="R47" i="16"/>
  <c r="Q47" i="16"/>
  <c r="K73" i="16"/>
  <c r="L73" i="16"/>
  <c r="U73" i="16"/>
  <c r="AA73" i="16" s="1"/>
  <c r="I109" i="16"/>
  <c r="R68" i="16"/>
  <c r="Q68" i="16"/>
  <c r="W55" i="11"/>
  <c r="BU39" i="11"/>
  <c r="BQ105" i="13"/>
  <c r="BO62" i="3" s="1"/>
  <c r="Q105" i="13"/>
  <c r="O62" i="3" s="1"/>
  <c r="L105" i="13"/>
  <c r="J62" i="3" s="1"/>
  <c r="AU105" i="13"/>
  <c r="AS62" i="3" s="1"/>
  <c r="AS63" i="3" s="1"/>
  <c r="V105" i="13"/>
  <c r="T62" i="3" s="1"/>
  <c r="BD105" i="13"/>
  <c r="BB62" i="3" s="1"/>
  <c r="Y105" i="13"/>
  <c r="W62" i="3" s="1"/>
  <c r="BH105" i="13"/>
  <c r="BF62" i="3" s="1"/>
  <c r="BF63" i="3" s="1"/>
  <c r="R105" i="13"/>
  <c r="P62" i="3" s="1"/>
  <c r="AJ105" i="13"/>
  <c r="AH62" i="3" s="1"/>
  <c r="BA105" i="13"/>
  <c r="AY62" i="3" s="1"/>
  <c r="BR105" i="13"/>
  <c r="BP62" i="3" s="1"/>
  <c r="X105" i="13"/>
  <c r="V62" i="3" s="1"/>
  <c r="AO105" i="13"/>
  <c r="AM62" i="3" s="1"/>
  <c r="BF105" i="13"/>
  <c r="BD62" i="3" s="1"/>
  <c r="CH11" i="14"/>
  <c r="CG10" i="14"/>
  <c r="L72" i="16"/>
  <c r="K72" i="16"/>
  <c r="U72" i="16"/>
  <c r="AA72" i="16" s="1"/>
  <c r="BO21" i="4"/>
  <c r="BQ14" i="11"/>
  <c r="BP13" i="11"/>
  <c r="J55" i="11"/>
  <c r="AL58" i="11"/>
  <c r="AM8" i="11"/>
  <c r="AL7" i="11"/>
  <c r="AL17" i="11" s="1"/>
  <c r="BF44" i="11"/>
  <c r="BF43" i="11" s="1"/>
  <c r="BF53" i="11" s="1"/>
  <c r="BE43" i="11"/>
  <c r="BU35" i="11"/>
  <c r="G105" i="16"/>
  <c r="H105" i="16" s="1"/>
  <c r="M64" i="16"/>
  <c r="N64" i="16"/>
  <c r="N46" i="16"/>
  <c r="M46" i="16"/>
  <c r="G87" i="16"/>
  <c r="H87" i="16" s="1"/>
  <c r="I104" i="16"/>
  <c r="R63" i="16"/>
  <c r="Q63" i="16"/>
  <c r="K62" i="16"/>
  <c r="L62" i="16"/>
  <c r="U62" i="16"/>
  <c r="AA62" i="16" s="1"/>
  <c r="K66" i="16"/>
  <c r="U66" i="16"/>
  <c r="AA66" i="16" s="1"/>
  <c r="L66" i="16"/>
  <c r="H52" i="6"/>
  <c r="BN21" i="4"/>
  <c r="AP38" i="11"/>
  <c r="AO37" i="11"/>
  <c r="AO41" i="11" s="1"/>
  <c r="AM26" i="3" s="1"/>
  <c r="S15" i="11"/>
  <c r="R15" i="11"/>
  <c r="R44" i="11"/>
  <c r="Q43" i="11"/>
  <c r="G91" i="16"/>
  <c r="H91" i="16" s="1"/>
  <c r="N50" i="16"/>
  <c r="M50" i="16"/>
  <c r="G92" i="16"/>
  <c r="H92" i="16" s="1"/>
  <c r="M51" i="16"/>
  <c r="N51" i="16"/>
  <c r="Q54" i="16"/>
  <c r="I95" i="16"/>
  <c r="R54" i="16"/>
  <c r="I112" i="16"/>
  <c r="R71" i="16"/>
  <c r="Q71" i="16"/>
  <c r="AH55" i="11"/>
  <c r="BH55" i="11"/>
  <c r="BA14" i="11"/>
  <c r="AZ13" i="11"/>
  <c r="BT95" i="6"/>
  <c r="AY58" i="11"/>
  <c r="AZ8" i="11"/>
  <c r="AY7" i="11"/>
  <c r="N13" i="4"/>
  <c r="M13" i="4"/>
  <c r="BL58" i="11"/>
  <c r="BM8" i="11"/>
  <c r="BL7" i="11"/>
  <c r="R73" i="16"/>
  <c r="I114" i="16"/>
  <c r="Q73" i="16"/>
  <c r="U55" i="16"/>
  <c r="AA55" i="16" s="1"/>
  <c r="L55" i="16"/>
  <c r="K55" i="16"/>
  <c r="AC22" i="11"/>
  <c r="AB21" i="11"/>
  <c r="BI55" i="11"/>
  <c r="S31" i="11"/>
  <c r="S41" i="11" s="1"/>
  <c r="R31" i="11"/>
  <c r="R41" i="11" s="1"/>
  <c r="L29" i="11"/>
  <c r="J25" i="3" s="1"/>
  <c r="AI105" i="13"/>
  <c r="AG62" i="3" s="1"/>
  <c r="AZ105" i="13"/>
  <c r="AX62" i="3" s="1"/>
  <c r="U105" i="13"/>
  <c r="S62" i="3" s="1"/>
  <c r="S63" i="3" s="1"/>
  <c r="BC105" i="13"/>
  <c r="BA62" i="3" s="1"/>
  <c r="AD105" i="13"/>
  <c r="AB62" i="3" s="1"/>
  <c r="BM105" i="13"/>
  <c r="BK62" i="3" s="1"/>
  <c r="AH105" i="13"/>
  <c r="AF62" i="3" s="1"/>
  <c r="AF63" i="3" s="1"/>
  <c r="BP105" i="13"/>
  <c r="BN62" i="3" s="1"/>
  <c r="W105" i="13"/>
  <c r="U62" i="3" s="1"/>
  <c r="AN105" i="13"/>
  <c r="AL62" i="3" s="1"/>
  <c r="BE105" i="13"/>
  <c r="BC62" i="3" s="1"/>
  <c r="K105" i="13"/>
  <c r="I62" i="3" s="1"/>
  <c r="AB105" i="13"/>
  <c r="Z62" i="3" s="1"/>
  <c r="AS105" i="13"/>
  <c r="AQ62" i="3" s="1"/>
  <c r="BK105" i="13"/>
  <c r="BI62" i="3" s="1"/>
  <c r="N76" i="16"/>
  <c r="M76" i="16"/>
  <c r="G117" i="16"/>
  <c r="H117" i="16" s="1"/>
  <c r="BI21" i="4"/>
  <c r="AA24" i="11"/>
  <c r="Z23" i="11"/>
  <c r="J31" i="4"/>
  <c r="AB41" i="11"/>
  <c r="BU25" i="11"/>
  <c r="I13" i="14"/>
  <c r="F69" i="3" s="1"/>
  <c r="C12" i="14"/>
  <c r="U44" i="16"/>
  <c r="AA44" i="16" s="1"/>
  <c r="L44" i="16"/>
  <c r="K44" i="16"/>
  <c r="L12" i="16"/>
  <c r="N12" i="16" s="1"/>
  <c r="S51" i="16"/>
  <c r="G100" i="16"/>
  <c r="H100" i="16" s="1"/>
  <c r="N59" i="16"/>
  <c r="M59" i="16"/>
  <c r="Q62" i="16"/>
  <c r="I103" i="16"/>
  <c r="R62" i="16"/>
  <c r="I107" i="16"/>
  <c r="R66" i="16"/>
  <c r="Q66" i="16"/>
  <c r="AS40" i="2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L39" i="1"/>
  <c r="N22" i="11"/>
  <c r="M21" i="11"/>
  <c r="M29" i="11" s="1"/>
  <c r="K25" i="3" s="1"/>
  <c r="BH21" i="4"/>
  <c r="S56" i="16"/>
  <c r="L17" i="16"/>
  <c r="N17" i="16" s="1"/>
  <c r="S74" i="16"/>
  <c r="L35" i="16"/>
  <c r="N35" i="16" s="1"/>
  <c r="Y58" i="11"/>
  <c r="Y7" i="11"/>
  <c r="I71" i="6"/>
  <c r="AF34" i="11"/>
  <c r="AF33" i="11" s="1"/>
  <c r="AE33" i="11"/>
  <c r="BO44" i="11"/>
  <c r="BN43" i="11"/>
  <c r="BN53" i="11" s="1"/>
  <c r="BL26" i="3" s="1"/>
  <c r="O78" i="16"/>
  <c r="O79" i="16" s="1"/>
  <c r="P42" i="16"/>
  <c r="S53" i="16"/>
  <c r="L14" i="16"/>
  <c r="N14" i="16" s="1"/>
  <c r="G97" i="16"/>
  <c r="H97" i="16" s="1"/>
  <c r="M56" i="16"/>
  <c r="N56" i="16"/>
  <c r="N74" i="16"/>
  <c r="G115" i="16"/>
  <c r="H115" i="16" s="1"/>
  <c r="M74" i="16"/>
  <c r="I96" i="16"/>
  <c r="R55" i="16"/>
  <c r="Q55" i="16"/>
  <c r="BK21" i="4"/>
  <c r="I55" i="11"/>
  <c r="AD38" i="11"/>
  <c r="AC37" i="11"/>
  <c r="AC41" i="11" s="1"/>
  <c r="BF38" i="11"/>
  <c r="BF37" i="11" s="1"/>
  <c r="BF41" i="11" s="1"/>
  <c r="BE37" i="11"/>
  <c r="BE41" i="11" s="1"/>
  <c r="I105" i="13"/>
  <c r="G62" i="3" s="1"/>
  <c r="Z105" i="13"/>
  <c r="X62" i="3" s="1"/>
  <c r="AC105" i="13"/>
  <c r="AA62" i="3" s="1"/>
  <c r="BL105" i="13"/>
  <c r="BJ62" i="3" s="1"/>
  <c r="AM105" i="13"/>
  <c r="AK62" i="3" s="1"/>
  <c r="H105" i="13"/>
  <c r="F62" i="3" s="1"/>
  <c r="F63" i="3" s="1"/>
  <c r="AP105" i="13"/>
  <c r="AN62" i="3" s="1"/>
  <c r="J105" i="13"/>
  <c r="H62" i="3" s="1"/>
  <c r="AA105" i="13"/>
  <c r="Y62" i="3" s="1"/>
  <c r="AR105" i="13"/>
  <c r="AP62" i="3" s="1"/>
  <c r="BJ105" i="13"/>
  <c r="BH62" i="3" s="1"/>
  <c r="O105" i="13"/>
  <c r="M62" i="3" s="1"/>
  <c r="AF105" i="13"/>
  <c r="AD62" i="3" s="1"/>
  <c r="AX105" i="13"/>
  <c r="AV62" i="3" s="1"/>
  <c r="BO105" i="13"/>
  <c r="BM62" i="3" s="1"/>
  <c r="T82" i="6"/>
  <c r="U78" i="6" s="1"/>
  <c r="U82" i="6" s="1"/>
  <c r="V78" i="6" s="1"/>
  <c r="V82" i="6" s="1"/>
  <c r="W78" i="6" s="1"/>
  <c r="W82" i="6" s="1"/>
  <c r="X78" i="6" s="1"/>
  <c r="X82" i="6" s="1"/>
  <c r="Y78" i="6" s="1"/>
  <c r="Y82" i="6" s="1"/>
  <c r="Z78" i="6" s="1"/>
  <c r="Z82" i="6" s="1"/>
  <c r="AA78" i="6" s="1"/>
  <c r="AA82" i="6" s="1"/>
  <c r="AB78" i="6" s="1"/>
  <c r="AB82" i="6" s="1"/>
  <c r="AC78" i="6" s="1"/>
  <c r="AC82" i="6" s="1"/>
  <c r="AD78" i="6" s="1"/>
  <c r="AD82" i="6" s="1"/>
  <c r="AE78" i="6" s="1"/>
  <c r="AE82" i="6" s="1"/>
  <c r="AG78" i="6" s="1"/>
  <c r="AF78" i="6"/>
  <c r="AF82" i="6" s="1"/>
  <c r="P27" i="11"/>
  <c r="U55" i="11"/>
  <c r="BU11" i="11"/>
  <c r="O121" i="1"/>
  <c r="B120" i="10"/>
  <c r="M13" i="11"/>
  <c r="AA44" i="11"/>
  <c r="Z43" i="11"/>
  <c r="U48" i="16"/>
  <c r="AA48" i="16" s="1"/>
  <c r="L48" i="16"/>
  <c r="K48" i="16"/>
  <c r="I85" i="16"/>
  <c r="Q44" i="16"/>
  <c r="R44" i="16"/>
  <c r="S76" i="16"/>
  <c r="L37" i="16"/>
  <c r="N37" i="16" s="1"/>
  <c r="E119" i="16"/>
  <c r="G94" i="16"/>
  <c r="H94" i="16" s="1"/>
  <c r="N53" i="16"/>
  <c r="M53" i="16"/>
  <c r="S43" i="16"/>
  <c r="L4" i="16"/>
  <c r="N4" i="16" s="1"/>
  <c r="AP13" i="4" l="1"/>
  <c r="I13" i="4"/>
  <c r="BS132" i="7"/>
  <c r="BQ8" i="3" s="1"/>
  <c r="BQ16" i="3" s="1"/>
  <c r="BQ37" i="3" s="1"/>
  <c r="BG122" i="7"/>
  <c r="AR14" i="3"/>
  <c r="BP132" i="7"/>
  <c r="BN8" i="3" s="1"/>
  <c r="BE132" i="7"/>
  <c r="BC8" i="3" s="1"/>
  <c r="BC9" i="2" s="1"/>
  <c r="BE13" i="4" s="1"/>
  <c r="AL28" i="2"/>
  <c r="AM13" i="4"/>
  <c r="AY24" i="3"/>
  <c r="BD14" i="3"/>
  <c r="BL10" i="8"/>
  <c r="BM121" i="7"/>
  <c r="BM128" i="7" s="1"/>
  <c r="BN10" i="8"/>
  <c r="BO121" i="7"/>
  <c r="BO128" i="7" s="1"/>
  <c r="BQ10" i="8"/>
  <c r="BR121" i="7"/>
  <c r="BR128" i="7" s="1"/>
  <c r="AT13" i="3"/>
  <c r="AT14" i="3" s="1"/>
  <c r="AX13" i="3"/>
  <c r="AX14" i="3" s="1"/>
  <c r="BQ13" i="3"/>
  <c r="BQ14" i="3" s="1"/>
  <c r="AF53" i="3"/>
  <c r="AF9" i="2"/>
  <c r="AI53" i="3"/>
  <c r="AI9" i="2"/>
  <c r="AK13" i="4" s="1"/>
  <c r="AW53" i="3"/>
  <c r="AW9" i="2"/>
  <c r="AQ13" i="4"/>
  <c r="AR13" i="4"/>
  <c r="BJ132" i="7"/>
  <c r="BH8" i="3" s="1"/>
  <c r="BN132" i="7"/>
  <c r="BL8" i="3" s="1"/>
  <c r="BB14" i="3"/>
  <c r="BH129" i="7"/>
  <c r="BJ11" i="8"/>
  <c r="BK122" i="7"/>
  <c r="BK129" i="7" s="1"/>
  <c r="BL13" i="3"/>
  <c r="BL14" i="3"/>
  <c r="BJ13" i="8"/>
  <c r="BK124" i="7"/>
  <c r="BK131" i="7" s="1"/>
  <c r="BL12" i="8"/>
  <c r="BM123" i="7"/>
  <c r="BM130" i="7" s="1"/>
  <c r="BE10" i="3"/>
  <c r="BJ12" i="8"/>
  <c r="BK123" i="7"/>
  <c r="BK130" i="7" s="1"/>
  <c r="AW24" i="3"/>
  <c r="AP24" i="3"/>
  <c r="AY53" i="3"/>
  <c r="AY9" i="2"/>
  <c r="BA53" i="3"/>
  <c r="BA9" i="2"/>
  <c r="AX132" i="7"/>
  <c r="AV8" i="3" s="1"/>
  <c r="AV16" i="3" s="1"/>
  <c r="AR13" i="3"/>
  <c r="BG129" i="7"/>
  <c r="BD53" i="3"/>
  <c r="BD9" i="2"/>
  <c r="AU53" i="3"/>
  <c r="AU9" i="2"/>
  <c r="T13" i="4"/>
  <c r="U13" i="4"/>
  <c r="BN13" i="3"/>
  <c r="BN14" i="3"/>
  <c r="BC13" i="3"/>
  <c r="BC14" i="3" s="1"/>
  <c r="BN11" i="8"/>
  <c r="BO122" i="7"/>
  <c r="BO129" i="7" s="1"/>
  <c r="BH130" i="7"/>
  <c r="BH128" i="7"/>
  <c r="BJ10" i="8"/>
  <c r="BK121" i="7"/>
  <c r="BK128" i="7" s="1"/>
  <c r="BH13" i="3"/>
  <c r="BH14" i="3" s="1"/>
  <c r="BE15" i="3"/>
  <c r="L8" i="1"/>
  <c r="BB53" i="3"/>
  <c r="BB9" i="2"/>
  <c r="BN53" i="3"/>
  <c r="BN9" i="2"/>
  <c r="BC53" i="3"/>
  <c r="AV131" i="7"/>
  <c r="BG124" i="7"/>
  <c r="BG123" i="7"/>
  <c r="BQ132" i="7"/>
  <c r="BO8" i="3" s="1"/>
  <c r="BG121" i="7"/>
  <c r="BB132" i="7"/>
  <c r="AZ8" i="3" s="1"/>
  <c r="AZ16" i="3" s="1"/>
  <c r="AZ37" i="3" s="1"/>
  <c r="BL11" i="8"/>
  <c r="BM122" i="7"/>
  <c r="BM129" i="7" s="1"/>
  <c r="BH13" i="8"/>
  <c r="BI124" i="7"/>
  <c r="BQ12" i="8"/>
  <c r="BR123" i="7"/>
  <c r="BR130" i="7" s="1"/>
  <c r="AS13" i="3"/>
  <c r="BE13" i="3" s="1"/>
  <c r="BE9" i="3"/>
  <c r="BQ9" i="2"/>
  <c r="R8" i="1" s="1"/>
  <c r="BL132" i="7"/>
  <c r="BJ8" i="3" s="1"/>
  <c r="BJ16" i="3" s="1"/>
  <c r="AZ132" i="7"/>
  <c r="AX8" i="3" s="1"/>
  <c r="AM53" i="3"/>
  <c r="AM9" i="2"/>
  <c r="AO13" i="4" s="1"/>
  <c r="AI132" i="7"/>
  <c r="AG8" i="3" s="1"/>
  <c r="AR8" i="3" s="1"/>
  <c r="AT131" i="7"/>
  <c r="AT132" i="7" s="1"/>
  <c r="AL13" i="4"/>
  <c r="BG130" i="7"/>
  <c r="BG128" i="7"/>
  <c r="AU132" i="7"/>
  <c r="AS8" i="3" s="1"/>
  <c r="AI27" i="3"/>
  <c r="AT24" i="3"/>
  <c r="BF32" i="8"/>
  <c r="BC24" i="3"/>
  <c r="AP16" i="3"/>
  <c r="AP37" i="3" s="1"/>
  <c r="Y37" i="3"/>
  <c r="Y28" i="2"/>
  <c r="AZ24" i="3"/>
  <c r="AV24" i="3"/>
  <c r="AG27" i="3"/>
  <c r="AG16" i="3"/>
  <c r="AG37" i="3" s="1"/>
  <c r="AO16" i="3"/>
  <c r="AO28" i="2" s="1"/>
  <c r="BA16" i="3"/>
  <c r="BA37" i="3" s="1"/>
  <c r="BN24" i="3"/>
  <c r="AW16" i="3"/>
  <c r="AW37" i="3" s="1"/>
  <c r="AM16" i="3"/>
  <c r="AM37" i="3" s="1"/>
  <c r="S27" i="3"/>
  <c r="AU27" i="3"/>
  <c r="BD16" i="3"/>
  <c r="BD37" i="3" s="1"/>
  <c r="AU16" i="3"/>
  <c r="AU37" i="3" s="1"/>
  <c r="AM27" i="3"/>
  <c r="AR21" i="3"/>
  <c r="AY16" i="3"/>
  <c r="AY37" i="3" s="1"/>
  <c r="V27" i="3"/>
  <c r="BL24" i="3"/>
  <c r="BL27" i="3" s="1"/>
  <c r="BJ24" i="3"/>
  <c r="AX24" i="3"/>
  <c r="AX27" i="3" s="1"/>
  <c r="AK16" i="3"/>
  <c r="AK37" i="3" s="1"/>
  <c r="L51" i="1"/>
  <c r="T16" i="3"/>
  <c r="T37" i="3" s="1"/>
  <c r="T57" i="3" s="1"/>
  <c r="Z16" i="3"/>
  <c r="BH24" i="3"/>
  <c r="BH27" i="3" s="1"/>
  <c r="AE24" i="3"/>
  <c r="I58" i="1" s="1"/>
  <c r="V16" i="3"/>
  <c r="BB24" i="3"/>
  <c r="I52" i="1"/>
  <c r="N46" i="11"/>
  <c r="M45" i="11"/>
  <c r="M51" i="11"/>
  <c r="N52" i="11"/>
  <c r="L53" i="11"/>
  <c r="J26" i="3" s="1"/>
  <c r="BD26" i="3"/>
  <c r="AR25" i="3"/>
  <c r="AL55" i="11"/>
  <c r="AJ33" i="3"/>
  <c r="AL27" i="3"/>
  <c r="AX11" i="2"/>
  <c r="F11" i="2"/>
  <c r="BH11" i="2"/>
  <c r="BT112" i="7"/>
  <c r="BS28" i="8"/>
  <c r="BT28" i="8" s="1"/>
  <c r="BT57" i="7"/>
  <c r="BS90" i="6"/>
  <c r="AH57" i="3"/>
  <c r="BT54" i="7"/>
  <c r="BT109" i="7"/>
  <c r="S37" i="3"/>
  <c r="S28" i="2"/>
  <c r="BT70" i="7"/>
  <c r="BJ11" i="2"/>
  <c r="BA11" i="2"/>
  <c r="BB11" i="2"/>
  <c r="AW11" i="2"/>
  <c r="AI37" i="3"/>
  <c r="AI28" i="2"/>
  <c r="AJ28" i="2" s="1"/>
  <c r="AT11" i="2"/>
  <c r="AS11" i="2"/>
  <c r="BT78" i="7"/>
  <c r="BO11" i="2"/>
  <c r="BP11" i="2" s="1"/>
  <c r="BQ11" i="2" s="1"/>
  <c r="AC11" i="2"/>
  <c r="BL11" i="2"/>
  <c r="AC37" i="3"/>
  <c r="AC28" i="2"/>
  <c r="AV11" i="2"/>
  <c r="AT27" i="3"/>
  <c r="AQ11" i="2"/>
  <c r="BF11" i="2"/>
  <c r="R121" i="1"/>
  <c r="AW10" i="4"/>
  <c r="AV63" i="3"/>
  <c r="AQ10" i="4"/>
  <c r="AP63" i="3"/>
  <c r="Y10" i="4"/>
  <c r="X63" i="3"/>
  <c r="BJ10" i="4"/>
  <c r="BI63" i="3"/>
  <c r="BD10" i="4"/>
  <c r="BC63" i="3"/>
  <c r="AZ10" i="4"/>
  <c r="AY63" i="3"/>
  <c r="AJ10" i="4"/>
  <c r="AI63" i="3"/>
  <c r="AD10" i="4"/>
  <c r="AC63" i="3"/>
  <c r="AP10" i="4"/>
  <c r="AO63" i="3"/>
  <c r="AE10" i="4"/>
  <c r="AD63" i="3"/>
  <c r="Z10" i="4"/>
  <c r="Y63" i="3"/>
  <c r="AL10" i="4"/>
  <c r="AK63" i="3"/>
  <c r="AR10" i="4"/>
  <c r="AQ63" i="3"/>
  <c r="AM10" i="4"/>
  <c r="AL63" i="3"/>
  <c r="BL10" i="4"/>
  <c r="BK63" i="3"/>
  <c r="AY10" i="4"/>
  <c r="AX63" i="3"/>
  <c r="AN10" i="4"/>
  <c r="AM63" i="3"/>
  <c r="AI10" i="4"/>
  <c r="AH63" i="3"/>
  <c r="BC10" i="4"/>
  <c r="BB63" i="3"/>
  <c r="BK10" i="4"/>
  <c r="BJ63" i="3"/>
  <c r="AA10" i="4"/>
  <c r="Z63" i="3"/>
  <c r="AC10" i="4"/>
  <c r="AB63" i="3"/>
  <c r="U10" i="4"/>
  <c r="T63" i="3"/>
  <c r="AX10" i="4"/>
  <c r="AW63" i="3"/>
  <c r="V10" i="4"/>
  <c r="U63" i="3"/>
  <c r="AH10" i="4"/>
  <c r="AG63" i="3"/>
  <c r="W10" i="4"/>
  <c r="V63" i="3"/>
  <c r="BP10" i="4"/>
  <c r="BO63" i="3"/>
  <c r="BR10" i="4"/>
  <c r="BQ63" i="3"/>
  <c r="BM10" i="4"/>
  <c r="BL63" i="3"/>
  <c r="AK10" i="4"/>
  <c r="AJ63" i="3"/>
  <c r="BN10" i="4"/>
  <c r="BM63" i="3"/>
  <c r="BI10" i="4"/>
  <c r="BH63" i="3"/>
  <c r="AO10" i="4"/>
  <c r="AN63" i="3"/>
  <c r="AB10" i="4"/>
  <c r="AA63" i="3"/>
  <c r="BO10" i="4"/>
  <c r="BN63" i="3"/>
  <c r="BB10" i="4"/>
  <c r="BA63" i="3"/>
  <c r="BQ10" i="4"/>
  <c r="BP63" i="3"/>
  <c r="BA10" i="4"/>
  <c r="AZ63" i="3"/>
  <c r="AV10" i="4"/>
  <c r="AU63" i="3"/>
  <c r="BH10" i="4"/>
  <c r="BG63" i="3"/>
  <c r="BE10" i="4"/>
  <c r="BD63" i="3"/>
  <c r="X10" i="4"/>
  <c r="W63" i="3"/>
  <c r="AU10" i="4"/>
  <c r="AT63" i="3"/>
  <c r="BM81" i="7"/>
  <c r="BK10" i="3" s="1"/>
  <c r="BF27" i="8"/>
  <c r="BT58" i="7"/>
  <c r="BQ81" i="7"/>
  <c r="BO10" i="3" s="1"/>
  <c r="BO13" i="3" s="1"/>
  <c r="BL39" i="8"/>
  <c r="BK21" i="3" s="1"/>
  <c r="BS35" i="8"/>
  <c r="BT35" i="8" s="1"/>
  <c r="BT53" i="7"/>
  <c r="BR117" i="7"/>
  <c r="BP15" i="3" s="1"/>
  <c r="BO65" i="7"/>
  <c r="BM9" i="3" s="1"/>
  <c r="BM13" i="3" s="1"/>
  <c r="BM14" i="3" s="1"/>
  <c r="BT59" i="7"/>
  <c r="BB21" i="3"/>
  <c r="P10" i="4"/>
  <c r="O63" i="3"/>
  <c r="AU46" i="3"/>
  <c r="BM46" i="3"/>
  <c r="BK47" i="3"/>
  <c r="BK42" i="3"/>
  <c r="BT113" i="7"/>
  <c r="BG36" i="8"/>
  <c r="BS36" i="8" s="1"/>
  <c r="BT36" i="8" s="1"/>
  <c r="BT89" i="7"/>
  <c r="BG12" i="8"/>
  <c r="BS12" i="8" s="1"/>
  <c r="BT110" i="7"/>
  <c r="BT87" i="7"/>
  <c r="BG10" i="8"/>
  <c r="BS13" i="8"/>
  <c r="BH23" i="8"/>
  <c r="BG20" i="3" s="1"/>
  <c r="BK65" i="7"/>
  <c r="BI9" i="3" s="1"/>
  <c r="BC46" i="3"/>
  <c r="AW21" i="3"/>
  <c r="AR20" i="3"/>
  <c r="BG46" i="3"/>
  <c r="BG47" i="3"/>
  <c r="BG42" i="3"/>
  <c r="BG81" i="7"/>
  <c r="BT107" i="7"/>
  <c r="BH81" i="7"/>
  <c r="BF10" i="3" s="1"/>
  <c r="BT68" i="7"/>
  <c r="BT94" i="7"/>
  <c r="BG17" i="8"/>
  <c r="BS17" i="8" s="1"/>
  <c r="BT95" i="7"/>
  <c r="BG18" i="8"/>
  <c r="BS18" i="8" s="1"/>
  <c r="AW42" i="3"/>
  <c r="AW47" i="3"/>
  <c r="BG65" i="7"/>
  <c r="BS19" i="8"/>
  <c r="Q10" i="4"/>
  <c r="P63" i="3"/>
  <c r="R10" i="4"/>
  <c r="Q63" i="3"/>
  <c r="M10" i="4"/>
  <c r="L63" i="3"/>
  <c r="L10" i="4"/>
  <c r="K63" i="3"/>
  <c r="BT90" i="7"/>
  <c r="AU42" i="3"/>
  <c r="AU47" i="3"/>
  <c r="BM47" i="3"/>
  <c r="BM42" i="3"/>
  <c r="BT96" i="7"/>
  <c r="BK117" i="7"/>
  <c r="BI15" i="3" s="1"/>
  <c r="BT106" i="7"/>
  <c r="BG29" i="8"/>
  <c r="BS29" i="8" s="1"/>
  <c r="BT29" i="8" s="1"/>
  <c r="BT88" i="7"/>
  <c r="BG11" i="8"/>
  <c r="BS11" i="8" s="1"/>
  <c r="BA21" i="3"/>
  <c r="BN23" i="8"/>
  <c r="BM20" i="3" s="1"/>
  <c r="BT56" i="7"/>
  <c r="BT93" i="7"/>
  <c r="BG16" i="8"/>
  <c r="BS16" i="8" s="1"/>
  <c r="BJ23" i="8"/>
  <c r="BI20" i="3" s="1"/>
  <c r="BT105" i="7"/>
  <c r="BH117" i="7"/>
  <c r="BF15" i="3" s="1"/>
  <c r="BT103" i="7"/>
  <c r="BG26" i="8"/>
  <c r="BO117" i="7"/>
  <c r="BM15" i="3" s="1"/>
  <c r="BM117" i="7"/>
  <c r="BK15" i="3" s="1"/>
  <c r="AV27" i="3"/>
  <c r="AT39" i="8"/>
  <c r="AS21" i="3" s="1"/>
  <c r="BF26" i="8"/>
  <c r="BT72" i="7"/>
  <c r="BI117" i="7"/>
  <c r="BG15" i="3" s="1"/>
  <c r="BT76" i="7"/>
  <c r="BT91" i="7"/>
  <c r="BG14" i="8"/>
  <c r="BS14" i="8" s="1"/>
  <c r="BI47" i="3"/>
  <c r="BI46" i="3"/>
  <c r="BR65" i="7"/>
  <c r="BP9" i="3" s="1"/>
  <c r="AT23" i="8"/>
  <c r="AS20" i="3" s="1"/>
  <c r="BP42" i="3"/>
  <c r="BP47" i="3"/>
  <c r="BP46" i="3"/>
  <c r="BT108" i="7"/>
  <c r="BG31" i="8"/>
  <c r="BS31" i="8" s="1"/>
  <c r="BT31" i="8" s="1"/>
  <c r="BQ117" i="7"/>
  <c r="BO15" i="3" s="1"/>
  <c r="BP27" i="8"/>
  <c r="BP39" i="8" s="1"/>
  <c r="BO21" i="3" s="1"/>
  <c r="BT92" i="7"/>
  <c r="BG15" i="8"/>
  <c r="BS15" i="8" s="1"/>
  <c r="H10" i="4"/>
  <c r="G63" i="3"/>
  <c r="J10" i="4"/>
  <c r="I63" i="3"/>
  <c r="BB46" i="3"/>
  <c r="BB47" i="3"/>
  <c r="BB42" i="3"/>
  <c r="AY47" i="3"/>
  <c r="AY42" i="3"/>
  <c r="BT114" i="7"/>
  <c r="BG37" i="8"/>
  <c r="BS37" i="8" s="1"/>
  <c r="BT37" i="8" s="1"/>
  <c r="AF16" i="3"/>
  <c r="BJ27" i="3"/>
  <c r="AS39" i="8"/>
  <c r="BM65" i="7"/>
  <c r="BK9" i="3" s="1"/>
  <c r="N10" i="4"/>
  <c r="M63" i="3"/>
  <c r="I10" i="4"/>
  <c r="H63" i="3"/>
  <c r="AJ57" i="3"/>
  <c r="K10" i="4"/>
  <c r="J63" i="3"/>
  <c r="O10" i="4"/>
  <c r="N63" i="3"/>
  <c r="BL23" i="8"/>
  <c r="BK20" i="3" s="1"/>
  <c r="BS33" i="8"/>
  <c r="BT33" i="8" s="1"/>
  <c r="BT111" i="7"/>
  <c r="BG34" i="8"/>
  <c r="BS34" i="8" s="1"/>
  <c r="BT34" i="8" s="1"/>
  <c r="BH65" i="7"/>
  <c r="BF9" i="3" s="1"/>
  <c r="BT55" i="7"/>
  <c r="BN46" i="3"/>
  <c r="BN47" i="3"/>
  <c r="BN42" i="3"/>
  <c r="BQ23" i="8"/>
  <c r="BP20" i="3" s="1"/>
  <c r="BS30" i="8"/>
  <c r="BT30" i="8" s="1"/>
  <c r="AS46" i="3"/>
  <c r="AS47" i="3"/>
  <c r="AO42" i="3"/>
  <c r="BT60" i="7"/>
  <c r="BG117" i="7"/>
  <c r="BT61" i="7"/>
  <c r="BI65" i="7"/>
  <c r="BG9" i="3" s="1"/>
  <c r="BG13" i="3" s="1"/>
  <c r="BG14" i="3" s="1"/>
  <c r="AT13" i="11"/>
  <c r="AT21" i="11"/>
  <c r="R21" i="3"/>
  <c r="BT32" i="8"/>
  <c r="U57" i="3"/>
  <c r="S46" i="3"/>
  <c r="S42" i="3"/>
  <c r="S47" i="3"/>
  <c r="BT52" i="7"/>
  <c r="BY13" i="14"/>
  <c r="BX13" i="14" s="1"/>
  <c r="AH29" i="3"/>
  <c r="F84" i="1"/>
  <c r="W29" i="3"/>
  <c r="W30" i="3" s="1"/>
  <c r="T23" i="11"/>
  <c r="AT29" i="11"/>
  <c r="T15" i="11"/>
  <c r="AG82" i="6"/>
  <c r="AH78" i="6" s="1"/>
  <c r="AH82" i="6" s="1"/>
  <c r="AI78" i="6" s="1"/>
  <c r="AI82" i="6" s="1"/>
  <c r="AJ78" i="6" s="1"/>
  <c r="AJ82" i="6" s="1"/>
  <c r="AK78" i="6" s="1"/>
  <c r="AK82" i="6" s="1"/>
  <c r="AL78" i="6" s="1"/>
  <c r="AL82" i="6" s="1"/>
  <c r="AM78" i="6" s="1"/>
  <c r="AM82" i="6" s="1"/>
  <c r="AN78" i="6" s="1"/>
  <c r="AN82" i="6" s="1"/>
  <c r="AO78" i="6" s="1"/>
  <c r="AO82" i="6" s="1"/>
  <c r="AP78" i="6" s="1"/>
  <c r="AP82" i="6" s="1"/>
  <c r="AQ78" i="6" s="1"/>
  <c r="AQ82" i="6" s="1"/>
  <c r="AR78" i="6" s="1"/>
  <c r="AR82" i="6" s="1"/>
  <c r="AT78" i="6" s="1"/>
  <c r="AS78" i="6"/>
  <c r="AS82" i="6" s="1"/>
  <c r="R62" i="3"/>
  <c r="G10" i="4"/>
  <c r="AE38" i="11"/>
  <c r="AD37" i="11"/>
  <c r="AD41" i="11" s="1"/>
  <c r="N13" i="11"/>
  <c r="T22" i="7"/>
  <c r="BU22" i="7" s="1"/>
  <c r="H59" i="7"/>
  <c r="S55" i="16"/>
  <c r="L16" i="16"/>
  <c r="N16" i="16" s="1"/>
  <c r="BP44" i="11"/>
  <c r="BO43" i="11"/>
  <c r="BO53" i="11" s="1"/>
  <c r="BM26" i="3" s="1"/>
  <c r="Z58" i="11"/>
  <c r="Z7" i="11"/>
  <c r="Z17" i="11" s="1"/>
  <c r="X33" i="3" s="1"/>
  <c r="G85" i="16"/>
  <c r="H85" i="16" s="1"/>
  <c r="M44" i="16"/>
  <c r="N44" i="16"/>
  <c r="AB24" i="11"/>
  <c r="AA23" i="11"/>
  <c r="AA29" i="11" s="1"/>
  <c r="Y25" i="3" s="1"/>
  <c r="AG10" i="4"/>
  <c r="AR62" i="3"/>
  <c r="L69" i="1" s="1"/>
  <c r="T10" i="4"/>
  <c r="AE62" i="3"/>
  <c r="I69" i="1" s="1"/>
  <c r="S71" i="16"/>
  <c r="L32" i="16"/>
  <c r="N32" i="16" s="1"/>
  <c r="N72" i="16"/>
  <c r="G113" i="16"/>
  <c r="H113" i="16" s="1"/>
  <c r="M72" i="16"/>
  <c r="CI11" i="14"/>
  <c r="CH10" i="14"/>
  <c r="BG10" i="4"/>
  <c r="BR62" i="3"/>
  <c r="R69" i="1" s="1"/>
  <c r="AT10" i="4"/>
  <c r="BE62" i="3"/>
  <c r="O69" i="1" s="1"/>
  <c r="S48" i="16"/>
  <c r="L9" i="16"/>
  <c r="N9" i="16" s="1"/>
  <c r="M58" i="11"/>
  <c r="N8" i="11"/>
  <c r="M7" i="11"/>
  <c r="M17" i="11" s="1"/>
  <c r="S72" i="16"/>
  <c r="L33" i="16"/>
  <c r="N33" i="16" s="1"/>
  <c r="U78" i="16"/>
  <c r="J79" i="16"/>
  <c r="U79" i="16" s="1"/>
  <c r="AD14" i="11"/>
  <c r="AC13" i="11"/>
  <c r="BG37" i="11"/>
  <c r="BG41" i="11" s="1"/>
  <c r="G89" i="16"/>
  <c r="H89" i="16" s="1"/>
  <c r="M48" i="16"/>
  <c r="N48" i="16"/>
  <c r="Z53" i="11"/>
  <c r="X26" i="3" s="1"/>
  <c r="I59" i="7"/>
  <c r="O22" i="11"/>
  <c r="N21" i="11"/>
  <c r="N29" i="11" s="1"/>
  <c r="L25" i="3" s="1"/>
  <c r="G96" i="16"/>
  <c r="H96" i="16" s="1"/>
  <c r="N55" i="16"/>
  <c r="M55" i="16"/>
  <c r="S73" i="16"/>
  <c r="L34" i="16"/>
  <c r="N34" i="16" s="1"/>
  <c r="AY17" i="11"/>
  <c r="H55" i="6"/>
  <c r="S63" i="16"/>
  <c r="L24" i="16"/>
  <c r="N24" i="16" s="1"/>
  <c r="S47" i="16"/>
  <c r="L8" i="16"/>
  <c r="N8" i="16" s="1"/>
  <c r="BR22" i="11"/>
  <c r="BQ21" i="11"/>
  <c r="BQ29" i="11" s="1"/>
  <c r="BO25" i="3" s="1"/>
  <c r="G112" i="16"/>
  <c r="H112" i="16" s="1"/>
  <c r="N71" i="16"/>
  <c r="M71" i="16"/>
  <c r="G95" i="16"/>
  <c r="H95" i="16" s="1"/>
  <c r="N54" i="16"/>
  <c r="M54" i="16"/>
  <c r="W52" i="6"/>
  <c r="W55" i="6" s="1"/>
  <c r="T31" i="11"/>
  <c r="G109" i="16"/>
  <c r="H109" i="16" s="1"/>
  <c r="N68" i="16"/>
  <c r="M68" i="16"/>
  <c r="G83" i="16"/>
  <c r="H83" i="16" s="1"/>
  <c r="L78" i="16"/>
  <c r="L79" i="16" s="1"/>
  <c r="N42" i="16"/>
  <c r="M42" i="16"/>
  <c r="K29" i="4"/>
  <c r="AB44" i="11"/>
  <c r="AA43" i="11"/>
  <c r="AA53" i="11" s="1"/>
  <c r="Y26" i="3" s="1"/>
  <c r="B121" i="10"/>
  <c r="L29" i="4"/>
  <c r="I83" i="16"/>
  <c r="R42" i="16"/>
  <c r="Q42" i="16"/>
  <c r="Q78" i="16" s="1"/>
  <c r="Q79" i="16" s="1"/>
  <c r="P78" i="16"/>
  <c r="I75" i="6"/>
  <c r="S66" i="16"/>
  <c r="L27" i="16"/>
  <c r="N27" i="16" s="1"/>
  <c r="I12" i="14"/>
  <c r="G34" i="4" s="1"/>
  <c r="F12" i="14"/>
  <c r="BL17" i="11"/>
  <c r="AZ58" i="11"/>
  <c r="BA8" i="11"/>
  <c r="AZ7" i="11"/>
  <c r="AZ17" i="11" s="1"/>
  <c r="S54" i="16"/>
  <c r="L15" i="16"/>
  <c r="N15" i="16" s="1"/>
  <c r="S44" i="11"/>
  <c r="S43" i="11" s="1"/>
  <c r="R43" i="11"/>
  <c r="AQ38" i="11"/>
  <c r="AP37" i="11"/>
  <c r="AP41" i="11" s="1"/>
  <c r="AN26" i="3" s="1"/>
  <c r="AN27" i="3" s="1"/>
  <c r="N66" i="16"/>
  <c r="G107" i="16"/>
  <c r="H107" i="16" s="1"/>
  <c r="M66" i="16"/>
  <c r="G103" i="16"/>
  <c r="H103" i="16" s="1"/>
  <c r="N62" i="16"/>
  <c r="M62" i="16"/>
  <c r="BE53" i="11"/>
  <c r="BC26" i="3" s="1"/>
  <c r="BG43" i="11"/>
  <c r="BG53" i="11" s="1"/>
  <c r="AM58" i="11"/>
  <c r="AN8" i="11"/>
  <c r="AM7" i="11"/>
  <c r="BR14" i="11"/>
  <c r="BQ13" i="11"/>
  <c r="G114" i="16"/>
  <c r="H114" i="16" s="1"/>
  <c r="M73" i="16"/>
  <c r="N73" i="16"/>
  <c r="G104" i="16"/>
  <c r="H104" i="16" s="1"/>
  <c r="N63" i="16"/>
  <c r="M63" i="16"/>
  <c r="J39" i="2"/>
  <c r="G88" i="16"/>
  <c r="H88" i="16" s="1"/>
  <c r="N47" i="16"/>
  <c r="M47" i="16"/>
  <c r="G99" i="16"/>
  <c r="H99" i="16" s="1"/>
  <c r="N58" i="16"/>
  <c r="M58" i="16"/>
  <c r="P2" i="16" a="1"/>
  <c r="AR56" i="3"/>
  <c r="AQ46" i="3"/>
  <c r="AR46" i="3" s="1"/>
  <c r="L77" i="1" s="1"/>
  <c r="AR40" i="3"/>
  <c r="L71" i="1" s="1"/>
  <c r="AR52" i="3"/>
  <c r="L83" i="1" s="1"/>
  <c r="AR36" i="3"/>
  <c r="L67" i="1" s="1"/>
  <c r="AQ42" i="3"/>
  <c r="AR54" i="3"/>
  <c r="L85" i="1" s="1"/>
  <c r="BB22" i="11"/>
  <c r="BA21" i="11"/>
  <c r="S44" i="16"/>
  <c r="L5" i="16"/>
  <c r="N5" i="16" s="1"/>
  <c r="Q27" i="11"/>
  <c r="Y17" i="11"/>
  <c r="O39" i="1"/>
  <c r="BF40" i="2"/>
  <c r="BG40" i="2" s="1"/>
  <c r="BH40" i="2" s="1"/>
  <c r="BI40" i="2" s="1"/>
  <c r="BJ40" i="2" s="1"/>
  <c r="BK40" i="2" s="1"/>
  <c r="BL40" i="2" s="1"/>
  <c r="BM40" i="2" s="1"/>
  <c r="BN40" i="2" s="1"/>
  <c r="BO40" i="2" s="1"/>
  <c r="BP40" i="2" s="1"/>
  <c r="BQ40" i="2" s="1"/>
  <c r="R39" i="1" s="1"/>
  <c r="S62" i="16"/>
  <c r="L23" i="16"/>
  <c r="N23" i="16" s="1"/>
  <c r="Z29" i="11"/>
  <c r="X25" i="3" s="1"/>
  <c r="AD22" i="11"/>
  <c r="AC21" i="11"/>
  <c r="BM58" i="11"/>
  <c r="BN8" i="11"/>
  <c r="BM7" i="11"/>
  <c r="BM17" i="11" s="1"/>
  <c r="BB14" i="11"/>
  <c r="BA13" i="11"/>
  <c r="S68" i="16"/>
  <c r="L29" i="16"/>
  <c r="N29" i="16" s="1"/>
  <c r="S58" i="16"/>
  <c r="L19" i="16"/>
  <c r="N19" i="16" s="1"/>
  <c r="F113" i="1"/>
  <c r="L17" i="11"/>
  <c r="AB16" i="11"/>
  <c r="AA15" i="11"/>
  <c r="P11" i="14"/>
  <c r="O10" i="14"/>
  <c r="AG33" i="11"/>
  <c r="BQ53" i="3" l="1"/>
  <c r="BC16" i="3"/>
  <c r="AJ13" i="4"/>
  <c r="BT123" i="7"/>
  <c r="BT121" i="7"/>
  <c r="AI57" i="3"/>
  <c r="BK132" i="7"/>
  <c r="BI8" i="3" s="1"/>
  <c r="BI9" i="2" s="1"/>
  <c r="I113" i="1"/>
  <c r="BK13" i="3"/>
  <c r="BK14" i="3" s="1"/>
  <c r="BR10" i="3"/>
  <c r="BQ24" i="3"/>
  <c r="L50" i="1"/>
  <c r="AN13" i="4"/>
  <c r="AX53" i="3"/>
  <c r="AX9" i="2"/>
  <c r="AZ13" i="4" s="1"/>
  <c r="BO53" i="3"/>
  <c r="BO9" i="2"/>
  <c r="BP13" i="4" s="1"/>
  <c r="BD13" i="4"/>
  <c r="BO14" i="3"/>
  <c r="BT128" i="7"/>
  <c r="BH132" i="7"/>
  <c r="BF8" i="3" s="1"/>
  <c r="BT122" i="7"/>
  <c r="BH53" i="3"/>
  <c r="BH9" i="2"/>
  <c r="BR132" i="7"/>
  <c r="BP8" i="3" s="1"/>
  <c r="BM132" i="7"/>
  <c r="BK8" i="3" s="1"/>
  <c r="BP13" i="3"/>
  <c r="BP14" i="3" s="1"/>
  <c r="BR15" i="3"/>
  <c r="BJ53" i="3"/>
  <c r="BJ9" i="2"/>
  <c r="AS14" i="3"/>
  <c r="BE14" i="3" s="1"/>
  <c r="BI53" i="3"/>
  <c r="BT130" i="7"/>
  <c r="BT129" i="7"/>
  <c r="AS53" i="3"/>
  <c r="AS9" i="2"/>
  <c r="BI131" i="7"/>
  <c r="BT124" i="7"/>
  <c r="AZ53" i="3"/>
  <c r="AZ9" i="2"/>
  <c r="BB13" i="4" s="1"/>
  <c r="O8" i="1"/>
  <c r="AV53" i="3"/>
  <c r="AV9" i="2"/>
  <c r="AX13" i="4" s="1"/>
  <c r="BO132" i="7"/>
  <c r="BM8" i="3" s="1"/>
  <c r="BR9" i="3"/>
  <c r="BF13" i="3"/>
  <c r="BI13" i="3"/>
  <c r="BI14" i="3" s="1"/>
  <c r="AG53" i="3"/>
  <c r="AR53" i="3" s="1"/>
  <c r="AG9" i="2"/>
  <c r="AI13" i="4" s="1"/>
  <c r="AV132" i="7"/>
  <c r="AT8" i="3" s="1"/>
  <c r="AT16" i="3" s="1"/>
  <c r="AT37" i="3" s="1"/>
  <c r="BG131" i="7"/>
  <c r="BG132" i="7" s="1"/>
  <c r="BC13" i="4"/>
  <c r="BL53" i="3"/>
  <c r="BL9" i="2"/>
  <c r="AY13" i="4"/>
  <c r="AG13" i="4"/>
  <c r="AP28" i="2"/>
  <c r="AQ28" i="2" s="1"/>
  <c r="BG24" i="3"/>
  <c r="BG27" i="3" s="1"/>
  <c r="BP24" i="3"/>
  <c r="AO37" i="3"/>
  <c r="AQ47" i="3"/>
  <c r="AR47" i="3" s="1"/>
  <c r="L78" i="1" s="1"/>
  <c r="AE16" i="3"/>
  <c r="E9" i="12" s="1"/>
  <c r="F16" i="12" s="1"/>
  <c r="BH16" i="3"/>
  <c r="BH37" i="3" s="1"/>
  <c r="BL16" i="3"/>
  <c r="BL37" i="3" s="1"/>
  <c r="BE26" i="3"/>
  <c r="BN16" i="3"/>
  <c r="BN37" i="3" s="1"/>
  <c r="O52" i="1"/>
  <c r="AM28" i="2"/>
  <c r="AN20" i="4" s="1"/>
  <c r="T29" i="3"/>
  <c r="T30" i="3" s="1"/>
  <c r="AY28" i="2"/>
  <c r="AZ28" i="2" s="1"/>
  <c r="BA28" i="2" s="1"/>
  <c r="BK24" i="3"/>
  <c r="BK27" i="3" s="1"/>
  <c r="AX16" i="3"/>
  <c r="AX37" i="3" s="1"/>
  <c r="T28" i="2"/>
  <c r="U28" i="2" s="1"/>
  <c r="BL47" i="3"/>
  <c r="BM24" i="3"/>
  <c r="BM27" i="3" s="1"/>
  <c r="BB16" i="3"/>
  <c r="V28" i="2"/>
  <c r="W28" i="2" s="1"/>
  <c r="V37" i="3"/>
  <c r="V57" i="3" s="1"/>
  <c r="AF24" i="3"/>
  <c r="Z37" i="3"/>
  <c r="Z28" i="2"/>
  <c r="X27" i="3"/>
  <c r="M53" i="11"/>
  <c r="K26" i="3" s="1"/>
  <c r="O46" i="11"/>
  <c r="N45" i="11"/>
  <c r="O52" i="11"/>
  <c r="N51" i="11"/>
  <c r="Y27" i="3"/>
  <c r="Y29" i="3" s="1"/>
  <c r="Y30" i="3" s="1"/>
  <c r="AZ55" i="11"/>
  <c r="AX33" i="3"/>
  <c r="M55" i="11"/>
  <c r="K33" i="3"/>
  <c r="Y55" i="11"/>
  <c r="W33" i="3"/>
  <c r="AY55" i="11"/>
  <c r="AW33" i="3"/>
  <c r="BL55" i="11"/>
  <c r="BJ33" i="3"/>
  <c r="L55" i="11"/>
  <c r="J33" i="3"/>
  <c r="BM55" i="11"/>
  <c r="BK33" i="3"/>
  <c r="BL46" i="3"/>
  <c r="BF39" i="8"/>
  <c r="AV37" i="3"/>
  <c r="AV28" i="2"/>
  <c r="AW28" i="2" s="1"/>
  <c r="AK28" i="2"/>
  <c r="AK20" i="4"/>
  <c r="BS27" i="8"/>
  <c r="BT27" i="8" s="1"/>
  <c r="AF37" i="3"/>
  <c r="AF28" i="2"/>
  <c r="AP11" i="2"/>
  <c r="BJ37" i="3"/>
  <c r="AY11" i="2"/>
  <c r="AW27" i="3"/>
  <c r="AU11" i="2"/>
  <c r="BC37" i="3"/>
  <c r="AZ11" i="2"/>
  <c r="BM11" i="2"/>
  <c r="AD28" i="2"/>
  <c r="AD20" i="4"/>
  <c r="BG11" i="2"/>
  <c r="BD11" i="2"/>
  <c r="BN11" i="2"/>
  <c r="BI11" i="2"/>
  <c r="BK11" i="2"/>
  <c r="BR63" i="3"/>
  <c r="L110" i="1"/>
  <c r="O110" i="1"/>
  <c r="AR63" i="3"/>
  <c r="AE63" i="3"/>
  <c r="R110" i="1"/>
  <c r="I110" i="1"/>
  <c r="AR42" i="3"/>
  <c r="L73" i="1" s="1"/>
  <c r="BE63" i="3"/>
  <c r="BE21" i="3"/>
  <c r="BL42" i="3"/>
  <c r="R63" i="3"/>
  <c r="AU57" i="3"/>
  <c r="BT117" i="7"/>
  <c r="BI42" i="3"/>
  <c r="AY46" i="3"/>
  <c r="BG23" i="8"/>
  <c r="BF20" i="3" s="1"/>
  <c r="BT65" i="7"/>
  <c r="BT81" i="7"/>
  <c r="BH46" i="3"/>
  <c r="BH47" i="3"/>
  <c r="BH42" i="3"/>
  <c r="BE20" i="3"/>
  <c r="BF47" i="3"/>
  <c r="BF46" i="3"/>
  <c r="BF42" i="3"/>
  <c r="AW46" i="3"/>
  <c r="BK46" i="3"/>
  <c r="BJ47" i="3"/>
  <c r="BJ46" i="3"/>
  <c r="BJ42" i="3"/>
  <c r="BO42" i="3"/>
  <c r="BO47" i="3"/>
  <c r="AS42" i="3"/>
  <c r="BG39" i="8"/>
  <c r="BF21" i="3" s="1"/>
  <c r="BR21" i="3" s="1"/>
  <c r="BS26" i="8"/>
  <c r="S57" i="3"/>
  <c r="AH59" i="3"/>
  <c r="AH30" i="3"/>
  <c r="AE54" i="3"/>
  <c r="I85" i="1" s="1"/>
  <c r="AE40" i="3"/>
  <c r="I71" i="1" s="1"/>
  <c r="AE56" i="3"/>
  <c r="I87" i="1" s="1"/>
  <c r="AE36" i="3"/>
  <c r="I67" i="1" s="1"/>
  <c r="AD47" i="3"/>
  <c r="AE47" i="3" s="1"/>
  <c r="I78" i="1" s="1"/>
  <c r="AE52" i="3"/>
  <c r="I83" i="1" s="1"/>
  <c r="AD46" i="3"/>
  <c r="AE46" i="3" s="1"/>
  <c r="I77" i="1" s="1"/>
  <c r="I51" i="1"/>
  <c r="AD42" i="3"/>
  <c r="AE42" i="3" s="1"/>
  <c r="I73" i="1" s="1"/>
  <c r="BU52" i="7"/>
  <c r="AM29" i="3"/>
  <c r="AM30" i="3" s="1"/>
  <c r="U29" i="3"/>
  <c r="AG29" i="3"/>
  <c r="AK29" i="3"/>
  <c r="AK30" i="3" s="1"/>
  <c r="AL29" i="3"/>
  <c r="AL30" i="3" s="1"/>
  <c r="AJ29" i="3"/>
  <c r="AI29" i="3"/>
  <c r="V29" i="3"/>
  <c r="BF10" i="8"/>
  <c r="BF23" i="8" s="1"/>
  <c r="BS10" i="8"/>
  <c r="BS23" i="8" s="1"/>
  <c r="AN29" i="3"/>
  <c r="AN30" i="3" s="1"/>
  <c r="AF10" i="8"/>
  <c r="Q11" i="14"/>
  <c r="P10" i="14"/>
  <c r="AC16" i="11"/>
  <c r="AB15" i="11"/>
  <c r="AM17" i="11"/>
  <c r="AR38" i="11"/>
  <c r="AQ37" i="11"/>
  <c r="AQ41" i="11" s="1"/>
  <c r="AO26" i="3" s="1"/>
  <c r="AO27" i="3" s="1"/>
  <c r="AO29" i="3" s="1"/>
  <c r="AO30" i="3" s="1"/>
  <c r="J71" i="6"/>
  <c r="J75" i="6" s="1"/>
  <c r="K71" i="6" s="1"/>
  <c r="K75" i="6" s="1"/>
  <c r="L71" i="6" s="1"/>
  <c r="L75" i="6" s="1"/>
  <c r="M71" i="6" s="1"/>
  <c r="M75" i="6" s="1"/>
  <c r="N71" i="6" s="1"/>
  <c r="N75" i="6" s="1"/>
  <c r="O71" i="6" s="1"/>
  <c r="O75" i="6" s="1"/>
  <c r="P71" i="6" s="1"/>
  <c r="P75" i="6" s="1"/>
  <c r="Q71" i="6" s="1"/>
  <c r="Q75" i="6" s="1"/>
  <c r="R71" i="6" s="1"/>
  <c r="R75" i="6" s="1"/>
  <c r="T71" i="6" s="1"/>
  <c r="P79" i="16"/>
  <c r="H4" i="17"/>
  <c r="H7" i="17" s="1"/>
  <c r="L31" i="4"/>
  <c r="K31" i="4"/>
  <c r="T41" i="11"/>
  <c r="BU31" i="11"/>
  <c r="CJ11" i="14"/>
  <c r="CI10" i="14"/>
  <c r="F70" i="3"/>
  <c r="O13" i="11"/>
  <c r="BC22" i="11"/>
  <c r="BB21" i="11"/>
  <c r="BB29" i="11" s="1"/>
  <c r="AZ25" i="3" s="1"/>
  <c r="AZ27" i="3" s="1"/>
  <c r="BC14" i="11"/>
  <c r="BB13" i="11"/>
  <c r="S27" i="11"/>
  <c r="R27" i="11"/>
  <c r="S77" i="7"/>
  <c r="O77" i="7"/>
  <c r="K77" i="7"/>
  <c r="R77" i="7"/>
  <c r="N77" i="7"/>
  <c r="J77" i="7"/>
  <c r="M77" i="7"/>
  <c r="L77" i="7"/>
  <c r="Q77" i="7"/>
  <c r="I77" i="7"/>
  <c r="P77" i="7"/>
  <c r="AN58" i="11"/>
  <c r="AO8" i="11"/>
  <c r="AN7" i="11"/>
  <c r="AN17" i="11" s="1"/>
  <c r="T43" i="11"/>
  <c r="B13" i="14"/>
  <c r="E13" i="14"/>
  <c r="B122" i="10"/>
  <c r="M29" i="4"/>
  <c r="M78" i="16"/>
  <c r="M79" i="16" s="1"/>
  <c r="AE14" i="11"/>
  <c r="AD13" i="11"/>
  <c r="AF38" i="11"/>
  <c r="AF37" i="11" s="1"/>
  <c r="AE37" i="11"/>
  <c r="AE41" i="11" s="1"/>
  <c r="AT82" i="6"/>
  <c r="AU78" i="6" s="1"/>
  <c r="AU82" i="6" s="1"/>
  <c r="AV78" i="6" s="1"/>
  <c r="AV82" i="6" s="1"/>
  <c r="AW78" i="6" s="1"/>
  <c r="AW82" i="6" s="1"/>
  <c r="AX78" i="6" s="1"/>
  <c r="AX82" i="6" s="1"/>
  <c r="AY78" i="6" s="1"/>
  <c r="AY82" i="6" s="1"/>
  <c r="AZ78" i="6" s="1"/>
  <c r="AZ82" i="6" s="1"/>
  <c r="BA78" i="6" s="1"/>
  <c r="BA82" i="6" s="1"/>
  <c r="BB78" i="6" s="1"/>
  <c r="BB82" i="6" s="1"/>
  <c r="BC78" i="6" s="1"/>
  <c r="BC82" i="6" s="1"/>
  <c r="BD78" i="6" s="1"/>
  <c r="BD82" i="6" s="1"/>
  <c r="BE78" i="6" s="1"/>
  <c r="BE82" i="6" s="1"/>
  <c r="BG78" i="6" s="1"/>
  <c r="BF78" i="6"/>
  <c r="BF82" i="6" s="1"/>
  <c r="AE22" i="11"/>
  <c r="AD21" i="11"/>
  <c r="BA29" i="11"/>
  <c r="AY25" i="3" s="1"/>
  <c r="L87" i="1"/>
  <c r="K39" i="2"/>
  <c r="G38" i="4"/>
  <c r="F33" i="2"/>
  <c r="F34" i="2" s="1"/>
  <c r="R78" i="16"/>
  <c r="R79" i="16" s="1"/>
  <c r="Q29" i="17" s="1"/>
  <c r="L3" i="16"/>
  <c r="N3" i="16" s="1"/>
  <c r="S42" i="16"/>
  <c r="S78" i="16" s="1"/>
  <c r="S79" i="16" s="1"/>
  <c r="N78" i="16"/>
  <c r="N79" i="16" s="1"/>
  <c r="Y52" i="6"/>
  <c r="Y55" i="6" s="1"/>
  <c r="BS22" i="11"/>
  <c r="BS21" i="11" s="1"/>
  <c r="BR21" i="11"/>
  <c r="BR29" i="11" s="1"/>
  <c r="BP25" i="3" s="1"/>
  <c r="I52" i="6"/>
  <c r="BW13" i="14"/>
  <c r="Q76" i="7"/>
  <c r="P76" i="7"/>
  <c r="O76" i="7"/>
  <c r="Z55" i="11"/>
  <c r="X57" i="3" s="1"/>
  <c r="BQ44" i="11"/>
  <c r="BP43" i="11"/>
  <c r="F110" i="1"/>
  <c r="F17" i="2"/>
  <c r="G17" i="2" s="1"/>
  <c r="H17" i="2" s="1"/>
  <c r="I17" i="2" s="1"/>
  <c r="J17" i="2" s="1"/>
  <c r="K17" i="2" s="1"/>
  <c r="BU33" i="11"/>
  <c r="BN58" i="11"/>
  <c r="BO8" i="11"/>
  <c r="BN7" i="11"/>
  <c r="BN17" i="11" s="1"/>
  <c r="P36" i="16"/>
  <c r="P32" i="16"/>
  <c r="P28" i="16"/>
  <c r="P24" i="16"/>
  <c r="P20" i="16"/>
  <c r="P16" i="16"/>
  <c r="P12" i="16"/>
  <c r="P8" i="16"/>
  <c r="P4" i="16"/>
  <c r="P35" i="16"/>
  <c r="P31" i="16"/>
  <c r="P27" i="16"/>
  <c r="P23" i="16"/>
  <c r="P19" i="16"/>
  <c r="P15" i="16"/>
  <c r="P11" i="16"/>
  <c r="P7" i="16"/>
  <c r="P3" i="16"/>
  <c r="P34" i="16"/>
  <c r="P26" i="16"/>
  <c r="P18" i="16"/>
  <c r="P10" i="16"/>
  <c r="P33" i="16"/>
  <c r="P25" i="16"/>
  <c r="P17" i="16"/>
  <c r="P9" i="16"/>
  <c r="P2" i="16"/>
  <c r="P38" i="16"/>
  <c r="P30" i="16"/>
  <c r="P22" i="16"/>
  <c r="P14" i="16"/>
  <c r="P6" i="16"/>
  <c r="P37" i="16"/>
  <c r="P29" i="16"/>
  <c r="P21" i="16"/>
  <c r="P13" i="16"/>
  <c r="P5" i="16"/>
  <c r="BS14" i="11"/>
  <c r="BS13" i="11" s="1"/>
  <c r="BR13" i="11"/>
  <c r="BA58" i="11"/>
  <c r="BB8" i="11"/>
  <c r="BA7" i="11"/>
  <c r="BA17" i="11" s="1"/>
  <c r="AY33" i="3" s="1"/>
  <c r="AC44" i="11"/>
  <c r="AB43" i="11"/>
  <c r="AB53" i="11" s="1"/>
  <c r="Z26" i="3" s="1"/>
  <c r="O27" i="17"/>
  <c r="P27" i="17" s="1"/>
  <c r="O26" i="17"/>
  <c r="P26" i="17" s="1"/>
  <c r="O25" i="17"/>
  <c r="P25" i="17" s="1"/>
  <c r="O24" i="17"/>
  <c r="P24" i="17" s="1"/>
  <c r="O23" i="17"/>
  <c r="P23" i="17" s="1"/>
  <c r="O22" i="17"/>
  <c r="P22" i="17" s="1"/>
  <c r="O21" i="17"/>
  <c r="J76" i="7"/>
  <c r="I76" i="7"/>
  <c r="P22" i="11"/>
  <c r="O21" i="11"/>
  <c r="O29" i="11" s="1"/>
  <c r="M25" i="3" s="1"/>
  <c r="N58" i="11"/>
  <c r="O8" i="11"/>
  <c r="N7" i="11"/>
  <c r="M76" i="7"/>
  <c r="L76" i="7"/>
  <c r="K76" i="7"/>
  <c r="AC24" i="11"/>
  <c r="AB23" i="11"/>
  <c r="AA58" i="11"/>
  <c r="AA7" i="11"/>
  <c r="T59" i="7"/>
  <c r="S10" i="4"/>
  <c r="BS62" i="3"/>
  <c r="F69" i="1"/>
  <c r="BI16" i="3" l="1"/>
  <c r="AQ20" i="4"/>
  <c r="AH13" i="4"/>
  <c r="AV57" i="3"/>
  <c r="BI24" i="3"/>
  <c r="BI27" i="3" s="1"/>
  <c r="BR13" i="3"/>
  <c r="L113" i="1"/>
  <c r="L84" i="1"/>
  <c r="AT53" i="3"/>
  <c r="BE53" i="3" s="1"/>
  <c r="O84" i="1" s="1"/>
  <c r="AT9" i="2"/>
  <c r="AV13" i="4" s="1"/>
  <c r="BF14" i="3"/>
  <c r="BR14" i="3" s="1"/>
  <c r="BE8" i="3"/>
  <c r="BE16" i="3" s="1"/>
  <c r="I9" i="12" s="1"/>
  <c r="J16" i="12" s="1"/>
  <c r="BP53" i="3"/>
  <c r="BP9" i="2"/>
  <c r="BR13" i="4" s="1"/>
  <c r="AW13" i="4"/>
  <c r="BM53" i="3"/>
  <c r="BM9" i="2"/>
  <c r="BO13" i="4" s="1"/>
  <c r="BA13" i="4"/>
  <c r="BJ13" i="4"/>
  <c r="BF53" i="3"/>
  <c r="BF9" i="2"/>
  <c r="BI132" i="7"/>
  <c r="BG8" i="3" s="1"/>
  <c r="BT131" i="7"/>
  <c r="BT132" i="7" s="1"/>
  <c r="AG57" i="3"/>
  <c r="AG59" i="3" s="1"/>
  <c r="BK13" i="4"/>
  <c r="AU13" i="4"/>
  <c r="AT13" i="4"/>
  <c r="BK53" i="3"/>
  <c r="BK9" i="2"/>
  <c r="BM13" i="4" s="1"/>
  <c r="T59" i="3"/>
  <c r="T60" i="3" s="1"/>
  <c r="BO24" i="3"/>
  <c r="BP16" i="3"/>
  <c r="BP37" i="3" s="1"/>
  <c r="BL28" i="2"/>
  <c r="AN28" i="2"/>
  <c r="AS24" i="3"/>
  <c r="BE24" i="3" s="1"/>
  <c r="O58" i="1" s="1"/>
  <c r="AS16" i="3"/>
  <c r="AS37" i="3" s="1"/>
  <c r="AX28" i="2"/>
  <c r="AY20" i="4" s="1"/>
  <c r="AX57" i="3"/>
  <c r="AE37" i="3"/>
  <c r="I68" i="1" s="1"/>
  <c r="BK16" i="3"/>
  <c r="BK37" i="3" s="1"/>
  <c r="BK57" i="3" s="1"/>
  <c r="U20" i="4"/>
  <c r="BM16" i="3"/>
  <c r="BM37" i="3" s="1"/>
  <c r="BF16" i="3"/>
  <c r="AR24" i="3"/>
  <c r="L58" i="1" s="1"/>
  <c r="AF27" i="3"/>
  <c r="X28" i="2"/>
  <c r="X20" i="4"/>
  <c r="L52" i="1"/>
  <c r="L53" i="1" s="1"/>
  <c r="M67" i="1" s="1"/>
  <c r="AR16" i="3"/>
  <c r="G9" i="12" s="1"/>
  <c r="H16" i="12" s="1"/>
  <c r="BB37" i="3"/>
  <c r="BB28" i="2"/>
  <c r="BC28" i="2" s="1"/>
  <c r="BD28" i="2" s="1"/>
  <c r="BE20" i="4" s="1"/>
  <c r="AA28" i="2"/>
  <c r="AA20" i="4"/>
  <c r="BO16" i="3"/>
  <c r="P52" i="11"/>
  <c r="O51" i="11"/>
  <c r="P46" i="11"/>
  <c r="O45" i="11"/>
  <c r="O53" i="11" s="1"/>
  <c r="M26" i="3" s="1"/>
  <c r="N53" i="11"/>
  <c r="L26" i="3" s="1"/>
  <c r="W57" i="3"/>
  <c r="W59" i="3" s="1"/>
  <c r="W60" i="3" s="1"/>
  <c r="AY27" i="3"/>
  <c r="AM55" i="11"/>
  <c r="AK33" i="3"/>
  <c r="AK57" i="3" s="1"/>
  <c r="AK59" i="3" s="1"/>
  <c r="AN55" i="11"/>
  <c r="AL33" i="3"/>
  <c r="AW57" i="3"/>
  <c r="BN55" i="11"/>
  <c r="BL33" i="3"/>
  <c r="BL57" i="3" s="1"/>
  <c r="BC11" i="2"/>
  <c r="AG28" i="2"/>
  <c r="AG20" i="4"/>
  <c r="AX20" i="4"/>
  <c r="AR37" i="3"/>
  <c r="L68" i="1" s="1"/>
  <c r="AF57" i="3"/>
  <c r="AM20" i="4"/>
  <c r="AL20" i="4"/>
  <c r="I27" i="1"/>
  <c r="AE20" i="4"/>
  <c r="AO20" i="4"/>
  <c r="AP20" i="4"/>
  <c r="BI37" i="3"/>
  <c r="BI57" i="3" s="1"/>
  <c r="BI28" i="2"/>
  <c r="BJ28" i="2" s="1"/>
  <c r="BA20" i="4"/>
  <c r="L27" i="1"/>
  <c r="AR20" i="4"/>
  <c r="AH60" i="3"/>
  <c r="AH65" i="3"/>
  <c r="T65" i="3"/>
  <c r="BH57" i="3"/>
  <c r="BJ57" i="3"/>
  <c r="AF23" i="8"/>
  <c r="BB20" i="4"/>
  <c r="BO46" i="3"/>
  <c r="BS39" i="8"/>
  <c r="BT26" i="8"/>
  <c r="BR20" i="3"/>
  <c r="U59" i="3"/>
  <c r="U30" i="3"/>
  <c r="V59" i="3"/>
  <c r="V30" i="3"/>
  <c r="AJ59" i="3"/>
  <c r="AJ30" i="3"/>
  <c r="AI59" i="3"/>
  <c r="AI30" i="3"/>
  <c r="AG30" i="3"/>
  <c r="I53" i="1"/>
  <c r="V20" i="4"/>
  <c r="W20" i="4"/>
  <c r="BE40" i="3"/>
  <c r="O71" i="1" s="1"/>
  <c r="BD46" i="3"/>
  <c r="BE46" i="3" s="1"/>
  <c r="O77" i="1" s="1"/>
  <c r="BE36" i="3"/>
  <c r="O67" i="1" s="1"/>
  <c r="O51" i="1"/>
  <c r="BD42" i="3"/>
  <c r="BE42" i="3" s="1"/>
  <c r="O73" i="1" s="1"/>
  <c r="BD47" i="3"/>
  <c r="BE47" i="3" s="1"/>
  <c r="O78" i="1" s="1"/>
  <c r="BE52" i="3"/>
  <c r="O83" i="1" s="1"/>
  <c r="BE56" i="3"/>
  <c r="BE54" i="3"/>
  <c r="O85" i="1" s="1"/>
  <c r="X29" i="3"/>
  <c r="L11" i="1"/>
  <c r="BA55" i="11"/>
  <c r="AY57" i="3" s="1"/>
  <c r="BT13" i="11"/>
  <c r="T27" i="11"/>
  <c r="BU27" i="11" s="1"/>
  <c r="O70" i="7"/>
  <c r="N70" i="7"/>
  <c r="N69" i="7"/>
  <c r="P69" i="7"/>
  <c r="O69" i="7"/>
  <c r="R69" i="7"/>
  <c r="S69" i="7"/>
  <c r="AB29" i="11"/>
  <c r="Z25" i="3" s="1"/>
  <c r="N17" i="11"/>
  <c r="P21" i="17"/>
  <c r="O29" i="17"/>
  <c r="I61" i="7"/>
  <c r="J61" i="7"/>
  <c r="Q70" i="7"/>
  <c r="BR44" i="11"/>
  <c r="BQ43" i="11"/>
  <c r="BQ53" i="11" s="1"/>
  <c r="BO26" i="3" s="1"/>
  <c r="BO27" i="3" s="1"/>
  <c r="L39" i="2"/>
  <c r="AG37" i="11"/>
  <c r="AF41" i="11"/>
  <c r="AF14" i="11"/>
  <c r="AF13" i="11" s="1"/>
  <c r="AE13" i="11"/>
  <c r="B123" i="10"/>
  <c r="N29" i="4"/>
  <c r="T40" i="7"/>
  <c r="BU40" i="7" s="1"/>
  <c r="H77" i="7"/>
  <c r="T77" i="7" s="1"/>
  <c r="BD14" i="11"/>
  <c r="BC13" i="11"/>
  <c r="BD22" i="11"/>
  <c r="BC21" i="11"/>
  <c r="CJ10" i="14"/>
  <c r="CK11" i="14"/>
  <c r="T75" i="6"/>
  <c r="U71" i="6" s="1"/>
  <c r="U75" i="6" s="1"/>
  <c r="V71" i="6" s="1"/>
  <c r="V75" i="6" s="1"/>
  <c r="W71" i="6" s="1"/>
  <c r="W75" i="6" s="1"/>
  <c r="X71" i="6" s="1"/>
  <c r="X75" i="6" s="1"/>
  <c r="Y71" i="6" s="1"/>
  <c r="Y75" i="6" s="1"/>
  <c r="Z71" i="6" s="1"/>
  <c r="Z75" i="6" s="1"/>
  <c r="AA71" i="6" s="1"/>
  <c r="AA75" i="6" s="1"/>
  <c r="AB71" i="6" s="1"/>
  <c r="AB75" i="6" s="1"/>
  <c r="AC71" i="6" s="1"/>
  <c r="AC75" i="6" s="1"/>
  <c r="AD71" i="6" s="1"/>
  <c r="AD75" i="6" s="1"/>
  <c r="AE71" i="6" s="1"/>
  <c r="AE75" i="6" s="1"/>
  <c r="AG71" i="6" s="1"/>
  <c r="AF71" i="6"/>
  <c r="AF75" i="6" s="1"/>
  <c r="AD16" i="11"/>
  <c r="AC15" i="11"/>
  <c r="R11" i="14"/>
  <c r="Q10" i="14"/>
  <c r="AB58" i="11"/>
  <c r="AB7" i="11"/>
  <c r="AB17" i="11" s="1"/>
  <c r="Z33" i="3" s="1"/>
  <c r="Q22" i="11"/>
  <c r="P21" i="11"/>
  <c r="P29" i="11" s="1"/>
  <c r="N25" i="3" s="1"/>
  <c r="AA17" i="11"/>
  <c r="AD24" i="11"/>
  <c r="AC23" i="11"/>
  <c r="AC29" i="11" s="1"/>
  <c r="AA25" i="3" s="1"/>
  <c r="O58" i="11"/>
  <c r="P8" i="11"/>
  <c r="O7" i="11"/>
  <c r="O17" i="11" s="1"/>
  <c r="H76" i="7"/>
  <c r="T76" i="7" s="1"/>
  <c r="T39" i="7"/>
  <c r="BU39" i="7" s="1"/>
  <c r="I70" i="7"/>
  <c r="S70" i="7"/>
  <c r="R70" i="7"/>
  <c r="Q69" i="7"/>
  <c r="N72" i="7"/>
  <c r="M72" i="7"/>
  <c r="L72" i="7"/>
  <c r="J69" i="7"/>
  <c r="I69" i="7"/>
  <c r="Q61" i="7"/>
  <c r="S61" i="7"/>
  <c r="R61" i="7"/>
  <c r="BP8" i="11"/>
  <c r="BO58" i="11"/>
  <c r="BO7" i="11"/>
  <c r="BO17" i="11" s="1"/>
  <c r="I55" i="6"/>
  <c r="BS29" i="11"/>
  <c r="BQ25" i="3" s="1"/>
  <c r="BT21" i="11"/>
  <c r="BT29" i="11" s="1"/>
  <c r="D13" i="14"/>
  <c r="C13" i="14" s="1"/>
  <c r="J12" i="14" s="1"/>
  <c r="R72" i="7"/>
  <c r="S72" i="7"/>
  <c r="CD12" i="14"/>
  <c r="BZ13" i="14"/>
  <c r="AA52" i="6"/>
  <c r="AA55" i="6" s="1"/>
  <c r="Q26" i="17"/>
  <c r="Q22" i="17"/>
  <c r="Q21" i="17"/>
  <c r="Q27" i="17"/>
  <c r="Q23" i="17"/>
  <c r="Q24" i="17"/>
  <c r="Q25" i="17"/>
  <c r="BS78" i="6"/>
  <c r="BS82" i="6" s="1"/>
  <c r="BG82" i="6"/>
  <c r="BH78" i="6" s="1"/>
  <c r="BH82" i="6" s="1"/>
  <c r="BI78" i="6" s="1"/>
  <c r="BI82" i="6" s="1"/>
  <c r="BJ78" i="6" s="1"/>
  <c r="BJ82" i="6" s="1"/>
  <c r="BK78" i="6" s="1"/>
  <c r="BK82" i="6" s="1"/>
  <c r="BL78" i="6" s="1"/>
  <c r="BL82" i="6" s="1"/>
  <c r="BM78" i="6" s="1"/>
  <c r="BM82" i="6" s="1"/>
  <c r="BN78" i="6" s="1"/>
  <c r="BN82" i="6" s="1"/>
  <c r="BO78" i="6" s="1"/>
  <c r="BO82" i="6" s="1"/>
  <c r="BP78" i="6" s="1"/>
  <c r="BP82" i="6" s="1"/>
  <c r="BQ78" i="6" s="1"/>
  <c r="BQ82" i="6" s="1"/>
  <c r="BR78" i="6" s="1"/>
  <c r="BR82" i="6" s="1"/>
  <c r="M69" i="7"/>
  <c r="L69" i="7"/>
  <c r="K69" i="7"/>
  <c r="P71" i="7"/>
  <c r="L71" i="7"/>
  <c r="S71" i="7"/>
  <c r="O71" i="7"/>
  <c r="K71" i="7"/>
  <c r="N71" i="7"/>
  <c r="M71" i="7"/>
  <c r="R71" i="7"/>
  <c r="J71" i="7"/>
  <c r="Q71" i="7"/>
  <c r="I71" i="7"/>
  <c r="M70" i="7"/>
  <c r="L70" i="7"/>
  <c r="K70" i="7"/>
  <c r="J70" i="7"/>
  <c r="AD44" i="11"/>
  <c r="AC43" i="11"/>
  <c r="AC53" i="11" s="1"/>
  <c r="AA26" i="3" s="1"/>
  <c r="BB58" i="11"/>
  <c r="BC8" i="11"/>
  <c r="BB7" i="11"/>
  <c r="BB17" i="11" s="1"/>
  <c r="S68" i="7"/>
  <c r="O68" i="7"/>
  <c r="K68" i="7"/>
  <c r="R68" i="7"/>
  <c r="N68" i="7"/>
  <c r="J68" i="7"/>
  <c r="M68" i="7"/>
  <c r="L68" i="7"/>
  <c r="Q68" i="7"/>
  <c r="I68" i="7"/>
  <c r="P68" i="7"/>
  <c r="K72" i="7"/>
  <c r="J72" i="7"/>
  <c r="I72" i="7"/>
  <c r="P70" i="7"/>
  <c r="BP53" i="11"/>
  <c r="BN26" i="3" s="1"/>
  <c r="AF22" i="11"/>
  <c r="AF21" i="11" s="1"/>
  <c r="AE21" i="11"/>
  <c r="M31" i="4"/>
  <c r="L17" i="2"/>
  <c r="AP8" i="11"/>
  <c r="AO58" i="11"/>
  <c r="AO7" i="11"/>
  <c r="AO17" i="11" s="1"/>
  <c r="P13" i="11"/>
  <c r="AS38" i="11"/>
  <c r="AS37" i="11" s="1"/>
  <c r="AR37" i="11"/>
  <c r="AR41" i="11" s="1"/>
  <c r="AP26" i="3" s="1"/>
  <c r="AP27" i="3" s="1"/>
  <c r="AP29" i="3" s="1"/>
  <c r="AP30" i="3" s="1"/>
  <c r="M72" i="1" l="1"/>
  <c r="M86" i="1"/>
  <c r="M81" i="1"/>
  <c r="M83" i="1"/>
  <c r="M51" i="1"/>
  <c r="M82" i="1"/>
  <c r="M85" i="1"/>
  <c r="M77" i="1"/>
  <c r="M52" i="1"/>
  <c r="M80" i="1"/>
  <c r="M76" i="1"/>
  <c r="M69" i="1"/>
  <c r="M73" i="1"/>
  <c r="M78" i="1"/>
  <c r="M70" i="1"/>
  <c r="M74" i="1"/>
  <c r="M87" i="1"/>
  <c r="M71" i="1"/>
  <c r="M75" i="1"/>
  <c r="M53" i="1"/>
  <c r="M58" i="1"/>
  <c r="M50" i="1"/>
  <c r="BL13" i="4"/>
  <c r="M84" i="1"/>
  <c r="AT57" i="3"/>
  <c r="O113" i="1"/>
  <c r="M68" i="1"/>
  <c r="BQ13" i="4"/>
  <c r="O50" i="1"/>
  <c r="O53" i="1" s="1"/>
  <c r="P77" i="1" s="1"/>
  <c r="BN13" i="4"/>
  <c r="BG13" i="4"/>
  <c r="BG53" i="3"/>
  <c r="BR53" i="3" s="1"/>
  <c r="BG9" i="2"/>
  <c r="BI13" i="4" s="1"/>
  <c r="BG16" i="3"/>
  <c r="BG37" i="3" s="1"/>
  <c r="BR8" i="3"/>
  <c r="R50" i="1" s="1"/>
  <c r="AS27" i="3"/>
  <c r="H9" i="12"/>
  <c r="AS28" i="2"/>
  <c r="AT28" i="2" s="1"/>
  <c r="AU28" i="2" s="1"/>
  <c r="AZ20" i="4"/>
  <c r="BM28" i="2"/>
  <c r="BD20" i="4"/>
  <c r="O27" i="1"/>
  <c r="BO37" i="3"/>
  <c r="BO28" i="2"/>
  <c r="BC20" i="4"/>
  <c r="BE37" i="3"/>
  <c r="O68" i="1" s="1"/>
  <c r="AC20" i="4"/>
  <c r="AB20" i="4"/>
  <c r="R52" i="1"/>
  <c r="BF24" i="3"/>
  <c r="Y20" i="4"/>
  <c r="Z20" i="4"/>
  <c r="W65" i="3"/>
  <c r="W66" i="3" s="1"/>
  <c r="Q46" i="11"/>
  <c r="P45" i="11"/>
  <c r="Q52" i="11"/>
  <c r="P51" i="11"/>
  <c r="AA27" i="3"/>
  <c r="AA29" i="3" s="1"/>
  <c r="AA30" i="3" s="1"/>
  <c r="BN27" i="3"/>
  <c r="BO55" i="11"/>
  <c r="BM33" i="3"/>
  <c r="N55" i="11"/>
  <c r="L33" i="3"/>
  <c r="O55" i="11"/>
  <c r="M33" i="3"/>
  <c r="Z27" i="3"/>
  <c r="Z29" i="3" s="1"/>
  <c r="Z30" i="3" s="1"/>
  <c r="AL57" i="3"/>
  <c r="AL59" i="3" s="1"/>
  <c r="AL60" i="3" s="1"/>
  <c r="AO55" i="11"/>
  <c r="AM33" i="3"/>
  <c r="BB55" i="11"/>
  <c r="AZ33" i="3"/>
  <c r="BR25" i="3"/>
  <c r="AA55" i="11"/>
  <c r="Y33" i="3"/>
  <c r="BF37" i="3"/>
  <c r="BF28" i="2"/>
  <c r="BK28" i="2"/>
  <c r="BL20" i="4" s="1"/>
  <c r="BK20" i="4"/>
  <c r="AS57" i="3"/>
  <c r="AH28" i="2"/>
  <c r="AH20" i="4"/>
  <c r="AI60" i="3"/>
  <c r="AI65" i="3"/>
  <c r="V60" i="3"/>
  <c r="V65" i="3"/>
  <c r="AK60" i="3"/>
  <c r="AK65" i="3"/>
  <c r="U60" i="3"/>
  <c r="U65" i="3"/>
  <c r="T66" i="3"/>
  <c r="AG60" i="3"/>
  <c r="AG65" i="3"/>
  <c r="AJ60" i="3"/>
  <c r="AJ65" i="3"/>
  <c r="AH66" i="3"/>
  <c r="X59" i="3"/>
  <c r="X30" i="3"/>
  <c r="J58" i="1"/>
  <c r="J68" i="1"/>
  <c r="J50" i="1"/>
  <c r="J75" i="1"/>
  <c r="J84" i="1"/>
  <c r="J86" i="1"/>
  <c r="J52" i="1"/>
  <c r="J72" i="1"/>
  <c r="J82" i="1"/>
  <c r="J53" i="1"/>
  <c r="J76" i="1"/>
  <c r="J81" i="1"/>
  <c r="J74" i="1"/>
  <c r="J80" i="1"/>
  <c r="J70" i="1"/>
  <c r="J69" i="1"/>
  <c r="J73" i="1"/>
  <c r="J51" i="1"/>
  <c r="J77" i="1"/>
  <c r="J87" i="1"/>
  <c r="J85" i="1"/>
  <c r="J71" i="1"/>
  <c r="J67" i="1"/>
  <c r="J78" i="1"/>
  <c r="J83" i="1"/>
  <c r="AB55" i="11"/>
  <c r="Z57" i="3" s="1"/>
  <c r="R51" i="1"/>
  <c r="BQ42" i="3"/>
  <c r="BR42" i="3" s="1"/>
  <c r="R73" i="1" s="1"/>
  <c r="BR56" i="3"/>
  <c r="R87" i="1" s="1"/>
  <c r="BR54" i="3"/>
  <c r="R85" i="1" s="1"/>
  <c r="BQ47" i="3"/>
  <c r="BR47" i="3" s="1"/>
  <c r="R78" i="1" s="1"/>
  <c r="BQ46" i="3"/>
  <c r="BR46" i="3" s="1"/>
  <c r="R77" i="1" s="1"/>
  <c r="BR36" i="3"/>
  <c r="R67" i="1" s="1"/>
  <c r="BR40" i="3"/>
  <c r="R71" i="1" s="1"/>
  <c r="BR52" i="3"/>
  <c r="R83" i="1" s="1"/>
  <c r="O87" i="1"/>
  <c r="BH29" i="3"/>
  <c r="BJ29" i="3"/>
  <c r="AW29" i="3"/>
  <c r="AZ29" i="3"/>
  <c r="H34" i="4"/>
  <c r="G33" i="2" s="1"/>
  <c r="G34" i="2" s="1"/>
  <c r="AG21" i="11"/>
  <c r="AG13" i="11"/>
  <c r="I75" i="7"/>
  <c r="I81" i="7" s="1"/>
  <c r="G10" i="3" s="1"/>
  <c r="J75" i="7"/>
  <c r="J81" i="7" s="1"/>
  <c r="H10" i="3" s="1"/>
  <c r="O75" i="7"/>
  <c r="O81" i="7" s="1"/>
  <c r="M10" i="3" s="1"/>
  <c r="AE16" i="11"/>
  <c r="AD15" i="11"/>
  <c r="CL11" i="14"/>
  <c r="CK10" i="14"/>
  <c r="BC29" i="11"/>
  <c r="BA25" i="3" s="1"/>
  <c r="M17" i="2"/>
  <c r="N31" i="4"/>
  <c r="I60" i="7"/>
  <c r="I65" i="7" s="1"/>
  <c r="G9" i="3" s="1"/>
  <c r="H90" i="6"/>
  <c r="O61" i="7"/>
  <c r="O65" i="7" s="1"/>
  <c r="M9" i="3" s="1"/>
  <c r="N90" i="6"/>
  <c r="R60" i="7"/>
  <c r="R65" i="7" s="1"/>
  <c r="P9" i="3" s="1"/>
  <c r="Q90" i="6"/>
  <c r="H72" i="7"/>
  <c r="T72" i="7" s="1"/>
  <c r="T35" i="7"/>
  <c r="BU35" i="7" s="1"/>
  <c r="Q75" i="7"/>
  <c r="Q81" i="7" s="1"/>
  <c r="O10" i="3" s="1"/>
  <c r="N75" i="7"/>
  <c r="N81" i="7" s="1"/>
  <c r="L10" i="3" s="1"/>
  <c r="S75" i="7"/>
  <c r="S81" i="7" s="1"/>
  <c r="Q10" i="3" s="1"/>
  <c r="J52" i="6"/>
  <c r="J55" i="6" s="1"/>
  <c r="AE24" i="11"/>
  <c r="AD23" i="11"/>
  <c r="AD29" i="11" s="1"/>
  <c r="AB25" i="3" s="1"/>
  <c r="AC58" i="11"/>
  <c r="AC7" i="11"/>
  <c r="S11" i="14"/>
  <c r="R10" i="14"/>
  <c r="BD21" i="11"/>
  <c r="BD29" i="11" s="1"/>
  <c r="BB25" i="3" s="1"/>
  <c r="BB27" i="3" s="1"/>
  <c r="BE22" i="11"/>
  <c r="B124" i="10"/>
  <c r="O29" i="4"/>
  <c r="BS44" i="11"/>
  <c r="BS43" i="11" s="1"/>
  <c r="BS53" i="11" s="1"/>
  <c r="BQ26" i="3" s="1"/>
  <c r="BQ27" i="3" s="1"/>
  <c r="BR43" i="11"/>
  <c r="J60" i="7"/>
  <c r="J65" i="7" s="1"/>
  <c r="H9" i="3" s="1"/>
  <c r="I90" i="6"/>
  <c r="P61" i="7"/>
  <c r="P65" i="7" s="1"/>
  <c r="N9" i="3" s="1"/>
  <c r="O90" i="6"/>
  <c r="K61" i="7"/>
  <c r="K65" i="7" s="1"/>
  <c r="I9" i="3" s="1"/>
  <c r="J90" i="6"/>
  <c r="H61" i="7"/>
  <c r="T24" i="7"/>
  <c r="BU24" i="7" s="1"/>
  <c r="AS41" i="11"/>
  <c r="AQ26" i="3" s="1"/>
  <c r="AT37" i="11"/>
  <c r="AT41" i="11" s="1"/>
  <c r="Q13" i="11"/>
  <c r="H68" i="7"/>
  <c r="T31" i="7"/>
  <c r="BU31" i="7" s="1"/>
  <c r="AE44" i="11"/>
  <c r="AD43" i="11"/>
  <c r="AD53" i="11" s="1"/>
  <c r="AB26" i="3" s="1"/>
  <c r="H71" i="7"/>
  <c r="T71" i="7" s="1"/>
  <c r="T34" i="7"/>
  <c r="BU34" i="7" s="1"/>
  <c r="AC52" i="6"/>
  <c r="AC55" i="6" s="1"/>
  <c r="F13" i="14"/>
  <c r="H75" i="7"/>
  <c r="T38" i="7"/>
  <c r="BU38" i="7" s="1"/>
  <c r="L75" i="7"/>
  <c r="L81" i="7" s="1"/>
  <c r="J10" i="3" s="1"/>
  <c r="R75" i="7"/>
  <c r="R81" i="7" s="1"/>
  <c r="P10" i="3" s="1"/>
  <c r="BP58" i="11"/>
  <c r="BQ8" i="11"/>
  <c r="BP7" i="11"/>
  <c r="H69" i="7"/>
  <c r="T69" i="7" s="1"/>
  <c r="T32" i="7"/>
  <c r="BU32" i="7" s="1"/>
  <c r="P58" i="11"/>
  <c r="Q8" i="11"/>
  <c r="P7" i="11"/>
  <c r="P17" i="11" s="1"/>
  <c r="M39" i="2"/>
  <c r="H60" i="7"/>
  <c r="T23" i="7"/>
  <c r="BU23" i="7" s="1"/>
  <c r="G90" i="6"/>
  <c r="R90" i="6"/>
  <c r="S60" i="7"/>
  <c r="S65" i="7" s="1"/>
  <c r="Q9" i="3" s="1"/>
  <c r="L61" i="7"/>
  <c r="L65" i="7" s="1"/>
  <c r="J9" i="3" s="1"/>
  <c r="K90" i="6"/>
  <c r="AP58" i="11"/>
  <c r="AQ8" i="11"/>
  <c r="AP7" i="11"/>
  <c r="AP17" i="11" s="1"/>
  <c r="BC58" i="11"/>
  <c r="BD8" i="11"/>
  <c r="BC7" i="11"/>
  <c r="BC17" i="11" s="1"/>
  <c r="BA33" i="3" s="1"/>
  <c r="BV14" i="14"/>
  <c r="BY14" i="14"/>
  <c r="J13" i="14"/>
  <c r="G69" i="3" s="1"/>
  <c r="P75" i="7"/>
  <c r="P81" i="7" s="1"/>
  <c r="N10" i="3" s="1"/>
  <c r="M75" i="7"/>
  <c r="M81" i="7" s="1"/>
  <c r="K10" i="3" s="1"/>
  <c r="K75" i="7"/>
  <c r="K81" i="7" s="1"/>
  <c r="I10" i="3" s="1"/>
  <c r="H70" i="7"/>
  <c r="T70" i="7" s="1"/>
  <c r="T33" i="7"/>
  <c r="BU33" i="7" s="1"/>
  <c r="R22" i="11"/>
  <c r="Q21" i="11"/>
  <c r="Q29" i="11" s="1"/>
  <c r="O25" i="3" s="1"/>
  <c r="AS71" i="6"/>
  <c r="AS75" i="6" s="1"/>
  <c r="AG75" i="6"/>
  <c r="AH71" i="6" s="1"/>
  <c r="AH75" i="6" s="1"/>
  <c r="AI71" i="6" s="1"/>
  <c r="AI75" i="6" s="1"/>
  <c r="AJ71" i="6" s="1"/>
  <c r="AJ75" i="6" s="1"/>
  <c r="AK71" i="6" s="1"/>
  <c r="AK75" i="6" s="1"/>
  <c r="AL71" i="6" s="1"/>
  <c r="AL75" i="6" s="1"/>
  <c r="AM71" i="6" s="1"/>
  <c r="AM75" i="6" s="1"/>
  <c r="AN71" i="6" s="1"/>
  <c r="AN75" i="6" s="1"/>
  <c r="AO71" i="6" s="1"/>
  <c r="AO75" i="6" s="1"/>
  <c r="AP71" i="6" s="1"/>
  <c r="AP75" i="6" s="1"/>
  <c r="AQ71" i="6" s="1"/>
  <c r="AQ75" i="6" s="1"/>
  <c r="AR71" i="6" s="1"/>
  <c r="AR75" i="6" s="1"/>
  <c r="AT71" i="6" s="1"/>
  <c r="BD13" i="11"/>
  <c r="BE14" i="11"/>
  <c r="AG41" i="11"/>
  <c r="N61" i="7"/>
  <c r="N65" i="7" s="1"/>
  <c r="L9" i="3" s="1"/>
  <c r="M90" i="6"/>
  <c r="Q60" i="7"/>
  <c r="Q65" i="7" s="1"/>
  <c r="O9" i="3" s="1"/>
  <c r="P90" i="6"/>
  <c r="M61" i="7"/>
  <c r="M65" i="7" s="1"/>
  <c r="K9" i="3" s="1"/>
  <c r="L90" i="6"/>
  <c r="BG57" i="3" l="1"/>
  <c r="R84" i="1"/>
  <c r="BS53" i="3"/>
  <c r="BG29" i="3"/>
  <c r="BG30" i="3" s="1"/>
  <c r="BH13" i="4"/>
  <c r="R113" i="1" s="1"/>
  <c r="BG28" i="2"/>
  <c r="BH28" i="2" s="1"/>
  <c r="BS8" i="3"/>
  <c r="AU20" i="4"/>
  <c r="AT20" i="4"/>
  <c r="G13" i="3"/>
  <c r="G24" i="3" s="1"/>
  <c r="Q13" i="3"/>
  <c r="Q24" i="3" s="1"/>
  <c r="K13" i="3"/>
  <c r="K24" i="3" s="1"/>
  <c r="P13" i="3"/>
  <c r="P24" i="3" s="1"/>
  <c r="I13" i="3"/>
  <c r="I24" i="3" s="1"/>
  <c r="H13" i="3"/>
  <c r="H24" i="3" s="1"/>
  <c r="BN29" i="3"/>
  <c r="BN30" i="3" s="1"/>
  <c r="BN28" i="2"/>
  <c r="BO20" i="4" s="1"/>
  <c r="BN20" i="4"/>
  <c r="N13" i="3"/>
  <c r="N24" i="3" s="1"/>
  <c r="O13" i="3"/>
  <c r="O24" i="3" s="1"/>
  <c r="L13" i="3"/>
  <c r="L24" i="3" s="1"/>
  <c r="J13" i="3"/>
  <c r="J24" i="3" s="1"/>
  <c r="M13" i="3"/>
  <c r="M24" i="3" s="1"/>
  <c r="BR16" i="3"/>
  <c r="K9" i="12" s="1"/>
  <c r="L16" i="12" s="1"/>
  <c r="BP28" i="2"/>
  <c r="BR24" i="3"/>
  <c r="R58" i="1" s="1"/>
  <c r="BF27" i="3"/>
  <c r="BF29" i="3" s="1"/>
  <c r="P53" i="11"/>
  <c r="N26" i="3" s="1"/>
  <c r="R52" i="11"/>
  <c r="Q51" i="11"/>
  <c r="R46" i="11"/>
  <c r="Q45" i="11"/>
  <c r="AB27" i="3"/>
  <c r="AB29" i="3" s="1"/>
  <c r="AB30" i="3" s="1"/>
  <c r="AL65" i="3"/>
  <c r="AL66" i="3" s="1"/>
  <c r="AZ57" i="3"/>
  <c r="AZ59" i="3" s="1"/>
  <c r="Y57" i="3"/>
  <c r="Y59" i="3" s="1"/>
  <c r="AP55" i="11"/>
  <c r="AN33" i="3"/>
  <c r="BA27" i="3"/>
  <c r="AM57" i="3"/>
  <c r="AM59" i="3" s="1"/>
  <c r="AQ27" i="3"/>
  <c r="AQ29" i="3" s="1"/>
  <c r="AQ30" i="3" s="1"/>
  <c r="AR26" i="3"/>
  <c r="P55" i="11"/>
  <c r="N33" i="3"/>
  <c r="BM57" i="3"/>
  <c r="BG20" i="4"/>
  <c r="BM20" i="4"/>
  <c r="BF57" i="3"/>
  <c r="BR37" i="3"/>
  <c r="R68" i="1" s="1"/>
  <c r="AJ20" i="4"/>
  <c r="AI20" i="4"/>
  <c r="AG66" i="3"/>
  <c r="U66" i="3"/>
  <c r="AK66" i="3"/>
  <c r="AI66" i="3"/>
  <c r="X60" i="3"/>
  <c r="X65" i="3"/>
  <c r="AJ66" i="3"/>
  <c r="V66" i="3"/>
  <c r="P83" i="1"/>
  <c r="P87" i="1"/>
  <c r="P71" i="1"/>
  <c r="P78" i="1"/>
  <c r="AZ30" i="3"/>
  <c r="AW59" i="3"/>
  <c r="AW30" i="3"/>
  <c r="BH59" i="3"/>
  <c r="BH30" i="3"/>
  <c r="BJ59" i="3"/>
  <c r="BJ30" i="3"/>
  <c r="R53" i="1"/>
  <c r="S71" i="1" s="1"/>
  <c r="P50" i="1"/>
  <c r="P72" i="1"/>
  <c r="P82" i="1"/>
  <c r="P84" i="1"/>
  <c r="P68" i="1"/>
  <c r="P52" i="1"/>
  <c r="P53" i="1"/>
  <c r="P74" i="1"/>
  <c r="P76" i="1"/>
  <c r="P86" i="1"/>
  <c r="P70" i="1"/>
  <c r="P75" i="1"/>
  <c r="P81" i="1"/>
  <c r="P58" i="1"/>
  <c r="P80" i="1"/>
  <c r="P69" i="1"/>
  <c r="P73" i="1"/>
  <c r="P67" i="1"/>
  <c r="P51" i="1"/>
  <c r="P85" i="1"/>
  <c r="F9" i="12"/>
  <c r="BC55" i="11"/>
  <c r="BA57" i="3" s="1"/>
  <c r="Z59" i="3"/>
  <c r="AY29" i="3"/>
  <c r="BK29" i="3"/>
  <c r="AV29" i="3"/>
  <c r="BS56" i="3"/>
  <c r="AU29" i="3"/>
  <c r="R11" i="1"/>
  <c r="BO29" i="3"/>
  <c r="BO30" i="3" s="1"/>
  <c r="AX29" i="3"/>
  <c r="AV20" i="4"/>
  <c r="AW20" i="4"/>
  <c r="BH20" i="4"/>
  <c r="BL29" i="3"/>
  <c r="BI29" i="3"/>
  <c r="BM29" i="3"/>
  <c r="BQ29" i="3"/>
  <c r="BQ30" i="3" s="1"/>
  <c r="AT29" i="3"/>
  <c r="H38" i="4"/>
  <c r="T68" i="7"/>
  <c r="H81" i="7"/>
  <c r="H65" i="7"/>
  <c r="G70" i="3"/>
  <c r="BU37" i="11"/>
  <c r="BU41" i="11" s="1"/>
  <c r="R57" i="1"/>
  <c r="L57" i="1"/>
  <c r="M57" i="1" s="1"/>
  <c r="I57" i="1"/>
  <c r="J57" i="1" s="1"/>
  <c r="AF29" i="3"/>
  <c r="AR19" i="3"/>
  <c r="AE19" i="3"/>
  <c r="S29" i="3"/>
  <c r="O57" i="1"/>
  <c r="P57" i="1" s="1"/>
  <c r="BR19" i="3"/>
  <c r="AT75" i="6"/>
  <c r="AU71" i="6" s="1"/>
  <c r="AU75" i="6" s="1"/>
  <c r="AV71" i="6" s="1"/>
  <c r="AV75" i="6" s="1"/>
  <c r="AW71" i="6" s="1"/>
  <c r="AW75" i="6" s="1"/>
  <c r="AX71" i="6" s="1"/>
  <c r="AX75" i="6" s="1"/>
  <c r="AY71" i="6" s="1"/>
  <c r="AY75" i="6" s="1"/>
  <c r="AZ71" i="6" s="1"/>
  <c r="AZ75" i="6" s="1"/>
  <c r="BA71" i="6" s="1"/>
  <c r="BA75" i="6" s="1"/>
  <c r="BB71" i="6" s="1"/>
  <c r="BB75" i="6" s="1"/>
  <c r="BC71" i="6" s="1"/>
  <c r="BC75" i="6" s="1"/>
  <c r="BD71" i="6" s="1"/>
  <c r="BD75" i="6" s="1"/>
  <c r="BE71" i="6" s="1"/>
  <c r="BE75" i="6" s="1"/>
  <c r="BG71" i="6" s="1"/>
  <c r="BF71" i="6"/>
  <c r="BF75" i="6" s="1"/>
  <c r="BF14" i="11"/>
  <c r="BF13" i="11" s="1"/>
  <c r="BE13" i="11"/>
  <c r="L66" i="6"/>
  <c r="L96" i="6" s="1"/>
  <c r="BD58" i="11"/>
  <c r="BE8" i="11"/>
  <c r="BD7" i="11"/>
  <c r="BD17" i="11" s="1"/>
  <c r="S90" i="6"/>
  <c r="G91" i="6"/>
  <c r="H88" i="6" s="1"/>
  <c r="H91" i="6" s="1"/>
  <c r="I88" i="6" s="1"/>
  <c r="I91" i="6" s="1"/>
  <c r="J88" i="6" s="1"/>
  <c r="J91" i="6" s="1"/>
  <c r="K88" i="6" s="1"/>
  <c r="K91" i="6" s="1"/>
  <c r="L88" i="6" s="1"/>
  <c r="L91" i="6" s="1"/>
  <c r="M88" i="6" s="1"/>
  <c r="M91" i="6" s="1"/>
  <c r="N88" i="6" s="1"/>
  <c r="N91" i="6" s="1"/>
  <c r="O88" i="6" s="1"/>
  <c r="O91" i="6" s="1"/>
  <c r="P88" i="6" s="1"/>
  <c r="P91" i="6" s="1"/>
  <c r="Q88" i="6" s="1"/>
  <c r="Q91" i="6" s="1"/>
  <c r="R88" i="6" s="1"/>
  <c r="R91" i="6" s="1"/>
  <c r="T88" i="6" s="1"/>
  <c r="N39" i="2"/>
  <c r="BQ58" i="11"/>
  <c r="BR8" i="11"/>
  <c r="BQ7" i="11"/>
  <c r="BQ17" i="11" s="1"/>
  <c r="K66" i="6"/>
  <c r="K96" i="6" s="1"/>
  <c r="T75" i="7"/>
  <c r="S13" i="11"/>
  <c r="R13" i="11"/>
  <c r="BF22" i="11"/>
  <c r="BF21" i="11" s="1"/>
  <c r="BE21" i="11"/>
  <c r="BE29" i="11" s="1"/>
  <c r="BC25" i="3" s="1"/>
  <c r="BC27" i="3" s="1"/>
  <c r="T11" i="14"/>
  <c r="S10" i="14"/>
  <c r="AD58" i="11"/>
  <c r="AD7" i="11"/>
  <c r="AD17" i="11" s="1"/>
  <c r="K52" i="6"/>
  <c r="K55" i="6" s="1"/>
  <c r="I66" i="6"/>
  <c r="BX14" i="14"/>
  <c r="BW14" i="14" s="1"/>
  <c r="CE12" i="14" s="1"/>
  <c r="Q58" i="11"/>
  <c r="R8" i="11"/>
  <c r="Q7" i="11"/>
  <c r="Q17" i="11" s="1"/>
  <c r="B14" i="14"/>
  <c r="E14" i="14"/>
  <c r="BR53" i="11"/>
  <c r="BP26" i="3" s="1"/>
  <c r="BP27" i="3" s="1"/>
  <c r="BP29" i="3" s="1"/>
  <c r="BP30" i="3" s="1"/>
  <c r="BT43" i="11"/>
  <c r="BT53" i="11" s="1"/>
  <c r="M66" i="6"/>
  <c r="M96" i="6" s="1"/>
  <c r="CM11" i="14"/>
  <c r="CL10" i="14"/>
  <c r="AF16" i="11"/>
  <c r="AF15" i="11" s="1"/>
  <c r="AE15" i="11"/>
  <c r="J66" i="6"/>
  <c r="J96" i="6" s="1"/>
  <c r="O66" i="6"/>
  <c r="O96" i="6" s="1"/>
  <c r="T60" i="7"/>
  <c r="Q66" i="6"/>
  <c r="Q96" i="6" s="1"/>
  <c r="AE52" i="6"/>
  <c r="AE55" i="6" s="1"/>
  <c r="T61" i="7"/>
  <c r="O31" i="4"/>
  <c r="N17" i="2"/>
  <c r="R66" i="6"/>
  <c r="R96" i="6" s="1"/>
  <c r="P66" i="6"/>
  <c r="P96" i="6" s="1"/>
  <c r="N66" i="6"/>
  <c r="N96" i="6" s="1"/>
  <c r="H66" i="6"/>
  <c r="S22" i="11"/>
  <c r="S21" i="11" s="1"/>
  <c r="R21" i="11"/>
  <c r="R29" i="11" s="1"/>
  <c r="P25" i="3" s="1"/>
  <c r="AQ58" i="11"/>
  <c r="AR8" i="11"/>
  <c r="AQ7" i="11"/>
  <c r="AQ17" i="11" s="1"/>
  <c r="BP17" i="11"/>
  <c r="G66" i="6"/>
  <c r="AF44" i="11"/>
  <c r="AF43" i="11" s="1"/>
  <c r="AE43" i="11"/>
  <c r="AE53" i="11" s="1"/>
  <c r="AC26" i="3" s="1"/>
  <c r="B125" i="10"/>
  <c r="P29" i="4"/>
  <c r="AC17" i="11"/>
  <c r="AF24" i="11"/>
  <c r="AF23" i="11" s="1"/>
  <c r="AE23" i="11"/>
  <c r="AE29" i="11" s="1"/>
  <c r="AC25" i="3" s="1"/>
  <c r="J14" i="3" l="1"/>
  <c r="J16" i="3" s="1"/>
  <c r="BG59" i="3"/>
  <c r="BG60" i="3" s="1"/>
  <c r="G14" i="3"/>
  <c r="G16" i="3" s="1"/>
  <c r="P14" i="3"/>
  <c r="P16" i="3" s="1"/>
  <c r="I14" i="3"/>
  <c r="Q14" i="3"/>
  <c r="Q16" i="3" s="1"/>
  <c r="M14" i="3"/>
  <c r="M16" i="3" s="1"/>
  <c r="L14" i="3"/>
  <c r="N14" i="3"/>
  <c r="N16" i="3" s="1"/>
  <c r="H14" i="3"/>
  <c r="H16" i="3" s="1"/>
  <c r="K14" i="3"/>
  <c r="K16" i="3" s="1"/>
  <c r="O14" i="3"/>
  <c r="BP20" i="4"/>
  <c r="BQ28" i="2"/>
  <c r="BQ20" i="4"/>
  <c r="Q53" i="11"/>
  <c r="O26" i="3" s="1"/>
  <c r="S52" i="11"/>
  <c r="S51" i="11" s="1"/>
  <c r="R51" i="11"/>
  <c r="S46" i="11"/>
  <c r="S45" i="11" s="1"/>
  <c r="S53" i="11" s="1"/>
  <c r="Q26" i="3" s="1"/>
  <c r="R45" i="11"/>
  <c r="AR27" i="3"/>
  <c r="G10" i="12" s="1"/>
  <c r="BR26" i="3"/>
  <c r="BR27" i="3" s="1"/>
  <c r="AC27" i="3"/>
  <c r="AC29" i="3" s="1"/>
  <c r="AC30" i="3" s="1"/>
  <c r="Y60" i="3"/>
  <c r="Y65" i="3"/>
  <c r="Y66" i="3" s="1"/>
  <c r="AQ55" i="11"/>
  <c r="AO33" i="3"/>
  <c r="AC55" i="11"/>
  <c r="AA33" i="3"/>
  <c r="AA57" i="3" s="1"/>
  <c r="AA59" i="3" s="1"/>
  <c r="BD55" i="11"/>
  <c r="BB33" i="3"/>
  <c r="BB57" i="3" s="1"/>
  <c r="BQ55" i="11"/>
  <c r="BO33" i="3"/>
  <c r="Q55" i="11"/>
  <c r="O33" i="3"/>
  <c r="BP55" i="11"/>
  <c r="BN33" i="3"/>
  <c r="AD55" i="11"/>
  <c r="AB33" i="3"/>
  <c r="AM60" i="3"/>
  <c r="AM65" i="3"/>
  <c r="AM66" i="3" s="1"/>
  <c r="AN57" i="3"/>
  <c r="AN59" i="3" s="1"/>
  <c r="T65" i="7"/>
  <c r="F9" i="3"/>
  <c r="T81" i="7"/>
  <c r="F10" i="3"/>
  <c r="R10" i="3" s="1"/>
  <c r="L120" i="1"/>
  <c r="BJ60" i="3"/>
  <c r="BJ65" i="3"/>
  <c r="X66" i="3"/>
  <c r="AW60" i="3"/>
  <c r="AW65" i="3"/>
  <c r="Z60" i="3"/>
  <c r="Z65" i="3"/>
  <c r="BH60" i="3"/>
  <c r="BH65" i="3"/>
  <c r="AZ60" i="3"/>
  <c r="AZ65" i="3"/>
  <c r="O120" i="1"/>
  <c r="S59" i="3"/>
  <c r="S30" i="3"/>
  <c r="AF59" i="3"/>
  <c r="AF30" i="3"/>
  <c r="AU59" i="3"/>
  <c r="AU30" i="3"/>
  <c r="AX59" i="3"/>
  <c r="AX30" i="3"/>
  <c r="AV59" i="3"/>
  <c r="AV30" i="3"/>
  <c r="AY59" i="3"/>
  <c r="AY30" i="3"/>
  <c r="AT59" i="3"/>
  <c r="AT30" i="3"/>
  <c r="BI59" i="3"/>
  <c r="BI30" i="3"/>
  <c r="BK59" i="3"/>
  <c r="BK30" i="3"/>
  <c r="BM59" i="3"/>
  <c r="BM30" i="3"/>
  <c r="S51" i="1"/>
  <c r="S87" i="1"/>
  <c r="S73" i="1"/>
  <c r="BL59" i="3"/>
  <c r="BL30" i="3"/>
  <c r="S83" i="1"/>
  <c r="BF59" i="3"/>
  <c r="BF30" i="3"/>
  <c r="S57" i="1"/>
  <c r="S85" i="1"/>
  <c r="S78" i="1"/>
  <c r="S84" i="1"/>
  <c r="S75" i="1"/>
  <c r="S50" i="1"/>
  <c r="S72" i="1"/>
  <c r="S70" i="1"/>
  <c r="S52" i="1"/>
  <c r="S80" i="1"/>
  <c r="S81" i="1"/>
  <c r="S86" i="1"/>
  <c r="S74" i="1"/>
  <c r="S76" i="1"/>
  <c r="S53" i="1"/>
  <c r="S68" i="1"/>
  <c r="S58" i="1"/>
  <c r="S82" i="1"/>
  <c r="S69" i="1"/>
  <c r="S67" i="1"/>
  <c r="S77" i="1"/>
  <c r="J9" i="12"/>
  <c r="BG13" i="11"/>
  <c r="AS29" i="3"/>
  <c r="BI20" i="4"/>
  <c r="BJ20" i="4"/>
  <c r="BE19" i="3"/>
  <c r="K47" i="3"/>
  <c r="L40" i="3"/>
  <c r="P42" i="3"/>
  <c r="J36" i="3"/>
  <c r="G47" i="3"/>
  <c r="I56" i="1"/>
  <c r="T13" i="11"/>
  <c r="BU13" i="11" s="1"/>
  <c r="L56" i="1"/>
  <c r="R56" i="1"/>
  <c r="AG15" i="11"/>
  <c r="BU15" i="11" s="1"/>
  <c r="AG23" i="11"/>
  <c r="AF29" i="11"/>
  <c r="AD25" i="3" s="1"/>
  <c r="G68" i="6"/>
  <c r="S66" i="6"/>
  <c r="AR58" i="11"/>
  <c r="AS8" i="11"/>
  <c r="AR7" i="11"/>
  <c r="AR17" i="11" s="1"/>
  <c r="N46" i="3"/>
  <c r="N36" i="3"/>
  <c r="N42" i="3"/>
  <c r="N40" i="3"/>
  <c r="N47" i="3"/>
  <c r="O97" i="6"/>
  <c r="L47" i="3"/>
  <c r="P97" i="6"/>
  <c r="AG52" i="6"/>
  <c r="BA29" i="3"/>
  <c r="M97" i="6"/>
  <c r="L52" i="6"/>
  <c r="L55" i="6" s="1"/>
  <c r="T10" i="14"/>
  <c r="U11" i="14"/>
  <c r="BR58" i="11"/>
  <c r="BS8" i="11"/>
  <c r="BR7" i="11"/>
  <c r="BR17" i="11" s="1"/>
  <c r="O39" i="2"/>
  <c r="BE58" i="11"/>
  <c r="BF8" i="11"/>
  <c r="BE7" i="11"/>
  <c r="BE17" i="11" s="1"/>
  <c r="B126" i="10"/>
  <c r="Q29" i="4"/>
  <c r="P31" i="4"/>
  <c r="O17" i="2"/>
  <c r="AF53" i="11"/>
  <c r="AD26" i="3" s="1"/>
  <c r="AE26" i="3" s="1"/>
  <c r="AG43" i="11"/>
  <c r="H96" i="6"/>
  <c r="J97" i="6"/>
  <c r="CN11" i="14"/>
  <c r="CM10" i="14"/>
  <c r="R58" i="11"/>
  <c r="S8" i="11"/>
  <c r="R7" i="11"/>
  <c r="R17" i="11" s="1"/>
  <c r="BZ14" i="14"/>
  <c r="K97" i="6"/>
  <c r="AF88" i="6"/>
  <c r="AF91" i="6" s="1"/>
  <c r="T91" i="6"/>
  <c r="U88" i="6" s="1"/>
  <c r="U91" i="6" s="1"/>
  <c r="V88" i="6" s="1"/>
  <c r="V91" i="6" s="1"/>
  <c r="W88" i="6" s="1"/>
  <c r="W91" i="6" s="1"/>
  <c r="X88" i="6" s="1"/>
  <c r="X91" i="6" s="1"/>
  <c r="Y88" i="6" s="1"/>
  <c r="Y91" i="6" s="1"/>
  <c r="Z88" i="6" s="1"/>
  <c r="Z91" i="6" s="1"/>
  <c r="AA88" i="6" s="1"/>
  <c r="AA91" i="6" s="1"/>
  <c r="AB88" i="6" s="1"/>
  <c r="AB91" i="6" s="1"/>
  <c r="AC88" i="6" s="1"/>
  <c r="AC91" i="6" s="1"/>
  <c r="AD88" i="6" s="1"/>
  <c r="AD91" i="6" s="1"/>
  <c r="AE88" i="6" s="1"/>
  <c r="AE91" i="6" s="1"/>
  <c r="AG88" i="6" s="1"/>
  <c r="S29" i="11"/>
  <c r="Q25" i="3" s="1"/>
  <c r="R25" i="3" s="1"/>
  <c r="T21" i="11"/>
  <c r="R97" i="6"/>
  <c r="F42" i="3"/>
  <c r="BB29" i="3"/>
  <c r="BB30" i="3" s="1"/>
  <c r="D14" i="14"/>
  <c r="C14" i="14" s="1"/>
  <c r="BF29" i="11"/>
  <c r="BD25" i="3" s="1"/>
  <c r="BG21" i="11"/>
  <c r="BG29" i="11" s="1"/>
  <c r="BT90" i="6"/>
  <c r="BT91" i="6" s="1"/>
  <c r="S91" i="6"/>
  <c r="L97" i="6"/>
  <c r="N97" i="6"/>
  <c r="Q97" i="6"/>
  <c r="I96" i="6"/>
  <c r="AE58" i="11"/>
  <c r="AE7" i="11"/>
  <c r="BG75" i="6"/>
  <c r="BH71" i="6" s="1"/>
  <c r="BH75" i="6" s="1"/>
  <c r="BI71" i="6" s="1"/>
  <c r="BI75" i="6" s="1"/>
  <c r="BJ71" i="6" s="1"/>
  <c r="BJ75" i="6" s="1"/>
  <c r="BK71" i="6" s="1"/>
  <c r="BK75" i="6" s="1"/>
  <c r="BL71" i="6" s="1"/>
  <c r="BL75" i="6" s="1"/>
  <c r="BM71" i="6" s="1"/>
  <c r="BM75" i="6" s="1"/>
  <c r="BN71" i="6" s="1"/>
  <c r="BN75" i="6" s="1"/>
  <c r="BO71" i="6" s="1"/>
  <c r="BO75" i="6" s="1"/>
  <c r="BP71" i="6" s="1"/>
  <c r="BP75" i="6" s="1"/>
  <c r="BQ71" i="6" s="1"/>
  <c r="BQ75" i="6" s="1"/>
  <c r="BR71" i="6" s="1"/>
  <c r="BR75" i="6" s="1"/>
  <c r="BS71" i="6"/>
  <c r="BS75" i="6" s="1"/>
  <c r="I16" i="3" l="1"/>
  <c r="I28" i="2" s="1"/>
  <c r="J28" i="2" s="1"/>
  <c r="K28" i="2" s="1"/>
  <c r="BG65" i="3"/>
  <c r="BG66" i="3" s="1"/>
  <c r="O16" i="3"/>
  <c r="O28" i="2" s="1"/>
  <c r="P28" i="2" s="1"/>
  <c r="Q28" i="2" s="1"/>
  <c r="L16" i="3"/>
  <c r="L28" i="2" s="1"/>
  <c r="M28" i="2" s="1"/>
  <c r="N28" i="2" s="1"/>
  <c r="AR29" i="3"/>
  <c r="AR30" i="3" s="1"/>
  <c r="F13" i="3"/>
  <c r="F24" i="3" s="1"/>
  <c r="R24" i="3" s="1"/>
  <c r="R27" i="1"/>
  <c r="BR20" i="4"/>
  <c r="R120" i="1" s="1"/>
  <c r="T51" i="11"/>
  <c r="BU51" i="11" s="1"/>
  <c r="R53" i="11"/>
  <c r="P26" i="3" s="1"/>
  <c r="R26" i="3" s="1"/>
  <c r="T45" i="11"/>
  <c r="K10" i="12"/>
  <c r="BR29" i="3"/>
  <c r="R61" i="1" s="1"/>
  <c r="S61" i="1" s="1"/>
  <c r="AB57" i="3"/>
  <c r="AB59" i="3" s="1"/>
  <c r="AB65" i="3" s="1"/>
  <c r="BD27" i="3"/>
  <c r="BE25" i="3"/>
  <c r="BE27" i="3" s="1"/>
  <c r="BO57" i="3"/>
  <c r="BO59" i="3" s="1"/>
  <c r="BO60" i="3" s="1"/>
  <c r="R55" i="11"/>
  <c r="P33" i="3"/>
  <c r="BE55" i="11"/>
  <c r="BC33" i="3"/>
  <c r="BR55" i="11"/>
  <c r="BP33" i="3"/>
  <c r="AD27" i="3"/>
  <c r="AD29" i="3" s="1"/>
  <c r="AD30" i="3" s="1"/>
  <c r="AE25" i="3"/>
  <c r="AE27" i="3" s="1"/>
  <c r="AN60" i="3"/>
  <c r="AN65" i="3"/>
  <c r="AN66" i="3" s="1"/>
  <c r="AR55" i="11"/>
  <c r="AP33" i="3"/>
  <c r="BN57" i="3"/>
  <c r="BN59" i="3" s="1"/>
  <c r="BN60" i="3" s="1"/>
  <c r="AO57" i="3"/>
  <c r="AO59" i="3" s="1"/>
  <c r="AA60" i="3"/>
  <c r="AA65" i="3"/>
  <c r="BK60" i="3"/>
  <c r="BK65" i="3"/>
  <c r="AT60" i="3"/>
  <c r="AT65" i="3"/>
  <c r="AV60" i="3"/>
  <c r="AV65" i="3"/>
  <c r="AU60" i="3"/>
  <c r="AU65" i="3"/>
  <c r="S60" i="3"/>
  <c r="S65" i="3"/>
  <c r="AZ66" i="3"/>
  <c r="BL60" i="3"/>
  <c r="BL65" i="3"/>
  <c r="BF60" i="3"/>
  <c r="BF65" i="3"/>
  <c r="BM60" i="3"/>
  <c r="BM65" i="3"/>
  <c r="BI60" i="3"/>
  <c r="BI65" i="3"/>
  <c r="AY60" i="3"/>
  <c r="AY65" i="3"/>
  <c r="AX60" i="3"/>
  <c r="AX65" i="3"/>
  <c r="AF60" i="3"/>
  <c r="AF65" i="3"/>
  <c r="BH66" i="3"/>
  <c r="Z66" i="3"/>
  <c r="AW66" i="3"/>
  <c r="BJ66" i="3"/>
  <c r="O56" i="1"/>
  <c r="P56" i="1" s="1"/>
  <c r="L61" i="1"/>
  <c r="M61" i="1" s="1"/>
  <c r="BA59" i="3"/>
  <c r="BA30" i="3"/>
  <c r="AS59" i="3"/>
  <c r="AS30" i="3"/>
  <c r="L9" i="12"/>
  <c r="F36" i="3"/>
  <c r="F47" i="3"/>
  <c r="F40" i="3"/>
  <c r="J42" i="3"/>
  <c r="F46" i="3"/>
  <c r="L42" i="3"/>
  <c r="K42" i="3"/>
  <c r="G37" i="3"/>
  <c r="K46" i="3"/>
  <c r="K40" i="3"/>
  <c r="G36" i="3"/>
  <c r="K36" i="3"/>
  <c r="I42" i="3"/>
  <c r="I36" i="3"/>
  <c r="I47" i="3"/>
  <c r="G46" i="3"/>
  <c r="I46" i="3"/>
  <c r="I40" i="3"/>
  <c r="P47" i="3"/>
  <c r="P36" i="3"/>
  <c r="P40" i="3"/>
  <c r="L46" i="3"/>
  <c r="L36" i="3"/>
  <c r="P46" i="3"/>
  <c r="J47" i="3"/>
  <c r="H37" i="3"/>
  <c r="M37" i="3"/>
  <c r="J40" i="3"/>
  <c r="J46" i="3"/>
  <c r="G42" i="3"/>
  <c r="G40" i="3"/>
  <c r="Q37" i="3"/>
  <c r="J37" i="3"/>
  <c r="K12" i="14"/>
  <c r="I34" i="4" s="1"/>
  <c r="I38" i="4" s="1"/>
  <c r="F14" i="14"/>
  <c r="B15" i="14" s="1"/>
  <c r="K37" i="3"/>
  <c r="L59" i="1"/>
  <c r="M56" i="1"/>
  <c r="S56" i="1"/>
  <c r="R59" i="1"/>
  <c r="J56" i="1"/>
  <c r="I59" i="1"/>
  <c r="S16" i="8"/>
  <c r="BT16" i="8" s="1"/>
  <c r="S12" i="8"/>
  <c r="BT12" i="8" s="1"/>
  <c r="S14" i="8"/>
  <c r="BT14" i="8" s="1"/>
  <c r="S17" i="8"/>
  <c r="BT17" i="8" s="1"/>
  <c r="S15" i="8"/>
  <c r="BT15" i="8" s="1"/>
  <c r="S13" i="8"/>
  <c r="BT13" i="8" s="1"/>
  <c r="S11" i="8"/>
  <c r="BT11" i="8" s="1"/>
  <c r="S18" i="8"/>
  <c r="BT18" i="8" s="1"/>
  <c r="S19" i="8"/>
  <c r="BT19" i="8" s="1"/>
  <c r="K13" i="14"/>
  <c r="H69" i="3" s="1"/>
  <c r="CO11" i="14"/>
  <c r="CN10" i="14"/>
  <c r="B129" i="10"/>
  <c r="H42" i="3"/>
  <c r="H40" i="3"/>
  <c r="H36" i="3"/>
  <c r="H46" i="3"/>
  <c r="H47" i="3"/>
  <c r="R9" i="3"/>
  <c r="O37" i="3"/>
  <c r="BT66" i="6"/>
  <c r="BT68" i="6" s="1"/>
  <c r="S68" i="6"/>
  <c r="M47" i="3"/>
  <c r="M40" i="3"/>
  <c r="M46" i="3"/>
  <c r="M36" i="3"/>
  <c r="M42" i="3"/>
  <c r="AS88" i="6"/>
  <c r="AS91" i="6" s="1"/>
  <c r="AG91" i="6"/>
  <c r="AH88" i="6" s="1"/>
  <c r="AH91" i="6" s="1"/>
  <c r="AI88" i="6" s="1"/>
  <c r="AI91" i="6" s="1"/>
  <c r="AJ88" i="6" s="1"/>
  <c r="AJ91" i="6" s="1"/>
  <c r="AK88" i="6" s="1"/>
  <c r="AK91" i="6" s="1"/>
  <c r="AL88" i="6" s="1"/>
  <c r="AL91" i="6" s="1"/>
  <c r="AM88" i="6" s="1"/>
  <c r="AM91" i="6" s="1"/>
  <c r="AN88" i="6" s="1"/>
  <c r="AN91" i="6" s="1"/>
  <c r="AO88" i="6" s="1"/>
  <c r="AO91" i="6" s="1"/>
  <c r="AP88" i="6" s="1"/>
  <c r="AP91" i="6" s="1"/>
  <c r="AQ88" i="6" s="1"/>
  <c r="AQ91" i="6" s="1"/>
  <c r="AR88" i="6" s="1"/>
  <c r="AR91" i="6" s="1"/>
  <c r="AT88" i="6" s="1"/>
  <c r="S58" i="11"/>
  <c r="S7" i="11"/>
  <c r="S96" i="6"/>
  <c r="H97" i="6"/>
  <c r="AG53" i="11"/>
  <c r="BU43" i="11"/>
  <c r="BF58" i="11"/>
  <c r="BF7" i="11"/>
  <c r="H64" i="6"/>
  <c r="G101" i="6"/>
  <c r="O46" i="3"/>
  <c r="O42" i="3"/>
  <c r="O47" i="3"/>
  <c r="O40" i="3"/>
  <c r="O36" i="3"/>
  <c r="AE17" i="11"/>
  <c r="F12" i="1"/>
  <c r="P37" i="3"/>
  <c r="BB59" i="3"/>
  <c r="N37" i="3"/>
  <c r="BC29" i="3"/>
  <c r="S10" i="8"/>
  <c r="BS58" i="11"/>
  <c r="BS7" i="11"/>
  <c r="AS58" i="11"/>
  <c r="AS7" i="11"/>
  <c r="I11" i="1"/>
  <c r="I97" i="6"/>
  <c r="AF58" i="11"/>
  <c r="AF7" i="11"/>
  <c r="AF17" i="11" s="1"/>
  <c r="I121" i="1"/>
  <c r="BU21" i="11"/>
  <c r="T29" i="11"/>
  <c r="BY15" i="14"/>
  <c r="BV15" i="14"/>
  <c r="Q31" i="4"/>
  <c r="P17" i="2"/>
  <c r="P39" i="2"/>
  <c r="V11" i="14"/>
  <c r="U10" i="14"/>
  <c r="M52" i="6"/>
  <c r="M55" i="6" s="1"/>
  <c r="AG55" i="6"/>
  <c r="AS52" i="6"/>
  <c r="AS55" i="6" s="1"/>
  <c r="AU52" i="6" s="1"/>
  <c r="AU55" i="6" s="1"/>
  <c r="BU23" i="11"/>
  <c r="AG29" i="11"/>
  <c r="L37" i="3" l="1"/>
  <c r="F14" i="3"/>
  <c r="O59" i="1"/>
  <c r="P59" i="1" s="1"/>
  <c r="BR30" i="3"/>
  <c r="AB60" i="3"/>
  <c r="BU45" i="11"/>
  <c r="BU53" i="11" s="1"/>
  <c r="T53" i="11"/>
  <c r="BN65" i="3"/>
  <c r="BN66" i="3" s="1"/>
  <c r="BO65" i="3"/>
  <c r="BO66" i="3" s="1"/>
  <c r="BP57" i="3"/>
  <c r="BP59" i="3" s="1"/>
  <c r="AE29" i="3"/>
  <c r="AP57" i="3"/>
  <c r="AP59" i="3" s="1"/>
  <c r="BC57" i="3"/>
  <c r="BC59" i="3" s="1"/>
  <c r="AO65" i="3"/>
  <c r="AO66" i="3" s="1"/>
  <c r="AO60" i="3"/>
  <c r="AF55" i="11"/>
  <c r="AD33" i="3"/>
  <c r="AE55" i="11"/>
  <c r="AC33" i="3"/>
  <c r="AC57" i="3" s="1"/>
  <c r="AC59" i="3" s="1"/>
  <c r="BE29" i="3"/>
  <c r="BE30" i="3" s="1"/>
  <c r="I10" i="12"/>
  <c r="AS60" i="3"/>
  <c r="AS65" i="3"/>
  <c r="AX66" i="3"/>
  <c r="BI66" i="3"/>
  <c r="BF66" i="3"/>
  <c r="BL66" i="3"/>
  <c r="AU66" i="3"/>
  <c r="AT66" i="3"/>
  <c r="AB66" i="3"/>
  <c r="BB60" i="3"/>
  <c r="BB65" i="3"/>
  <c r="BA60" i="3"/>
  <c r="BA65" i="3"/>
  <c r="AF66" i="3"/>
  <c r="AY66" i="3"/>
  <c r="BM66" i="3"/>
  <c r="S66" i="3"/>
  <c r="AV66" i="3"/>
  <c r="BK66" i="3"/>
  <c r="AA66" i="3"/>
  <c r="BC30" i="3"/>
  <c r="S23" i="8"/>
  <c r="G104" i="6" s="1"/>
  <c r="K57" i="3"/>
  <c r="L57" i="3"/>
  <c r="N20" i="4"/>
  <c r="G57" i="3"/>
  <c r="J57" i="3"/>
  <c r="E15" i="14"/>
  <c r="D15" i="14" s="1"/>
  <c r="C15" i="14" s="1"/>
  <c r="H33" i="2"/>
  <c r="H34" i="2" s="1"/>
  <c r="H70" i="3"/>
  <c r="J59" i="1"/>
  <c r="S59" i="1"/>
  <c r="M59" i="1"/>
  <c r="AG7" i="11"/>
  <c r="AG17" i="11" s="1"/>
  <c r="AG55" i="11" s="1"/>
  <c r="J27" i="3"/>
  <c r="N57" i="3"/>
  <c r="P57" i="3"/>
  <c r="AW52" i="6"/>
  <c r="AW55" i="6" s="1"/>
  <c r="BX15" i="14"/>
  <c r="BW15" i="14" s="1"/>
  <c r="CF12" i="14" s="1"/>
  <c r="R13" i="3"/>
  <c r="AI52" i="6"/>
  <c r="AI55" i="6" s="1"/>
  <c r="N52" i="6"/>
  <c r="N55" i="6" s="1"/>
  <c r="V10" i="14"/>
  <c r="W11" i="14"/>
  <c r="G102" i="6"/>
  <c r="BT96" i="6"/>
  <c r="S97" i="6"/>
  <c r="BT97" i="6" s="1"/>
  <c r="I37" i="3"/>
  <c r="K27" i="3"/>
  <c r="BU29" i="11"/>
  <c r="H68" i="6"/>
  <c r="BF17" i="11"/>
  <c r="BG7" i="11"/>
  <c r="BG17" i="11" s="1"/>
  <c r="BG55" i="11" s="1"/>
  <c r="AT91" i="6"/>
  <c r="AU88" i="6" s="1"/>
  <c r="AU91" i="6" s="1"/>
  <c r="AV88" i="6" s="1"/>
  <c r="AV91" i="6" s="1"/>
  <c r="AW88" i="6" s="1"/>
  <c r="AW91" i="6" s="1"/>
  <c r="AX88" i="6" s="1"/>
  <c r="AX91" i="6" s="1"/>
  <c r="AY88" i="6" s="1"/>
  <c r="AY91" i="6" s="1"/>
  <c r="AZ88" i="6" s="1"/>
  <c r="AZ91" i="6" s="1"/>
  <c r="BA88" i="6" s="1"/>
  <c r="BA91" i="6" s="1"/>
  <c r="BB88" i="6" s="1"/>
  <c r="BB91" i="6" s="1"/>
  <c r="BC88" i="6" s="1"/>
  <c r="BC91" i="6" s="1"/>
  <c r="BD88" i="6" s="1"/>
  <c r="BD91" i="6" s="1"/>
  <c r="BE88" i="6" s="1"/>
  <c r="BE91" i="6" s="1"/>
  <c r="BG88" i="6" s="1"/>
  <c r="BF88" i="6"/>
  <c r="BF91" i="6" s="1"/>
  <c r="O57" i="3"/>
  <c r="BS17" i="11"/>
  <c r="BT7" i="11"/>
  <c r="BT17" i="11" s="1"/>
  <c r="BT55" i="11" s="1"/>
  <c r="L27" i="3"/>
  <c r="Q39" i="2"/>
  <c r="BD29" i="3"/>
  <c r="BD30" i="3" s="1"/>
  <c r="O11" i="1"/>
  <c r="AS17" i="11"/>
  <c r="AT7" i="11"/>
  <c r="AT17" i="11" s="1"/>
  <c r="AT55" i="11" s="1"/>
  <c r="BT10" i="8"/>
  <c r="Q27" i="3"/>
  <c r="O27" i="3"/>
  <c r="M57" i="3"/>
  <c r="R54" i="3"/>
  <c r="R52" i="3"/>
  <c r="Q47" i="3"/>
  <c r="R47" i="3" s="1"/>
  <c r="BS9" i="3"/>
  <c r="Q42" i="3"/>
  <c r="R42" i="3" s="1"/>
  <c r="Q40" i="3"/>
  <c r="R40" i="3" s="1"/>
  <c r="F51" i="1"/>
  <c r="Q46" i="3"/>
  <c r="R46" i="3" s="1"/>
  <c r="Q36" i="3"/>
  <c r="R36" i="3" s="1"/>
  <c r="H57" i="3"/>
  <c r="R29" i="4"/>
  <c r="C127" i="10"/>
  <c r="CP11" i="14"/>
  <c r="CO10" i="14"/>
  <c r="S17" i="11"/>
  <c r="T7" i="11"/>
  <c r="B130" i="10"/>
  <c r="R14" i="3" l="1"/>
  <c r="R16" i="3" s="1"/>
  <c r="C9" i="12" s="1"/>
  <c r="D16" i="12" s="1"/>
  <c r="F16" i="3"/>
  <c r="F28" i="2" s="1"/>
  <c r="G28" i="2" s="1"/>
  <c r="H28" i="2" s="1"/>
  <c r="O61" i="1"/>
  <c r="P61" i="1" s="1"/>
  <c r="AE33" i="3"/>
  <c r="AE57" i="3" s="1"/>
  <c r="BP60" i="3"/>
  <c r="BP65" i="3"/>
  <c r="BP66" i="3" s="1"/>
  <c r="S55" i="11"/>
  <c r="Q33" i="3"/>
  <c r="R33" i="3" s="1"/>
  <c r="AD57" i="3"/>
  <c r="AD59" i="3" s="1"/>
  <c r="AD60" i="3" s="1"/>
  <c r="AP60" i="3"/>
  <c r="AP65" i="3"/>
  <c r="AP66" i="3" s="1"/>
  <c r="AS55" i="11"/>
  <c r="AQ33" i="3"/>
  <c r="AR33" i="3" s="1"/>
  <c r="BF55" i="11"/>
  <c r="BD33" i="3"/>
  <c r="BE33" i="3" s="1"/>
  <c r="I61" i="1"/>
  <c r="J61" i="1" s="1"/>
  <c r="AE30" i="3"/>
  <c r="BS55" i="11"/>
  <c r="BQ33" i="3"/>
  <c r="BR33" i="3" s="1"/>
  <c r="BB66" i="3"/>
  <c r="AC60" i="3"/>
  <c r="AC65" i="3"/>
  <c r="BC60" i="3"/>
  <c r="BC65" i="3"/>
  <c r="BA66" i="3"/>
  <c r="AS66" i="3"/>
  <c r="BT23" i="8"/>
  <c r="P20" i="4"/>
  <c r="F121" i="1"/>
  <c r="H10" i="12"/>
  <c r="G11" i="12"/>
  <c r="H11" i="12" s="1"/>
  <c r="I11" i="12"/>
  <c r="J11" i="12" s="1"/>
  <c r="J10" i="12"/>
  <c r="K11" i="12"/>
  <c r="L11" i="12" s="1"/>
  <c r="L10" i="12"/>
  <c r="F10" i="12"/>
  <c r="E11" i="12"/>
  <c r="F11" i="12" s="1"/>
  <c r="BS46" i="3"/>
  <c r="F77" i="1"/>
  <c r="BS40" i="3"/>
  <c r="F71" i="1"/>
  <c r="L12" i="14"/>
  <c r="J34" i="4" s="1"/>
  <c r="F15" i="14"/>
  <c r="G105" i="6"/>
  <c r="BS47" i="3"/>
  <c r="F78" i="1"/>
  <c r="BS42" i="3"/>
  <c r="F73" i="1"/>
  <c r="F85" i="1"/>
  <c r="BS54" i="3"/>
  <c r="L29" i="3"/>
  <c r="Q29" i="3"/>
  <c r="F11" i="1"/>
  <c r="CQ11" i="14"/>
  <c r="CP10" i="14"/>
  <c r="BS52" i="3"/>
  <c r="F83" i="1"/>
  <c r="Q20" i="4"/>
  <c r="X11" i="14"/>
  <c r="W10" i="14"/>
  <c r="O52" i="6"/>
  <c r="O55" i="6" s="1"/>
  <c r="AY52" i="6"/>
  <c r="AY55" i="6" s="1"/>
  <c r="B131" i="10"/>
  <c r="U29" i="4"/>
  <c r="J29" i="3"/>
  <c r="L13" i="14"/>
  <c r="I69" i="3" s="1"/>
  <c r="F38" i="1"/>
  <c r="S39" i="2"/>
  <c r="F27" i="3"/>
  <c r="I57" i="3"/>
  <c r="F52" i="1"/>
  <c r="F53" i="1" s="1"/>
  <c r="BS13" i="3"/>
  <c r="BS16" i="3" s="1"/>
  <c r="BZ15" i="14"/>
  <c r="K20" i="4"/>
  <c r="T29" i="4"/>
  <c r="Q17" i="2"/>
  <c r="F16" i="1" s="1"/>
  <c r="R31" i="4"/>
  <c r="F126" i="1"/>
  <c r="F128" i="1" s="1"/>
  <c r="O29" i="3"/>
  <c r="I64" i="6"/>
  <c r="H101" i="6"/>
  <c r="BS36" i="3"/>
  <c r="F67" i="1"/>
  <c r="T17" i="11"/>
  <c r="T55" i="11" s="1"/>
  <c r="BU7" i="11"/>
  <c r="BU17" i="11" s="1"/>
  <c r="BU55" i="11" s="1"/>
  <c r="BG91" i="6"/>
  <c r="BH88" i="6" s="1"/>
  <c r="BH91" i="6" s="1"/>
  <c r="BI88" i="6" s="1"/>
  <c r="BI91" i="6" s="1"/>
  <c r="BJ88" i="6" s="1"/>
  <c r="BJ91" i="6" s="1"/>
  <c r="BK88" i="6" s="1"/>
  <c r="BK91" i="6" s="1"/>
  <c r="BL88" i="6" s="1"/>
  <c r="BL91" i="6" s="1"/>
  <c r="BM88" i="6" s="1"/>
  <c r="BM91" i="6" s="1"/>
  <c r="BN88" i="6" s="1"/>
  <c r="BN91" i="6" s="1"/>
  <c r="BO88" i="6" s="1"/>
  <c r="BO91" i="6" s="1"/>
  <c r="BP88" i="6" s="1"/>
  <c r="BP91" i="6" s="1"/>
  <c r="BQ88" i="6" s="1"/>
  <c r="BQ91" i="6" s="1"/>
  <c r="BR88" i="6" s="1"/>
  <c r="BR91" i="6" s="1"/>
  <c r="BS88" i="6"/>
  <c r="BS91" i="6" s="1"/>
  <c r="K29" i="3"/>
  <c r="AK52" i="6"/>
  <c r="AK55" i="6" s="1"/>
  <c r="G20" i="4" l="1"/>
  <c r="F37" i="3"/>
  <c r="F57" i="3" s="1"/>
  <c r="G25" i="2" s="1"/>
  <c r="I65" i="1"/>
  <c r="Q57" i="3"/>
  <c r="Q59" i="3" s="1"/>
  <c r="Q65" i="3" s="1"/>
  <c r="AQ57" i="3"/>
  <c r="AQ59" i="3" s="1"/>
  <c r="AQ60" i="3" s="1"/>
  <c r="BQ57" i="3"/>
  <c r="BQ59" i="3" s="1"/>
  <c r="BQ60" i="3" s="1"/>
  <c r="BD57" i="3"/>
  <c r="BD59" i="3" s="1"/>
  <c r="BD60" i="3" s="1"/>
  <c r="AD65" i="3"/>
  <c r="AD66" i="3" s="1"/>
  <c r="AE59" i="3"/>
  <c r="AE65" i="3" s="1"/>
  <c r="AE66" i="3" s="1"/>
  <c r="E12" i="12"/>
  <c r="BC66" i="3"/>
  <c r="AC66" i="3"/>
  <c r="O20" i="4"/>
  <c r="M27" i="3"/>
  <c r="M29" i="3" s="1"/>
  <c r="N27" i="3"/>
  <c r="N29" i="3" s="1"/>
  <c r="N59" i="3" s="1"/>
  <c r="N65" i="3" s="1"/>
  <c r="I27" i="3"/>
  <c r="I29" i="3" s="1"/>
  <c r="I30" i="3" s="1"/>
  <c r="P27" i="3"/>
  <c r="P29" i="3" s="1"/>
  <c r="P59" i="3" s="1"/>
  <c r="P65" i="3" s="1"/>
  <c r="AM52" i="6"/>
  <c r="AM55" i="6" s="1"/>
  <c r="BR57" i="3"/>
  <c r="R65" i="1"/>
  <c r="AR57" i="3"/>
  <c r="L65" i="1"/>
  <c r="K59" i="3"/>
  <c r="K65" i="3" s="1"/>
  <c r="K30" i="3"/>
  <c r="H102" i="6"/>
  <c r="H104" i="6"/>
  <c r="O59" i="3"/>
  <c r="O65" i="3" s="1"/>
  <c r="O30" i="3"/>
  <c r="T31" i="4"/>
  <c r="S17" i="2"/>
  <c r="T17" i="2" s="1"/>
  <c r="BV16" i="14"/>
  <c r="BY16" i="14"/>
  <c r="G14" i="4"/>
  <c r="J59" i="3"/>
  <c r="J65" i="3" s="1"/>
  <c r="J30" i="3"/>
  <c r="BA52" i="6"/>
  <c r="BA55" i="6" s="1"/>
  <c r="F29" i="3"/>
  <c r="G83" i="1"/>
  <c r="Q30" i="3"/>
  <c r="L59" i="3"/>
  <c r="L65" i="3" s="1"/>
  <c r="L30" i="3"/>
  <c r="G73" i="1"/>
  <c r="G71" i="1"/>
  <c r="U31" i="4"/>
  <c r="G53" i="1"/>
  <c r="G81" i="1"/>
  <c r="G72" i="1"/>
  <c r="G80" i="1"/>
  <c r="G75" i="1"/>
  <c r="G82" i="1"/>
  <c r="G70" i="1"/>
  <c r="G74" i="1"/>
  <c r="G76" i="1"/>
  <c r="G86" i="1"/>
  <c r="G50" i="1"/>
  <c r="G84" i="1"/>
  <c r="G87" i="1"/>
  <c r="G69" i="1"/>
  <c r="P52" i="6"/>
  <c r="P55" i="6" s="1"/>
  <c r="F65" i="1"/>
  <c r="BS33" i="3"/>
  <c r="I68" i="6"/>
  <c r="T39" i="2"/>
  <c r="I88" i="1"/>
  <c r="J65" i="1"/>
  <c r="BE57" i="3"/>
  <c r="O65" i="1"/>
  <c r="H20" i="4"/>
  <c r="G67" i="1"/>
  <c r="L20" i="4"/>
  <c r="M20" i="4"/>
  <c r="G52" i="1"/>
  <c r="B132" i="10"/>
  <c r="G51" i="1"/>
  <c r="Y11" i="14"/>
  <c r="X10" i="14"/>
  <c r="CR11" i="14"/>
  <c r="CQ10" i="14"/>
  <c r="G78" i="1"/>
  <c r="B16" i="14"/>
  <c r="E16" i="14"/>
  <c r="G77" i="1"/>
  <c r="BS24" i="3"/>
  <c r="F58" i="1"/>
  <c r="G58" i="1" s="1"/>
  <c r="R20" i="4"/>
  <c r="F27" i="1"/>
  <c r="T20" i="4"/>
  <c r="I120" i="1" s="1"/>
  <c r="G85" i="1"/>
  <c r="I33" i="2"/>
  <c r="I34" i="2" s="1"/>
  <c r="J38" i="4"/>
  <c r="R37" i="3" l="1"/>
  <c r="R57" i="3" s="1"/>
  <c r="C12" i="12" s="1"/>
  <c r="F25" i="2"/>
  <c r="G17" i="4" s="1"/>
  <c r="AQ65" i="3"/>
  <c r="AQ66" i="3" s="1"/>
  <c r="BQ65" i="3"/>
  <c r="BQ66" i="3" s="1"/>
  <c r="BD65" i="3"/>
  <c r="BD66" i="3" s="1"/>
  <c r="AE60" i="3"/>
  <c r="BE59" i="3"/>
  <c r="BE60" i="3" s="1"/>
  <c r="I12" i="12"/>
  <c r="BR59" i="3"/>
  <c r="BR60" i="3" s="1"/>
  <c r="K12" i="12"/>
  <c r="AR59" i="3"/>
  <c r="AR60" i="3" s="1"/>
  <c r="G12" i="12"/>
  <c r="Q66" i="3"/>
  <c r="J66" i="3"/>
  <c r="P66" i="3"/>
  <c r="N66" i="3"/>
  <c r="L66" i="3"/>
  <c r="O66" i="3"/>
  <c r="K66" i="3"/>
  <c r="M30" i="3"/>
  <c r="M59" i="3"/>
  <c r="M65" i="3" s="1"/>
  <c r="P30" i="3"/>
  <c r="N30" i="3"/>
  <c r="I59" i="3"/>
  <c r="I65" i="3" s="1"/>
  <c r="V29" i="4"/>
  <c r="J88" i="1"/>
  <c r="I90" i="1"/>
  <c r="L60" i="3"/>
  <c r="BC52" i="6"/>
  <c r="BC55" i="6" s="1"/>
  <c r="AO52" i="6"/>
  <c r="AO55" i="6" s="1"/>
  <c r="N60" i="3"/>
  <c r="P65" i="1"/>
  <c r="O88" i="1"/>
  <c r="G65" i="1"/>
  <c r="J60" i="3"/>
  <c r="F59" i="3"/>
  <c r="F65" i="3" s="1"/>
  <c r="F72" i="3" s="1"/>
  <c r="F30" i="3"/>
  <c r="O60" i="3"/>
  <c r="S65" i="1"/>
  <c r="R88" i="1"/>
  <c r="CR10" i="14"/>
  <c r="CS11" i="14"/>
  <c r="I70" i="3"/>
  <c r="U39" i="2"/>
  <c r="G27" i="3"/>
  <c r="Q52" i="6"/>
  <c r="Q55" i="6" s="1"/>
  <c r="D9" i="12"/>
  <c r="Q60" i="3"/>
  <c r="K60" i="3"/>
  <c r="D16" i="14"/>
  <c r="Z11" i="14"/>
  <c r="Y10" i="14"/>
  <c r="B133" i="10"/>
  <c r="W29" i="4"/>
  <c r="I20" i="4"/>
  <c r="J20" i="4"/>
  <c r="J64" i="6"/>
  <c r="J68" i="6" s="1"/>
  <c r="I101" i="6"/>
  <c r="P60" i="3"/>
  <c r="BX16" i="14"/>
  <c r="BW16" i="14" s="1"/>
  <c r="H105" i="6"/>
  <c r="M65" i="1"/>
  <c r="L88" i="1"/>
  <c r="F68" i="1" l="1"/>
  <c r="G68" i="1" s="1"/>
  <c r="BS37" i="3"/>
  <c r="BS57" i="3" s="1"/>
  <c r="I72" i="3"/>
  <c r="AR65" i="3"/>
  <c r="AR66" i="3" s="1"/>
  <c r="BE65" i="3"/>
  <c r="BE66" i="3" s="1"/>
  <c r="BR65" i="3"/>
  <c r="BR66" i="3" s="1"/>
  <c r="M66" i="3"/>
  <c r="F66" i="3"/>
  <c r="M60" i="3"/>
  <c r="I60" i="3"/>
  <c r="F30" i="2"/>
  <c r="F36" i="2" s="1"/>
  <c r="CG12" i="14"/>
  <c r="BZ16" i="14"/>
  <c r="M88" i="1"/>
  <c r="L90" i="1"/>
  <c r="CT11" i="14"/>
  <c r="CS10" i="14"/>
  <c r="W31" i="4"/>
  <c r="AA11" i="14"/>
  <c r="Z10" i="14"/>
  <c r="V39" i="2"/>
  <c r="F60" i="3"/>
  <c r="BE52" i="6"/>
  <c r="BE55" i="6" s="1"/>
  <c r="F120" i="1"/>
  <c r="M13" i="14"/>
  <c r="J69" i="3" s="1"/>
  <c r="K64" i="6"/>
  <c r="K68" i="6" s="1"/>
  <c r="J101" i="6"/>
  <c r="X29" i="4"/>
  <c r="B134" i="10"/>
  <c r="R52" i="6"/>
  <c r="R55" i="6" s="1"/>
  <c r="J90" i="1"/>
  <c r="V31" i="4"/>
  <c r="U17" i="2"/>
  <c r="V17" i="2" s="1"/>
  <c r="I104" i="6"/>
  <c r="I102" i="6"/>
  <c r="S88" i="1"/>
  <c r="R90" i="1"/>
  <c r="F88" i="1"/>
  <c r="P88" i="1"/>
  <c r="O90" i="1"/>
  <c r="AQ52" i="6"/>
  <c r="AQ55" i="6" s="1"/>
  <c r="C16" i="14"/>
  <c r="I66" i="3" l="1"/>
  <c r="J70" i="3"/>
  <c r="J72" i="3" s="1"/>
  <c r="G30" i="2"/>
  <c r="G36" i="2" s="1"/>
  <c r="H17" i="4"/>
  <c r="J104" i="6"/>
  <c r="J105" i="6" s="1"/>
  <c r="J102" i="6"/>
  <c r="W39" i="2"/>
  <c r="BY17" i="14"/>
  <c r="BV17" i="14"/>
  <c r="G29" i="3"/>
  <c r="B135" i="10"/>
  <c r="L64" i="6"/>
  <c r="L68" i="6" s="1"/>
  <c r="K101" i="6"/>
  <c r="G88" i="1"/>
  <c r="P90" i="1"/>
  <c r="S90" i="1"/>
  <c r="T52" i="6"/>
  <c r="X31" i="4"/>
  <c r="W17" i="2"/>
  <c r="AB11" i="14"/>
  <c r="AA10" i="14"/>
  <c r="CU11" i="14"/>
  <c r="CT10" i="14"/>
  <c r="H14" i="4"/>
  <c r="M12" i="14"/>
  <c r="K34" i="4" s="1"/>
  <c r="F16" i="14"/>
  <c r="I105" i="6"/>
  <c r="BG52" i="6"/>
  <c r="M90" i="1"/>
  <c r="H27" i="3"/>
  <c r="B17" i="14" l="1"/>
  <c r="E17" i="14"/>
  <c r="CV11" i="14"/>
  <c r="CU10" i="14"/>
  <c r="R20" i="3"/>
  <c r="M64" i="6"/>
  <c r="M68" i="6" s="1"/>
  <c r="L101" i="6"/>
  <c r="I25" i="2"/>
  <c r="R19" i="3"/>
  <c r="Y29" i="4"/>
  <c r="X39" i="2"/>
  <c r="AB10" i="14"/>
  <c r="AC11" i="14"/>
  <c r="BS52" i="6"/>
  <c r="BS55" i="6" s="1"/>
  <c r="BG55" i="6"/>
  <c r="K38" i="4"/>
  <c r="J33" i="2"/>
  <c r="J34" i="2" s="1"/>
  <c r="T55" i="6"/>
  <c r="AF52" i="6"/>
  <c r="AF55" i="6" s="1"/>
  <c r="AH52" i="6" s="1"/>
  <c r="AH55" i="6" s="1"/>
  <c r="Z29" i="4"/>
  <c r="B136" i="10"/>
  <c r="K102" i="6"/>
  <c r="K104" i="6"/>
  <c r="G59" i="3"/>
  <c r="G65" i="3" s="1"/>
  <c r="G72" i="3" s="1"/>
  <c r="G30" i="3"/>
  <c r="BX17" i="14"/>
  <c r="BW17" i="14" s="1"/>
  <c r="G66" i="3" l="1"/>
  <c r="R27" i="3"/>
  <c r="I14" i="4"/>
  <c r="H29" i="3"/>
  <c r="H59" i="3" s="1"/>
  <c r="H65" i="3" s="1"/>
  <c r="H72" i="3" s="1"/>
  <c r="H25" i="2"/>
  <c r="J17" i="4" s="1"/>
  <c r="J14" i="4"/>
  <c r="I30" i="2"/>
  <c r="I36" i="2" s="1"/>
  <c r="CH12" i="14"/>
  <c r="BZ17" i="14"/>
  <c r="G60" i="3"/>
  <c r="K105" i="6"/>
  <c r="B137" i="10"/>
  <c r="AA29" i="4"/>
  <c r="V52" i="6"/>
  <c r="V55" i="6" s="1"/>
  <c r="BI52" i="6"/>
  <c r="BI55" i="6" s="1"/>
  <c r="F57" i="1"/>
  <c r="G57" i="1" s="1"/>
  <c r="Z31" i="4"/>
  <c r="AD11" i="14"/>
  <c r="AC10" i="14"/>
  <c r="Y31" i="4"/>
  <c r="X17" i="2"/>
  <c r="Y17" i="2" s="1"/>
  <c r="L102" i="6"/>
  <c r="L104" i="6"/>
  <c r="L105" i="6" s="1"/>
  <c r="D17" i="14"/>
  <c r="AJ52" i="6"/>
  <c r="AJ55" i="6" s="1"/>
  <c r="Y39" i="2"/>
  <c r="BS19" i="3"/>
  <c r="BS27" i="3" s="1"/>
  <c r="BS29" i="3" s="1"/>
  <c r="F56" i="1"/>
  <c r="N64" i="6"/>
  <c r="N68" i="6" s="1"/>
  <c r="M101" i="6"/>
  <c r="CW11" i="14"/>
  <c r="CV10" i="14"/>
  <c r="R29" i="3" l="1"/>
  <c r="R30" i="3" s="1"/>
  <c r="H66" i="3"/>
  <c r="BS59" i="3"/>
  <c r="BS60" i="3" s="1"/>
  <c r="BS30" i="3"/>
  <c r="H30" i="3"/>
  <c r="H30" i="2"/>
  <c r="H36" i="2" s="1"/>
  <c r="I17" i="4"/>
  <c r="AL52" i="6"/>
  <c r="AL55" i="6" s="1"/>
  <c r="M104" i="6"/>
  <c r="M105" i="6" s="1"/>
  <c r="M14" i="4" s="1"/>
  <c r="M102" i="6"/>
  <c r="Z39" i="2"/>
  <c r="N13" i="14"/>
  <c r="K69" i="3" s="1"/>
  <c r="H60" i="3"/>
  <c r="C17" i="14"/>
  <c r="O64" i="6"/>
  <c r="O68" i="6" s="1"/>
  <c r="N101" i="6"/>
  <c r="G56" i="1"/>
  <c r="F59" i="1"/>
  <c r="AD10" i="14"/>
  <c r="AE11" i="14"/>
  <c r="X52" i="6"/>
  <c r="X55" i="6" s="1"/>
  <c r="K25" i="2"/>
  <c r="L14" i="4"/>
  <c r="K14" i="4"/>
  <c r="J25" i="2"/>
  <c r="Z17" i="2"/>
  <c r="AA31" i="4"/>
  <c r="BK52" i="6"/>
  <c r="BK55" i="6" s="1"/>
  <c r="CX11" i="14"/>
  <c r="CW10" i="14"/>
  <c r="AB29" i="4"/>
  <c r="B138" i="10"/>
  <c r="BV18" i="14"/>
  <c r="BY18" i="14"/>
  <c r="F61" i="1" l="1"/>
  <c r="F90" i="1" s="1"/>
  <c r="R59" i="3"/>
  <c r="R65" i="3" s="1"/>
  <c r="R66" i="3" s="1"/>
  <c r="K70" i="3"/>
  <c r="K72" i="3" s="1"/>
  <c r="Z52" i="6"/>
  <c r="Z55" i="6" s="1"/>
  <c r="AA39" i="2"/>
  <c r="L25" i="2"/>
  <c r="P64" i="6"/>
  <c r="P68" i="6" s="1"/>
  <c r="O101" i="6"/>
  <c r="AN52" i="6"/>
  <c r="AN55" i="6" s="1"/>
  <c r="BX18" i="14"/>
  <c r="BW18" i="14" s="1"/>
  <c r="BM52" i="6"/>
  <c r="BM55" i="6" s="1"/>
  <c r="B139" i="10"/>
  <c r="AC29" i="4"/>
  <c r="CY11" i="14"/>
  <c r="CX10" i="14"/>
  <c r="L17" i="4"/>
  <c r="K30" i="2"/>
  <c r="AF11" i="14"/>
  <c r="AE10" i="14"/>
  <c r="G59" i="1"/>
  <c r="N12" i="14"/>
  <c r="L34" i="4" s="1"/>
  <c r="F17" i="14"/>
  <c r="K17" i="4"/>
  <c r="J30" i="2"/>
  <c r="J36" i="2" s="1"/>
  <c r="AB31" i="4"/>
  <c r="AA17" i="2"/>
  <c r="N104" i="6"/>
  <c r="N105" i="6" s="1"/>
  <c r="N102" i="6"/>
  <c r="R60" i="3" l="1"/>
  <c r="G61" i="1"/>
  <c r="CI12" i="14"/>
  <c r="BZ18" i="14"/>
  <c r="L38" i="4"/>
  <c r="K33" i="2"/>
  <c r="K34" i="2" s="1"/>
  <c r="K36" i="2" s="1"/>
  <c r="O104" i="6"/>
  <c r="O105" i="6" s="1"/>
  <c r="O102" i="6"/>
  <c r="N14" i="4"/>
  <c r="AB17" i="2"/>
  <c r="AC31" i="4"/>
  <c r="Q64" i="6"/>
  <c r="Q68" i="6" s="1"/>
  <c r="P101" i="6"/>
  <c r="AB52" i="6"/>
  <c r="AB55" i="6" s="1"/>
  <c r="G90" i="1"/>
  <c r="M25" i="2"/>
  <c r="D10" i="12"/>
  <c r="C11" i="12"/>
  <c r="AG11" i="14"/>
  <c r="AF10" i="14"/>
  <c r="CZ11" i="14"/>
  <c r="CY10" i="14"/>
  <c r="AD29" i="4"/>
  <c r="B140" i="10"/>
  <c r="AP52" i="6"/>
  <c r="AP55" i="6" s="1"/>
  <c r="M17" i="4"/>
  <c r="L30" i="2"/>
  <c r="B18" i="14"/>
  <c r="E18" i="14"/>
  <c r="BO52" i="6"/>
  <c r="BO55" i="6" s="1"/>
  <c r="AB39" i="2"/>
  <c r="CZ10" i="14" l="1"/>
  <c r="DA11" i="14"/>
  <c r="P102" i="6"/>
  <c r="P104" i="6"/>
  <c r="P105" i="6" s="1"/>
  <c r="O25" i="2" s="1"/>
  <c r="AD31" i="4"/>
  <c r="AC17" i="2"/>
  <c r="AR52" i="6"/>
  <c r="AR55" i="6" s="1"/>
  <c r="D11" i="12"/>
  <c r="R64" i="6"/>
  <c r="R68" i="6" s="1"/>
  <c r="Q101" i="6"/>
  <c r="N25" i="2"/>
  <c r="D18" i="14"/>
  <c r="C18" i="14" s="1"/>
  <c r="BQ52" i="6"/>
  <c r="BQ55" i="6" s="1"/>
  <c r="AH11" i="14"/>
  <c r="AG10" i="14"/>
  <c r="AD52" i="6"/>
  <c r="AD55" i="6" s="1"/>
  <c r="O14" i="4"/>
  <c r="AC39" i="2"/>
  <c r="B143" i="10"/>
  <c r="N17" i="4"/>
  <c r="M30" i="2"/>
  <c r="BY19" i="14"/>
  <c r="BV19" i="14"/>
  <c r="O30" i="2" l="1"/>
  <c r="P17" i="4"/>
  <c r="O12" i="14"/>
  <c r="M34" i="4" s="1"/>
  <c r="F18" i="14"/>
  <c r="AD39" i="2"/>
  <c r="BX19" i="14"/>
  <c r="BW19" i="14" s="1"/>
  <c r="CJ12" i="14" s="1"/>
  <c r="B144" i="10"/>
  <c r="AI11" i="14"/>
  <c r="AH10" i="14"/>
  <c r="T64" i="6"/>
  <c r="R101" i="6"/>
  <c r="P14" i="4"/>
  <c r="DB11" i="14"/>
  <c r="DA10" i="14"/>
  <c r="AE29" i="4"/>
  <c r="C141" i="10"/>
  <c r="O17" i="4"/>
  <c r="N30" i="2"/>
  <c r="O13" i="14"/>
  <c r="L69" i="3" s="1"/>
  <c r="Q102" i="6"/>
  <c r="Q104" i="6"/>
  <c r="Q105" i="6" s="1"/>
  <c r="Q14" i="4" s="1"/>
  <c r="AT52" i="6"/>
  <c r="BZ19" i="14" l="1"/>
  <c r="BV20" i="14" s="1"/>
  <c r="DC11" i="14"/>
  <c r="DB10" i="14"/>
  <c r="BF52" i="6"/>
  <c r="BF55" i="6" s="1"/>
  <c r="BH52" i="6" s="1"/>
  <c r="BH55" i="6" s="1"/>
  <c r="AT55" i="6"/>
  <c r="L70" i="3"/>
  <c r="L72" i="3" s="1"/>
  <c r="R104" i="6"/>
  <c r="R102" i="6"/>
  <c r="S101" i="6"/>
  <c r="B145" i="10"/>
  <c r="AH29" i="4"/>
  <c r="B19" i="14"/>
  <c r="E19" i="14"/>
  <c r="AD17" i="2"/>
  <c r="I16" i="1" s="1"/>
  <c r="AE31" i="4"/>
  <c r="I126" i="1"/>
  <c r="I128" i="1" s="1"/>
  <c r="P25" i="2"/>
  <c r="T68" i="6"/>
  <c r="AF64" i="6"/>
  <c r="AF68" i="6" s="1"/>
  <c r="M38" i="4"/>
  <c r="L33" i="2"/>
  <c r="L34" i="2" s="1"/>
  <c r="L36" i="2" s="1"/>
  <c r="AJ11" i="14"/>
  <c r="AI10" i="14"/>
  <c r="AG29" i="4"/>
  <c r="I38" i="1"/>
  <c r="AF39" i="2"/>
  <c r="BY20" i="14" l="1"/>
  <c r="BX20" i="14" s="1"/>
  <c r="BW20" i="14" s="1"/>
  <c r="CK12" i="14" s="1"/>
  <c r="AJ10" i="14"/>
  <c r="AK11" i="14"/>
  <c r="Q17" i="4"/>
  <c r="P30" i="2"/>
  <c r="AH31" i="4"/>
  <c r="R105" i="6"/>
  <c r="S104" i="6"/>
  <c r="AG39" i="2"/>
  <c r="B146" i="10"/>
  <c r="DD11" i="14"/>
  <c r="DC10" i="14"/>
  <c r="D19" i="14"/>
  <c r="C19" i="14" s="1"/>
  <c r="P12" i="14" s="1"/>
  <c r="N34" i="4" s="1"/>
  <c r="S102" i="6"/>
  <c r="AV52" i="6"/>
  <c r="AV55" i="6" s="1"/>
  <c r="AG31" i="4"/>
  <c r="AF17" i="2"/>
  <c r="AG17" i="2" s="1"/>
  <c r="U64" i="6"/>
  <c r="U68" i="6" s="1"/>
  <c r="T101" i="6"/>
  <c r="BJ52" i="6"/>
  <c r="BJ55" i="6" s="1"/>
  <c r="V64" i="6" l="1"/>
  <c r="V68" i="6" s="1"/>
  <c r="U101" i="6"/>
  <c r="P13" i="14"/>
  <c r="M69" i="3" s="1"/>
  <c r="F19" i="14"/>
  <c r="S105" i="6"/>
  <c r="AL11" i="14"/>
  <c r="AK10" i="14"/>
  <c r="AI29" i="4"/>
  <c r="F10" i="1"/>
  <c r="R14" i="4"/>
  <c r="F114" i="1" s="1"/>
  <c r="Q25" i="2"/>
  <c r="T102" i="6"/>
  <c r="T104" i="6"/>
  <c r="AF101" i="6"/>
  <c r="DE11" i="14"/>
  <c r="DD10" i="14"/>
  <c r="B147" i="10"/>
  <c r="AJ29" i="4"/>
  <c r="N38" i="4"/>
  <c r="M33" i="2"/>
  <c r="M34" i="2" s="1"/>
  <c r="M36" i="2" s="1"/>
  <c r="BL52" i="6"/>
  <c r="BL55" i="6" s="1"/>
  <c r="AX52" i="6"/>
  <c r="AX55" i="6" s="1"/>
  <c r="AH39" i="2"/>
  <c r="BZ20" i="14"/>
  <c r="M70" i="3" l="1"/>
  <c r="M72" i="3" s="1"/>
  <c r="AJ31" i="4"/>
  <c r="B20" i="14"/>
  <c r="E20" i="14"/>
  <c r="W64" i="6"/>
  <c r="W68" i="6" s="1"/>
  <c r="V101" i="6"/>
  <c r="BN52" i="6"/>
  <c r="BN55" i="6" s="1"/>
  <c r="AF102" i="6"/>
  <c r="BY21" i="14"/>
  <c r="BV21" i="14"/>
  <c r="AZ52" i="6"/>
  <c r="AZ55" i="6" s="1"/>
  <c r="DF11" i="14"/>
  <c r="DE10" i="14"/>
  <c r="T105" i="6"/>
  <c r="AF104" i="6"/>
  <c r="AI39" i="2"/>
  <c r="B148" i="10"/>
  <c r="AK29" i="4"/>
  <c r="Q30" i="2"/>
  <c r="F24" i="1"/>
  <c r="F29" i="1" s="1"/>
  <c r="R17" i="4"/>
  <c r="F117" i="1" s="1"/>
  <c r="AI31" i="4"/>
  <c r="AH17" i="2"/>
  <c r="AI17" i="2" s="1"/>
  <c r="AL10" i="14"/>
  <c r="AM11" i="14"/>
  <c r="U102" i="6"/>
  <c r="U104" i="6"/>
  <c r="U105" i="6" s="1"/>
  <c r="AN11" i="14" l="1"/>
  <c r="AM10" i="14"/>
  <c r="AF105" i="6"/>
  <c r="AJ39" i="2"/>
  <c r="T25" i="2"/>
  <c r="U14" i="4"/>
  <c r="T14" i="4"/>
  <c r="S25" i="2"/>
  <c r="DG11" i="14"/>
  <c r="DF10" i="14"/>
  <c r="BX21" i="14"/>
  <c r="BW21" i="14" s="1"/>
  <c r="CL12" i="14" s="1"/>
  <c r="D20" i="14"/>
  <c r="C20" i="14" s="1"/>
  <c r="Q12" i="14" s="1"/>
  <c r="O34" i="4" s="1"/>
  <c r="AK31" i="4"/>
  <c r="AJ17" i="2"/>
  <c r="BB52" i="6"/>
  <c r="BB55" i="6" s="1"/>
  <c r="BP52" i="6"/>
  <c r="BP55" i="6" s="1"/>
  <c r="B149" i="10"/>
  <c r="AL29" i="4"/>
  <c r="V104" i="6"/>
  <c r="V105" i="6" s="1"/>
  <c r="U25" i="2" s="1"/>
  <c r="V102" i="6"/>
  <c r="X64" i="6"/>
  <c r="X68" i="6" s="1"/>
  <c r="W101" i="6"/>
  <c r="O38" i="4" l="1"/>
  <c r="N33" i="2"/>
  <c r="N34" i="2" s="1"/>
  <c r="N36" i="2" s="1"/>
  <c r="BD52" i="6"/>
  <c r="BD55" i="6" s="1"/>
  <c r="Q13" i="14"/>
  <c r="N69" i="3" s="1"/>
  <c r="DH11" i="14"/>
  <c r="DG10" i="14"/>
  <c r="BR52" i="6"/>
  <c r="BR55" i="6" s="1"/>
  <c r="BZ21" i="14"/>
  <c r="W104" i="6"/>
  <c r="W105" i="6" s="1"/>
  <c r="W102" i="6"/>
  <c r="AK17" i="2"/>
  <c r="AL31" i="4"/>
  <c r="U17" i="4"/>
  <c r="T30" i="2"/>
  <c r="AO11" i="14"/>
  <c r="AN10" i="14"/>
  <c r="V17" i="4"/>
  <c r="U30" i="2"/>
  <c r="Y64" i="6"/>
  <c r="Y68" i="6" s="1"/>
  <c r="X101" i="6"/>
  <c r="V14" i="4"/>
  <c r="B150" i="10"/>
  <c r="AM29" i="4"/>
  <c r="F20" i="14"/>
  <c r="T17" i="4"/>
  <c r="S30" i="2"/>
  <c r="AK39" i="2"/>
  <c r="N70" i="3" l="1"/>
  <c r="N72" i="3" s="1"/>
  <c r="B21" i="14"/>
  <c r="E21" i="14"/>
  <c r="X102" i="6"/>
  <c r="X104" i="6"/>
  <c r="X105" i="6" s="1"/>
  <c r="BV22" i="14"/>
  <c r="BY22" i="14"/>
  <c r="W14" i="4"/>
  <c r="AL39" i="2"/>
  <c r="AM31" i="4"/>
  <c r="AL17" i="2"/>
  <c r="Z64" i="6"/>
  <c r="Z68" i="6" s="1"/>
  <c r="Y101" i="6"/>
  <c r="AP11" i="14"/>
  <c r="AO10" i="14"/>
  <c r="V25" i="2"/>
  <c r="DH10" i="14"/>
  <c r="DI11" i="14"/>
  <c r="B151" i="10"/>
  <c r="AN29" i="4"/>
  <c r="Y104" i="6" l="1"/>
  <c r="Y105" i="6" s="1"/>
  <c r="Y14" i="4" s="1"/>
  <c r="Y102" i="6"/>
  <c r="AM39" i="2"/>
  <c r="BX22" i="14"/>
  <c r="BW22" i="14" s="1"/>
  <c r="CM12" i="14" s="1"/>
  <c r="D21" i="14"/>
  <c r="DJ11" i="14"/>
  <c r="DI10" i="14"/>
  <c r="W17" i="4"/>
  <c r="V30" i="2"/>
  <c r="AA64" i="6"/>
  <c r="AA68" i="6" s="1"/>
  <c r="Z101" i="6"/>
  <c r="AM17" i="2"/>
  <c r="AN31" i="4"/>
  <c r="AQ11" i="14"/>
  <c r="AP10" i="14"/>
  <c r="W25" i="2"/>
  <c r="B152" i="10"/>
  <c r="AO29" i="4"/>
  <c r="X14" i="4"/>
  <c r="X25" i="2" l="1"/>
  <c r="X30" i="2" s="1"/>
  <c r="DK11" i="14"/>
  <c r="DJ10" i="14"/>
  <c r="R13" i="14"/>
  <c r="O69" i="3" s="1"/>
  <c r="B153" i="10"/>
  <c r="AP29" i="4"/>
  <c r="Z104" i="6"/>
  <c r="Z105" i="6" s="1"/>
  <c r="Y25" i="2" s="1"/>
  <c r="Z102" i="6"/>
  <c r="AN39" i="2"/>
  <c r="X17" i="4"/>
  <c r="W30" i="2"/>
  <c r="AR11" i="14"/>
  <c r="AQ10" i="14"/>
  <c r="AB64" i="6"/>
  <c r="AB68" i="6" s="1"/>
  <c r="AA101" i="6"/>
  <c r="AO31" i="4"/>
  <c r="AN17" i="2"/>
  <c r="C21" i="14"/>
  <c r="BZ22" i="14"/>
  <c r="Y17" i="4" l="1"/>
  <c r="O70" i="3"/>
  <c r="O72" i="3" s="1"/>
  <c r="Z14" i="4"/>
  <c r="Z17" i="4"/>
  <c r="Y30" i="2"/>
  <c r="AP31" i="4"/>
  <c r="AO17" i="2"/>
  <c r="R12" i="14"/>
  <c r="P34" i="4" s="1"/>
  <c r="F21" i="14"/>
  <c r="B154" i="10"/>
  <c r="AQ29" i="4"/>
  <c r="DL11" i="14"/>
  <c r="DK10" i="14"/>
  <c r="AA102" i="6"/>
  <c r="AA104" i="6"/>
  <c r="AA105" i="6" s="1"/>
  <c r="Z25" i="2" s="1"/>
  <c r="BY23" i="14"/>
  <c r="BV23" i="14"/>
  <c r="AC64" i="6"/>
  <c r="AC68" i="6" s="1"/>
  <c r="AB101" i="6"/>
  <c r="AR10" i="14"/>
  <c r="AS11" i="14"/>
  <c r="AO39" i="2"/>
  <c r="AA14" i="4" l="1"/>
  <c r="AP39" i="2"/>
  <c r="DM11" i="14"/>
  <c r="DL10" i="14"/>
  <c r="AQ31" i="4"/>
  <c r="AP17" i="2"/>
  <c r="B22" i="14"/>
  <c r="E22" i="14"/>
  <c r="Z30" i="2"/>
  <c r="AA17" i="4"/>
  <c r="AT11" i="14"/>
  <c r="AS10" i="14"/>
  <c r="AB102" i="6"/>
  <c r="AB104" i="6"/>
  <c r="AB105" i="6" s="1"/>
  <c r="AA25" i="2" s="1"/>
  <c r="BX23" i="14"/>
  <c r="BW23" i="14" s="1"/>
  <c r="B157" i="10"/>
  <c r="P38" i="4"/>
  <c r="O33" i="2"/>
  <c r="O34" i="2" s="1"/>
  <c r="O36" i="2" s="1"/>
  <c r="AD64" i="6"/>
  <c r="AD68" i="6" s="1"/>
  <c r="AC101" i="6"/>
  <c r="AB14" i="4" l="1"/>
  <c r="CN12" i="14"/>
  <c r="BZ23" i="14"/>
  <c r="AB17" i="4"/>
  <c r="AA30" i="2"/>
  <c r="DN11" i="14"/>
  <c r="DM10" i="14"/>
  <c r="AC104" i="6"/>
  <c r="AC105" i="6" s="1"/>
  <c r="AB25" i="2" s="1"/>
  <c r="AC102" i="6"/>
  <c r="AE64" i="6"/>
  <c r="AE68" i="6" s="1"/>
  <c r="AD101" i="6"/>
  <c r="B158" i="10"/>
  <c r="AT10" i="14"/>
  <c r="AU11" i="14"/>
  <c r="D22" i="14"/>
  <c r="C22" i="14" s="1"/>
  <c r="S12" i="14" s="1"/>
  <c r="Q34" i="4" s="1"/>
  <c r="AR29" i="4"/>
  <c r="C155" i="10"/>
  <c r="AQ39" i="2"/>
  <c r="F22" i="14" l="1"/>
  <c r="B23" i="14" s="1"/>
  <c r="AC14" i="4"/>
  <c r="AQ17" i="2"/>
  <c r="L16" i="1" s="1"/>
  <c r="AR31" i="4"/>
  <c r="L126" i="1"/>
  <c r="L128" i="1" s="1"/>
  <c r="AS39" i="2"/>
  <c r="L38" i="1"/>
  <c r="BV24" i="14"/>
  <c r="BY24" i="14"/>
  <c r="AB30" i="2"/>
  <c r="AC17" i="4"/>
  <c r="AG64" i="6"/>
  <c r="AE101" i="6"/>
  <c r="AT29" i="4"/>
  <c r="Q38" i="4"/>
  <c r="P33" i="2"/>
  <c r="P34" i="2" s="1"/>
  <c r="P36" i="2" s="1"/>
  <c r="S13" i="14"/>
  <c r="P69" i="3" s="1"/>
  <c r="AU29" i="4"/>
  <c r="B159" i="10"/>
  <c r="AV11" i="14"/>
  <c r="AU10" i="14"/>
  <c r="AD104" i="6"/>
  <c r="AD105" i="6" s="1"/>
  <c r="AD14" i="4" s="1"/>
  <c r="AD102" i="6"/>
  <c r="DO11" i="14"/>
  <c r="DN10" i="14"/>
  <c r="E23" i="14" l="1"/>
  <c r="D23" i="14" s="1"/>
  <c r="P70" i="3"/>
  <c r="P72" i="3" s="1"/>
  <c r="DP11" i="14"/>
  <c r="DO10" i="14"/>
  <c r="AE104" i="6"/>
  <c r="AE105" i="6" s="1"/>
  <c r="AE14" i="4" s="1"/>
  <c r="I114" i="1" s="1"/>
  <c r="AE102" i="6"/>
  <c r="AG68" i="6"/>
  <c r="AS64" i="6"/>
  <c r="AS68" i="6" s="1"/>
  <c r="B160" i="10"/>
  <c r="AV29" i="4"/>
  <c r="AU31" i="4"/>
  <c r="AT31" i="4"/>
  <c r="AS17" i="2"/>
  <c r="AT17" i="2" s="1"/>
  <c r="BX24" i="14"/>
  <c r="BW24" i="14" s="1"/>
  <c r="AT39" i="2"/>
  <c r="AW11" i="14"/>
  <c r="AV10" i="14"/>
  <c r="AC25" i="2"/>
  <c r="AD25" i="2" l="1"/>
  <c r="AD30" i="2" s="1"/>
  <c r="CO12" i="14"/>
  <c r="BZ24" i="14"/>
  <c r="T13" i="14"/>
  <c r="Q69" i="3" s="1"/>
  <c r="AH64" i="6"/>
  <c r="AH68" i="6" s="1"/>
  <c r="AG101" i="6"/>
  <c r="AX11" i="14"/>
  <c r="AW10" i="14"/>
  <c r="C23" i="14"/>
  <c r="AU39" i="2"/>
  <c r="AV31" i="4"/>
  <c r="AU17" i="2"/>
  <c r="AD17" i="4"/>
  <c r="AC30" i="2"/>
  <c r="B161" i="10"/>
  <c r="I10" i="1"/>
  <c r="DP10" i="14"/>
  <c r="DQ11" i="14"/>
  <c r="AE17" i="4" l="1"/>
  <c r="I117" i="1" s="1"/>
  <c r="I24" i="1"/>
  <c r="I29" i="1" s="1"/>
  <c r="R69" i="3"/>
  <c r="AI64" i="6"/>
  <c r="AI68" i="6" s="1"/>
  <c r="AH101" i="6"/>
  <c r="AV39" i="2"/>
  <c r="AY11" i="14"/>
  <c r="AX10" i="14"/>
  <c r="B162" i="10"/>
  <c r="AX29" i="4"/>
  <c r="DR11" i="14"/>
  <c r="DQ10" i="14"/>
  <c r="AW29" i="4"/>
  <c r="T12" i="14"/>
  <c r="R34" i="4" s="1"/>
  <c r="F23" i="14"/>
  <c r="AG102" i="6"/>
  <c r="AS101" i="6"/>
  <c r="AG104" i="6"/>
  <c r="BY25" i="14"/>
  <c r="BV25" i="14"/>
  <c r="Q70" i="3" l="1"/>
  <c r="Q33" i="2"/>
  <c r="R38" i="4"/>
  <c r="F131" i="1"/>
  <c r="F135" i="1" s="1"/>
  <c r="AY29" i="4"/>
  <c r="B163" i="10"/>
  <c r="B24" i="14"/>
  <c r="E24" i="14"/>
  <c r="AS102" i="6"/>
  <c r="R70" i="3"/>
  <c r="D14" i="12" s="1"/>
  <c r="F93" i="1"/>
  <c r="AH104" i="6"/>
  <c r="AH105" i="6" s="1"/>
  <c r="AH102" i="6"/>
  <c r="BX25" i="14"/>
  <c r="BW25" i="14" s="1"/>
  <c r="CP12" i="14" s="1"/>
  <c r="AG105" i="6"/>
  <c r="AS104" i="6"/>
  <c r="AV17" i="2"/>
  <c r="AW17" i="2" s="1"/>
  <c r="AW31" i="4"/>
  <c r="DS11" i="14"/>
  <c r="DR10" i="14"/>
  <c r="AZ11" i="14"/>
  <c r="AY10" i="14"/>
  <c r="AW39" i="2"/>
  <c r="AJ64" i="6"/>
  <c r="AJ68" i="6" s="1"/>
  <c r="AI101" i="6"/>
  <c r="AX31" i="4"/>
  <c r="Q72" i="3" l="1"/>
  <c r="R72" i="3" s="1"/>
  <c r="AY31" i="4"/>
  <c r="AX17" i="2"/>
  <c r="AK64" i="6"/>
  <c r="AK68" i="6" s="1"/>
  <c r="AJ101" i="6"/>
  <c r="F94" i="1"/>
  <c r="G94" i="1" s="1"/>
  <c r="AS105" i="6"/>
  <c r="D24" i="14"/>
  <c r="C24" i="14" s="1"/>
  <c r="U12" i="14" s="1"/>
  <c r="AZ10" i="14"/>
  <c r="BA11" i="14"/>
  <c r="AH14" i="4"/>
  <c r="AG25" i="2"/>
  <c r="AF25" i="2"/>
  <c r="AG14" i="4"/>
  <c r="AX39" i="2"/>
  <c r="DT11" i="14"/>
  <c r="DS10" i="14"/>
  <c r="AI104" i="6"/>
  <c r="AI105" i="6" s="1"/>
  <c r="AI14" i="4" s="1"/>
  <c r="AI102" i="6"/>
  <c r="BZ25" i="14"/>
  <c r="G93" i="1"/>
  <c r="F96" i="1"/>
  <c r="B164" i="10"/>
  <c r="AZ29" i="4"/>
  <c r="Q34" i="2"/>
  <c r="Q36" i="2" s="1"/>
  <c r="F32" i="1"/>
  <c r="F33" i="1" s="1"/>
  <c r="F35" i="1" s="1"/>
  <c r="J74" i="3" l="1"/>
  <c r="J76" i="3" s="1"/>
  <c r="N74" i="3"/>
  <c r="N76" i="3" s="1"/>
  <c r="F74" i="3"/>
  <c r="I74" i="3"/>
  <c r="I76" i="3" s="1"/>
  <c r="G74" i="3"/>
  <c r="G76" i="3" s="1"/>
  <c r="K74" i="3"/>
  <c r="K76" i="3" s="1"/>
  <c r="O74" i="3"/>
  <c r="O76" i="3" s="1"/>
  <c r="M74" i="3"/>
  <c r="M76" i="3" s="1"/>
  <c r="Q74" i="3"/>
  <c r="Q76" i="3" s="1"/>
  <c r="H74" i="3"/>
  <c r="H76" i="3" s="1"/>
  <c r="L74" i="3"/>
  <c r="L76" i="3" s="1"/>
  <c r="P74" i="3"/>
  <c r="P76" i="3" s="1"/>
  <c r="AZ31" i="4"/>
  <c r="AY17" i="2"/>
  <c r="BV26" i="14"/>
  <c r="BY26" i="14"/>
  <c r="AY39" i="2"/>
  <c r="AH25" i="2"/>
  <c r="AG30" i="2"/>
  <c r="AH17" i="4"/>
  <c r="G96" i="1"/>
  <c r="BA29" i="4"/>
  <c r="B165" i="10"/>
  <c r="AJ102" i="6"/>
  <c r="AJ104" i="6"/>
  <c r="AJ105" i="6" s="1"/>
  <c r="AJ14" i="4" s="1"/>
  <c r="DU11" i="14"/>
  <c r="DT10" i="14"/>
  <c r="BB11" i="14"/>
  <c r="BA10" i="14"/>
  <c r="F24" i="14"/>
  <c r="AL64" i="6"/>
  <c r="AL68" i="6" s="1"/>
  <c r="AK101" i="6"/>
  <c r="AG17" i="4"/>
  <c r="AF30" i="2"/>
  <c r="U13" i="14"/>
  <c r="S69" i="3" s="1"/>
  <c r="Q7" i="4" l="1"/>
  <c r="Q23" i="4" s="1"/>
  <c r="Q40" i="4" s="1"/>
  <c r="N7" i="4"/>
  <c r="N23" i="4" s="1"/>
  <c r="N40" i="4" s="1"/>
  <c r="J7" i="4"/>
  <c r="J23" i="4" s="1"/>
  <c r="J40" i="4" s="1"/>
  <c r="M7" i="4"/>
  <c r="M23" i="4" s="1"/>
  <c r="M40" i="4" s="1"/>
  <c r="P7" i="4"/>
  <c r="P23" i="4" s="1"/>
  <c r="P40" i="4" s="1"/>
  <c r="R74" i="3"/>
  <c r="F76" i="3"/>
  <c r="G78" i="3" s="1"/>
  <c r="H78" i="3" s="1"/>
  <c r="I78" i="3" s="1"/>
  <c r="J78" i="3" s="1"/>
  <c r="K78" i="3" s="1"/>
  <c r="L78" i="3" s="1"/>
  <c r="M78" i="3" s="1"/>
  <c r="N78" i="3" s="1"/>
  <c r="O78" i="3" s="1"/>
  <c r="P78" i="3" s="1"/>
  <c r="Q78" i="3" s="1"/>
  <c r="I7" i="4"/>
  <c r="I23" i="4" s="1"/>
  <c r="I40" i="4" s="1"/>
  <c r="L7" i="4"/>
  <c r="L23" i="4" s="1"/>
  <c r="L40" i="4" s="1"/>
  <c r="O7" i="4"/>
  <c r="O23" i="4" s="1"/>
  <c r="O40" i="4" s="1"/>
  <c r="R7" i="4"/>
  <c r="R23" i="4" s="1"/>
  <c r="R40" i="4" s="1"/>
  <c r="H7" i="4"/>
  <c r="H23" i="4" s="1"/>
  <c r="H40" i="4" s="1"/>
  <c r="K7" i="4"/>
  <c r="K23" i="4" s="1"/>
  <c r="K40" i="4" s="1"/>
  <c r="BB10" i="14"/>
  <c r="BC11" i="14"/>
  <c r="B25" i="14"/>
  <c r="E25" i="14"/>
  <c r="BX26" i="14"/>
  <c r="BW26" i="14" s="1"/>
  <c r="CQ12" i="14" s="1"/>
  <c r="AK102" i="6"/>
  <c r="AK104" i="6"/>
  <c r="AK105" i="6" s="1"/>
  <c r="AK14" i="4" s="1"/>
  <c r="AI25" i="2"/>
  <c r="AI17" i="4"/>
  <c r="AH30" i="2"/>
  <c r="AM64" i="6"/>
  <c r="AM68" i="6" s="1"/>
  <c r="AL101" i="6"/>
  <c r="DV11" i="14"/>
  <c r="DU10" i="14"/>
  <c r="B166" i="10"/>
  <c r="BB29" i="4"/>
  <c r="AZ39" i="2"/>
  <c r="AZ17" i="2"/>
  <c r="BA31" i="4"/>
  <c r="R76" i="3" l="1"/>
  <c r="C17" i="12"/>
  <c r="D17" i="12" s="1"/>
  <c r="F98" i="1"/>
  <c r="G98" i="1" s="1"/>
  <c r="G7" i="4"/>
  <c r="G23" i="4" s="1"/>
  <c r="F41" i="2"/>
  <c r="AJ25" i="2"/>
  <c r="AJ30" i="2" s="1"/>
  <c r="AL104" i="6"/>
  <c r="AL105" i="6" s="1"/>
  <c r="AK25" i="2" s="1"/>
  <c r="AL102" i="6"/>
  <c r="BD11" i="14"/>
  <c r="BC10" i="14"/>
  <c r="BB31" i="4"/>
  <c r="BA17" i="2"/>
  <c r="BA39" i="2"/>
  <c r="AN64" i="6"/>
  <c r="AN68" i="6" s="1"/>
  <c r="AM101" i="6"/>
  <c r="AI30" i="2"/>
  <c r="AJ17" i="4"/>
  <c r="D25" i="14"/>
  <c r="C25" i="14" s="1"/>
  <c r="BC29" i="4"/>
  <c r="B167" i="10"/>
  <c r="DW11" i="14"/>
  <c r="DV10" i="14"/>
  <c r="BZ26" i="14"/>
  <c r="F100" i="1" l="1"/>
  <c r="G100" i="1" s="1"/>
  <c r="F42" i="2"/>
  <c r="F44" i="2" s="1"/>
  <c r="G41" i="2"/>
  <c r="F107" i="1"/>
  <c r="F123" i="1" s="1"/>
  <c r="F137" i="1" s="1"/>
  <c r="F140" i="1" s="1"/>
  <c r="I138" i="1" s="1"/>
  <c r="AL14" i="4"/>
  <c r="AK17" i="4"/>
  <c r="V12" i="14"/>
  <c r="F25" i="14"/>
  <c r="DX11" i="14"/>
  <c r="DW10" i="14"/>
  <c r="BY27" i="14"/>
  <c r="BV27" i="14"/>
  <c r="B168" i="10"/>
  <c r="BD29" i="4"/>
  <c r="AO64" i="6"/>
  <c r="AO68" i="6" s="1"/>
  <c r="AN101" i="6"/>
  <c r="BB17" i="2"/>
  <c r="BC31" i="4"/>
  <c r="BB39" i="2"/>
  <c r="AL17" i="4"/>
  <c r="AK30" i="2"/>
  <c r="BE11" i="14"/>
  <c r="BD10" i="14"/>
  <c r="V13" i="14"/>
  <c r="T69" i="3" s="1"/>
  <c r="AM104" i="6"/>
  <c r="AM105" i="6" s="1"/>
  <c r="AM14" i="4" s="1"/>
  <c r="AM102" i="6"/>
  <c r="D12" i="12" l="1"/>
  <c r="C13" i="12"/>
  <c r="C15" i="12" s="1"/>
  <c r="G42" i="2"/>
  <c r="G44" i="2" s="1"/>
  <c r="H41" i="2"/>
  <c r="AL25" i="2"/>
  <c r="AN102" i="6"/>
  <c r="AN104" i="6"/>
  <c r="AN105" i="6" s="1"/>
  <c r="AM25" i="2" s="1"/>
  <c r="AP64" i="6"/>
  <c r="AP68" i="6" s="1"/>
  <c r="AO101" i="6"/>
  <c r="BX27" i="14"/>
  <c r="BW27" i="14" s="1"/>
  <c r="DX10" i="14"/>
  <c r="DY11" i="14"/>
  <c r="BD31" i="4"/>
  <c r="BC17" i="2"/>
  <c r="B26" i="14"/>
  <c r="E26" i="14"/>
  <c r="BF11" i="14"/>
  <c r="BE10" i="14"/>
  <c r="BC39" i="2"/>
  <c r="B171" i="10"/>
  <c r="D15" i="12" l="1"/>
  <c r="C18" i="12"/>
  <c r="D18" i="12" s="1"/>
  <c r="D25" i="12" s="1"/>
  <c r="D13" i="12"/>
  <c r="H42" i="2"/>
  <c r="H44" i="2" s="1"/>
  <c r="I41" i="2"/>
  <c r="AN14" i="4"/>
  <c r="CR12" i="14"/>
  <c r="BZ27" i="14"/>
  <c r="BE29" i="4"/>
  <c r="C169" i="10"/>
  <c r="DZ11" i="14"/>
  <c r="DY10" i="14"/>
  <c r="BD39" i="2"/>
  <c r="AN17" i="4"/>
  <c r="AM30" i="2"/>
  <c r="BG11" i="14"/>
  <c r="BF10" i="14"/>
  <c r="D26" i="14"/>
  <c r="C26" i="14" s="1"/>
  <c r="W12" i="14" s="1"/>
  <c r="AO104" i="6"/>
  <c r="AO105" i="6" s="1"/>
  <c r="AN25" i="2" s="1"/>
  <c r="AO102" i="6"/>
  <c r="B172" i="10"/>
  <c r="AQ64" i="6"/>
  <c r="AQ68" i="6" s="1"/>
  <c r="AP101" i="6"/>
  <c r="AM17" i="4"/>
  <c r="AL30" i="2"/>
  <c r="I42" i="2" l="1"/>
  <c r="I44" i="2" s="1"/>
  <c r="J41" i="2"/>
  <c r="AO17" i="4"/>
  <c r="AN30" i="2"/>
  <c r="BG29" i="4"/>
  <c r="F26" i="14"/>
  <c r="AP104" i="6"/>
  <c r="AP105" i="6" s="1"/>
  <c r="AO25" i="2" s="1"/>
  <c r="AP102" i="6"/>
  <c r="B173" i="10"/>
  <c r="BH29" i="4"/>
  <c r="W13" i="14"/>
  <c r="U69" i="3" s="1"/>
  <c r="BD17" i="2"/>
  <c r="O16" i="1" s="1"/>
  <c r="BE31" i="4"/>
  <c r="O126" i="1"/>
  <c r="O128" i="1" s="1"/>
  <c r="AR64" i="6"/>
  <c r="AR68" i="6" s="1"/>
  <c r="AQ101" i="6"/>
  <c r="BV28" i="14"/>
  <c r="BY28" i="14"/>
  <c r="BH11" i="14"/>
  <c r="BG10" i="14"/>
  <c r="AO14" i="4"/>
  <c r="BF39" i="2"/>
  <c r="O38" i="1"/>
  <c r="EA11" i="14"/>
  <c r="DZ10" i="14"/>
  <c r="J42" i="2" l="1"/>
  <c r="J44" i="2" s="1"/>
  <c r="K41" i="2"/>
  <c r="AP14" i="4"/>
  <c r="EB11" i="14"/>
  <c r="EA10" i="14"/>
  <c r="BG39" i="2"/>
  <c r="BX28" i="14"/>
  <c r="BW28" i="14" s="1"/>
  <c r="CS12" i="14" s="1"/>
  <c r="BG31" i="4"/>
  <c r="BF17" i="2"/>
  <c r="BG17" i="2" s="1"/>
  <c r="BH10" i="14"/>
  <c r="BI11" i="14"/>
  <c r="AQ102" i="6"/>
  <c r="AQ104" i="6"/>
  <c r="AQ105" i="6" s="1"/>
  <c r="AP25" i="2" s="1"/>
  <c r="BH31" i="4"/>
  <c r="AO30" i="2"/>
  <c r="AP17" i="4"/>
  <c r="AT64" i="6"/>
  <c r="AR101" i="6"/>
  <c r="B174" i="10"/>
  <c r="BI29" i="4"/>
  <c r="B27" i="14"/>
  <c r="E27" i="14"/>
  <c r="K42" i="2" l="1"/>
  <c r="K44" i="2" s="1"/>
  <c r="L41" i="2"/>
  <c r="AQ17" i="4"/>
  <c r="AP30" i="2"/>
  <c r="AR102" i="6"/>
  <c r="AR104" i="6"/>
  <c r="AR105" i="6" s="1"/>
  <c r="AQ25" i="2" s="1"/>
  <c r="AT68" i="6"/>
  <c r="BF64" i="6"/>
  <c r="BF68" i="6" s="1"/>
  <c r="BJ11" i="14"/>
  <c r="BI10" i="14"/>
  <c r="B175" i="10"/>
  <c r="BJ29" i="4"/>
  <c r="BI31" i="4"/>
  <c r="BH17" i="2"/>
  <c r="BZ28" i="14"/>
  <c r="AQ14" i="4"/>
  <c r="BH39" i="2"/>
  <c r="D27" i="14"/>
  <c r="EB10" i="14"/>
  <c r="EC11" i="14"/>
  <c r="L42" i="2" l="1"/>
  <c r="L44" i="2" s="1"/>
  <c r="M41" i="2"/>
  <c r="AR14" i="4"/>
  <c r="L114" i="1" s="1"/>
  <c r="L10" i="1"/>
  <c r="BI39" i="2"/>
  <c r="AQ30" i="2"/>
  <c r="L24" i="1"/>
  <c r="L29" i="1" s="1"/>
  <c r="AR17" i="4"/>
  <c r="L117" i="1" s="1"/>
  <c r="ED11" i="14"/>
  <c r="EC10" i="14"/>
  <c r="BI17" i="2"/>
  <c r="BJ31" i="4"/>
  <c r="BJ10" i="14"/>
  <c r="BK11" i="14"/>
  <c r="AU64" i="6"/>
  <c r="AU68" i="6" s="1"/>
  <c r="AT101" i="6"/>
  <c r="X13" i="14"/>
  <c r="V69" i="3" s="1"/>
  <c r="BY29" i="14"/>
  <c r="BV29" i="14"/>
  <c r="B176" i="10"/>
  <c r="BK29" i="4"/>
  <c r="C27" i="14"/>
  <c r="M42" i="2" l="1"/>
  <c r="M44" i="2" s="1"/>
  <c r="N41" i="2"/>
  <c r="BX29" i="14"/>
  <c r="BW29" i="14" s="1"/>
  <c r="CT12" i="14" s="1"/>
  <c r="ED10" i="14"/>
  <c r="EE11" i="14"/>
  <c r="AV64" i="6"/>
  <c r="AV68" i="6" s="1"/>
  <c r="AU101" i="6"/>
  <c r="X12" i="14"/>
  <c r="F27" i="14"/>
  <c r="BK31" i="4"/>
  <c r="BJ17" i="2"/>
  <c r="AT104" i="6"/>
  <c r="BF101" i="6"/>
  <c r="AT102" i="6"/>
  <c r="BJ39" i="2"/>
  <c r="B177" i="10"/>
  <c r="BL29" i="4"/>
  <c r="BL11" i="14"/>
  <c r="BK10" i="14"/>
  <c r="N42" i="2" l="1"/>
  <c r="N44" i="2" s="1"/>
  <c r="O41" i="2"/>
  <c r="AU104" i="6"/>
  <c r="AU105" i="6" s="1"/>
  <c r="AU102" i="6"/>
  <c r="BF102" i="6"/>
  <c r="B28" i="14"/>
  <c r="E28" i="14"/>
  <c r="AW64" i="6"/>
  <c r="AW68" i="6" s="1"/>
  <c r="AV101" i="6"/>
  <c r="BM11" i="14"/>
  <c r="BL10" i="14"/>
  <c r="BK39" i="2"/>
  <c r="BF104" i="6"/>
  <c r="AT105" i="6"/>
  <c r="EF11" i="14"/>
  <c r="EE10" i="14"/>
  <c r="BZ29" i="14"/>
  <c r="BK17" i="2"/>
  <c r="BL31" i="4"/>
  <c r="B178" i="10"/>
  <c r="BM29" i="4"/>
  <c r="O42" i="2" l="1"/>
  <c r="O44" i="2" s="1"/>
  <c r="P41" i="2"/>
  <c r="BM31" i="4"/>
  <c r="BL17" i="2"/>
  <c r="BV30" i="14"/>
  <c r="BY30" i="14"/>
  <c r="EF10" i="14"/>
  <c r="EG11" i="14"/>
  <c r="B179" i="10"/>
  <c r="BN29" i="4"/>
  <c r="AT25" i="2"/>
  <c r="AU14" i="4"/>
  <c r="AS25" i="2"/>
  <c r="AT14" i="4"/>
  <c r="AV102" i="6"/>
  <c r="AV104" i="6"/>
  <c r="AV105" i="6" s="1"/>
  <c r="BL39" i="2"/>
  <c r="D28" i="14"/>
  <c r="BF105" i="6"/>
  <c r="BN11" i="14"/>
  <c r="BM10" i="14"/>
  <c r="AX64" i="6"/>
  <c r="AX68" i="6" s="1"/>
  <c r="AW101" i="6"/>
  <c r="P42" i="2" l="1"/>
  <c r="P44" i="2" s="1"/>
  <c r="Q41" i="2"/>
  <c r="AY64" i="6"/>
  <c r="AY68" i="6" s="1"/>
  <c r="AX101" i="6"/>
  <c r="AT17" i="4"/>
  <c r="AS30" i="2"/>
  <c r="B180" i="10"/>
  <c r="BO29" i="4"/>
  <c r="EH11" i="14"/>
  <c r="EG10" i="14"/>
  <c r="BX30" i="14"/>
  <c r="BW30" i="14" s="1"/>
  <c r="CU12" i="14" s="1"/>
  <c r="BM39" i="2"/>
  <c r="AW102" i="6"/>
  <c r="AW104" i="6"/>
  <c r="AW105" i="6" s="1"/>
  <c r="AW14" i="4" s="1"/>
  <c r="BO11" i="14"/>
  <c r="BN10" i="14"/>
  <c r="AU25" i="2"/>
  <c r="Y13" i="14"/>
  <c r="W69" i="3" s="1"/>
  <c r="AU17" i="4"/>
  <c r="AT30" i="2"/>
  <c r="AV14" i="4"/>
  <c r="BM17" i="2"/>
  <c r="BN31" i="4"/>
  <c r="C28" i="14"/>
  <c r="F40" i="1" l="1"/>
  <c r="F41" i="1" s="1"/>
  <c r="F43" i="1" s="1"/>
  <c r="Q42" i="2"/>
  <c r="Q44" i="2" s="1"/>
  <c r="AV25" i="2"/>
  <c r="AW17" i="4" s="1"/>
  <c r="Y12" i="14"/>
  <c r="F28" i="14"/>
  <c r="AV17" i="4"/>
  <c r="AU30" i="2"/>
  <c r="BP11" i="14"/>
  <c r="BO10" i="14"/>
  <c r="BZ30" i="14"/>
  <c r="EI11" i="14"/>
  <c r="EH10" i="14"/>
  <c r="BN39" i="2"/>
  <c r="BO31" i="4"/>
  <c r="BN17" i="2"/>
  <c r="B181" i="10"/>
  <c r="BP29" i="4"/>
  <c r="AX104" i="6"/>
  <c r="AX105" i="6" s="1"/>
  <c r="AW25" i="2" s="1"/>
  <c r="AX102" i="6"/>
  <c r="AZ64" i="6"/>
  <c r="AZ68" i="6" s="1"/>
  <c r="AY101" i="6"/>
  <c r="AV30" i="2" l="1"/>
  <c r="AX17" i="4"/>
  <c r="AW30" i="2"/>
  <c r="BO39" i="2"/>
  <c r="BA64" i="6"/>
  <c r="BA68" i="6" s="1"/>
  <c r="AZ101" i="6"/>
  <c r="BP31" i="4"/>
  <c r="BO17" i="2"/>
  <c r="BY31" i="14"/>
  <c r="BV31" i="14"/>
  <c r="BP10" i="14"/>
  <c r="BQ11" i="14"/>
  <c r="B29" i="14"/>
  <c r="E29" i="14"/>
  <c r="AY104" i="6"/>
  <c r="AY105" i="6" s="1"/>
  <c r="AY14" i="4" s="1"/>
  <c r="AY102" i="6"/>
  <c r="AX14" i="4"/>
  <c r="B182" i="10"/>
  <c r="BQ29" i="4"/>
  <c r="EJ11" i="14"/>
  <c r="EI10" i="14"/>
  <c r="BQ31" i="4" l="1"/>
  <c r="BP17" i="2"/>
  <c r="BR29" i="4"/>
  <c r="C183" i="10"/>
  <c r="AX25" i="2"/>
  <c r="BQ10" i="14"/>
  <c r="AZ102" i="6"/>
  <c r="AZ104" i="6"/>
  <c r="AZ105" i="6" s="1"/>
  <c r="AZ14" i="4" s="1"/>
  <c r="BP39" i="2"/>
  <c r="BX31" i="14"/>
  <c r="BW31" i="14" s="1"/>
  <c r="BB64" i="6"/>
  <c r="BB68" i="6" s="1"/>
  <c r="BA101" i="6"/>
  <c r="EJ10" i="14"/>
  <c r="EK11" i="14"/>
  <c r="D29" i="14"/>
  <c r="AY25" i="2" l="1"/>
  <c r="AY30" i="2" s="1"/>
  <c r="CV12" i="14"/>
  <c r="BZ31" i="14"/>
  <c r="Z13" i="14"/>
  <c r="X69" i="3" s="1"/>
  <c r="BQ17" i="2"/>
  <c r="R16" i="1" s="1"/>
  <c r="BR31" i="4"/>
  <c r="R126" i="1"/>
  <c r="R128" i="1" s="1"/>
  <c r="BC64" i="6"/>
  <c r="BC68" i="6" s="1"/>
  <c r="BB101" i="6"/>
  <c r="EK10" i="14"/>
  <c r="C29" i="14"/>
  <c r="BA102" i="6"/>
  <c r="BA104" i="6"/>
  <c r="BA105" i="6" s="1"/>
  <c r="AZ25" i="2" s="1"/>
  <c r="BQ39" i="2"/>
  <c r="AX30" i="2"/>
  <c r="AY17" i="4"/>
  <c r="AZ17" i="4" l="1"/>
  <c r="AZ30" i="2"/>
  <c r="BA17" i="4"/>
  <c r="R38" i="1"/>
  <c r="BV32" i="14"/>
  <c r="BY32" i="14"/>
  <c r="BD64" i="6"/>
  <c r="BD68" i="6" s="1"/>
  <c r="BC101" i="6"/>
  <c r="Z12" i="14"/>
  <c r="F29" i="14"/>
  <c r="BB104" i="6"/>
  <c r="BB105" i="6" s="1"/>
  <c r="BB102" i="6"/>
  <c r="BA14" i="4"/>
  <c r="BX32" i="14" l="1"/>
  <c r="BW32" i="14" s="1"/>
  <c r="CW12" i="14" s="1"/>
  <c r="BB14" i="4"/>
  <c r="BA25" i="2"/>
  <c r="B30" i="14"/>
  <c r="E30" i="14"/>
  <c r="BC104" i="6"/>
  <c r="BC105" i="6" s="1"/>
  <c r="BB25" i="2" s="1"/>
  <c r="BC102" i="6"/>
  <c r="BE64" i="6"/>
  <c r="BE68" i="6" s="1"/>
  <c r="BD101" i="6"/>
  <c r="BC17" i="4" l="1"/>
  <c r="BB30" i="2"/>
  <c r="BG64" i="6"/>
  <c r="BE101" i="6"/>
  <c r="BC14" i="4"/>
  <c r="BB17" i="4"/>
  <c r="BA30" i="2"/>
  <c r="BD102" i="6"/>
  <c r="BD104" i="6"/>
  <c r="BD105" i="6" s="1"/>
  <c r="BC25" i="2" s="1"/>
  <c r="D30" i="14"/>
  <c r="BZ32" i="14"/>
  <c r="BD17" i="4" l="1"/>
  <c r="BC30" i="2"/>
  <c r="BE104" i="6"/>
  <c r="BE105" i="6" s="1"/>
  <c r="BE14" i="4" s="1"/>
  <c r="BE102" i="6"/>
  <c r="BY33" i="14"/>
  <c r="BV33" i="14"/>
  <c r="BS64" i="6"/>
  <c r="BS68" i="6" s="1"/>
  <c r="BG68" i="6"/>
  <c r="AA13" i="14"/>
  <c r="Y69" i="3" s="1"/>
  <c r="BD14" i="4"/>
  <c r="C30" i="14"/>
  <c r="O114" i="1" l="1"/>
  <c r="O10" i="1"/>
  <c r="BD25" i="2"/>
  <c r="BH64" i="6"/>
  <c r="BH68" i="6" s="1"/>
  <c r="BG101" i="6"/>
  <c r="AA12" i="14"/>
  <c r="F30" i="14"/>
  <c r="BX33" i="14"/>
  <c r="BW33" i="14" s="1"/>
  <c r="CX12" i="14" l="1"/>
  <c r="BZ33" i="14"/>
  <c r="BE17" i="4"/>
  <c r="O117" i="1" s="1"/>
  <c r="BD30" i="2"/>
  <c r="O24" i="1"/>
  <c r="O29" i="1" s="1"/>
  <c r="B31" i="14"/>
  <c r="E31" i="14"/>
  <c r="BG102" i="6"/>
  <c r="BS101" i="6"/>
  <c r="BG104" i="6"/>
  <c r="BI64" i="6"/>
  <c r="BI68" i="6" s="1"/>
  <c r="BH101" i="6"/>
  <c r="BH102" i="6" l="1"/>
  <c r="BH104" i="6"/>
  <c r="BH105" i="6" s="1"/>
  <c r="BJ64" i="6"/>
  <c r="BJ68" i="6" s="1"/>
  <c r="BI101" i="6"/>
  <c r="D31" i="14"/>
  <c r="BG105" i="6"/>
  <c r="BS104" i="6"/>
  <c r="BV34" i="14"/>
  <c r="BY34" i="14"/>
  <c r="BS102" i="6"/>
  <c r="BT102" i="6" s="1"/>
  <c r="BT101" i="6"/>
  <c r="BX34" i="14" l="1"/>
  <c r="BW34" i="14" s="1"/>
  <c r="CY12" i="14" s="1"/>
  <c r="BH14" i="4"/>
  <c r="BG25" i="2"/>
  <c r="BG14" i="4"/>
  <c r="BF25" i="2"/>
  <c r="BK64" i="6"/>
  <c r="BK68" i="6" s="1"/>
  <c r="BJ101" i="6"/>
  <c r="AB13" i="14"/>
  <c r="Z69" i="3" s="1"/>
  <c r="C31" i="14"/>
  <c r="BS105" i="6"/>
  <c r="BT105" i="6" s="1"/>
  <c r="BT104" i="6"/>
  <c r="BI104" i="6"/>
  <c r="BI105" i="6" s="1"/>
  <c r="BI14" i="4" s="1"/>
  <c r="BI102" i="6"/>
  <c r="BJ104" i="6" l="1"/>
  <c r="BJ105" i="6" s="1"/>
  <c r="BJ14" i="4" s="1"/>
  <c r="BJ102" i="6"/>
  <c r="BG30" i="2"/>
  <c r="BH17" i="4"/>
  <c r="AB12" i="14"/>
  <c r="F31" i="14"/>
  <c r="BL64" i="6"/>
  <c r="BL68" i="6" s="1"/>
  <c r="BK101" i="6"/>
  <c r="BG17" i="4"/>
  <c r="BF30" i="2"/>
  <c r="BH25" i="2"/>
  <c r="BZ34" i="14"/>
  <c r="BI25" i="2" l="1"/>
  <c r="BI30" i="2" s="1"/>
  <c r="BK104" i="6"/>
  <c r="BK105" i="6" s="1"/>
  <c r="BK14" i="4" s="1"/>
  <c r="BK102" i="6"/>
  <c r="BI17" i="4"/>
  <c r="BH30" i="2"/>
  <c r="BM64" i="6"/>
  <c r="BM68" i="6" s="1"/>
  <c r="BL101" i="6"/>
  <c r="BY35" i="14"/>
  <c r="BV35" i="14"/>
  <c r="B32" i="14"/>
  <c r="E32" i="14"/>
  <c r="BJ25" i="2" l="1"/>
  <c r="BK17" i="4" s="1"/>
  <c r="BJ17" i="4"/>
  <c r="D32" i="14"/>
  <c r="C32" i="14" s="1"/>
  <c r="AC12" i="14" s="1"/>
  <c r="BX35" i="14"/>
  <c r="BW35" i="14" s="1"/>
  <c r="BL102" i="6"/>
  <c r="BL104" i="6"/>
  <c r="BL105" i="6" s="1"/>
  <c r="BN64" i="6"/>
  <c r="BN68" i="6" s="1"/>
  <c r="BM101" i="6"/>
  <c r="BJ30" i="2" l="1"/>
  <c r="CZ12" i="14"/>
  <c r="BZ35" i="14"/>
  <c r="BL14" i="4"/>
  <c r="F32" i="14"/>
  <c r="BK25" i="2"/>
  <c r="AC13" i="14"/>
  <c r="AA69" i="3" s="1"/>
  <c r="BM102" i="6"/>
  <c r="BM104" i="6"/>
  <c r="BM105" i="6" s="1"/>
  <c r="BM14" i="4" s="1"/>
  <c r="BO64" i="6"/>
  <c r="BO68" i="6" s="1"/>
  <c r="BN101" i="6"/>
  <c r="BL25" i="2" l="1"/>
  <c r="BL17" i="4"/>
  <c r="BK30" i="2"/>
  <c r="BN104" i="6"/>
  <c r="BN105" i="6" s="1"/>
  <c r="BM25" i="2" s="1"/>
  <c r="BN102" i="6"/>
  <c r="B33" i="14"/>
  <c r="E33" i="14"/>
  <c r="BY36" i="14"/>
  <c r="BV36" i="14"/>
  <c r="BP64" i="6"/>
  <c r="BP68" i="6" s="1"/>
  <c r="BO101" i="6"/>
  <c r="BN17" i="4" l="1"/>
  <c r="BM30" i="2"/>
  <c r="BQ64" i="6"/>
  <c r="BQ68" i="6" s="1"/>
  <c r="BP101" i="6"/>
  <c r="BO104" i="6"/>
  <c r="BO105" i="6" s="1"/>
  <c r="BN25" i="2" s="1"/>
  <c r="BO102" i="6"/>
  <c r="BX36" i="14"/>
  <c r="BW36" i="14" s="1"/>
  <c r="D33" i="14"/>
  <c r="BN14" i="4"/>
  <c r="BM17" i="4"/>
  <c r="BL30" i="2"/>
  <c r="DA12" i="14" l="1"/>
  <c r="BZ36" i="14"/>
  <c r="BP102" i="6"/>
  <c r="BP104" i="6"/>
  <c r="BP105" i="6" s="1"/>
  <c r="BO25" i="2" s="1"/>
  <c r="BO17" i="4"/>
  <c r="BN30" i="2"/>
  <c r="BR64" i="6"/>
  <c r="BR68" i="6" s="1"/>
  <c r="BR101" i="6" s="1"/>
  <c r="BQ101" i="6"/>
  <c r="AD13" i="14"/>
  <c r="AB69" i="3" s="1"/>
  <c r="BO14" i="4"/>
  <c r="C33" i="14"/>
  <c r="AD12" i="14" l="1"/>
  <c r="F33" i="14"/>
  <c r="BQ102" i="6"/>
  <c r="BQ104" i="6"/>
  <c r="BQ105" i="6" s="1"/>
  <c r="BQ14" i="4" s="1"/>
  <c r="BP14" i="4"/>
  <c r="BR104" i="6"/>
  <c r="BR105" i="6" s="1"/>
  <c r="R10" i="1" s="1"/>
  <c r="BR102" i="6"/>
  <c r="BO30" i="2"/>
  <c r="BP17" i="4"/>
  <c r="BV37" i="14"/>
  <c r="BY37" i="14"/>
  <c r="BP25" i="2" l="1"/>
  <c r="BQ17" i="4" s="1"/>
  <c r="BX37" i="14"/>
  <c r="BW37" i="14" s="1"/>
  <c r="BR14" i="4"/>
  <c r="R114" i="1" s="1"/>
  <c r="BQ25" i="2"/>
  <c r="B34" i="14"/>
  <c r="E34" i="14"/>
  <c r="BP30" i="2" l="1"/>
  <c r="DB12" i="14"/>
  <c r="BZ37" i="14"/>
  <c r="BQ30" i="2"/>
  <c r="R24" i="1"/>
  <c r="R29" i="1" s="1"/>
  <c r="BR17" i="4"/>
  <c r="R117" i="1" s="1"/>
  <c r="D34" i="14"/>
  <c r="AE13" i="14" l="1"/>
  <c r="AC69" i="3" s="1"/>
  <c r="C34" i="14"/>
  <c r="BY38" i="14"/>
  <c r="BV38" i="14"/>
  <c r="BX38" i="14" l="1"/>
  <c r="BW38" i="14" s="1"/>
  <c r="AE12" i="14"/>
  <c r="F34" i="14"/>
  <c r="DC12" i="14" l="1"/>
  <c r="BZ38" i="14"/>
  <c r="B35" i="14"/>
  <c r="E35" i="14"/>
  <c r="D35" i="14" l="1"/>
  <c r="BV39" i="14"/>
  <c r="BY39" i="14"/>
  <c r="AF13" i="14" l="1"/>
  <c r="AD69" i="3" s="1"/>
  <c r="BX39" i="14"/>
  <c r="BW39" i="14" s="1"/>
  <c r="C35" i="14"/>
  <c r="DD12" i="14" l="1"/>
  <c r="BZ39" i="14"/>
  <c r="AF12" i="14"/>
  <c r="F35" i="14"/>
  <c r="BY40" i="14" l="1"/>
  <c r="BV40" i="14"/>
  <c r="B36" i="14"/>
  <c r="E36" i="14"/>
  <c r="D36" i="14" l="1"/>
  <c r="BX40" i="14"/>
  <c r="BW40" i="14" s="1"/>
  <c r="DE12" i="14" s="1"/>
  <c r="AG13" i="14" l="1"/>
  <c r="AF69" i="3" s="1"/>
  <c r="BZ40" i="14"/>
  <c r="C36" i="14"/>
  <c r="AG12" i="14" l="1"/>
  <c r="F36" i="14"/>
  <c r="BV41" i="14"/>
  <c r="BY41" i="14"/>
  <c r="BX41" i="14" l="1"/>
  <c r="BW41" i="14" s="1"/>
  <c r="E37" i="14"/>
  <c r="B37" i="14"/>
  <c r="DF12" i="14" l="1"/>
  <c r="BZ41" i="14"/>
  <c r="D37" i="14"/>
  <c r="C37" i="14" s="1"/>
  <c r="AH12" i="14" s="1"/>
  <c r="F37" i="14" l="1"/>
  <c r="AH13" i="14"/>
  <c r="AG69" i="3" s="1"/>
  <c r="BY42" i="14"/>
  <c r="BV42" i="14"/>
  <c r="BX42" i="14" l="1"/>
  <c r="BW42" i="14" s="1"/>
  <c r="DG12" i="14" s="1"/>
  <c r="E38" i="14"/>
  <c r="B38" i="14"/>
  <c r="BZ42" i="14" l="1"/>
  <c r="BV43" i="14" s="1"/>
  <c r="D38" i="14"/>
  <c r="BY43" i="14" l="1"/>
  <c r="BX43" i="14" s="1"/>
  <c r="BW43" i="14" s="1"/>
  <c r="AI13" i="14"/>
  <c r="AH69" i="3" s="1"/>
  <c r="C38" i="14"/>
  <c r="DH12" i="14" l="1"/>
  <c r="BZ43" i="14"/>
  <c r="AI12" i="14"/>
  <c r="F38" i="14"/>
  <c r="B39" i="14" l="1"/>
  <c r="E39" i="14"/>
  <c r="BY44" i="14"/>
  <c r="BV44" i="14"/>
  <c r="D39" i="14" l="1"/>
  <c r="BX44" i="14"/>
  <c r="BW44" i="14" s="1"/>
  <c r="DI12" i="14" l="1"/>
  <c r="BZ44" i="14"/>
  <c r="AJ13" i="14"/>
  <c r="AI69" i="3" s="1"/>
  <c r="C39" i="14"/>
  <c r="BV45" i="14" l="1"/>
  <c r="BY45" i="14"/>
  <c r="AJ12" i="14"/>
  <c r="F39" i="14"/>
  <c r="E40" i="14" l="1"/>
  <c r="B40" i="14"/>
  <c r="BX45" i="14"/>
  <c r="BW45" i="14" s="1"/>
  <c r="DJ12" i="14" l="1"/>
  <c r="BZ45" i="14"/>
  <c r="D40" i="14"/>
  <c r="AK13" i="14" l="1"/>
  <c r="AJ69" i="3" s="1"/>
  <c r="C40" i="14"/>
  <c r="BY46" i="14"/>
  <c r="BV46" i="14"/>
  <c r="BX46" i="14" l="1"/>
  <c r="BW46" i="14" s="1"/>
  <c r="AK12" i="14"/>
  <c r="F40" i="14"/>
  <c r="DK12" i="14" l="1"/>
  <c r="BZ46" i="14"/>
  <c r="E41" i="14"/>
  <c r="B41" i="14"/>
  <c r="D41" i="14" l="1"/>
  <c r="BV47" i="14"/>
  <c r="BY47" i="14"/>
  <c r="AL13" i="14" l="1"/>
  <c r="AK69" i="3" s="1"/>
  <c r="BX47" i="14"/>
  <c r="BW47" i="14" s="1"/>
  <c r="C41" i="14"/>
  <c r="DL12" i="14" l="1"/>
  <c r="BZ47" i="14"/>
  <c r="AL12" i="14"/>
  <c r="F41" i="14"/>
  <c r="E42" i="14" l="1"/>
  <c r="B42" i="14"/>
  <c r="BY48" i="14"/>
  <c r="BV48" i="14"/>
  <c r="BX48" i="14" l="1"/>
  <c r="BW48" i="14" s="1"/>
  <c r="D42" i="14"/>
  <c r="DM12" i="14" l="1"/>
  <c r="BZ48" i="14"/>
  <c r="AM13" i="14"/>
  <c r="AL69" i="3" s="1"/>
  <c r="C42" i="14"/>
  <c r="BV49" i="14" l="1"/>
  <c r="BY49" i="14"/>
  <c r="AM12" i="14"/>
  <c r="F42" i="14"/>
  <c r="B43" i="14" l="1"/>
  <c r="E43" i="14"/>
  <c r="BX49" i="14"/>
  <c r="BW49" i="14" s="1"/>
  <c r="DN12" i="14" l="1"/>
  <c r="BZ49" i="14"/>
  <c r="D43" i="14"/>
  <c r="C43" i="14" s="1"/>
  <c r="AN12" i="14" s="1"/>
  <c r="F43" i="14" l="1"/>
  <c r="AN13" i="14"/>
  <c r="AM69" i="3" s="1"/>
  <c r="BY50" i="14"/>
  <c r="BV50" i="14"/>
  <c r="BX50" i="14" l="1"/>
  <c r="BW50" i="14" s="1"/>
  <c r="DO12" i="14" s="1"/>
  <c r="E44" i="14"/>
  <c r="B44" i="14"/>
  <c r="BZ50" i="14" l="1"/>
  <c r="D44" i="14"/>
  <c r="C44" i="14" s="1"/>
  <c r="AO12" i="14" l="1"/>
  <c r="F44" i="14"/>
  <c r="AO13" i="14"/>
  <c r="AN69" i="3" s="1"/>
  <c r="BV51" i="14"/>
  <c r="BY51" i="14"/>
  <c r="BX51" i="14" l="1"/>
  <c r="BW51" i="14" s="1"/>
  <c r="E45" i="14"/>
  <c r="B45" i="14"/>
  <c r="DP12" i="14" l="1"/>
  <c r="BZ51" i="14"/>
  <c r="D45" i="14"/>
  <c r="C45" i="14" s="1"/>
  <c r="AP12" i="14" s="1"/>
  <c r="F45" i="14" l="1"/>
  <c r="AP13" i="14"/>
  <c r="AO69" i="3" s="1"/>
  <c r="BY52" i="14"/>
  <c r="BV52" i="14"/>
  <c r="BX52" i="14" l="1"/>
  <c r="BW52" i="14" s="1"/>
  <c r="DQ12" i="14" s="1"/>
  <c r="E46" i="14"/>
  <c r="B46" i="14"/>
  <c r="D46" i="14" l="1"/>
  <c r="BZ52" i="14"/>
  <c r="BV53" i="14" l="1"/>
  <c r="BY53" i="14"/>
  <c r="AQ13" i="14"/>
  <c r="AP69" i="3" s="1"/>
  <c r="C46" i="14"/>
  <c r="AQ12" i="14" l="1"/>
  <c r="F46" i="14"/>
  <c r="BX53" i="14"/>
  <c r="BW53" i="14" s="1"/>
  <c r="DR12" i="14" l="1"/>
  <c r="BZ53" i="14"/>
  <c r="B47" i="14"/>
  <c r="E47" i="14"/>
  <c r="D47" i="14" l="1"/>
  <c r="C47" i="14" s="1"/>
  <c r="AR12" i="14" s="1"/>
  <c r="BV54" i="14"/>
  <c r="BY54" i="14"/>
  <c r="F47" i="14" l="1"/>
  <c r="BX54" i="14"/>
  <c r="BW54" i="14" s="1"/>
  <c r="DS12" i="14" s="1"/>
  <c r="AR13" i="14"/>
  <c r="AQ69" i="3" s="1"/>
  <c r="BZ54" i="14" l="1"/>
  <c r="BV55" i="14" s="1"/>
  <c r="E48" i="14"/>
  <c r="B48" i="14"/>
  <c r="BY55" i="14" l="1"/>
  <c r="BX55" i="14" s="1"/>
  <c r="BW55" i="14" s="1"/>
  <c r="D48" i="14"/>
  <c r="DT12" i="14" l="1"/>
  <c r="BZ55" i="14"/>
  <c r="AS13" i="14"/>
  <c r="AS69" i="3" s="1"/>
  <c r="C48" i="14"/>
  <c r="BV56" i="14" l="1"/>
  <c r="BY56" i="14"/>
  <c r="AS12" i="14"/>
  <c r="F48" i="14"/>
  <c r="E49" i="14" l="1"/>
  <c r="B49" i="14"/>
  <c r="BX56" i="14"/>
  <c r="BW56" i="14" s="1"/>
  <c r="DU12" i="14" s="1"/>
  <c r="BZ56" i="14" l="1"/>
  <c r="D49" i="14"/>
  <c r="C49" i="14" s="1"/>
  <c r="AT12" i="14" s="1"/>
  <c r="F49" i="14" l="1"/>
  <c r="AT13" i="14"/>
  <c r="AT69" i="3" s="1"/>
  <c r="BV57" i="14"/>
  <c r="BY57" i="14"/>
  <c r="BX57" i="14" l="1"/>
  <c r="BW57" i="14" s="1"/>
  <c r="E50" i="14"/>
  <c r="B50" i="14"/>
  <c r="DV12" i="14" l="1"/>
  <c r="BZ57" i="14"/>
  <c r="D50" i="14"/>
  <c r="C50" i="14" s="1"/>
  <c r="AU12" i="14" s="1"/>
  <c r="AU13" i="14" l="1"/>
  <c r="AU69" i="3" s="1"/>
  <c r="F50" i="14"/>
  <c r="BV58" i="14"/>
  <c r="BY58" i="14"/>
  <c r="B51" i="14" l="1"/>
  <c r="E51" i="14"/>
  <c r="BX58" i="14"/>
  <c r="BW58" i="14" s="1"/>
  <c r="DW12" i="14" l="1"/>
  <c r="BZ58" i="14"/>
  <c r="BV59" i="14" s="1"/>
  <c r="D51" i="14"/>
  <c r="BY59" i="14" l="1"/>
  <c r="BX59" i="14" s="1"/>
  <c r="BW59" i="14" s="1"/>
  <c r="AV13" i="14"/>
  <c r="AV69" i="3" s="1"/>
  <c r="C51" i="14"/>
  <c r="DX12" i="14" l="1"/>
  <c r="BZ59" i="14"/>
  <c r="AV12" i="14"/>
  <c r="F51" i="14"/>
  <c r="E52" i="14" l="1"/>
  <c r="B52" i="14"/>
  <c r="BV60" i="14"/>
  <c r="BY60" i="14"/>
  <c r="BX60" i="14" l="1"/>
  <c r="BW60" i="14" s="1"/>
  <c r="DY12" i="14" s="1"/>
  <c r="D52" i="14"/>
  <c r="C52" i="14" s="1"/>
  <c r="AW12" i="14" s="1"/>
  <c r="BZ60" i="14" l="1"/>
  <c r="AW13" i="14"/>
  <c r="AW69" i="3" s="1"/>
  <c r="F52" i="14"/>
  <c r="B53" i="14" l="1"/>
  <c r="E53" i="14"/>
  <c r="BV61" i="14"/>
  <c r="BY61" i="14"/>
  <c r="BX61" i="14" l="1"/>
  <c r="BW61" i="14" s="1"/>
  <c r="D53" i="14"/>
  <c r="C53" i="14" s="1"/>
  <c r="AX12" i="14" s="1"/>
  <c r="DZ12" i="14" l="1"/>
  <c r="BZ61" i="14"/>
  <c r="AX13" i="14"/>
  <c r="AX69" i="3" s="1"/>
  <c r="F53" i="14"/>
  <c r="E54" i="14" l="1"/>
  <c r="B54" i="14"/>
  <c r="BV62" i="14"/>
  <c r="BY62" i="14"/>
  <c r="BX62" i="14" l="1"/>
  <c r="BW62" i="14" s="1"/>
  <c r="EA12" i="14" s="1"/>
  <c r="D54" i="14"/>
  <c r="C54" i="14" s="1"/>
  <c r="AY12" i="14" s="1"/>
  <c r="BZ62" i="14" l="1"/>
  <c r="F54" i="14"/>
  <c r="AY13" i="14"/>
  <c r="AY69" i="3" s="1"/>
  <c r="B55" i="14" l="1"/>
  <c r="E55" i="14"/>
  <c r="BV63" i="14"/>
  <c r="BY63" i="14"/>
  <c r="D55" i="14" l="1"/>
  <c r="C55" i="14" s="1"/>
  <c r="AZ12" i="14" s="1"/>
  <c r="BX63" i="14"/>
  <c r="BW63" i="14" s="1"/>
  <c r="EB12" i="14" l="1"/>
  <c r="BZ63" i="14"/>
  <c r="AZ13" i="14"/>
  <c r="AZ69" i="3" s="1"/>
  <c r="F55" i="14"/>
  <c r="BV64" i="14" l="1"/>
  <c r="BY64" i="14"/>
  <c r="E56" i="14"/>
  <c r="B56" i="14"/>
  <c r="D56" i="14" l="1"/>
  <c r="BX64" i="14"/>
  <c r="BW64" i="14" s="1"/>
  <c r="EC12" i="14" l="1"/>
  <c r="BZ64" i="14"/>
  <c r="BA13" i="14"/>
  <c r="BA69" i="3" s="1"/>
  <c r="C56" i="14"/>
  <c r="BV65" i="14" l="1"/>
  <c r="BY65" i="14"/>
  <c r="BA12" i="14"/>
  <c r="F56" i="14"/>
  <c r="B57" i="14" l="1"/>
  <c r="E57" i="14"/>
  <c r="BX65" i="14"/>
  <c r="BW65" i="14" s="1"/>
  <c r="ED12" i="14" l="1"/>
  <c r="BZ65" i="14"/>
  <c r="D57" i="14"/>
  <c r="C57" i="14" s="1"/>
  <c r="BB12" i="14" s="1"/>
  <c r="BB13" i="14" l="1"/>
  <c r="BB69" i="3" s="1"/>
  <c r="F57" i="14"/>
  <c r="BV66" i="14"/>
  <c r="BY66" i="14"/>
  <c r="E58" i="14" l="1"/>
  <c r="B58" i="14"/>
  <c r="BX66" i="14"/>
  <c r="BW66" i="14" s="1"/>
  <c r="EE12" i="14" l="1"/>
  <c r="BZ66" i="14"/>
  <c r="D58" i="14"/>
  <c r="BC13" i="14" l="1"/>
  <c r="BC69" i="3" s="1"/>
  <c r="BV67" i="14"/>
  <c r="BY67" i="14"/>
  <c r="C58" i="14"/>
  <c r="BX67" i="14" l="1"/>
  <c r="BW67" i="14" s="1"/>
  <c r="BC12" i="14"/>
  <c r="F58" i="14"/>
  <c r="EF12" i="14" l="1"/>
  <c r="BZ67" i="14"/>
  <c r="B59" i="14"/>
  <c r="E59" i="14"/>
  <c r="D59" i="14" l="1"/>
  <c r="C59" i="14" s="1"/>
  <c r="BV68" i="14"/>
  <c r="BY68" i="14"/>
  <c r="BD12" i="14" l="1"/>
  <c r="F59" i="14"/>
  <c r="BD13" i="14"/>
  <c r="BD69" i="3" s="1"/>
  <c r="BX68" i="14"/>
  <c r="BW68" i="14" s="1"/>
  <c r="EG12" i="14" s="1"/>
  <c r="BZ68" i="14" l="1"/>
  <c r="E60" i="14"/>
  <c r="B60" i="14"/>
  <c r="D60" i="14" l="1"/>
  <c r="BV69" i="14"/>
  <c r="BY69" i="14"/>
  <c r="BE13" i="14" l="1"/>
  <c r="BF69" i="3" s="1"/>
  <c r="BX69" i="14"/>
  <c r="BW69" i="14" s="1"/>
  <c r="C60" i="14"/>
  <c r="EH12" i="14" l="1"/>
  <c r="BZ69" i="14"/>
  <c r="BE12" i="14"/>
  <c r="F60" i="14"/>
  <c r="B61" i="14" l="1"/>
  <c r="E61" i="14"/>
  <c r="BV70" i="14"/>
  <c r="BY70" i="14"/>
  <c r="BX70" i="14" l="1"/>
  <c r="BW70" i="14" s="1"/>
  <c r="D61" i="14"/>
  <c r="C61" i="14" s="1"/>
  <c r="BF12" i="14" s="1"/>
  <c r="EI12" i="14" l="1"/>
  <c r="BZ70" i="14"/>
  <c r="BF13" i="14"/>
  <c r="BG69" i="3" s="1"/>
  <c r="F61" i="14"/>
  <c r="E62" i="14" l="1"/>
  <c r="B62" i="14"/>
  <c r="BV71" i="14"/>
  <c r="BY71" i="14"/>
  <c r="BX71" i="14" l="1"/>
  <c r="BW71" i="14" s="1"/>
  <c r="D62" i="14"/>
  <c r="C62" i="14" s="1"/>
  <c r="BG12" i="14" l="1"/>
  <c r="F62" i="14"/>
  <c r="EJ12" i="14"/>
  <c r="BZ71" i="14"/>
  <c r="BG13" i="14"/>
  <c r="BH69" i="3" s="1"/>
  <c r="BV72" i="14" l="1"/>
  <c r="BY72" i="14"/>
  <c r="B63" i="14"/>
  <c r="E63" i="14"/>
  <c r="D63" i="14" l="1"/>
  <c r="BX72" i="14"/>
  <c r="BW72" i="14" s="1"/>
  <c r="EK12" i="14" l="1"/>
  <c r="BZ72" i="14"/>
  <c r="BH13" i="14"/>
  <c r="BI69" i="3" s="1"/>
  <c r="C63" i="14"/>
  <c r="BH12" i="14" l="1"/>
  <c r="F63" i="14"/>
  <c r="BV73" i="14"/>
  <c r="BY73" i="14"/>
  <c r="BX73" i="14" l="1"/>
  <c r="BW73" i="14" s="1"/>
  <c r="BZ73" i="14" s="1"/>
  <c r="E64" i="14"/>
  <c r="B64" i="14"/>
  <c r="BV74" i="14" l="1"/>
  <c r="BY74" i="14"/>
  <c r="D64" i="14"/>
  <c r="BI13" i="14" l="1"/>
  <c r="BJ69" i="3" s="1"/>
  <c r="BX74" i="14"/>
  <c r="BW74" i="14" s="1"/>
  <c r="BZ74" i="14" s="1"/>
  <c r="C64" i="14"/>
  <c r="BV75" i="14" l="1"/>
  <c r="BY75" i="14"/>
  <c r="BI12" i="14"/>
  <c r="F64" i="14"/>
  <c r="B65" i="14" l="1"/>
  <c r="E65" i="14"/>
  <c r="BX75" i="14"/>
  <c r="BW75" i="14" s="1"/>
  <c r="BZ75" i="14" s="1"/>
  <c r="BV76" i="14" l="1"/>
  <c r="BY76" i="14"/>
  <c r="D65" i="14"/>
  <c r="BJ13" i="14" l="1"/>
  <c r="BK69" i="3" s="1"/>
  <c r="BX76" i="14"/>
  <c r="BW76" i="14" s="1"/>
  <c r="BZ76" i="14" s="1"/>
  <c r="C65" i="14"/>
  <c r="BV77" i="14" l="1"/>
  <c r="BY77" i="14"/>
  <c r="BJ12" i="14"/>
  <c r="F65" i="14"/>
  <c r="E66" i="14" l="1"/>
  <c r="B66" i="14"/>
  <c r="BX77" i="14"/>
  <c r="BW77" i="14" s="1"/>
  <c r="BZ77" i="14" s="1"/>
  <c r="BV78" i="14" l="1"/>
  <c r="BY78" i="14"/>
  <c r="D66" i="14"/>
  <c r="BX78" i="14" l="1"/>
  <c r="BK13" i="14"/>
  <c r="BL69" i="3" s="1"/>
  <c r="C66" i="14"/>
  <c r="BW78" i="14"/>
  <c r="BZ78" i="14" s="1"/>
  <c r="BV79" i="14" l="1"/>
  <c r="BY79" i="14"/>
  <c r="BK12" i="14"/>
  <c r="F66" i="14"/>
  <c r="B67" i="14" l="1"/>
  <c r="E67" i="14"/>
  <c r="BX79" i="14"/>
  <c r="BW79" i="14" s="1"/>
  <c r="BZ79" i="14" s="1"/>
  <c r="BV80" i="14" l="1"/>
  <c r="BY80" i="14"/>
  <c r="D67" i="14"/>
  <c r="C67" i="14" s="1"/>
  <c r="BL12" i="14" s="1"/>
  <c r="F67" i="14" l="1"/>
  <c r="BL13" i="14"/>
  <c r="BM69" i="3" s="1"/>
  <c r="BX80" i="14"/>
  <c r="BW80" i="14" s="1"/>
  <c r="BZ80" i="14" s="1"/>
  <c r="BV81" i="14" l="1"/>
  <c r="BY81" i="14"/>
  <c r="E68" i="14"/>
  <c r="B68" i="14"/>
  <c r="D68" i="14" l="1"/>
  <c r="C68" i="14" s="1"/>
  <c r="BX81" i="14"/>
  <c r="BW81" i="14" s="1"/>
  <c r="BZ81" i="14" s="1"/>
  <c r="BV82" i="14" l="1"/>
  <c r="BY82" i="14"/>
  <c r="BM12" i="14"/>
  <c r="F68" i="14"/>
  <c r="BM13" i="14"/>
  <c r="BN69" i="3" s="1"/>
  <c r="B69" i="14" l="1"/>
  <c r="E69" i="14"/>
  <c r="BX82" i="14"/>
  <c r="BW82" i="14" s="1"/>
  <c r="BZ82" i="14" s="1"/>
  <c r="BV83" i="14" l="1"/>
  <c r="BY83" i="14"/>
  <c r="D69" i="14"/>
  <c r="BN13" i="14" l="1"/>
  <c r="BO69" i="3" s="1"/>
  <c r="BX83" i="14"/>
  <c r="BW83" i="14" s="1"/>
  <c r="BZ83" i="14" s="1"/>
  <c r="C69" i="14"/>
  <c r="BV84" i="14" l="1"/>
  <c r="BY84" i="14"/>
  <c r="BN12" i="14"/>
  <c r="F69" i="14"/>
  <c r="E70" i="14" l="1"/>
  <c r="B70" i="14"/>
  <c r="BX84" i="14"/>
  <c r="BW84" i="14" s="1"/>
  <c r="BZ84" i="14" s="1"/>
  <c r="BV85" i="14" l="1"/>
  <c r="BY85" i="14"/>
  <c r="D70" i="14"/>
  <c r="C70" i="14" s="1"/>
  <c r="BO12" i="14" l="1"/>
  <c r="F70" i="14"/>
  <c r="BX85" i="14"/>
  <c r="BW85" i="14" s="1"/>
  <c r="BZ85" i="14" s="1"/>
  <c r="BO13" i="14"/>
  <c r="BP69" i="3" s="1"/>
  <c r="BV86" i="14" l="1"/>
  <c r="BY86" i="14"/>
  <c r="B71" i="14"/>
  <c r="E71" i="14"/>
  <c r="BX86" i="14" l="1"/>
  <c r="BW86" i="14" s="1"/>
  <c r="BZ86" i="14" s="1"/>
  <c r="D71" i="14"/>
  <c r="BV87" i="14" l="1"/>
  <c r="BY87" i="14"/>
  <c r="BP13" i="14"/>
  <c r="BQ69" i="3" s="1"/>
  <c r="C71" i="14"/>
  <c r="BX87" i="14" l="1"/>
  <c r="BW87" i="14" s="1"/>
  <c r="BZ87" i="14" s="1"/>
  <c r="BP12" i="14"/>
  <c r="F71" i="14"/>
  <c r="BV88" i="14" l="1"/>
  <c r="BY88" i="14"/>
  <c r="E72" i="14"/>
  <c r="B72" i="14"/>
  <c r="BX88" i="14" l="1"/>
  <c r="BW88" i="14" s="1"/>
  <c r="BZ88" i="14" s="1"/>
  <c r="D72" i="14"/>
  <c r="BV89" i="14" l="1"/>
  <c r="BY89" i="14"/>
  <c r="BQ13" i="14"/>
  <c r="C72" i="14"/>
  <c r="AJ70" i="3" l="1"/>
  <c r="AJ72" i="3" s="1"/>
  <c r="AN34" i="4"/>
  <c r="AB70" i="3"/>
  <c r="AB72" i="3" s="1"/>
  <c r="AA34" i="4"/>
  <c r="X70" i="3"/>
  <c r="X72" i="3" s="1"/>
  <c r="BG70" i="3"/>
  <c r="BG72" i="3" s="1"/>
  <c r="W70" i="3"/>
  <c r="W72" i="3" s="1"/>
  <c r="BP34" i="4"/>
  <c r="AI70" i="3"/>
  <c r="AI72" i="3" s="1"/>
  <c r="BR34" i="4"/>
  <c r="AG70" i="3"/>
  <c r="AG72" i="3" s="1"/>
  <c r="AG34" i="4"/>
  <c r="BI34" i="4"/>
  <c r="AO70" i="3"/>
  <c r="AO72" i="3" s="1"/>
  <c r="BO34" i="4"/>
  <c r="T34" i="4"/>
  <c r="V34" i="4"/>
  <c r="BO70" i="3"/>
  <c r="BO72" i="3" s="1"/>
  <c r="AH34" i="4"/>
  <c r="BD70" i="3"/>
  <c r="BD72" i="3" s="1"/>
  <c r="X34" i="4"/>
  <c r="BC34" i="4"/>
  <c r="AK34" i="4"/>
  <c r="V70" i="3"/>
  <c r="V72" i="3" s="1"/>
  <c r="BL34" i="4"/>
  <c r="AM34" i="4"/>
  <c r="AX70" i="3"/>
  <c r="AX72" i="3" s="1"/>
  <c r="BK70" i="3"/>
  <c r="BK72" i="3" s="1"/>
  <c r="AW34" i="4"/>
  <c r="BQ70" i="3"/>
  <c r="BQ72" i="3" s="1"/>
  <c r="Z34" i="4"/>
  <c r="BB34" i="4"/>
  <c r="AL34" i="4"/>
  <c r="AP34" i="4"/>
  <c r="BB70" i="3"/>
  <c r="BB72" i="3" s="1"/>
  <c r="AM70" i="3"/>
  <c r="AM72" i="3" s="1"/>
  <c r="T70" i="3"/>
  <c r="T72" i="3" s="1"/>
  <c r="Z70" i="3"/>
  <c r="Z72" i="3" s="1"/>
  <c r="AQ34" i="4"/>
  <c r="BL70" i="3"/>
  <c r="BL72" i="3" s="1"/>
  <c r="AU70" i="3"/>
  <c r="AU72" i="3" s="1"/>
  <c r="AW70" i="3"/>
  <c r="AW72" i="3" s="1"/>
  <c r="AZ70" i="3"/>
  <c r="AZ72" i="3" s="1"/>
  <c r="AJ34" i="4"/>
  <c r="BC70" i="3"/>
  <c r="BC72" i="3" s="1"/>
  <c r="BP70" i="3"/>
  <c r="BP72" i="3" s="1"/>
  <c r="AZ34" i="4"/>
  <c r="AK70" i="3"/>
  <c r="AK72" i="3" s="1"/>
  <c r="Y34" i="4"/>
  <c r="AO34" i="4"/>
  <c r="AD70" i="3"/>
  <c r="AD72" i="3" s="1"/>
  <c r="BM70" i="3"/>
  <c r="BM72" i="3" s="1"/>
  <c r="AT70" i="3"/>
  <c r="AT72" i="3" s="1"/>
  <c r="BA70" i="3"/>
  <c r="BA72" i="3" s="1"/>
  <c r="W34" i="4"/>
  <c r="U70" i="3"/>
  <c r="U72" i="3" s="1"/>
  <c r="AP70" i="3"/>
  <c r="AP72" i="3" s="1"/>
  <c r="AD34" i="4"/>
  <c r="BH70" i="3"/>
  <c r="BH72" i="3" s="1"/>
  <c r="AR34" i="4"/>
  <c r="AC34" i="4"/>
  <c r="Y70" i="3"/>
  <c r="Y72" i="3" s="1"/>
  <c r="BJ34" i="4"/>
  <c r="AN70" i="3"/>
  <c r="AN72" i="3" s="1"/>
  <c r="BI70" i="3"/>
  <c r="BI72" i="3" s="1"/>
  <c r="BA34" i="4"/>
  <c r="BG34" i="4"/>
  <c r="BJ70" i="3"/>
  <c r="BJ72" i="3" s="1"/>
  <c r="BH34" i="4"/>
  <c r="AY70" i="3"/>
  <c r="AY72" i="3" s="1"/>
  <c r="AH70" i="3"/>
  <c r="AH72" i="3" s="1"/>
  <c r="BN70" i="3"/>
  <c r="BN72" i="3" s="1"/>
  <c r="BE34" i="4"/>
  <c r="BK34" i="4"/>
  <c r="AB34" i="4"/>
  <c r="AY34" i="4"/>
  <c r="AV70" i="3"/>
  <c r="AV72" i="3" s="1"/>
  <c r="U34" i="4"/>
  <c r="AC70" i="3"/>
  <c r="AC72" i="3" s="1"/>
  <c r="BN34" i="4"/>
  <c r="AT34" i="4"/>
  <c r="AA70" i="3"/>
  <c r="AA72" i="3" s="1"/>
  <c r="BD34" i="4"/>
  <c r="AV34" i="4"/>
  <c r="AU34" i="4"/>
  <c r="AQ70" i="3"/>
  <c r="AQ72" i="3" s="1"/>
  <c r="AL70" i="3"/>
  <c r="AL72" i="3" s="1"/>
  <c r="BM34" i="4"/>
  <c r="AX34" i="4"/>
  <c r="AE34" i="4"/>
  <c r="AE38" i="4" s="1"/>
  <c r="AI34" i="4"/>
  <c r="BQ34" i="4"/>
  <c r="BX89" i="14"/>
  <c r="BW89" i="14" s="1"/>
  <c r="BZ89" i="14" s="1"/>
  <c r="BQ12" i="14"/>
  <c r="F72" i="14"/>
  <c r="BY90" i="14" l="1"/>
  <c r="BV90" i="14"/>
  <c r="AX38" i="4"/>
  <c r="B73" i="14"/>
  <c r="E73" i="14"/>
  <c r="BQ38" i="4"/>
  <c r="BM38" i="4"/>
  <c r="AV38" i="4"/>
  <c r="BR69" i="3"/>
  <c r="BF70" i="3"/>
  <c r="BF72" i="3" s="1"/>
  <c r="BR72" i="3" s="1"/>
  <c r="BE38" i="4"/>
  <c r="BH38" i="4"/>
  <c r="AC38" i="4"/>
  <c r="AS70" i="3"/>
  <c r="AS72" i="3" s="1"/>
  <c r="BE72" i="3" s="1"/>
  <c r="BE69" i="3"/>
  <c r="AZ38" i="4"/>
  <c r="AE69" i="3"/>
  <c r="S70" i="3"/>
  <c r="S72" i="3" s="1"/>
  <c r="AE72" i="3" s="1"/>
  <c r="BB38" i="4"/>
  <c r="T38" i="4"/>
  <c r="I131" i="1"/>
  <c r="I135" i="1" s="1"/>
  <c r="S33" i="2"/>
  <c r="S34" i="2" s="1"/>
  <c r="S36" i="2" s="1"/>
  <c r="AG38" i="4"/>
  <c r="L131" i="1"/>
  <c r="L135" i="1" s="1"/>
  <c r="BP38" i="4"/>
  <c r="AA38" i="4"/>
  <c r="AI38" i="4"/>
  <c r="BD38" i="4"/>
  <c r="BN38" i="4"/>
  <c r="AY38" i="4"/>
  <c r="AR38" i="4"/>
  <c r="AO38" i="4"/>
  <c r="AQ38" i="4"/>
  <c r="Z38" i="4"/>
  <c r="AK38" i="4"/>
  <c r="AH38" i="4"/>
  <c r="BO38" i="4"/>
  <c r="AB38" i="4"/>
  <c r="BG38" i="4"/>
  <c r="R131" i="1"/>
  <c r="R135" i="1" s="1"/>
  <c r="BJ38" i="4"/>
  <c r="AR69" i="3"/>
  <c r="AF70" i="3"/>
  <c r="AF72" i="3" s="1"/>
  <c r="AR72" i="3" s="1"/>
  <c r="Y38" i="4"/>
  <c r="AP38" i="4"/>
  <c r="AM38" i="4"/>
  <c r="BC38" i="4"/>
  <c r="BR38" i="4"/>
  <c r="AN38" i="4"/>
  <c r="AU38" i="4"/>
  <c r="AT38" i="4"/>
  <c r="O131" i="1"/>
  <c r="O135" i="1" s="1"/>
  <c r="U38" i="4"/>
  <c r="BK38" i="4"/>
  <c r="BA38" i="4"/>
  <c r="AD38" i="4"/>
  <c r="W38" i="4"/>
  <c r="AJ38" i="4"/>
  <c r="AL38" i="4"/>
  <c r="AW38" i="4"/>
  <c r="BL38" i="4"/>
  <c r="X38" i="4"/>
  <c r="V38" i="4"/>
  <c r="BI38" i="4"/>
  <c r="BJ74" i="3" l="1"/>
  <c r="BJ76" i="3" s="1"/>
  <c r="BK7" i="4" s="1"/>
  <c r="BK23" i="4" s="1"/>
  <c r="BK40" i="4" s="1"/>
  <c r="BN74" i="3"/>
  <c r="BN76" i="3" s="1"/>
  <c r="BO7" i="4" s="1"/>
  <c r="BO23" i="4" s="1"/>
  <c r="BO40" i="4" s="1"/>
  <c r="BF74" i="3"/>
  <c r="BF76" i="3" s="1"/>
  <c r="BQ74" i="3"/>
  <c r="BQ76" i="3" s="1"/>
  <c r="BR7" i="4" s="1"/>
  <c r="BR23" i="4" s="1"/>
  <c r="BR40" i="4" s="1"/>
  <c r="BG74" i="3"/>
  <c r="BG76" i="3" s="1"/>
  <c r="BH7" i="4" s="1"/>
  <c r="BH23" i="4" s="1"/>
  <c r="BH40" i="4" s="1"/>
  <c r="BK74" i="3"/>
  <c r="BK76" i="3" s="1"/>
  <c r="BL7" i="4" s="1"/>
  <c r="BL23" i="4" s="1"/>
  <c r="BL40" i="4" s="1"/>
  <c r="BO74" i="3"/>
  <c r="BO76" i="3" s="1"/>
  <c r="BP7" i="4" s="1"/>
  <c r="BP23" i="4" s="1"/>
  <c r="BP40" i="4" s="1"/>
  <c r="BM74" i="3"/>
  <c r="BM76" i="3" s="1"/>
  <c r="BN7" i="4" s="1"/>
  <c r="BN23" i="4" s="1"/>
  <c r="BN40" i="4" s="1"/>
  <c r="BH74" i="3"/>
  <c r="BH76" i="3" s="1"/>
  <c r="BI7" i="4" s="1"/>
  <c r="BI23" i="4" s="1"/>
  <c r="BI40" i="4" s="1"/>
  <c r="BL74" i="3"/>
  <c r="BL76" i="3" s="1"/>
  <c r="BM7" i="4" s="1"/>
  <c r="BM23" i="4" s="1"/>
  <c r="BM40" i="4" s="1"/>
  <c r="BP74" i="3"/>
  <c r="BP76" i="3" s="1"/>
  <c r="BQ7" i="4" s="1"/>
  <c r="BQ23" i="4" s="1"/>
  <c r="BQ40" i="4" s="1"/>
  <c r="BI74" i="3"/>
  <c r="AM74" i="3"/>
  <c r="AI74" i="3"/>
  <c r="AI76" i="3" s="1"/>
  <c r="AJ7" i="4" s="1"/>
  <c r="AJ23" i="4" s="1"/>
  <c r="AJ40" i="4" s="1"/>
  <c r="AQ74" i="3"/>
  <c r="AQ76" i="3" s="1"/>
  <c r="AR7" i="4" s="1"/>
  <c r="AR23" i="4" s="1"/>
  <c r="AR40" i="4" s="1"/>
  <c r="AP74" i="3"/>
  <c r="AP76" i="3" s="1"/>
  <c r="AQ7" i="4" s="1"/>
  <c r="AQ23" i="4" s="1"/>
  <c r="AQ40" i="4" s="1"/>
  <c r="AL74" i="3"/>
  <c r="AL76" i="3" s="1"/>
  <c r="AM7" i="4" s="1"/>
  <c r="AM23" i="4" s="1"/>
  <c r="AM40" i="4" s="1"/>
  <c r="AH74" i="3"/>
  <c r="AH76" i="3" s="1"/>
  <c r="AI7" i="4" s="1"/>
  <c r="AI23" i="4" s="1"/>
  <c r="AI40" i="4" s="1"/>
  <c r="AJ74" i="3"/>
  <c r="AJ76" i="3" s="1"/>
  <c r="AK7" i="4" s="1"/>
  <c r="AK23" i="4" s="1"/>
  <c r="AK40" i="4" s="1"/>
  <c r="AO74" i="3"/>
  <c r="AO76" i="3" s="1"/>
  <c r="AP7" i="4" s="1"/>
  <c r="AP23" i="4" s="1"/>
  <c r="AP40" i="4" s="1"/>
  <c r="AK74" i="3"/>
  <c r="AK76" i="3" s="1"/>
  <c r="AL7" i="4" s="1"/>
  <c r="AL23" i="4" s="1"/>
  <c r="AL40" i="4" s="1"/>
  <c r="AG74" i="3"/>
  <c r="AG76" i="3" s="1"/>
  <c r="AH7" i="4" s="1"/>
  <c r="AH23" i="4" s="1"/>
  <c r="AH40" i="4" s="1"/>
  <c r="AN74" i="3"/>
  <c r="AN76" i="3" s="1"/>
  <c r="AO7" i="4" s="1"/>
  <c r="AO23" i="4" s="1"/>
  <c r="AO40" i="4" s="1"/>
  <c r="AF74" i="3"/>
  <c r="AF76" i="3" s="1"/>
  <c r="AV74" i="3"/>
  <c r="AZ74" i="3"/>
  <c r="AZ76" i="3" s="1"/>
  <c r="BA7" i="4" s="1"/>
  <c r="BA23" i="4" s="1"/>
  <c r="BA40" i="4" s="1"/>
  <c r="BD74" i="3"/>
  <c r="BD76" i="3" s="1"/>
  <c r="BE7" i="4" s="1"/>
  <c r="BE23" i="4" s="1"/>
  <c r="BE40" i="4" s="1"/>
  <c r="AS74" i="3"/>
  <c r="AS76" i="3" s="1"/>
  <c r="AW74" i="3"/>
  <c r="AW76" i="3" s="1"/>
  <c r="AX7" i="4" s="1"/>
  <c r="AX23" i="4" s="1"/>
  <c r="AX40" i="4" s="1"/>
  <c r="BA74" i="3"/>
  <c r="BA76" i="3" s="1"/>
  <c r="BB7" i="4" s="1"/>
  <c r="BB23" i="4" s="1"/>
  <c r="BB40" i="4" s="1"/>
  <c r="AU74" i="3"/>
  <c r="AU76" i="3" s="1"/>
  <c r="AV7" i="4" s="1"/>
  <c r="AV23" i="4" s="1"/>
  <c r="AV40" i="4" s="1"/>
  <c r="BC74" i="3"/>
  <c r="BC76" i="3" s="1"/>
  <c r="BD7" i="4" s="1"/>
  <c r="BD23" i="4" s="1"/>
  <c r="BD40" i="4" s="1"/>
  <c r="AT74" i="3"/>
  <c r="AT76" i="3" s="1"/>
  <c r="AU7" i="4" s="1"/>
  <c r="AU23" i="4" s="1"/>
  <c r="AU40" i="4" s="1"/>
  <c r="AX74" i="3"/>
  <c r="AX76" i="3" s="1"/>
  <c r="AY7" i="4" s="1"/>
  <c r="AY23" i="4" s="1"/>
  <c r="AY40" i="4" s="1"/>
  <c r="BB74" i="3"/>
  <c r="BB76" i="3" s="1"/>
  <c r="BC7" i="4" s="1"/>
  <c r="BC23" i="4" s="1"/>
  <c r="BC40" i="4" s="1"/>
  <c r="AY74" i="3"/>
  <c r="AY76" i="3" s="1"/>
  <c r="AZ7" i="4" s="1"/>
  <c r="AZ23" i="4" s="1"/>
  <c r="AZ40" i="4" s="1"/>
  <c r="AM76" i="3"/>
  <c r="AN7" i="4" s="1"/>
  <c r="AN23" i="4" s="1"/>
  <c r="AN40" i="4" s="1"/>
  <c r="T74" i="3"/>
  <c r="T76" i="3" s="1"/>
  <c r="U7" i="4" s="1"/>
  <c r="U23" i="4" s="1"/>
  <c r="U40" i="4" s="1"/>
  <c r="X74" i="3"/>
  <c r="X76" i="3" s="1"/>
  <c r="Y7" i="4" s="1"/>
  <c r="Y23" i="4" s="1"/>
  <c r="Y40" i="4" s="1"/>
  <c r="AB74" i="3"/>
  <c r="AB76" i="3" s="1"/>
  <c r="AC7" i="4" s="1"/>
  <c r="AC23" i="4" s="1"/>
  <c r="AC40" i="4" s="1"/>
  <c r="W74" i="3"/>
  <c r="S74" i="3"/>
  <c r="S76" i="3" s="1"/>
  <c r="U74" i="3"/>
  <c r="U76" i="3" s="1"/>
  <c r="V7" i="4" s="1"/>
  <c r="V23" i="4" s="1"/>
  <c r="V40" i="4" s="1"/>
  <c r="Y74" i="3"/>
  <c r="Y76" i="3" s="1"/>
  <c r="Z7" i="4" s="1"/>
  <c r="Z23" i="4" s="1"/>
  <c r="Z40" i="4" s="1"/>
  <c r="AC74" i="3"/>
  <c r="AC76" i="3" s="1"/>
  <c r="AD7" i="4" s="1"/>
  <c r="AD23" i="4" s="1"/>
  <c r="AD40" i="4" s="1"/>
  <c r="V74" i="3"/>
  <c r="V76" i="3" s="1"/>
  <c r="W7" i="4" s="1"/>
  <c r="W23" i="4" s="1"/>
  <c r="W40" i="4" s="1"/>
  <c r="Z74" i="3"/>
  <c r="Z76" i="3" s="1"/>
  <c r="AA7" i="4" s="1"/>
  <c r="AA23" i="4" s="1"/>
  <c r="AA40" i="4" s="1"/>
  <c r="AD74" i="3"/>
  <c r="AD76" i="3" s="1"/>
  <c r="AE7" i="4" s="1"/>
  <c r="AE23" i="4" s="1"/>
  <c r="AE40" i="4" s="1"/>
  <c r="AA74" i="3"/>
  <c r="AA76" i="3" s="1"/>
  <c r="AB7" i="4" s="1"/>
  <c r="AB23" i="4" s="1"/>
  <c r="AB40" i="4" s="1"/>
  <c r="T33" i="2"/>
  <c r="T34" i="2" s="1"/>
  <c r="T36" i="2" s="1"/>
  <c r="L93" i="1"/>
  <c r="AR70" i="3"/>
  <c r="H14" i="12" s="1"/>
  <c r="BE70" i="3"/>
  <c r="J14" i="12" s="1"/>
  <c r="O93" i="1"/>
  <c r="D73" i="14"/>
  <c r="C73" i="14" s="1"/>
  <c r="F73" i="14" s="1"/>
  <c r="AE70" i="3"/>
  <c r="F14" i="12" s="1"/>
  <c r="I93" i="1"/>
  <c r="BS69" i="3"/>
  <c r="BS70" i="3" s="1"/>
  <c r="BS72" i="3" s="1"/>
  <c r="BR70" i="3"/>
  <c r="L14" i="12" s="1"/>
  <c r="R93" i="1"/>
  <c r="BX90" i="14"/>
  <c r="BW90" i="14" s="1"/>
  <c r="BZ90" i="14" s="1"/>
  <c r="BR74" i="3" l="1"/>
  <c r="K17" i="12" s="1"/>
  <c r="L17" i="12" s="1"/>
  <c r="BI76" i="3"/>
  <c r="BJ7" i="4" s="1"/>
  <c r="BJ23" i="4" s="1"/>
  <c r="BJ40" i="4" s="1"/>
  <c r="BE74" i="3"/>
  <c r="I17" i="12" s="1"/>
  <c r="J17" i="12" s="1"/>
  <c r="AV76" i="3"/>
  <c r="AW7" i="4" s="1"/>
  <c r="AW23" i="4" s="1"/>
  <c r="AW40" i="4" s="1"/>
  <c r="AR74" i="3"/>
  <c r="G17" i="12" s="1"/>
  <c r="H17" i="12" s="1"/>
  <c r="AE74" i="3"/>
  <c r="E17" i="12" s="1"/>
  <c r="F17" i="12" s="1"/>
  <c r="W76" i="3"/>
  <c r="X7" i="4" s="1"/>
  <c r="X23" i="4" s="1"/>
  <c r="X40" i="4" s="1"/>
  <c r="U33" i="2"/>
  <c r="U34" i="2" s="1"/>
  <c r="U36" i="2" s="1"/>
  <c r="AG7" i="4"/>
  <c r="E74" i="14"/>
  <c r="B74" i="14"/>
  <c r="BV91" i="14"/>
  <c r="BY91" i="14"/>
  <c r="AT7" i="4"/>
  <c r="BG7" i="4"/>
  <c r="S93" i="1"/>
  <c r="R96" i="1"/>
  <c r="P93" i="1"/>
  <c r="O96" i="1"/>
  <c r="R94" i="1"/>
  <c r="S94" i="1" s="1"/>
  <c r="J93" i="1"/>
  <c r="I96" i="1"/>
  <c r="O94" i="1"/>
  <c r="P94" i="1" s="1"/>
  <c r="I94" i="1"/>
  <c r="J94" i="1" s="1"/>
  <c r="L94" i="1"/>
  <c r="M94" i="1" s="1"/>
  <c r="S78" i="3"/>
  <c r="T78" i="3" s="1"/>
  <c r="U78" i="3" s="1"/>
  <c r="V78" i="3" s="1"/>
  <c r="S41" i="2"/>
  <c r="T7" i="4"/>
  <c r="M93" i="1"/>
  <c r="L96" i="1"/>
  <c r="W78" i="3" l="1"/>
  <c r="X78" i="3" s="1"/>
  <c r="Y78" i="3" s="1"/>
  <c r="Z78" i="3" s="1"/>
  <c r="AA78" i="3" s="1"/>
  <c r="AB78" i="3" s="1"/>
  <c r="AC78" i="3" s="1"/>
  <c r="AD78" i="3" s="1"/>
  <c r="AF78" i="3" s="1"/>
  <c r="AG78" i="3" s="1"/>
  <c r="AH78" i="3" s="1"/>
  <c r="AI78" i="3" s="1"/>
  <c r="AJ78" i="3" s="1"/>
  <c r="AK78" i="3" s="1"/>
  <c r="AL78" i="3" s="1"/>
  <c r="AM78" i="3" s="1"/>
  <c r="AN78" i="3" s="1"/>
  <c r="AO78" i="3" s="1"/>
  <c r="AP78" i="3" s="1"/>
  <c r="AQ78" i="3" s="1"/>
  <c r="AS78" i="3" s="1"/>
  <c r="AT78" i="3" s="1"/>
  <c r="AU78" i="3" s="1"/>
  <c r="AV78" i="3" s="1"/>
  <c r="AW78" i="3" s="1"/>
  <c r="AX78" i="3" s="1"/>
  <c r="AY78" i="3" s="1"/>
  <c r="AZ78" i="3" s="1"/>
  <c r="BA78" i="3" s="1"/>
  <c r="BB78" i="3" s="1"/>
  <c r="BC78" i="3" s="1"/>
  <c r="BD78" i="3" s="1"/>
  <c r="BF78" i="3" s="1"/>
  <c r="BG78" i="3" s="1"/>
  <c r="BH78" i="3" s="1"/>
  <c r="BI78" i="3" s="1"/>
  <c r="BJ78" i="3" s="1"/>
  <c r="BK78" i="3" s="1"/>
  <c r="BL78" i="3" s="1"/>
  <c r="BM78" i="3" s="1"/>
  <c r="BN78" i="3" s="1"/>
  <c r="BO78" i="3" s="1"/>
  <c r="BP78" i="3" s="1"/>
  <c r="BQ78" i="3" s="1"/>
  <c r="V33" i="2"/>
  <c r="V34" i="2" s="1"/>
  <c r="V36" i="2" s="1"/>
  <c r="T23" i="4"/>
  <c r="T40" i="4" s="1"/>
  <c r="I107" i="1"/>
  <c r="I123" i="1" s="1"/>
  <c r="I137" i="1" s="1"/>
  <c r="BG23" i="4"/>
  <c r="BG40" i="4" s="1"/>
  <c r="R107" i="1"/>
  <c r="R123" i="1" s="1"/>
  <c r="R137" i="1" s="1"/>
  <c r="D74" i="14"/>
  <c r="C74" i="14" s="1"/>
  <c r="F74" i="14" s="1"/>
  <c r="S42" i="2"/>
  <c r="S44" i="2" s="1"/>
  <c r="T41" i="2"/>
  <c r="L98" i="1"/>
  <c r="O98" i="1"/>
  <c r="O100" i="1" s="1"/>
  <c r="P100" i="1" s="1"/>
  <c r="R98" i="1"/>
  <c r="R100" i="1" s="1"/>
  <c r="S100" i="1" s="1"/>
  <c r="P96" i="1"/>
  <c r="BX91" i="14"/>
  <c r="BW91" i="14" s="1"/>
  <c r="BZ91" i="14" s="1"/>
  <c r="AG23" i="4"/>
  <c r="AG40" i="4" s="1"/>
  <c r="L107" i="1"/>
  <c r="L123" i="1" s="1"/>
  <c r="L137" i="1" s="1"/>
  <c r="M96" i="1"/>
  <c r="AT23" i="4"/>
  <c r="AT40" i="4" s="1"/>
  <c r="O107" i="1"/>
  <c r="O123" i="1" s="1"/>
  <c r="O137" i="1" s="1"/>
  <c r="J96" i="1"/>
  <c r="S96" i="1"/>
  <c r="W33" i="2" l="1"/>
  <c r="X33" i="2" s="1"/>
  <c r="BR76" i="3"/>
  <c r="BE76" i="3"/>
  <c r="B75" i="14"/>
  <c r="E75" i="14"/>
  <c r="BY92" i="14"/>
  <c r="BV92" i="14"/>
  <c r="L144" i="1"/>
  <c r="R144" i="1"/>
  <c r="I140" i="1"/>
  <c r="L138" i="1" s="1"/>
  <c r="L140" i="1" s="1"/>
  <c r="O138" i="1" s="1"/>
  <c r="O140" i="1" s="1"/>
  <c r="R138" i="1" s="1"/>
  <c r="R140" i="1" s="1"/>
  <c r="I144" i="1"/>
  <c r="P98" i="1"/>
  <c r="I98" i="1"/>
  <c r="BS74" i="3"/>
  <c r="BS76" i="3" s="1"/>
  <c r="M98" i="1"/>
  <c r="T42" i="2"/>
  <c r="T44" i="2" s="1"/>
  <c r="U41" i="2"/>
  <c r="O144" i="1"/>
  <c r="L100" i="1"/>
  <c r="M100" i="1" s="1"/>
  <c r="S98" i="1"/>
  <c r="AE76" i="3"/>
  <c r="AR76" i="3"/>
  <c r="W34" i="2" l="1"/>
  <c r="W36" i="2" s="1"/>
  <c r="Y33" i="2"/>
  <c r="X34" i="2"/>
  <c r="X36" i="2" s="1"/>
  <c r="U42" i="2"/>
  <c r="U44" i="2" s="1"/>
  <c r="V41" i="2"/>
  <c r="J98" i="1"/>
  <c r="I100" i="1"/>
  <c r="J100" i="1" s="1"/>
  <c r="BX92" i="14"/>
  <c r="BW92" i="14" s="1"/>
  <c r="BZ92" i="14" s="1"/>
  <c r="J12" i="12"/>
  <c r="I13" i="12"/>
  <c r="D75" i="14"/>
  <c r="C75" i="14" s="1"/>
  <c r="F75" i="14" s="1"/>
  <c r="L12" i="12"/>
  <c r="K13" i="12"/>
  <c r="H12" i="12"/>
  <c r="G13" i="12"/>
  <c r="I18" i="12" l="1"/>
  <c r="I15" i="12"/>
  <c r="J15" i="12" s="1"/>
  <c r="G18" i="12"/>
  <c r="H18" i="12" s="1"/>
  <c r="H25" i="12" s="1"/>
  <c r="G15" i="12"/>
  <c r="H15" i="12" s="1"/>
  <c r="K18" i="12"/>
  <c r="K15" i="12"/>
  <c r="L15" i="12" s="1"/>
  <c r="Y34" i="2"/>
  <c r="Y36" i="2" s="1"/>
  <c r="Z33" i="2"/>
  <c r="BV93" i="14"/>
  <c r="BY93" i="14"/>
  <c r="E76" i="14"/>
  <c r="B76" i="14"/>
  <c r="L18" i="12"/>
  <c r="L25" i="12" s="1"/>
  <c r="L13" i="12"/>
  <c r="F12" i="12"/>
  <c r="E13" i="12"/>
  <c r="H13" i="12"/>
  <c r="J13" i="12"/>
  <c r="J18" i="12"/>
  <c r="J25" i="12" s="1"/>
  <c r="V42" i="2"/>
  <c r="V44" i="2" s="1"/>
  <c r="W41" i="2"/>
  <c r="E18" i="12" l="1"/>
  <c r="E15" i="12"/>
  <c r="F15" i="12" s="1"/>
  <c r="AA33" i="2"/>
  <c r="Z34" i="2"/>
  <c r="Z36" i="2" s="1"/>
  <c r="W42" i="2"/>
  <c r="W44" i="2" s="1"/>
  <c r="X41" i="2"/>
  <c r="F13" i="12"/>
  <c r="F18" i="12"/>
  <c r="F25" i="12" s="1"/>
  <c r="D76" i="14"/>
  <c r="C76" i="14" s="1"/>
  <c r="F76" i="14" s="1"/>
  <c r="BX93" i="14"/>
  <c r="BW93" i="14" s="1"/>
  <c r="BZ93" i="14" s="1"/>
  <c r="AB33" i="2" l="1"/>
  <c r="AA34" i="2"/>
  <c r="AA36" i="2" s="1"/>
  <c r="BV94" i="14"/>
  <c r="BY94" i="14"/>
  <c r="B77" i="14"/>
  <c r="E77" i="14"/>
  <c r="X42" i="2"/>
  <c r="X44" i="2" s="1"/>
  <c r="Y41" i="2"/>
  <c r="AC33" i="2" l="1"/>
  <c r="AB34" i="2"/>
  <c r="AB36" i="2" s="1"/>
  <c r="D77" i="14"/>
  <c r="C77" i="14" s="1"/>
  <c r="F77" i="14" s="1"/>
  <c r="Y42" i="2"/>
  <c r="Y44" i="2" s="1"/>
  <c r="Z41" i="2"/>
  <c r="BX94" i="14"/>
  <c r="BW94" i="14" s="1"/>
  <c r="BZ94" i="14" s="1"/>
  <c r="AC34" i="2" l="1"/>
  <c r="AC36" i="2" s="1"/>
  <c r="AD33" i="2"/>
  <c r="BV95" i="14"/>
  <c r="BY95" i="14"/>
  <c r="E78" i="14"/>
  <c r="B78" i="14"/>
  <c r="Z42" i="2"/>
  <c r="Z44" i="2" s="1"/>
  <c r="AA41" i="2"/>
  <c r="AF33" i="2" l="1"/>
  <c r="I32" i="1"/>
  <c r="I33" i="1" s="1"/>
  <c r="I35" i="1" s="1"/>
  <c r="AD34" i="2"/>
  <c r="AD36" i="2" s="1"/>
  <c r="D78" i="14"/>
  <c r="C78" i="14" s="1"/>
  <c r="F78" i="14" s="1"/>
  <c r="AA42" i="2"/>
  <c r="AA44" i="2" s="1"/>
  <c r="AB41" i="2"/>
  <c r="BX95" i="14"/>
  <c r="BW95" i="14" s="1"/>
  <c r="BZ95" i="14" s="1"/>
  <c r="AF34" i="2" l="1"/>
  <c r="AF36" i="2" s="1"/>
  <c r="AG33" i="2"/>
  <c r="B79" i="14"/>
  <c r="E79" i="14"/>
  <c r="AB42" i="2"/>
  <c r="AB44" i="2" s="1"/>
  <c r="AC41" i="2"/>
  <c r="BY96" i="14"/>
  <c r="BV96" i="14"/>
  <c r="AG34" i="2" l="1"/>
  <c r="AG36" i="2" s="1"/>
  <c r="AH33" i="2"/>
  <c r="BX96" i="14"/>
  <c r="BW96" i="14" s="1"/>
  <c r="BZ96" i="14" s="1"/>
  <c r="D79" i="14"/>
  <c r="C79" i="14" s="1"/>
  <c r="F79" i="14" s="1"/>
  <c r="AC42" i="2"/>
  <c r="AC44" i="2" s="1"/>
  <c r="AD41" i="2"/>
  <c r="AH34" i="2" l="1"/>
  <c r="AH36" i="2" s="1"/>
  <c r="AI33" i="2"/>
  <c r="E80" i="14"/>
  <c r="B80" i="14"/>
  <c r="BV97" i="14"/>
  <c r="BY97" i="14"/>
  <c r="I40" i="1"/>
  <c r="I41" i="1" s="1"/>
  <c r="I43" i="1" s="1"/>
  <c r="AD42" i="2"/>
  <c r="AD44" i="2" s="1"/>
  <c r="AF41" i="2"/>
  <c r="AI34" i="2" l="1"/>
  <c r="AI36" i="2" s="1"/>
  <c r="AJ33" i="2"/>
  <c r="AF42" i="2"/>
  <c r="AF44" i="2" s="1"/>
  <c r="AG41" i="2"/>
  <c r="BX97" i="14"/>
  <c r="BW97" i="14" s="1"/>
  <c r="BZ97" i="14" s="1"/>
  <c r="D80" i="14"/>
  <c r="C80" i="14" s="1"/>
  <c r="F80" i="14" s="1"/>
  <c r="AJ34" i="2" l="1"/>
  <c r="AJ36" i="2" s="1"/>
  <c r="AK33" i="2"/>
  <c r="B81" i="14"/>
  <c r="E81" i="14"/>
  <c r="BY98" i="14"/>
  <c r="BV98" i="14"/>
  <c r="AG42" i="2"/>
  <c r="AG44" i="2" s="1"/>
  <c r="AH41" i="2"/>
  <c r="AK34" i="2" l="1"/>
  <c r="AK36" i="2" s="1"/>
  <c r="AL33" i="2"/>
  <c r="BX98" i="14"/>
  <c r="BW98" i="14" s="1"/>
  <c r="BZ98" i="14" s="1"/>
  <c r="D81" i="14"/>
  <c r="C81" i="14" s="1"/>
  <c r="F81" i="14" s="1"/>
  <c r="AH42" i="2"/>
  <c r="AH44" i="2" s="1"/>
  <c r="AI41" i="2"/>
  <c r="AL34" i="2" l="1"/>
  <c r="AL36" i="2" s="1"/>
  <c r="AM33" i="2"/>
  <c r="BV99" i="14"/>
  <c r="BY99" i="14"/>
  <c r="E82" i="14"/>
  <c r="B82" i="14"/>
  <c r="AI42" i="2"/>
  <c r="AI44" i="2" s="1"/>
  <c r="AJ41" i="2"/>
  <c r="AN33" i="2" l="1"/>
  <c r="AM34" i="2"/>
  <c r="AM36" i="2" s="1"/>
  <c r="D82" i="14"/>
  <c r="C82" i="14" s="1"/>
  <c r="F82" i="14" s="1"/>
  <c r="AJ42" i="2"/>
  <c r="AJ44" i="2" s="1"/>
  <c r="AK41" i="2"/>
  <c r="BX99" i="14"/>
  <c r="BW99" i="14" s="1"/>
  <c r="BZ99" i="14" s="1"/>
  <c r="AN34" i="2" l="1"/>
  <c r="AN36" i="2" s="1"/>
  <c r="AO33" i="2"/>
  <c r="BY100" i="14"/>
  <c r="BV100" i="14"/>
  <c r="B83" i="14"/>
  <c r="E83" i="14"/>
  <c r="AK42" i="2"/>
  <c r="AK44" i="2" s="1"/>
  <c r="AL41" i="2"/>
  <c r="AO34" i="2" l="1"/>
  <c r="AO36" i="2" s="1"/>
  <c r="AP33" i="2"/>
  <c r="D83" i="14"/>
  <c r="C83" i="14" s="1"/>
  <c r="F83" i="14" s="1"/>
  <c r="AL42" i="2"/>
  <c r="AL44" i="2" s="1"/>
  <c r="AM41" i="2"/>
  <c r="BX100" i="14"/>
  <c r="BW100" i="14" s="1"/>
  <c r="BZ100" i="14" s="1"/>
  <c r="AP34" i="2" l="1"/>
  <c r="AP36" i="2" s="1"/>
  <c r="AQ33" i="2"/>
  <c r="BV101" i="14"/>
  <c r="BY101" i="14"/>
  <c r="E84" i="14"/>
  <c r="B84" i="14"/>
  <c r="AM42" i="2"/>
  <c r="AM44" i="2" s="1"/>
  <c r="AN41" i="2"/>
  <c r="AQ34" i="2" l="1"/>
  <c r="AQ36" i="2" s="1"/>
  <c r="L32" i="1"/>
  <c r="L33" i="1" s="1"/>
  <c r="L35" i="1" s="1"/>
  <c r="AS33" i="2"/>
  <c r="D84" i="14"/>
  <c r="C84" i="14" s="1"/>
  <c r="F84" i="14" s="1"/>
  <c r="BX101" i="14"/>
  <c r="BW101" i="14" s="1"/>
  <c r="BZ101" i="14" s="1"/>
  <c r="AN42" i="2"/>
  <c r="AN44" i="2" s="1"/>
  <c r="AO41" i="2"/>
  <c r="AS34" i="2" l="1"/>
  <c r="AS36" i="2" s="1"/>
  <c r="AT33" i="2"/>
  <c r="BY102" i="14"/>
  <c r="BV102" i="14"/>
  <c r="B85" i="14"/>
  <c r="E85" i="14"/>
  <c r="AO42" i="2"/>
  <c r="AO44" i="2" s="1"/>
  <c r="AP41" i="2"/>
  <c r="AU33" i="2" l="1"/>
  <c r="AT34" i="2"/>
  <c r="AT36" i="2" s="1"/>
  <c r="AP42" i="2"/>
  <c r="AP44" i="2" s="1"/>
  <c r="AQ41" i="2"/>
  <c r="D85" i="14"/>
  <c r="C85" i="14" s="1"/>
  <c r="F85" i="14" s="1"/>
  <c r="BX102" i="14"/>
  <c r="BW102" i="14" s="1"/>
  <c r="BZ102" i="14" s="1"/>
  <c r="AU34" i="2" l="1"/>
  <c r="AU36" i="2" s="1"/>
  <c r="AV33" i="2"/>
  <c r="BV103" i="14"/>
  <c r="BY103" i="14"/>
  <c r="E86" i="14"/>
  <c r="B86" i="14"/>
  <c r="L40" i="1"/>
  <c r="L41" i="1" s="1"/>
  <c r="L43" i="1" s="1"/>
  <c r="AQ42" i="2"/>
  <c r="AQ44" i="2" s="1"/>
  <c r="AS41" i="2"/>
  <c r="AW33" i="2" l="1"/>
  <c r="AV34" i="2"/>
  <c r="AV36" i="2" s="1"/>
  <c r="D86" i="14"/>
  <c r="C86" i="14" s="1"/>
  <c r="F86" i="14" s="1"/>
  <c r="AS42" i="2"/>
  <c r="AS44" i="2" s="1"/>
  <c r="AT41" i="2"/>
  <c r="BX103" i="14"/>
  <c r="BW103" i="14" s="1"/>
  <c r="BZ103" i="14" s="1"/>
  <c r="AW34" i="2" l="1"/>
  <c r="AW36" i="2" s="1"/>
  <c r="AX33" i="2"/>
  <c r="BV104" i="14"/>
  <c r="BY104" i="14"/>
  <c r="B87" i="14"/>
  <c r="E87" i="14"/>
  <c r="AT42" i="2"/>
  <c r="AT44" i="2" s="1"/>
  <c r="AU41" i="2"/>
  <c r="AX34" i="2" l="1"/>
  <c r="AX36" i="2" s="1"/>
  <c r="AY33" i="2"/>
  <c r="D87" i="14"/>
  <c r="C87" i="14" s="1"/>
  <c r="F87" i="14" s="1"/>
  <c r="BX104" i="14"/>
  <c r="BW104" i="14" s="1"/>
  <c r="BZ104" i="14" s="1"/>
  <c r="AU42" i="2"/>
  <c r="AU44" i="2" s="1"/>
  <c r="AV41" i="2"/>
  <c r="AY34" i="2" l="1"/>
  <c r="AY36" i="2" s="1"/>
  <c r="AZ33" i="2"/>
  <c r="BV105" i="14"/>
  <c r="BY105" i="14"/>
  <c r="E88" i="14"/>
  <c r="B88" i="14"/>
  <c r="AV42" i="2"/>
  <c r="AV44" i="2" s="1"/>
  <c r="AW41" i="2"/>
  <c r="AZ34" i="2" l="1"/>
  <c r="AZ36" i="2" s="1"/>
  <c r="BA33" i="2"/>
  <c r="AW42" i="2"/>
  <c r="AW44" i="2" s="1"/>
  <c r="AX41" i="2"/>
  <c r="D88" i="14"/>
  <c r="C88" i="14" s="1"/>
  <c r="F88" i="14" s="1"/>
  <c r="BX105" i="14"/>
  <c r="BW105" i="14" s="1"/>
  <c r="BZ105" i="14" s="1"/>
  <c r="BA34" i="2" l="1"/>
  <c r="BA36" i="2" s="1"/>
  <c r="BB33" i="2"/>
  <c r="BV106" i="14"/>
  <c r="BY106" i="14"/>
  <c r="B89" i="14"/>
  <c r="E89" i="14"/>
  <c r="AX42" i="2"/>
  <c r="AX44" i="2" s="1"/>
  <c r="AY41" i="2"/>
  <c r="BB34" i="2" l="1"/>
  <c r="BB36" i="2" s="1"/>
  <c r="BC33" i="2"/>
  <c r="D89" i="14"/>
  <c r="C89" i="14" s="1"/>
  <c r="F89" i="14" s="1"/>
  <c r="AY42" i="2"/>
  <c r="AY44" i="2" s="1"/>
  <c r="AZ41" i="2"/>
  <c r="BX106" i="14"/>
  <c r="BW106" i="14" s="1"/>
  <c r="BZ106" i="14" s="1"/>
  <c r="BC34" i="2" l="1"/>
  <c r="BC36" i="2" s="1"/>
  <c r="BD33" i="2"/>
  <c r="BV107" i="14"/>
  <c r="BY107" i="14"/>
  <c r="E90" i="14"/>
  <c r="B90" i="14"/>
  <c r="AZ42" i="2"/>
  <c r="AZ44" i="2" s="1"/>
  <c r="BA41" i="2"/>
  <c r="BD34" i="2" l="1"/>
  <c r="BD36" i="2" s="1"/>
  <c r="O32" i="1"/>
  <c r="O33" i="1" s="1"/>
  <c r="O35" i="1" s="1"/>
  <c r="BF33" i="2"/>
  <c r="D90" i="14"/>
  <c r="C90" i="14" s="1"/>
  <c r="F90" i="14" s="1"/>
  <c r="BX107" i="14"/>
  <c r="BW107" i="14" s="1"/>
  <c r="BZ107" i="14" s="1"/>
  <c r="BA42" i="2"/>
  <c r="BA44" i="2" s="1"/>
  <c r="BB41" i="2"/>
  <c r="BF34" i="2" l="1"/>
  <c r="BF36" i="2" s="1"/>
  <c r="BG33" i="2"/>
  <c r="BV108" i="14"/>
  <c r="BY108" i="14"/>
  <c r="E91" i="14"/>
  <c r="B91" i="14"/>
  <c r="BB42" i="2"/>
  <c r="BB44" i="2" s="1"/>
  <c r="BC41" i="2"/>
  <c r="BG34" i="2" l="1"/>
  <c r="BG36" i="2" s="1"/>
  <c r="BH33" i="2"/>
  <c r="D91" i="14"/>
  <c r="C91" i="14" s="1"/>
  <c r="F91" i="14" s="1"/>
  <c r="BX108" i="14"/>
  <c r="BW108" i="14" s="1"/>
  <c r="BZ108" i="14" s="1"/>
  <c r="BC42" i="2"/>
  <c r="BC44" i="2" s="1"/>
  <c r="BD41" i="2"/>
  <c r="BH34" i="2" l="1"/>
  <c r="BH36" i="2" s="1"/>
  <c r="BI33" i="2"/>
  <c r="BV109" i="14"/>
  <c r="BY109" i="14"/>
  <c r="E92" i="14"/>
  <c r="B92" i="14"/>
  <c r="O40" i="1"/>
  <c r="O41" i="1" s="1"/>
  <c r="O43" i="1" s="1"/>
  <c r="BD42" i="2"/>
  <c r="BD44" i="2" s="1"/>
  <c r="BF41" i="2"/>
  <c r="BJ33" i="2" l="1"/>
  <c r="BI34" i="2"/>
  <c r="BI36" i="2" s="1"/>
  <c r="BF42" i="2"/>
  <c r="BF44" i="2" s="1"/>
  <c r="BG41" i="2"/>
  <c r="D92" i="14"/>
  <c r="C92" i="14" s="1"/>
  <c r="F92" i="14" s="1"/>
  <c r="BX109" i="14"/>
  <c r="BW109" i="14" s="1"/>
  <c r="BZ109" i="14" s="1"/>
  <c r="BJ34" i="2" l="1"/>
  <c r="BJ36" i="2" s="1"/>
  <c r="BK33" i="2"/>
  <c r="BV110" i="14"/>
  <c r="BY110" i="14"/>
  <c r="E93" i="14"/>
  <c r="B93" i="14"/>
  <c r="BG42" i="2"/>
  <c r="BG44" i="2" s="1"/>
  <c r="BH41" i="2"/>
  <c r="BK34" i="2" l="1"/>
  <c r="BK36" i="2" s="1"/>
  <c r="BL33" i="2"/>
  <c r="D93" i="14"/>
  <c r="C93" i="14" s="1"/>
  <c r="F93" i="14" s="1"/>
  <c r="BH42" i="2"/>
  <c r="BH44" i="2" s="1"/>
  <c r="BI41" i="2"/>
  <c r="BX110" i="14"/>
  <c r="BW110" i="14" s="1"/>
  <c r="BZ110" i="14" s="1"/>
  <c r="BL34" i="2" l="1"/>
  <c r="BL36" i="2" s="1"/>
  <c r="BM33" i="2"/>
  <c r="BV111" i="14"/>
  <c r="BY111" i="14"/>
  <c r="E94" i="14"/>
  <c r="B94" i="14"/>
  <c r="BI42" i="2"/>
  <c r="BI44" i="2" s="1"/>
  <c r="BJ41" i="2"/>
  <c r="BM34" i="2" l="1"/>
  <c r="BM36" i="2" s="1"/>
  <c r="BN33" i="2"/>
  <c r="D94" i="14"/>
  <c r="C94" i="14" s="1"/>
  <c r="F94" i="14" s="1"/>
  <c r="BJ42" i="2"/>
  <c r="BJ44" i="2" s="1"/>
  <c r="BK41" i="2"/>
  <c r="BX111" i="14"/>
  <c r="BW111" i="14" s="1"/>
  <c r="BZ111" i="14" s="1"/>
  <c r="BN34" i="2" l="1"/>
  <c r="BN36" i="2" s="1"/>
  <c r="BO33" i="2"/>
  <c r="B95" i="14"/>
  <c r="E95" i="14"/>
  <c r="BV112" i="14"/>
  <c r="BY112" i="14"/>
  <c r="BK42" i="2"/>
  <c r="BK44" i="2" s="1"/>
  <c r="BL41" i="2"/>
  <c r="BO34" i="2" l="1"/>
  <c r="BO36" i="2" s="1"/>
  <c r="BP33" i="2"/>
  <c r="BL42" i="2"/>
  <c r="BL44" i="2" s="1"/>
  <c r="BM41" i="2"/>
  <c r="BX112" i="14"/>
  <c r="BW112" i="14" s="1"/>
  <c r="BZ112" i="14" s="1"/>
  <c r="D95" i="14"/>
  <c r="C95" i="14" s="1"/>
  <c r="F95" i="14" s="1"/>
  <c r="BP34" i="2" l="1"/>
  <c r="BP36" i="2" s="1"/>
  <c r="BQ33" i="2"/>
  <c r="BV113" i="14"/>
  <c r="BY113" i="14"/>
  <c r="B96" i="14"/>
  <c r="E96" i="14"/>
  <c r="BM42" i="2"/>
  <c r="BM44" i="2" s="1"/>
  <c r="BN41" i="2"/>
  <c r="BQ34" i="2" l="1"/>
  <c r="BQ36" i="2" s="1"/>
  <c r="R32" i="1"/>
  <c r="R33" i="1" s="1"/>
  <c r="R35" i="1" s="1"/>
  <c r="D96" i="14"/>
  <c r="C96" i="14" s="1"/>
  <c r="F96" i="14" s="1"/>
  <c r="BX113" i="14"/>
  <c r="BW113" i="14" s="1"/>
  <c r="BZ113" i="14" s="1"/>
  <c r="BN42" i="2"/>
  <c r="BN44" i="2" s="1"/>
  <c r="BO41" i="2"/>
  <c r="BV114" i="14" l="1"/>
  <c r="BY114" i="14"/>
  <c r="B97" i="14"/>
  <c r="E97" i="14"/>
  <c r="BO42" i="2"/>
  <c r="BO44" i="2" s="1"/>
  <c r="BP41" i="2"/>
  <c r="D97" i="14" l="1"/>
  <c r="C97" i="14" s="1"/>
  <c r="F97" i="14" s="1"/>
  <c r="BP42" i="2"/>
  <c r="BP44" i="2" s="1"/>
  <c r="BQ41" i="2"/>
  <c r="BX114" i="14"/>
  <c r="BW114" i="14" s="1"/>
  <c r="BZ114" i="14" s="1"/>
  <c r="BV115" i="14" l="1"/>
  <c r="BY115" i="14"/>
  <c r="B98" i="14"/>
  <c r="E98" i="14"/>
  <c r="R40" i="1"/>
  <c r="R41" i="1" s="1"/>
  <c r="R43" i="1" s="1"/>
  <c r="BQ42" i="2"/>
  <c r="BQ44" i="2" s="1"/>
  <c r="D98" i="14" l="1"/>
  <c r="C98" i="14" s="1"/>
  <c r="F98" i="14" s="1"/>
  <c r="BX115" i="14"/>
  <c r="BW115" i="14" s="1"/>
  <c r="BZ115" i="14" s="1"/>
  <c r="BV116" i="14" l="1"/>
  <c r="BY116" i="14"/>
  <c r="E99" i="14"/>
  <c r="B99" i="14"/>
  <c r="D99" i="14" l="1"/>
  <c r="C99" i="14" s="1"/>
  <c r="F99" i="14" s="1"/>
  <c r="BX116" i="14"/>
  <c r="BW116" i="14" s="1"/>
  <c r="BZ116" i="14" s="1"/>
  <c r="B100" i="14" l="1"/>
  <c r="E100" i="14"/>
  <c r="BV117" i="14"/>
  <c r="BY117" i="14"/>
  <c r="BX117" i="14" l="1"/>
  <c r="BW117" i="14" s="1"/>
  <c r="BZ117" i="14" s="1"/>
  <c r="D100" i="14"/>
  <c r="C100" i="14" s="1"/>
  <c r="F100" i="14" s="1"/>
  <c r="B101" i="14" l="1"/>
  <c r="E101" i="14"/>
  <c r="BV118" i="14"/>
  <c r="BY118" i="14"/>
  <c r="BX118" i="14" l="1"/>
  <c r="BW118" i="14" s="1"/>
  <c r="BZ118" i="14" s="1"/>
  <c r="D101" i="14"/>
  <c r="C101" i="14" s="1"/>
  <c r="F101" i="14" s="1"/>
  <c r="B102" i="14" l="1"/>
  <c r="E102" i="14"/>
  <c r="BV119" i="14"/>
  <c r="BY119" i="14"/>
  <c r="BX119" i="14" l="1"/>
  <c r="BW119" i="14" s="1"/>
  <c r="BZ119" i="14" s="1"/>
  <c r="D102" i="14"/>
  <c r="C102" i="14" s="1"/>
  <c r="F102" i="14" s="1"/>
  <c r="E103" i="14" l="1"/>
  <c r="B103" i="14"/>
  <c r="BV120" i="14"/>
  <c r="BY120" i="14"/>
  <c r="BX120" i="14" l="1"/>
  <c r="BW120" i="14" s="1"/>
  <c r="BZ120" i="14" s="1"/>
  <c r="D103" i="14"/>
  <c r="C103" i="14" s="1"/>
  <c r="F103" i="14" s="1"/>
  <c r="B104" i="14" l="1"/>
  <c r="E104" i="14"/>
  <c r="BV121" i="14"/>
  <c r="BY121" i="14"/>
  <c r="D104" i="14" l="1"/>
  <c r="C104" i="14" s="1"/>
  <c r="F104" i="14" s="1"/>
  <c r="BX121" i="14"/>
  <c r="BW121" i="14" s="1"/>
  <c r="BZ121" i="14" s="1"/>
  <c r="BV122" i="14" l="1"/>
  <c r="BY122" i="14"/>
  <c r="E105" i="14"/>
  <c r="B105" i="14"/>
  <c r="D105" i="14" l="1"/>
  <c r="C105" i="14" s="1"/>
  <c r="F105" i="14" s="1"/>
  <c r="BX122" i="14"/>
  <c r="BW122" i="14" s="1"/>
  <c r="BZ122" i="14" s="1"/>
  <c r="BV123" i="14" l="1"/>
  <c r="BY123" i="14"/>
  <c r="B106" i="14"/>
  <c r="E106" i="14"/>
  <c r="BX123" i="14" l="1"/>
  <c r="BW123" i="14" s="1"/>
  <c r="BZ123" i="14" s="1"/>
  <c r="D106" i="14"/>
  <c r="C106" i="14" s="1"/>
  <c r="F106" i="14" s="1"/>
  <c r="BV124" i="14" l="1"/>
  <c r="BY124" i="14"/>
  <c r="E107" i="14"/>
  <c r="B107" i="14"/>
  <c r="BX124" i="14" l="1"/>
  <c r="BW124" i="14" s="1"/>
  <c r="BZ124" i="14" s="1"/>
  <c r="D107" i="14"/>
  <c r="C107" i="14" s="1"/>
  <c r="F107" i="14" s="1"/>
  <c r="BV125" i="14" l="1"/>
  <c r="BY125" i="14"/>
  <c r="B108" i="14"/>
  <c r="E108" i="14"/>
  <c r="BX125" i="14" l="1"/>
  <c r="BW125" i="14" s="1"/>
  <c r="BZ125" i="14" s="1"/>
  <c r="D108" i="14"/>
  <c r="C108" i="14" s="1"/>
  <c r="F108" i="14" s="1"/>
  <c r="BV126" i="14" l="1"/>
  <c r="BY126" i="14"/>
  <c r="E109" i="14"/>
  <c r="B109" i="14"/>
  <c r="D109" i="14" l="1"/>
  <c r="C109" i="14" s="1"/>
  <c r="F109" i="14" s="1"/>
  <c r="BX126" i="14"/>
  <c r="BW126" i="14" s="1"/>
  <c r="BZ126" i="14" s="1"/>
  <c r="BV127" i="14" l="1"/>
  <c r="BY127" i="14"/>
  <c r="B110" i="14"/>
  <c r="E110" i="14"/>
  <c r="BX127" i="14" l="1"/>
  <c r="BW127" i="14" s="1"/>
  <c r="BZ127" i="14" s="1"/>
  <c r="D110" i="14"/>
  <c r="C110" i="14" s="1"/>
  <c r="F110" i="14" s="1"/>
  <c r="BV128" i="14" l="1"/>
  <c r="BY128" i="14"/>
  <c r="E111" i="14"/>
  <c r="B111" i="14"/>
  <c r="D111" i="14" l="1"/>
  <c r="C111" i="14" s="1"/>
  <c r="F111" i="14" s="1"/>
  <c r="BX128" i="14"/>
  <c r="BW128" i="14" s="1"/>
  <c r="BZ128" i="14" s="1"/>
  <c r="B112" i="14" l="1"/>
  <c r="E112" i="14"/>
  <c r="BV129" i="14"/>
  <c r="BY129" i="14"/>
  <c r="D112" i="14" l="1"/>
  <c r="C112" i="14" s="1"/>
  <c r="F112" i="14" s="1"/>
  <c r="BX129" i="14"/>
  <c r="BW129" i="14" s="1"/>
  <c r="BZ129" i="14" s="1"/>
  <c r="BV130" i="14" l="1"/>
  <c r="BY130" i="14"/>
  <c r="E113" i="14"/>
  <c r="B113" i="14"/>
  <c r="D113" i="14" l="1"/>
  <c r="C113" i="14" s="1"/>
  <c r="F113" i="14" s="1"/>
  <c r="BX130" i="14"/>
  <c r="BW130" i="14" s="1"/>
  <c r="BZ130" i="14" s="1"/>
  <c r="BV131" i="14" l="1"/>
  <c r="BY131" i="14"/>
  <c r="B114" i="14"/>
  <c r="E114" i="14"/>
  <c r="D114" i="14" l="1"/>
  <c r="C114" i="14" s="1"/>
  <c r="F114" i="14" s="1"/>
  <c r="BX131" i="14"/>
  <c r="BX132" i="14" s="1"/>
  <c r="E115" i="14" l="1"/>
  <c r="B115" i="14"/>
  <c r="BW131" i="14"/>
  <c r="BZ131" i="14" s="1"/>
  <c r="D115" i="14" l="1"/>
  <c r="C115" i="14" s="1"/>
  <c r="F115" i="14" s="1"/>
  <c r="B116" i="14" l="1"/>
  <c r="E116" i="14"/>
  <c r="D116" i="14" l="1"/>
  <c r="C116" i="14" s="1"/>
  <c r="F116" i="14" s="1"/>
  <c r="E117" i="14" l="1"/>
  <c r="B117" i="14"/>
  <c r="D117" i="14" l="1"/>
  <c r="C117" i="14" s="1"/>
  <c r="F117" i="14" s="1"/>
  <c r="B118" i="14" l="1"/>
  <c r="E118" i="14"/>
  <c r="D118" i="14" l="1"/>
  <c r="C118" i="14" s="1"/>
  <c r="F118" i="14" s="1"/>
  <c r="E119" i="14" l="1"/>
  <c r="B119" i="14"/>
  <c r="D119" i="14" l="1"/>
  <c r="C119" i="14" s="1"/>
  <c r="F119" i="14" s="1"/>
  <c r="B120" i="14" l="1"/>
  <c r="E120" i="14"/>
  <c r="D120" i="14" l="1"/>
  <c r="C120" i="14" s="1"/>
  <c r="F120" i="14" s="1"/>
  <c r="E121" i="14" l="1"/>
  <c r="B121" i="14"/>
  <c r="D121" i="14" l="1"/>
  <c r="C121" i="14" s="1"/>
  <c r="F121" i="14" s="1"/>
  <c r="B122" i="14" l="1"/>
  <c r="E122" i="14"/>
  <c r="D122" i="14" l="1"/>
  <c r="C122" i="14" s="1"/>
  <c r="F122" i="14" s="1"/>
  <c r="E123" i="14" l="1"/>
  <c r="B123" i="14"/>
  <c r="D123" i="14" l="1"/>
  <c r="C123" i="14" s="1"/>
  <c r="F123" i="14" s="1"/>
  <c r="B124" i="14" l="1"/>
  <c r="E124" i="14"/>
  <c r="D124" i="14" l="1"/>
  <c r="C124" i="14" s="1"/>
  <c r="F124" i="14" s="1"/>
  <c r="E125" i="14" l="1"/>
  <c r="B125" i="14"/>
  <c r="D125" i="14" l="1"/>
  <c r="C125" i="14" s="1"/>
  <c r="F125" i="14" s="1"/>
  <c r="B126" i="14" l="1"/>
  <c r="E126" i="14"/>
  <c r="D126" i="14" l="1"/>
  <c r="C126" i="14" s="1"/>
  <c r="F126" i="14" s="1"/>
  <c r="E127" i="14" l="1"/>
  <c r="B127" i="14"/>
  <c r="D127" i="14" l="1"/>
  <c r="C127" i="14" s="1"/>
  <c r="F127" i="14" s="1"/>
  <c r="B128" i="14" l="1"/>
  <c r="E128" i="14"/>
  <c r="D128" i="14" l="1"/>
  <c r="C128" i="14" s="1"/>
  <c r="F128" i="14" s="1"/>
  <c r="E129" i="14" l="1"/>
  <c r="B129" i="14"/>
  <c r="D129" i="14" l="1"/>
  <c r="C129" i="14" s="1"/>
  <c r="F129" i="14" s="1"/>
  <c r="B130" i="14" l="1"/>
  <c r="E130" i="14"/>
  <c r="D130" i="14" l="1"/>
  <c r="C130" i="14" s="1"/>
  <c r="F130" i="14" s="1"/>
  <c r="E131" i="14" l="1"/>
  <c r="B131" i="14"/>
  <c r="D131" i="14" l="1"/>
  <c r="D132" i="14" s="1"/>
  <c r="C131" i="14" l="1"/>
  <c r="F131" i="14" s="1"/>
  <c r="G31" i="4"/>
  <c r="G40" i="4" s="1"/>
  <c r="G43" i="4" s="1"/>
  <c r="H41" i="4" l="1"/>
  <c r="H43" i="4" s="1"/>
  <c r="F8" i="2"/>
  <c r="F15" i="2" s="1"/>
  <c r="F21" i="2" s="1"/>
  <c r="F46" i="2" s="1"/>
  <c r="I41" i="4" l="1"/>
  <c r="I43" i="4" s="1"/>
  <c r="G8" i="2"/>
  <c r="G15" i="2" s="1"/>
  <c r="G21" i="2" s="1"/>
  <c r="G46" i="2" s="1"/>
  <c r="H8" i="2" l="1"/>
  <c r="H15" i="2" s="1"/>
  <c r="H21" i="2" s="1"/>
  <c r="H46" i="2" s="1"/>
  <c r="J41" i="4"/>
  <c r="J43" i="4" s="1"/>
  <c r="K41" i="4" l="1"/>
  <c r="K43" i="4" s="1"/>
  <c r="I8" i="2"/>
  <c r="I15" i="2" s="1"/>
  <c r="I21" i="2" s="1"/>
  <c r="I46" i="2" s="1"/>
  <c r="L41" i="4" l="1"/>
  <c r="L43" i="4" s="1"/>
  <c r="J8" i="2"/>
  <c r="J15" i="2" s="1"/>
  <c r="J21" i="2" s="1"/>
  <c r="J46" i="2" s="1"/>
  <c r="M41" i="4" l="1"/>
  <c r="M43" i="4" s="1"/>
  <c r="K8" i="2"/>
  <c r="K15" i="2" s="1"/>
  <c r="K21" i="2" s="1"/>
  <c r="K46" i="2" s="1"/>
  <c r="N41" i="4" l="1"/>
  <c r="N43" i="4" s="1"/>
  <c r="L8" i="2"/>
  <c r="L15" i="2" s="1"/>
  <c r="L21" i="2" s="1"/>
  <c r="L46" i="2" s="1"/>
  <c r="O41" i="4" l="1"/>
  <c r="O43" i="4" s="1"/>
  <c r="M8" i="2"/>
  <c r="M15" i="2" s="1"/>
  <c r="M21" i="2" s="1"/>
  <c r="M46" i="2" s="1"/>
  <c r="P41" i="4" l="1"/>
  <c r="P43" i="4" s="1"/>
  <c r="N8" i="2"/>
  <c r="N15" i="2" s="1"/>
  <c r="N21" i="2" s="1"/>
  <c r="N46" i="2" s="1"/>
  <c r="Q41" i="4" l="1"/>
  <c r="Q43" i="4" s="1"/>
  <c r="O8" i="2"/>
  <c r="O15" i="2" s="1"/>
  <c r="O21" i="2" s="1"/>
  <c r="O46" i="2" s="1"/>
  <c r="R41" i="4" l="1"/>
  <c r="R43" i="4" s="1"/>
  <c r="P8" i="2"/>
  <c r="P15" i="2" s="1"/>
  <c r="P21" i="2" s="1"/>
  <c r="P46" i="2" s="1"/>
  <c r="Q8" i="2" l="1"/>
  <c r="T41" i="4"/>
  <c r="T43" i="4" s="1"/>
  <c r="C20" i="12"/>
  <c r="C25" i="12" l="1"/>
  <c r="D28" i="12" s="1"/>
  <c r="U41" i="4"/>
  <c r="U43" i="4" s="1"/>
  <c r="S8" i="2"/>
  <c r="S15" i="2" s="1"/>
  <c r="S21" i="2" s="1"/>
  <c r="S46" i="2" s="1"/>
  <c r="Q15" i="2"/>
  <c r="Q21" i="2" s="1"/>
  <c r="Q46" i="2" s="1"/>
  <c r="F7" i="1"/>
  <c r="F14" i="1" s="1"/>
  <c r="F20" i="1" s="1"/>
  <c r="V41" i="4" l="1"/>
  <c r="V43" i="4" s="1"/>
  <c r="T8" i="2"/>
  <c r="T15" i="2" s="1"/>
  <c r="T21" i="2" s="1"/>
  <c r="T46" i="2" s="1"/>
  <c r="W41" i="4" l="1"/>
  <c r="W43" i="4" s="1"/>
  <c r="U8" i="2"/>
  <c r="U15" i="2" s="1"/>
  <c r="U21" i="2" s="1"/>
  <c r="U46" i="2" s="1"/>
  <c r="X41" i="4" l="1"/>
  <c r="X43" i="4" s="1"/>
  <c r="V8" i="2"/>
  <c r="V15" i="2" s="1"/>
  <c r="V21" i="2" s="1"/>
  <c r="V46" i="2" s="1"/>
  <c r="Y41" i="4" l="1"/>
  <c r="Y43" i="4" s="1"/>
  <c r="W8" i="2"/>
  <c r="W15" i="2" s="1"/>
  <c r="W21" i="2" s="1"/>
  <c r="W46" i="2" s="1"/>
  <c r="X8" i="2" l="1"/>
  <c r="X15" i="2" s="1"/>
  <c r="X21" i="2" s="1"/>
  <c r="X46" i="2" s="1"/>
  <c r="Z41" i="4"/>
  <c r="Z43" i="4" s="1"/>
  <c r="AA41" i="4" l="1"/>
  <c r="AA43" i="4" s="1"/>
  <c r="Y8" i="2"/>
  <c r="Y15" i="2" s="1"/>
  <c r="Y21" i="2" s="1"/>
  <c r="Y46" i="2" s="1"/>
  <c r="AB41" i="4" l="1"/>
  <c r="AB43" i="4" s="1"/>
  <c r="Z8" i="2"/>
  <c r="Z15" i="2" s="1"/>
  <c r="Z21" i="2" s="1"/>
  <c r="Z46" i="2" s="1"/>
  <c r="AC41" i="4" l="1"/>
  <c r="AC43" i="4" s="1"/>
  <c r="AA8" i="2"/>
  <c r="AA15" i="2" s="1"/>
  <c r="AA21" i="2" s="1"/>
  <c r="AA46" i="2" s="1"/>
  <c r="AD41" i="4" l="1"/>
  <c r="AD43" i="4" s="1"/>
  <c r="AB8" i="2"/>
  <c r="AB15" i="2" s="1"/>
  <c r="AB21" i="2" s="1"/>
  <c r="AB46" i="2" s="1"/>
  <c r="AE41" i="4" l="1"/>
  <c r="AE43" i="4" s="1"/>
  <c r="AC8" i="2"/>
  <c r="AC15" i="2" s="1"/>
  <c r="AC21" i="2" s="1"/>
  <c r="AC46" i="2" s="1"/>
  <c r="AD8" i="2" l="1"/>
  <c r="AG41" i="4"/>
  <c r="AG43" i="4" s="1"/>
  <c r="E20" i="12"/>
  <c r="E25" i="12" s="1"/>
  <c r="E28" i="12" s="1"/>
  <c r="AF8" i="2" l="1"/>
  <c r="AF15" i="2" s="1"/>
  <c r="AF21" i="2" s="1"/>
  <c r="AF46" i="2" s="1"/>
  <c r="AH41" i="4"/>
  <c r="AH43" i="4" s="1"/>
  <c r="AD15" i="2"/>
  <c r="AD21" i="2" s="1"/>
  <c r="AD46" i="2" s="1"/>
  <c r="I7" i="1"/>
  <c r="I14" i="1" s="1"/>
  <c r="I20" i="1" s="1"/>
  <c r="AG8" i="2" l="1"/>
  <c r="AG15" i="2" s="1"/>
  <c r="AG21" i="2" s="1"/>
  <c r="AG46" i="2" s="1"/>
  <c r="AI41" i="4"/>
  <c r="AI43" i="4" s="1"/>
  <c r="AJ41" i="4" l="1"/>
  <c r="AJ43" i="4" s="1"/>
  <c r="AH8" i="2"/>
  <c r="AH15" i="2" s="1"/>
  <c r="AH21" i="2" s="1"/>
  <c r="AH46" i="2" s="1"/>
  <c r="AI8" i="2" l="1"/>
  <c r="AI15" i="2" s="1"/>
  <c r="AI21" i="2" s="1"/>
  <c r="AI46" i="2" s="1"/>
  <c r="AK41" i="4"/>
  <c r="AK43" i="4" s="1"/>
  <c r="AL41" i="4" l="1"/>
  <c r="AL43" i="4" s="1"/>
  <c r="AJ8" i="2"/>
  <c r="AJ15" i="2" s="1"/>
  <c r="AJ21" i="2" s="1"/>
  <c r="AJ46" i="2" s="1"/>
  <c r="AK8" i="2" l="1"/>
  <c r="AK15" i="2" s="1"/>
  <c r="AK21" i="2" s="1"/>
  <c r="AK46" i="2" s="1"/>
  <c r="AM41" i="4"/>
  <c r="AM43" i="4" s="1"/>
  <c r="AN41" i="4" l="1"/>
  <c r="AN43" i="4" s="1"/>
  <c r="AL8" i="2"/>
  <c r="AL15" i="2" s="1"/>
  <c r="AL21" i="2" s="1"/>
  <c r="AL46" i="2" s="1"/>
  <c r="AO41" i="4" l="1"/>
  <c r="AO43" i="4" s="1"/>
  <c r="AM8" i="2"/>
  <c r="AM15" i="2" s="1"/>
  <c r="AM21" i="2" s="1"/>
  <c r="AM46" i="2" s="1"/>
  <c r="AP41" i="4" l="1"/>
  <c r="AP43" i="4" s="1"/>
  <c r="AN8" i="2"/>
  <c r="AN15" i="2" s="1"/>
  <c r="AN21" i="2" s="1"/>
  <c r="AN46" i="2" s="1"/>
  <c r="AO8" i="2" l="1"/>
  <c r="AO15" i="2" s="1"/>
  <c r="AO21" i="2" s="1"/>
  <c r="AO46" i="2" s="1"/>
  <c r="AQ41" i="4"/>
  <c r="AQ43" i="4" s="1"/>
  <c r="AR41" i="4" l="1"/>
  <c r="AR43" i="4" s="1"/>
  <c r="AP8" i="2"/>
  <c r="AP15" i="2" s="1"/>
  <c r="AP21" i="2" s="1"/>
  <c r="AP46" i="2" s="1"/>
  <c r="AQ8" i="2" l="1"/>
  <c r="G20" i="12"/>
  <c r="G25" i="12" s="1"/>
  <c r="F28" i="12" s="1"/>
  <c r="AT41" i="4"/>
  <c r="AT43" i="4" s="1"/>
  <c r="AU41" i="4" l="1"/>
  <c r="AU43" i="4" s="1"/>
  <c r="AS8" i="2"/>
  <c r="AS15" i="2" s="1"/>
  <c r="AS21" i="2" s="1"/>
  <c r="AS46" i="2" s="1"/>
  <c r="AQ15" i="2"/>
  <c r="AQ21" i="2" s="1"/>
  <c r="AQ46" i="2" s="1"/>
  <c r="L7" i="1"/>
  <c r="L14" i="1" s="1"/>
  <c r="L20" i="1" s="1"/>
  <c r="AT8" i="2" l="1"/>
  <c r="AT15" i="2" s="1"/>
  <c r="AT21" i="2" s="1"/>
  <c r="AT46" i="2" s="1"/>
  <c r="AV41" i="4"/>
  <c r="AV43" i="4" s="1"/>
  <c r="AW41" i="4" l="1"/>
  <c r="AW43" i="4" s="1"/>
  <c r="AU8" i="2"/>
  <c r="AU15" i="2" s="1"/>
  <c r="AU21" i="2" s="1"/>
  <c r="AU46" i="2" s="1"/>
  <c r="AX41" i="4" l="1"/>
  <c r="AX43" i="4" s="1"/>
  <c r="AV8" i="2"/>
  <c r="AV15" i="2" s="1"/>
  <c r="AV21" i="2" s="1"/>
  <c r="AV46" i="2" s="1"/>
  <c r="AY41" i="4" l="1"/>
  <c r="AY43" i="4" s="1"/>
  <c r="AW8" i="2"/>
  <c r="AW15" i="2" s="1"/>
  <c r="AW21" i="2" s="1"/>
  <c r="AW46" i="2" s="1"/>
  <c r="AZ41" i="4" l="1"/>
  <c r="AZ43" i="4" s="1"/>
  <c r="AX8" i="2"/>
  <c r="AX15" i="2" s="1"/>
  <c r="AX21" i="2" s="1"/>
  <c r="AX46" i="2" s="1"/>
  <c r="BA41" i="4" l="1"/>
  <c r="BA43" i="4" s="1"/>
  <c r="AY8" i="2"/>
  <c r="AY15" i="2" s="1"/>
  <c r="AY21" i="2" s="1"/>
  <c r="AY46" i="2" s="1"/>
  <c r="BB41" i="4" l="1"/>
  <c r="BB43" i="4" s="1"/>
  <c r="AZ8" i="2"/>
  <c r="AZ15" i="2" s="1"/>
  <c r="AZ21" i="2" s="1"/>
  <c r="AZ46" i="2" s="1"/>
  <c r="BC41" i="4" l="1"/>
  <c r="BC43" i="4" s="1"/>
  <c r="BA8" i="2"/>
  <c r="BA15" i="2" s="1"/>
  <c r="BA21" i="2" s="1"/>
  <c r="BA46" i="2" s="1"/>
  <c r="BB8" i="2" l="1"/>
  <c r="BB15" i="2" s="1"/>
  <c r="BB21" i="2" s="1"/>
  <c r="BB46" i="2" s="1"/>
  <c r="BD41" i="4"/>
  <c r="BD43" i="4" s="1"/>
  <c r="BE41" i="4" l="1"/>
  <c r="BE43" i="4" s="1"/>
  <c r="BC8" i="2"/>
  <c r="BC15" i="2" s="1"/>
  <c r="BC21" i="2" s="1"/>
  <c r="BC46" i="2" s="1"/>
  <c r="BD8" i="2" l="1"/>
  <c r="I20" i="12"/>
  <c r="I25" i="12" s="1"/>
  <c r="G28" i="12" s="1"/>
  <c r="BG41" i="4"/>
  <c r="BG43" i="4" s="1"/>
  <c r="BH41" i="4" l="1"/>
  <c r="BH43" i="4" s="1"/>
  <c r="BF8" i="2"/>
  <c r="BF15" i="2" s="1"/>
  <c r="BF21" i="2" s="1"/>
  <c r="BF46" i="2" s="1"/>
  <c r="O7" i="1"/>
  <c r="O14" i="1" s="1"/>
  <c r="O20" i="1" s="1"/>
  <c r="BD15" i="2"/>
  <c r="BD21" i="2" s="1"/>
  <c r="BD46" i="2" s="1"/>
  <c r="BI41" i="4" l="1"/>
  <c r="BI43" i="4" s="1"/>
  <c r="BG8" i="2"/>
  <c r="BG15" i="2" s="1"/>
  <c r="BG21" i="2" s="1"/>
  <c r="BG46" i="2" s="1"/>
  <c r="BJ41" i="4" l="1"/>
  <c r="BJ43" i="4" s="1"/>
  <c r="BH8" i="2"/>
  <c r="BH15" i="2" s="1"/>
  <c r="BH21" i="2" s="1"/>
  <c r="BH46" i="2" s="1"/>
  <c r="BK41" i="4" l="1"/>
  <c r="BK43" i="4" s="1"/>
  <c r="BI8" i="2"/>
  <c r="BI15" i="2" s="1"/>
  <c r="BI21" i="2" s="1"/>
  <c r="BI46" i="2" s="1"/>
  <c r="BL41" i="4" l="1"/>
  <c r="BL43" i="4" s="1"/>
  <c r="BJ8" i="2"/>
  <c r="BJ15" i="2" s="1"/>
  <c r="BJ21" i="2" s="1"/>
  <c r="BJ46" i="2" s="1"/>
  <c r="BM41" i="4" l="1"/>
  <c r="BM43" i="4" s="1"/>
  <c r="BK8" i="2"/>
  <c r="BK15" i="2" s="1"/>
  <c r="BK21" i="2" s="1"/>
  <c r="BK46" i="2" s="1"/>
  <c r="BN41" i="4" l="1"/>
  <c r="BN43" i="4" s="1"/>
  <c r="BL8" i="2"/>
  <c r="BL15" i="2" s="1"/>
  <c r="BL21" i="2" s="1"/>
  <c r="BL46" i="2" s="1"/>
  <c r="BM8" i="2" l="1"/>
  <c r="BM15" i="2" s="1"/>
  <c r="BM21" i="2" s="1"/>
  <c r="BM46" i="2" s="1"/>
  <c r="BO41" i="4"/>
  <c r="BO43" i="4" s="1"/>
  <c r="BP41" i="4" l="1"/>
  <c r="BP43" i="4" s="1"/>
  <c r="BN8" i="2"/>
  <c r="BN15" i="2" s="1"/>
  <c r="BN21" i="2" s="1"/>
  <c r="BN46" i="2" s="1"/>
  <c r="BQ41" i="4" l="1"/>
  <c r="BQ43" i="4" s="1"/>
  <c r="BO8" i="2"/>
  <c r="BO15" i="2" s="1"/>
  <c r="BO21" i="2" s="1"/>
  <c r="BO46" i="2" s="1"/>
  <c r="BR41" i="4" l="1"/>
  <c r="BR43" i="4" s="1"/>
  <c r="BP8" i="2"/>
  <c r="BP15" i="2" s="1"/>
  <c r="BP21" i="2" s="1"/>
  <c r="BP46" i="2" s="1"/>
  <c r="BQ8" i="2" l="1"/>
  <c r="K20" i="12"/>
  <c r="K25" i="12" s="1"/>
  <c r="H28" i="12" s="1"/>
  <c r="BQ15" i="2" l="1"/>
  <c r="BQ21" i="2" s="1"/>
  <c r="BQ46" i="2" s="1"/>
  <c r="R7" i="1"/>
  <c r="R14" i="1" s="1"/>
  <c r="R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52" authorId="0" shapeId="0" xr:uid="{00000000-0006-0000-0500-000001000000}">
      <text>
        <r>
          <rPr>
            <sz val="11"/>
            <color rgb="FF000000"/>
            <rFont val="Calibri"/>
            <scheme val="minor"/>
          </rPr>
          <t>======
ID#AAAAccdpa8c
tc={3166F88A-A9FB-4581-BB25-176884844ED7}    (2022-07-03 19:31:04)
[Threaded comment]
Your version of Excel allows you to read this threaded comment; however, any edits to it will get removed if the file is opened in a newer version of Excel. Learn more: https://go.microsoft.com/fwlink/?linkid=870924
Comment:
    Account for start up time/brews before opening - formula in sales is assuming all brands are flowing and produced.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F00-000002000000}">
      <text>
        <r>
          <rPr>
            <sz val="11"/>
            <color rgb="FF000000"/>
            <rFont val="Calibri"/>
            <scheme val="minor"/>
          </rPr>
          <t>======
ID#AAAAbwXGueM
Comment    (2022-06-04 23:25:18)
2022 numbers</t>
        </r>
      </text>
    </comment>
    <comment ref="G41" authorId="0" shapeId="0" xr:uid="{00000000-0006-0000-0F00-000003000000}">
      <text>
        <r>
          <rPr>
            <sz val="11"/>
            <color rgb="FF000000"/>
            <rFont val="Calibri"/>
            <scheme val="minor"/>
          </rPr>
          <t>======
ID#AAAAbwXGueQ
Comment    (2022-06-04 23:25:18)
minus 3.5% for package and pour loss</t>
        </r>
      </text>
    </comment>
    <comment ref="P79" authorId="0" shapeId="0" xr:uid="{00000000-0006-0000-0F00-000001000000}">
      <text>
        <r>
          <rPr>
            <sz val="11"/>
            <color rgb="FF000000"/>
            <rFont val="Calibri"/>
            <scheme val="minor"/>
          </rPr>
          <t>======
ID#AAAAbwXGueU
tc={E74AFE85-BCC1-4C9B-A4B0-C485E6618798}    (2022-06-28 03:19:41)
[Threaded comment]
Your version of Excel allows you to read this threaded comment; however, any edits to it will get removed if the file is opened in a newer version of Excel. Learn more: https://go.microsoft.com/fwlink/?linkid=870924
Comment:
    changed innovation from 75% draft to 25% Draft</t>
        </r>
      </text>
    </comment>
  </commentList>
</comments>
</file>

<file path=xl/sharedStrings.xml><?xml version="1.0" encoding="utf-8"?>
<sst xmlns="http://schemas.openxmlformats.org/spreadsheetml/2006/main" count="1228" uniqueCount="651">
  <si>
    <t>STATEMENT OF OPERATIONS</t>
  </si>
  <si>
    <t>Projected Financial Statements</t>
  </si>
  <si>
    <t>Year 1</t>
  </si>
  <si>
    <t>Year 2</t>
  </si>
  <si>
    <t>Year 3</t>
  </si>
  <si>
    <t>Year 4</t>
  </si>
  <si>
    <t>Year 5</t>
  </si>
  <si>
    <t>ASSETS</t>
  </si>
  <si>
    <t>Current assets</t>
  </si>
  <si>
    <t>Cash and cash equivalents</t>
  </si>
  <si>
    <t>Accounts receivable - net</t>
  </si>
  <si>
    <t>Inventory</t>
  </si>
  <si>
    <t>Prepaid expenses and other assets</t>
  </si>
  <si>
    <t>Total current assets</t>
  </si>
  <si>
    <t>Fixed Assets - net</t>
  </si>
  <si>
    <t>Other assets</t>
  </si>
  <si>
    <t>TOTAL ASSETS</t>
  </si>
  <si>
    <t>LIABILITIES AND NET ASSETS</t>
  </si>
  <si>
    <t>Current liabilities</t>
  </si>
  <si>
    <t>Accounts Payable</t>
  </si>
  <si>
    <t>Accrued expenses</t>
  </si>
  <si>
    <t>Keg deposits</t>
  </si>
  <si>
    <t>Sales tax payable</t>
  </si>
  <si>
    <t>Excise tax payable</t>
  </si>
  <si>
    <t>Total current liabilities</t>
  </si>
  <si>
    <t>Long-term debt</t>
  </si>
  <si>
    <t>Loan</t>
  </si>
  <si>
    <t>Total long-term debt</t>
  </si>
  <si>
    <t>Total Liabilities</t>
  </si>
  <si>
    <t>Shareholders's equity</t>
  </si>
  <si>
    <t>Stock</t>
  </si>
  <si>
    <t>Additional paid-in-capital</t>
  </si>
  <si>
    <t>Accumulated earnings/(deficit)</t>
  </si>
  <si>
    <t>TOTAL LIABILITIES AND SHAREHOLDERS' EQUITY</t>
  </si>
  <si>
    <t>REVENUE</t>
  </si>
  <si>
    <t>Beer sales</t>
  </si>
  <si>
    <t xml:space="preserve">Tasting room beer sales </t>
  </si>
  <si>
    <t>Merchandise/other</t>
  </si>
  <si>
    <t>Total revenue</t>
  </si>
  <si>
    <t>COST OF GOODS SOLD</t>
  </si>
  <si>
    <t xml:space="preserve">Total cost of goods sold </t>
  </si>
  <si>
    <t>GROSS PROFIT</t>
  </si>
  <si>
    <t>OPERATING EXPENSES</t>
  </si>
  <si>
    <t>Wages and related</t>
  </si>
  <si>
    <t>Wages (GS&amp;A)</t>
  </si>
  <si>
    <t>Operating expenses</t>
  </si>
  <si>
    <t>Advertising</t>
  </si>
  <si>
    <t>Bank charges (incl merch fees)</t>
  </si>
  <si>
    <t>Depreciation</t>
  </si>
  <si>
    <t>Dues, subs, and pubs</t>
  </si>
  <si>
    <t xml:space="preserve">Equipment expense </t>
  </si>
  <si>
    <t>Insurance (excludes employee benefits)</t>
  </si>
  <si>
    <t>Licenses &amp; permits</t>
  </si>
  <si>
    <t>Meals and entertainment</t>
  </si>
  <si>
    <t>Miscellaneous</t>
  </si>
  <si>
    <t>Occupancy (rent, util, prop tax)</t>
  </si>
  <si>
    <t>Postage and delivery</t>
  </si>
  <si>
    <t>Printing</t>
  </si>
  <si>
    <t>Professional services</t>
  </si>
  <si>
    <t>Accounting</t>
  </si>
  <si>
    <t>Legal</t>
  </si>
  <si>
    <t>Other consultants</t>
  </si>
  <si>
    <t>Repair and maintenance</t>
  </si>
  <si>
    <t>Sales &amp; distribution (self-distributed)</t>
  </si>
  <si>
    <t>Supplies</t>
  </si>
  <si>
    <t>Telecommunications</t>
  </si>
  <si>
    <t>Transportation (includes mileage)</t>
  </si>
  <si>
    <t>Total operating expense</t>
  </si>
  <si>
    <t>OPERATING INCOME/(LOSS)</t>
  </si>
  <si>
    <t>OTHER INCOME/(EXPENSE)</t>
  </si>
  <si>
    <t>Interest expense</t>
  </si>
  <si>
    <t>Total other income/(expense)</t>
  </si>
  <si>
    <t>NET INCOME/(LOSS) BEFORE TAXES</t>
  </si>
  <si>
    <t>INCOME TAXES</t>
  </si>
  <si>
    <t>NET INCOME/(LOSS)</t>
  </si>
  <si>
    <t>STATEMENT OF CASH FLOWS</t>
  </si>
  <si>
    <t>CASH FLOWS FROM OPERATING ACTIVITIES:</t>
  </si>
  <si>
    <t>Net income/(loss)</t>
  </si>
  <si>
    <t>Adjustments to reconcile net income to</t>
  </si>
  <si>
    <t xml:space="preserve"> net cash used for operating activities:</t>
  </si>
  <si>
    <t>Changes in assets and liabilities:</t>
  </si>
  <si>
    <t>Accounts payable</t>
  </si>
  <si>
    <t>Net cash provided by operating activities</t>
  </si>
  <si>
    <t>CASH FLOWS FROM/(USED FOR) INVESTING ACTIVITIES:</t>
  </si>
  <si>
    <t>Capital expenditures</t>
  </si>
  <si>
    <t>Net cash from/(used for) investing activities</t>
  </si>
  <si>
    <t>CASH FLOWS FROM/(USED FOR) FINANCING ACTIVITIES:</t>
  </si>
  <si>
    <t>Payments on long-term debt</t>
  </si>
  <si>
    <t>Proceeds from long-term debt</t>
  </si>
  <si>
    <t>Equity</t>
  </si>
  <si>
    <t>Cash Dividends Paid</t>
  </si>
  <si>
    <t>Net cashfrom/(used for) financing activities</t>
  </si>
  <si>
    <t>NET INCREASE (DECREASE) IN CASH AND CASH EQUIVALENTS</t>
  </si>
  <si>
    <t>CASH AND CASH EQUIVALENTS, Beginning</t>
  </si>
  <si>
    <t>CASH AND CASH EQUIVALENTS, End of year</t>
  </si>
  <si>
    <t>Not Audited</t>
  </si>
  <si>
    <t>ROI</t>
  </si>
  <si>
    <t>STATEMENT OF FINANCIAL POSITION</t>
  </si>
  <si>
    <t>YEAR 1</t>
  </si>
  <si>
    <t>YEAR 2</t>
  </si>
  <si>
    <t>YEAR 3</t>
  </si>
  <si>
    <t>YEAR 4</t>
  </si>
  <si>
    <t>YEAR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</si>
  <si>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</si>
  <si>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</si>
  <si>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</si>
  <si>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</si>
  <si>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</si>
  <si>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</si>
  <si>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</si>
  <si>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</si>
  <si>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</si>
  <si>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</si>
  <si>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</si>
  <si>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</si>
  <si>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Interim financial statements-Accrual basis</t>
  </si>
  <si>
    <t>sub-total</t>
  </si>
  <si>
    <t>TOTAL</t>
  </si>
  <si>
    <t>Whole Sale Beer sales</t>
  </si>
  <si>
    <t>Phone/Internet/TV</t>
  </si>
  <si>
    <t>Cash dividends paid</t>
  </si>
  <si>
    <t>CASH AND CASH EQUIVALENTS, End of month</t>
  </si>
  <si>
    <t>Assumptions</t>
  </si>
  <si>
    <t xml:space="preserve">The following are assumptions used in the preparation of the brewery </t>
  </si>
  <si>
    <t>projections.  Blue text on this page can be modified so that the user can make changes</t>
  </si>
  <si>
    <t xml:space="preserve">as he/she desires. </t>
  </si>
  <si>
    <t>Investment</t>
  </si>
  <si>
    <t>Founder investment</t>
  </si>
  <si>
    <t>Amount</t>
  </si>
  <si>
    <t>Month of investment</t>
  </si>
  <si>
    <t>Amount - Equipment</t>
  </si>
  <si>
    <t>Angel/VC</t>
  </si>
  <si>
    <t>Friends &amp; family raise</t>
  </si>
  <si>
    <t>Loan(s)</t>
  </si>
  <si>
    <t xml:space="preserve">Amount </t>
  </si>
  <si>
    <t>Term in mos</t>
  </si>
  <si>
    <t>Interest rate</t>
  </si>
  <si>
    <t>Private placement - legal</t>
  </si>
  <si>
    <t>Yes</t>
  </si>
  <si>
    <t>Use attorney</t>
  </si>
  <si>
    <t>Cost</t>
  </si>
  <si>
    <t>Month incurred</t>
  </si>
  <si>
    <t xml:space="preserve">EXCISE TAX: </t>
  </si>
  <si>
    <t>Federal (TTB) ($3.5 on first 60,000 bbls for brewer who produces less than 2 million barrels. $16/bbl after that)</t>
  </si>
  <si>
    <t xml:space="preserve">Accounts payable payment </t>
  </si>
  <si>
    <t>Current month</t>
  </si>
  <si>
    <t>1st month following</t>
  </si>
  <si>
    <t>Monthly expenses</t>
  </si>
  <si>
    <t>Increases</t>
  </si>
  <si>
    <t>StartUp Fees &amp; Expenses</t>
  </si>
  <si>
    <t>YR2</t>
  </si>
  <si>
    <t>YR3</t>
  </si>
  <si>
    <t>YR4</t>
  </si>
  <si>
    <t>YR5</t>
  </si>
  <si>
    <t>Permits/Licenses</t>
  </si>
  <si>
    <t>Dues, subscriptions</t>
  </si>
  <si>
    <t>Insurance (excl employee benes)</t>
  </si>
  <si>
    <t>Licenses &amp; permits-annually</t>
  </si>
  <si>
    <t>Miscellaneous (Website, gfx work)</t>
  </si>
  <si>
    <t>Rent (incl. NNN)</t>
  </si>
  <si>
    <t>Month rent begins</t>
  </si>
  <si>
    <t>Electric Utility</t>
  </si>
  <si>
    <t xml:space="preserve"> Water</t>
  </si>
  <si>
    <t>Natural Gas</t>
  </si>
  <si>
    <t>Furniture</t>
  </si>
  <si>
    <t xml:space="preserve">   Trash</t>
  </si>
  <si>
    <t>Accounting/Bank Fees</t>
  </si>
  <si>
    <t xml:space="preserve">Legal </t>
  </si>
  <si>
    <t>Sales &amp; distribution - % of whsle sales (self-distributed)</t>
  </si>
  <si>
    <t>Supplies (misc.)</t>
  </si>
  <si>
    <t>Transportation/Gas</t>
  </si>
  <si>
    <t>Janitorial</t>
  </si>
  <si>
    <t xml:space="preserve">O2 and CO2 service </t>
  </si>
  <si>
    <t>Production</t>
  </si>
  <si>
    <t xml:space="preserve">Brewed (bbls) </t>
  </si>
  <si>
    <t>Core - Lager</t>
  </si>
  <si>
    <t>Core - Blonde</t>
  </si>
  <si>
    <t>Core - IPA</t>
  </si>
  <si>
    <t>Core - NEIPA</t>
  </si>
  <si>
    <t>Core - Seltzer</t>
  </si>
  <si>
    <t>Rotating - Dark #1</t>
  </si>
  <si>
    <t>Rotating - Dark #2</t>
  </si>
  <si>
    <t>Rotating - Dark #3</t>
  </si>
  <si>
    <t>Rotating - Dark #4</t>
  </si>
  <si>
    <t>Rotating - Fruit/Sour #1</t>
  </si>
  <si>
    <t>Rotating - Fruit/Sour #2</t>
  </si>
  <si>
    <t>Rotating - Fruit/Sour #3</t>
  </si>
  <si>
    <t>Rotating - Fruit/Sour #4</t>
  </si>
  <si>
    <t>Rotating - Fruit/Sour #5</t>
  </si>
  <si>
    <t>Rotating - NEIPA #1</t>
  </si>
  <si>
    <t>Rotating - NEIPA #2</t>
  </si>
  <si>
    <t>Rotating - NEIPA #3</t>
  </si>
  <si>
    <t>Rotating - NEIPA #4</t>
  </si>
  <si>
    <t>Rotating - NEIPA #5</t>
  </si>
  <si>
    <t>Rotating - NEIPA #6</t>
  </si>
  <si>
    <t>Rotating - NEIPA #7</t>
  </si>
  <si>
    <t>Rotating - NEIPA #8</t>
  </si>
  <si>
    <t>Rotating - Double IPA #1</t>
  </si>
  <si>
    <t>Rotating - Double IPA #2</t>
  </si>
  <si>
    <t>Rotating - Double IPA #3</t>
  </si>
  <si>
    <t>Rotating - Double IPA #4</t>
  </si>
  <si>
    <t>Seasonal - Lager #1</t>
  </si>
  <si>
    <t>Seasonal - Lager #2</t>
  </si>
  <si>
    <t>Seasonal - Lager #3</t>
  </si>
  <si>
    <t>Seasonal - Lager #4</t>
  </si>
  <si>
    <t>Seasonal - Stout #1</t>
  </si>
  <si>
    <t>Seasonal - Stout #2</t>
  </si>
  <si>
    <t>Limited - Innovation #1</t>
  </si>
  <si>
    <t>Limited - Innovation #2</t>
  </si>
  <si>
    <t>Limited - Barrel Aged #1</t>
  </si>
  <si>
    <t>Limited - Barrel Aged #2</t>
  </si>
  <si>
    <t>Packaging</t>
  </si>
  <si>
    <t>BBLs</t>
  </si>
  <si>
    <t>Bulk</t>
  </si>
  <si>
    <t>Beginning</t>
  </si>
  <si>
    <t>Produced</t>
  </si>
  <si>
    <t>Packaged (Out)</t>
  </si>
  <si>
    <t>On-hand</t>
  </si>
  <si>
    <t xml:space="preserve">16oz Case </t>
  </si>
  <si>
    <t>1/6 bbl</t>
  </si>
  <si>
    <t>1/2 bbl</t>
  </si>
  <si>
    <t>Total</t>
  </si>
  <si>
    <t>Inventory on-hand(units)</t>
  </si>
  <si>
    <t>16oz Case</t>
  </si>
  <si>
    <t>Packaged</t>
  </si>
  <si>
    <t>Sold-Tasting room</t>
  </si>
  <si>
    <t>Sold-wholesale</t>
  </si>
  <si>
    <t>Ending</t>
  </si>
  <si>
    <t>1/6 bbl (each)</t>
  </si>
  <si>
    <t>Transferred to tasting room</t>
  </si>
  <si>
    <t>1/2 bbl (each)</t>
  </si>
  <si>
    <t>Tasting room inventory</t>
  </si>
  <si>
    <t>Draft (bbls)</t>
  </si>
  <si>
    <t>Transferred from on-hand inventory</t>
  </si>
  <si>
    <t>Sold-tasting room</t>
  </si>
  <si>
    <t>Excise taxes $</t>
  </si>
  <si>
    <t>Federal</t>
  </si>
  <si>
    <t>State</t>
  </si>
  <si>
    <t>Total excise taxes $</t>
  </si>
  <si>
    <t xml:space="preserve">Total ending inventory </t>
  </si>
  <si>
    <t>Total bbls</t>
  </si>
  <si>
    <t>Core $</t>
  </si>
  <si>
    <t>Total $</t>
  </si>
  <si>
    <t>Format/product mix</t>
  </si>
  <si>
    <t>%</t>
  </si>
  <si>
    <t>COGS</t>
  </si>
  <si>
    <t xml:space="preserve"> (labor is not included here, it is added in on the SOO)</t>
  </si>
  <si>
    <t>AVERAGE COST/bbl CALCULATION</t>
  </si>
  <si>
    <t>Cost/bbl</t>
  </si>
  <si>
    <t>Approximate Ingredients Batch (Based on 10 BBL estimates with yield)</t>
  </si>
  <si>
    <t>Update to Pull from recipe Sheet</t>
  </si>
  <si>
    <t>Brand</t>
  </si>
  <si>
    <t>Cost/BBL(Brite)</t>
  </si>
  <si>
    <t>Capital purchases</t>
  </si>
  <si>
    <t xml:space="preserve">It is assumed that all assets are paid in cash or with credit card.  For financed purchases, </t>
  </si>
  <si>
    <t>in addition to below, go to "Assumptions" tab and enter financing detail under Loans.</t>
  </si>
  <si>
    <t>Purchase Information</t>
  </si>
  <si>
    <t>Mo # of Purchase</t>
  </si>
  <si>
    <t>Brief Description</t>
  </si>
  <si>
    <t>Vendor</t>
  </si>
  <si>
    <t>Date Approved</t>
  </si>
  <si>
    <t>Method</t>
  </si>
  <si>
    <t>Life in Yrs</t>
  </si>
  <si>
    <t>Monthly</t>
  </si>
  <si>
    <t>End</t>
  </si>
  <si>
    <t>Carbon Filter</t>
  </si>
  <si>
    <t>Brewery Hoses</t>
  </si>
  <si>
    <t>Utility Valves/Temp Probes/Wires</t>
  </si>
  <si>
    <t>Totals by Month</t>
  </si>
  <si>
    <t>YR1 Total</t>
  </si>
  <si>
    <t>YR2 Total</t>
  </si>
  <si>
    <t>YR3 Total</t>
  </si>
  <si>
    <t>YR4 Total</t>
  </si>
  <si>
    <t>YR5 Total</t>
  </si>
  <si>
    <t>Labor</t>
  </si>
  <si>
    <t>Rates</t>
  </si>
  <si>
    <t>Annual $</t>
  </si>
  <si>
    <t>Tax &amp; Benes</t>
  </si>
  <si>
    <t>Admin</t>
  </si>
  <si>
    <t>Tasting room</t>
  </si>
  <si>
    <t>Bartender</t>
  </si>
  <si>
    <t xml:space="preserve">TOTAL </t>
  </si>
  <si>
    <t>FTE's</t>
  </si>
  <si>
    <t>Income Statement</t>
  </si>
  <si>
    <t xml:space="preserve">                   Year 1</t>
  </si>
  <si>
    <t xml:space="preserve">                   Year 2</t>
  </si>
  <si>
    <t xml:space="preserve">                   Year 3</t>
  </si>
  <si>
    <t xml:space="preserve">                   Year 4</t>
  </si>
  <si>
    <t xml:space="preserve">                   Year 5</t>
  </si>
  <si>
    <t>$</t>
  </si>
  <si>
    <t>Cost of Sales</t>
  </si>
  <si>
    <t>Gross Profit</t>
  </si>
  <si>
    <t>EBITDA</t>
  </si>
  <si>
    <t>Net Income</t>
  </si>
  <si>
    <t>Cash Position</t>
  </si>
  <si>
    <t>Depreciation schedule</t>
  </si>
  <si>
    <t>Description</t>
  </si>
  <si>
    <t>Begin</t>
  </si>
  <si>
    <t>TOTALS</t>
  </si>
  <si>
    <t>Loan Amortization Schedule</t>
  </si>
  <si>
    <t>Loan 1</t>
  </si>
  <si>
    <t>Loan 2</t>
  </si>
  <si>
    <t>Loan Amount</t>
  </si>
  <si>
    <t>Loan Rate</t>
  </si>
  <si>
    <t>No. pmts</t>
  </si>
  <si>
    <t>Principal Balance</t>
  </si>
  <si>
    <t>adj month</t>
  </si>
  <si>
    <t>Payment No.</t>
  </si>
  <si>
    <t>Principal</t>
  </si>
  <si>
    <t>Interest</t>
  </si>
  <si>
    <t>Before Pmt.</t>
  </si>
  <si>
    <t>After Pmt.</t>
  </si>
  <si>
    <t>Month</t>
  </si>
  <si>
    <t>principal</t>
  </si>
  <si>
    <t>interest</t>
  </si>
  <si>
    <t>No_Mos</t>
  </si>
  <si>
    <t>Formats</t>
  </si>
  <si>
    <t>1_bbl_equiv</t>
  </si>
  <si>
    <t>Yes_No</t>
  </si>
  <si>
    <t>4 oz Pour</t>
  </si>
  <si>
    <t>10oz Pour</t>
  </si>
  <si>
    <t>No</t>
  </si>
  <si>
    <t>12oz Pour</t>
  </si>
  <si>
    <t>14oz Pour</t>
  </si>
  <si>
    <t>16oz Pour</t>
  </si>
  <si>
    <t>16oz Case Cans</t>
  </si>
  <si>
    <t>gal</t>
  </si>
  <si>
    <t>oz</t>
  </si>
  <si>
    <t>ml</t>
  </si>
  <si>
    <t>Draft/Can Numbers</t>
  </si>
  <si>
    <t>COGS per brite BBL</t>
  </si>
  <si>
    <t>COGS per oz</t>
  </si>
  <si>
    <t>Draft Pour Size (oz)</t>
  </si>
  <si>
    <t>COGS per Pour</t>
  </si>
  <si>
    <t>Draft PTC</t>
  </si>
  <si>
    <t>Draft Gross Profit</t>
  </si>
  <si>
    <t>Draft Mark Up</t>
  </si>
  <si>
    <t>Draft Gross Margin Percent</t>
  </si>
  <si>
    <t>Can 4pk PTC</t>
  </si>
  <si>
    <t>4 Packs Available</t>
  </si>
  <si>
    <t>Est. Days available</t>
  </si>
  <si>
    <t>4pks Per Day</t>
  </si>
  <si>
    <t>Ounces</t>
  </si>
  <si>
    <t>Brewhouse BBL/Batch Size</t>
  </si>
  <si>
    <t>Update Batch #s Here</t>
  </si>
  <si>
    <t>var.</t>
  </si>
  <si>
    <t>Est. Batch Yield %</t>
  </si>
  <si>
    <t>Total Batch Cost</t>
  </si>
  <si>
    <t>Est. Batches(yr)</t>
  </si>
  <si>
    <t>Total BBLs Brewed</t>
  </si>
  <si>
    <t>Total BBLs Yield</t>
  </si>
  <si>
    <t>BBLs to Sell</t>
  </si>
  <si>
    <t>Draft %</t>
  </si>
  <si>
    <t>Can %</t>
  </si>
  <si>
    <t>BBLs for Draft</t>
  </si>
  <si>
    <t>Draft Per Cycle</t>
  </si>
  <si>
    <t># Pours Available</t>
  </si>
  <si>
    <t>Draft Revenue</t>
  </si>
  <si>
    <t>BBLs for Cans</t>
  </si>
  <si>
    <t># Cases (4pk-16oz)</t>
  </si>
  <si>
    <t xml:space="preserve">Canning COGS </t>
  </si>
  <si>
    <t>4 Pack Gross Profit</t>
  </si>
  <si>
    <t>Total Oz Draft Vol</t>
  </si>
  <si>
    <t>Est. Days on tap</t>
  </si>
  <si>
    <t>Total daily # Taster</t>
  </si>
  <si>
    <t>total Daily oz taster</t>
  </si>
  <si>
    <t>daily # half pour</t>
  </si>
  <si>
    <t>total daily half pour oz</t>
  </si>
  <si>
    <t>daily full pour</t>
  </si>
  <si>
    <t>Weekly</t>
  </si>
  <si>
    <t>Tank Residency</t>
  </si>
  <si>
    <t>Days</t>
  </si>
  <si>
    <t># Batches</t>
  </si>
  <si>
    <t>Total FV Tank Days</t>
  </si>
  <si>
    <t>Brand Mix %</t>
  </si>
  <si>
    <t>Est Days on Draft</t>
  </si>
  <si>
    <t>Pours to sell per batch</t>
  </si>
  <si>
    <t>Pours Per Day</t>
  </si>
  <si>
    <t>Totals</t>
  </si>
  <si>
    <t>UNIs Needed w/20%</t>
  </si>
  <si>
    <r>
      <rPr>
        <b/>
        <sz val="10"/>
        <color rgb="FF3F3F3F"/>
        <rFont val="Calibri"/>
      </rPr>
      <t xml:space="preserve">Capactiy </t>
    </r>
    <r>
      <rPr>
        <b/>
        <i/>
        <sz val="10"/>
        <color rgb="FF3F3F3F"/>
        <rFont val="Calibri"/>
      </rPr>
      <t>#</t>
    </r>
    <r>
      <rPr>
        <b/>
        <sz val="10"/>
        <color rgb="FF3F3F3F"/>
        <rFont val="Calibri"/>
      </rPr>
      <t xml:space="preserve"> UNI Tanks</t>
    </r>
  </si>
  <si>
    <t>Capacity Days</t>
  </si>
  <si>
    <t>Total BBLs Possible</t>
  </si>
  <si>
    <t># Brews Per Week</t>
  </si>
  <si>
    <t>Unit Profitability Assumptions</t>
  </si>
  <si>
    <t>Packaging Materials</t>
  </si>
  <si>
    <t>C040612L</t>
  </si>
  <si>
    <t>C040612P</t>
  </si>
  <si>
    <t>C060416L</t>
  </si>
  <si>
    <t>C060416P</t>
  </si>
  <si>
    <t>BSG Pricing</t>
  </si>
  <si>
    <t>Berlin</t>
  </si>
  <si>
    <t>Can Works</t>
  </si>
  <si>
    <t>CanWorks</t>
  </si>
  <si>
    <t>Can, each</t>
  </si>
  <si>
    <t>Cases to Produce</t>
  </si>
  <si>
    <t>wont hit MOQ for FLT</t>
  </si>
  <si>
    <t>12oz Can Blank - Pallet</t>
  </si>
  <si>
    <t>End, each</t>
  </si>
  <si>
    <t>Supplier(Pick)</t>
  </si>
  <si>
    <t>12oz Can Blank - FTL</t>
  </si>
  <si>
    <t>Label, each</t>
  </si>
  <si>
    <t>Pick Size/Format</t>
  </si>
  <si>
    <t>12oz Can Printed - FTL</t>
  </si>
  <si>
    <t>Plus Setup Fees</t>
  </si>
  <si>
    <t>PakTech, each</t>
  </si>
  <si>
    <t>Total Can Cost</t>
  </si>
  <si>
    <t>16oz Can Blank - Pallet</t>
  </si>
  <si>
    <t>Tray, each</t>
  </si>
  <si>
    <t>16oz Can Blank - FTL</t>
  </si>
  <si>
    <t>Packaging cost / case</t>
  </si>
  <si>
    <t>16oz Can Printed - FTL</t>
  </si>
  <si>
    <t>Lids - SuperEnds</t>
  </si>
  <si>
    <t>silver</t>
  </si>
  <si>
    <t>Kegging Fees &amp; Materials</t>
  </si>
  <si>
    <t>K155</t>
  </si>
  <si>
    <t>K052</t>
  </si>
  <si>
    <t>6pk - Paktech</t>
  </si>
  <si>
    <t>Keg Fee (rental?)</t>
  </si>
  <si>
    <t>4pk - Paktech</t>
  </si>
  <si>
    <t>Cap</t>
  </si>
  <si>
    <t>Collar</t>
  </si>
  <si>
    <t>Label</t>
  </si>
  <si>
    <t>x</t>
  </si>
  <si>
    <t>Packaging costs / kegs</t>
  </si>
  <si>
    <t>Tray</t>
  </si>
  <si>
    <t>$ Labor &amp; overhead / bbl</t>
  </si>
  <si>
    <t>2023 Budget COGS</t>
  </si>
  <si>
    <t>Less: Material costs</t>
  </si>
  <si>
    <t>Operating Hours</t>
  </si>
  <si>
    <t>Labor &amp; overhead</t>
  </si>
  <si>
    <t>Open</t>
  </si>
  <si>
    <t>Close</t>
  </si>
  <si>
    <t>Total Hours</t>
  </si>
  <si>
    <t>Customer %</t>
  </si>
  <si>
    <t>Daily Pours</t>
  </si>
  <si>
    <t>Pours Per Hour</t>
  </si>
  <si>
    <t>Daily 4pks</t>
  </si>
  <si>
    <t>2023 Budget Volume (bbls)</t>
  </si>
  <si>
    <t>Mon</t>
  </si>
  <si>
    <t>$Labor &amp; overhead / bbl</t>
  </si>
  <si>
    <t>Tue</t>
  </si>
  <si>
    <t>Wed</t>
  </si>
  <si>
    <t>Packaging loss</t>
  </si>
  <si>
    <t>Thu</t>
  </si>
  <si>
    <t>Fri</t>
  </si>
  <si>
    <t>Excise taxes</t>
  </si>
  <si>
    <t>Sat</t>
  </si>
  <si>
    <t>TTB $ / bbl</t>
  </si>
  <si>
    <t>Sun</t>
  </si>
  <si>
    <t>CO $ / gallon</t>
  </si>
  <si>
    <t xml:space="preserve"> / C040612</t>
  </si>
  <si>
    <t>WEEKLY</t>
  </si>
  <si>
    <t xml:space="preserve"> / C060416</t>
  </si>
  <si>
    <t>Tier Margins</t>
  </si>
  <si>
    <t>Supplier</t>
  </si>
  <si>
    <t>Wholesaler</t>
  </si>
  <si>
    <t>Retailer</t>
  </si>
  <si>
    <t>Draft</t>
  </si>
  <si>
    <t>Brewer/Founder</t>
  </si>
  <si>
    <t>Bank charges/CC Fee (% of rev)</t>
  </si>
  <si>
    <t>Draft/BBL</t>
  </si>
  <si>
    <t>Central Brewing Company</t>
  </si>
  <si>
    <t>4.225% MO, 2.875% Johnson CO, 1.875% Warrensburg, 0.5% Special</t>
  </si>
  <si>
    <t>SALES TAX (Total):</t>
  </si>
  <si>
    <t>MO DOR</t>
  </si>
  <si>
    <t>State (MO) ($0.08/gallon) as long as under 10k bbls</t>
  </si>
  <si>
    <t>Brewery license beer only</t>
  </si>
  <si>
    <t>$5/bbl up to $250</t>
  </si>
  <si>
    <t>Retail liquor by the drink</t>
  </si>
  <si>
    <t>Additional licenses</t>
  </si>
  <si>
    <t>Sunday license $200 + Tasting license $25</t>
  </si>
  <si>
    <t>Engineer, Architect</t>
  </si>
  <si>
    <t>Annual Renewal</t>
  </si>
  <si>
    <t>Total seats</t>
  </si>
  <si>
    <t>Monday</t>
  </si>
  <si>
    <t>Tuesday</t>
  </si>
  <si>
    <t>Wednesday</t>
  </si>
  <si>
    <t>Thursday</t>
  </si>
  <si>
    <t>Friday</t>
  </si>
  <si>
    <t>Saturday</t>
  </si>
  <si>
    <t>Sunday</t>
  </si>
  <si>
    <t>Total drinks</t>
  </si>
  <si>
    <t>Drinks pp</t>
  </si>
  <si>
    <t>Seat turns</t>
  </si>
  <si>
    <t>Patrons</t>
  </si>
  <si>
    <t>% liquor</t>
  </si>
  <si>
    <t>Cocktails</t>
  </si>
  <si>
    <t>Beers</t>
  </si>
  <si>
    <t>Gray cells can be edited</t>
  </si>
  <si>
    <t>Seasonality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</si>
  <si>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</si>
  <si>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</si>
  <si>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</si>
  <si>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</si>
  <si>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</si>
  <si>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</si>
  <si>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</si>
  <si>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</si>
  <si>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</si>
  <si>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</si>
  <si>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</si>
  <si>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Weeks</t>
  </si>
  <si>
    <t>Factor</t>
  </si>
  <si>
    <t>Food pp ($)</t>
  </si>
  <si>
    <t>Food ($)</t>
  </si>
  <si>
    <t>Total Food</t>
  </si>
  <si>
    <t>Food Revenue</t>
  </si>
  <si>
    <t>Liquor Revenue</t>
  </si>
  <si>
    <t>Core 1 - Lager</t>
  </si>
  <si>
    <t>Seasonal #1</t>
  </si>
  <si>
    <t>Seasonal #2</t>
  </si>
  <si>
    <t>Special release</t>
  </si>
  <si>
    <t>size (oz)</t>
  </si>
  <si>
    <t>mix</t>
  </si>
  <si>
    <t>To go sales pp</t>
  </si>
  <si>
    <t>To go total (4pk)</t>
  </si>
  <si>
    <t>To go sales (4pk)</t>
  </si>
  <si>
    <t>To go (4pk x 16oz)</t>
  </si>
  <si>
    <t>To Go</t>
  </si>
  <si>
    <t>Tasting room Volume (bbls)</t>
  </si>
  <si>
    <t>Total Volume</t>
  </si>
  <si>
    <t>rev/bbl</t>
  </si>
  <si>
    <t>Can (16oz)</t>
  </si>
  <si>
    <t>Paktech (4pk)</t>
  </si>
  <si>
    <t>Labels</t>
  </si>
  <si>
    <t>Lid (202 10-state)</t>
  </si>
  <si>
    <t>Price</t>
  </si>
  <si>
    <t>Per Case</t>
  </si>
  <si>
    <t>per bbl</t>
  </si>
  <si>
    <t>Per 4pk</t>
  </si>
  <si>
    <t>Volume growth</t>
  </si>
  <si>
    <t>Price increase</t>
  </si>
  <si>
    <t>COGS growth</t>
  </si>
  <si>
    <t>Pkg/BBL</t>
  </si>
  <si>
    <t>Package Revenue</t>
  </si>
  <si>
    <t>Pricing (Yr 1)</t>
  </si>
  <si>
    <t>Beer Sales</t>
  </si>
  <si>
    <t>General Manager</t>
  </si>
  <si>
    <t>Kitchen</t>
  </si>
  <si>
    <t>Cook</t>
  </si>
  <si>
    <t>Marketing/events</t>
  </si>
  <si>
    <t>Bartender/Mgr</t>
  </si>
  <si>
    <t>Server</t>
  </si>
  <si>
    <t>Assistant brewer</t>
  </si>
  <si>
    <t>Asst Mgr</t>
  </si>
  <si>
    <t>To go beer sales</t>
  </si>
  <si>
    <t>Food Sales</t>
  </si>
  <si>
    <t>Whole Sale Beer</t>
  </si>
  <si>
    <t>Tasting room beer</t>
  </si>
  <si>
    <t>Total COGS</t>
  </si>
  <si>
    <t>To go beer</t>
  </si>
  <si>
    <t>Food</t>
  </si>
  <si>
    <t>Liquor Sales</t>
  </si>
  <si>
    <t>Liquor</t>
  </si>
  <si>
    <t>Production labor</t>
  </si>
  <si>
    <t>Accountant</t>
  </si>
  <si>
    <t>Taproom Labor</t>
  </si>
  <si>
    <t>DEPRECIATION AND AMORTIZATION</t>
  </si>
  <si>
    <t>EBIT</t>
  </si>
  <si>
    <t>INCOME TAX:</t>
  </si>
  <si>
    <t>4% MO + 21% Federal</t>
  </si>
  <si>
    <t>Excise Tax expense</t>
  </si>
  <si>
    <t>Net revenue</t>
  </si>
  <si>
    <t>Total depreciation &amp; amortization</t>
  </si>
  <si>
    <t>Renovation</t>
  </si>
  <si>
    <t>Website, branding</t>
  </si>
  <si>
    <t>Kitchen Equipment</t>
  </si>
  <si>
    <t>ERP</t>
  </si>
  <si>
    <t>POS</t>
  </si>
  <si>
    <t>IT (Other)</t>
  </si>
  <si>
    <t>Cookware</t>
  </si>
  <si>
    <t>Dishes, silverware</t>
  </si>
  <si>
    <t>Barware</t>
  </si>
  <si>
    <t>Beer/Raw Materials</t>
  </si>
  <si>
    <t>Net Revenue</t>
  </si>
  <si>
    <t>SG&amp;A Expenses</t>
  </si>
  <si>
    <t>Core 2 - Hoppy Pale</t>
  </si>
  <si>
    <t>Core 3 - Red Ale</t>
  </si>
  <si>
    <t>Rotating Sour</t>
  </si>
  <si>
    <t>Core 4 - Dark (Porter?)</t>
  </si>
  <si>
    <t>Rotating IPA #1</t>
  </si>
  <si>
    <t>Rotating IPA #2</t>
  </si>
  <si>
    <t>Cases to go</t>
  </si>
  <si>
    <t>Real estate (Leasing)</t>
  </si>
  <si>
    <t>Mueller</t>
  </si>
  <si>
    <t>Abe</t>
  </si>
  <si>
    <t>Keg Washer (Keg Commander)</t>
  </si>
  <si>
    <t>RO Filter</t>
  </si>
  <si>
    <t>Brewhouse, 5 fermentors, HLT, CLT, mill, chiller, 12 serving tanks, two foeders, hand pump, 2 HMI panels</t>
  </si>
  <si>
    <t>1/2 bbl kegs</t>
  </si>
  <si>
    <t>1/6 bbl kegs</t>
  </si>
  <si>
    <t>Pilot brew system</t>
  </si>
  <si>
    <t>SS Brewtech</t>
  </si>
  <si>
    <t>1/4 bbl kegs</t>
  </si>
  <si>
    <t>Pilot fermentors x3</t>
  </si>
  <si>
    <t>Grain/etc storage</t>
  </si>
  <si>
    <t>W'burg liquor btd</t>
  </si>
  <si>
    <t>W'burg liquor Sunday sales</t>
  </si>
  <si>
    <t>Malt liquor and light wine</t>
  </si>
  <si>
    <t>Package sales (excludes liquor)</t>
  </si>
  <si>
    <t>$169/yr MBAA, $195/yr BA, $899 Untapp'd</t>
  </si>
  <si>
    <t>Canning line</t>
  </si>
  <si>
    <t>Taxes</t>
  </si>
  <si>
    <t>Dividends</t>
  </si>
  <si>
    <t>Revenue</t>
  </si>
  <si>
    <t>Contingency (10%)</t>
  </si>
  <si>
    <t>Version</t>
  </si>
  <si>
    <t>Date</t>
  </si>
  <si>
    <t>Detail</t>
  </si>
  <si>
    <t>1.0</t>
  </si>
  <si>
    <t>First draft</t>
  </si>
  <si>
    <t>1.1</t>
  </si>
  <si>
    <t>Total long-term assets</t>
  </si>
  <si>
    <t>Brewing Equipment</t>
  </si>
  <si>
    <t>Marketing</t>
  </si>
  <si>
    <t>Training</t>
  </si>
  <si>
    <t>Soft open</t>
  </si>
  <si>
    <t>Misceellaneous supplies</t>
  </si>
  <si>
    <t>Cash Required (2 mos. SG&amp;A)</t>
  </si>
  <si>
    <t>Total Expenses</t>
  </si>
  <si>
    <t>Total Start-up funding required</t>
  </si>
  <si>
    <t>CASH FLOW USED FOR START-UP EXPENSES</t>
  </si>
  <si>
    <t>Start-up expenses</t>
  </si>
  <si>
    <t>Added 10% contingency to Capital plan, repaired interest calculations, added charts</t>
  </si>
  <si>
    <t>Version uses debt rather than founder investment</t>
  </si>
  <si>
    <t>1.11</t>
  </si>
  <si>
    <t>2.0</t>
  </si>
  <si>
    <t>Retail discounts</t>
  </si>
  <si>
    <t>Wholesale volume</t>
  </si>
  <si>
    <t>As below % of tasting room volume</t>
  </si>
  <si>
    <t>Wholesale revenue</t>
  </si>
  <si>
    <t>Prices</t>
  </si>
  <si>
    <t>Event rental per month</t>
  </si>
  <si>
    <t>Event only</t>
  </si>
  <si>
    <t>Full</t>
  </si>
  <si>
    <t>Apply Seasonality</t>
  </si>
  <si>
    <t>Apply YoY growth</t>
  </si>
  <si>
    <t>Overhead</t>
  </si>
  <si>
    <t>Employees</t>
  </si>
  <si>
    <t>Hours</t>
  </si>
  <si>
    <t>Wage</t>
  </si>
  <si>
    <t>Event Revenue</t>
  </si>
  <si>
    <t>Event Wages</t>
  </si>
  <si>
    <t>PTR (per 1/6 bbl)</t>
  </si>
  <si>
    <t>Depr/Amortization</t>
  </si>
  <si>
    <t>Added Events, wholesale beer, and discounts; updated exec summary calcs</t>
  </si>
  <si>
    <t>~4 hours</t>
  </si>
  <si>
    <t>Full day</t>
  </si>
  <si>
    <t>Off peak</t>
  </si>
  <si>
    <t>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</si>
</sst>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s\t\a\nd\a\rd"/>
    <numFmt numFmtId="167" formatCode="_(&quot;$&quot;* #,##0.0_);_(&quot;$&quot;* \(#,##0.0\);_(&quot;$&quot;* &quot;-&quot;??_);_(@_)"/>
    <numFmt numFmtId="168" formatCode="[$-409]d\-mmm\-yy"/>
    <numFmt numFmtId="169" formatCode="_(&quot;$&quot;* #,##0_);_(&quot;$&quot;* \(#,##0\);_(&quot;$&quot;* &quot;-&quot;??_);_(@_)"/>
    <numFmt numFmtId="170" formatCode="0.000%"/>
    <numFmt numFmtId="171" formatCode="_(* #,##0.000_);_(* \(#,##0.000\);_(* &quot;-&quot;??_);_(@_)"/>
    <numFmt numFmtId="172" formatCode="&quot;$&quot;#,##0.000"/>
    <numFmt numFmtId="173" formatCode="_(&quot;$&quot;* #,##0.000_);_(&quot;$&quot;* \(#,##0.000\);_(&quot;$&quot;* &quot;-&quot;??_);_(@_)"/>
    <numFmt numFmtId="174" formatCode="0.0"/>
    <numFmt numFmtId="175" formatCode="0.0000"/>
    <numFmt numFmtId="176" formatCode="0.000"/>
  </numFmts>
  <fonts count="48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i/>
      <sz val="11"/>
      <color rgb="FF000000"/>
      <name val="Calibri"/>
    </font>
    <font>
      <b/>
      <i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0"/>
      <color theme="1"/>
      <name val="Calibri"/>
    </font>
    <font>
      <sz val="11"/>
      <name val="Calibri"/>
    </font>
    <font>
      <b/>
      <i/>
      <sz val="11"/>
      <color theme="1"/>
      <name val="Calibri"/>
    </font>
    <font>
      <sz val="11"/>
      <color rgb="FF003366"/>
      <name val="Calibri"/>
    </font>
    <font>
      <sz val="11"/>
      <color rgb="FF000000"/>
      <name val="Arial"/>
    </font>
    <font>
      <b/>
      <sz val="11"/>
      <color rgb="FF003366"/>
      <name val="Calibri"/>
    </font>
    <font>
      <sz val="11"/>
      <color rgb="FF00CCFF"/>
      <name val="Calibri"/>
    </font>
    <font>
      <sz val="11"/>
      <color theme="1"/>
      <name val="Calibri"/>
      <scheme val="minor"/>
    </font>
    <font>
      <sz val="10"/>
      <color rgb="FF3366FF"/>
      <name val="Arial"/>
    </font>
    <font>
      <sz val="11"/>
      <color rgb="FF0070C0"/>
      <name val="Calibri"/>
    </font>
    <font>
      <i/>
      <sz val="11"/>
      <color theme="1"/>
      <name val="Calibri"/>
    </font>
    <font>
      <b/>
      <sz val="10"/>
      <color rgb="FF000000"/>
      <name val="Calibri"/>
    </font>
    <font>
      <sz val="10"/>
      <color rgb="FF000000"/>
      <name val="Calibri"/>
    </font>
    <font>
      <sz val="10"/>
      <color rgb="FF003366"/>
      <name val="Calibri"/>
    </font>
    <font>
      <b/>
      <sz val="10"/>
      <color rgb="FFFF0000"/>
      <name val="Calibri"/>
    </font>
    <font>
      <sz val="10"/>
      <color rgb="FF1F497D"/>
      <name val="Calibri"/>
    </font>
    <font>
      <b/>
      <sz val="10"/>
      <color rgb="FF003366"/>
      <name val="Calibri"/>
    </font>
    <font>
      <i/>
      <sz val="10"/>
      <color rgb="FF000000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3F3F3F"/>
      <name val="Calibri"/>
    </font>
    <font>
      <sz val="10"/>
      <color rgb="FF3F3F3F"/>
      <name val="Calibri"/>
    </font>
    <font>
      <b/>
      <i/>
      <sz val="8"/>
      <color rgb="FF3F3F3F"/>
      <name val="Calibri"/>
    </font>
    <font>
      <b/>
      <sz val="11"/>
      <color rgb="FF3F3F3F"/>
      <name val="Calibri"/>
    </font>
    <font>
      <sz val="10"/>
      <color rgb="FFFF0000"/>
      <name val="Calibri"/>
    </font>
    <font>
      <i/>
      <sz val="10"/>
      <color theme="1"/>
      <name val="Calibri"/>
    </font>
    <font>
      <b/>
      <i/>
      <sz val="10"/>
      <color rgb="FF3F3F3F"/>
      <name val="Calibri"/>
    </font>
    <font>
      <sz val="10"/>
      <color rgb="FF000000"/>
      <name val="Calibri"/>
      <family val="2"/>
    </font>
    <font>
      <sz val="11"/>
      <color rgb="FF003366"/>
      <name val="Calibri"/>
      <family val="2"/>
    </font>
    <font>
      <u/>
      <sz val="11"/>
      <color theme="10"/>
      <name val="Calibri"/>
      <scheme val="minor"/>
    </font>
    <font>
      <sz val="11"/>
      <color rgb="FF000000"/>
      <name val="Calibri"/>
      <scheme val="minor"/>
    </font>
    <font>
      <sz val="8"/>
      <name val="Calibri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9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6D9F0"/>
        <bgColor rgb="FFC6D9F0"/>
      </patternFill>
    </fill>
    <fill>
      <patternFill patternType="solid">
        <fgColor rgb="FFCCFFFF"/>
        <bgColor rgb="FFCCFFFF"/>
      </patternFill>
    </fill>
    <fill>
      <patternFill patternType="solid">
        <fgColor rgb="FFFFC000"/>
        <bgColor rgb="FFFFC000"/>
      </patternFill>
    </fill>
    <fill>
      <patternFill patternType="solid">
        <fgColor rgb="FFBCE6F9"/>
        <bgColor rgb="FFBCE6F9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000000"/>
      </left>
      <right style="medium">
        <color indexed="64"/>
      </right>
      <top/>
      <bottom style="double">
        <color indexed="64"/>
      </bottom>
      <diagonal/>
    </border>
  </borders>
  <cellStyleXfs count="4">
    <xf numFmtId="0" fontId="0" fillId="0" borderId="0"/>
    <xf numFmtId="0" fontId="36" fillId="0" borderId="0" applyNumberFormat="0" applyFill="0" applyBorder="0" applyAlignment="0" applyProtection="0"/>
    <xf numFmtId="44" fontId="37" fillId="0" borderId="0" applyFont="0" applyFill="0" applyBorder="0" applyAlignment="0" applyProtection="0"/>
    <xf numFmtId="9" fontId="37" fillId="0" borderId="0" applyFont="0" applyFill="0" applyBorder="0" applyAlignment="0" applyProtection="0"/>
  </cellStyleXfs>
  <cellXfs count="374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65" fontId="3" fillId="0" borderId="0" xfId="0" applyNumberFormat="1" applyFont="1"/>
    <xf numFmtId="165" fontId="2" fillId="0" borderId="0" xfId="0" applyNumberFormat="1" applyFont="1"/>
    <xf numFmtId="0" fontId="1" fillId="0" borderId="1" xfId="0" applyFont="1" applyBorder="1"/>
    <xf numFmtId="0" fontId="2" fillId="0" borderId="1" xfId="0" applyFont="1" applyBorder="1"/>
    <xf numFmtId="164" fontId="2" fillId="0" borderId="1" xfId="0" applyNumberFormat="1" applyFont="1" applyBorder="1"/>
    <xf numFmtId="165" fontId="3" fillId="0" borderId="1" xfId="0" applyNumberFormat="1" applyFont="1" applyBorder="1"/>
    <xf numFmtId="165" fontId="2" fillId="0" borderId="1" xfId="0" applyNumberFormat="1" applyFont="1" applyBorder="1"/>
    <xf numFmtId="0" fontId="1" fillId="0" borderId="0" xfId="0" applyFont="1" applyAlignment="1">
      <alignment wrapText="1"/>
    </xf>
    <xf numFmtId="0" fontId="1" fillId="0" borderId="2" xfId="0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5" fontId="4" fillId="0" borderId="0" xfId="0" applyNumberFormat="1" applyFont="1"/>
    <xf numFmtId="165" fontId="1" fillId="0" borderId="0" xfId="0" applyNumberFormat="1" applyFont="1"/>
    <xf numFmtId="0" fontId="5" fillId="0" borderId="0" xfId="0" applyFont="1"/>
    <xf numFmtId="0" fontId="6" fillId="0" borderId="0" xfId="0" applyFont="1"/>
    <xf numFmtId="164" fontId="2" fillId="0" borderId="3" xfId="0" applyNumberFormat="1" applyFont="1" applyBorder="1"/>
    <xf numFmtId="164" fontId="2" fillId="0" borderId="4" xfId="0" applyNumberFormat="1" applyFont="1" applyBorder="1"/>
    <xf numFmtId="0" fontId="7" fillId="0" borderId="0" xfId="0" applyFont="1"/>
    <xf numFmtId="0" fontId="2" fillId="0" borderId="0" xfId="0" applyFont="1" applyAlignment="1">
      <alignment horizontal="left"/>
    </xf>
    <xf numFmtId="165" fontId="3" fillId="0" borderId="3" xfId="0" applyNumberFormat="1" applyFont="1" applyBorder="1"/>
    <xf numFmtId="166" fontId="5" fillId="0" borderId="0" xfId="0" applyNumberFormat="1" applyFont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66" fontId="6" fillId="0" borderId="0" xfId="0" applyNumberFormat="1" applyFont="1"/>
    <xf numFmtId="0" fontId="1" fillId="0" borderId="0" xfId="0" applyFont="1" applyAlignment="1">
      <alignment horizontal="left"/>
    </xf>
    <xf numFmtId="165" fontId="3" fillId="0" borderId="4" xfId="0" applyNumberFormat="1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6" xfId="0" applyFont="1" applyBorder="1" applyAlignment="1">
      <alignment horizontal="center"/>
    </xf>
    <xf numFmtId="0" fontId="2" fillId="0" borderId="7" xfId="0" applyFont="1" applyBorder="1"/>
    <xf numFmtId="16" fontId="1" fillId="0" borderId="8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64" fontId="1" fillId="0" borderId="0" xfId="0" applyNumberFormat="1" applyFont="1"/>
    <xf numFmtId="164" fontId="10" fillId="0" borderId="0" xfId="0" applyNumberFormat="1" applyFont="1"/>
    <xf numFmtId="164" fontId="6" fillId="0" borderId="0" xfId="0" applyNumberFormat="1" applyFont="1"/>
    <xf numFmtId="0" fontId="11" fillId="0" borderId="0" xfId="0" applyFont="1"/>
    <xf numFmtId="164" fontId="1" fillId="0" borderId="3" xfId="0" applyNumberFormat="1" applyFont="1" applyBorder="1"/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4" fontId="1" fillId="0" borderId="4" xfId="0" applyNumberFormat="1" applyFont="1" applyBorder="1"/>
    <xf numFmtId="0" fontId="12" fillId="0" borderId="0" xfId="0" applyFont="1"/>
    <xf numFmtId="0" fontId="2" fillId="0" borderId="9" xfId="0" applyFont="1" applyBorder="1"/>
    <xf numFmtId="164" fontId="12" fillId="0" borderId="3" xfId="0" applyNumberFormat="1" applyFont="1" applyBorder="1"/>
    <xf numFmtId="0" fontId="2" fillId="0" borderId="3" xfId="0" applyFont="1" applyBorder="1"/>
    <xf numFmtId="0" fontId="2" fillId="0" borderId="10" xfId="0" applyFont="1" applyBorder="1"/>
    <xf numFmtId="164" fontId="12" fillId="0" borderId="6" xfId="0" applyNumberFormat="1" applyFont="1" applyBorder="1"/>
    <xf numFmtId="164" fontId="12" fillId="0" borderId="0" xfId="0" applyNumberFormat="1" applyFont="1"/>
    <xf numFmtId="164" fontId="13" fillId="0" borderId="0" xfId="0" applyNumberFormat="1" applyFont="1"/>
    <xf numFmtId="164" fontId="10" fillId="0" borderId="3" xfId="0" applyNumberFormat="1" applyFont="1" applyBorder="1"/>
    <xf numFmtId="0" fontId="2" fillId="0" borderId="11" xfId="0" applyFont="1" applyBorder="1"/>
    <xf numFmtId="0" fontId="2" fillId="0" borderId="12" xfId="0" applyFont="1" applyBorder="1"/>
    <xf numFmtId="10" fontId="10" fillId="0" borderId="6" xfId="0" applyNumberFormat="1" applyFont="1" applyBorder="1"/>
    <xf numFmtId="10" fontId="10" fillId="0" borderId="0" xfId="0" applyNumberFormat="1" applyFont="1"/>
    <xf numFmtId="0" fontId="10" fillId="0" borderId="3" xfId="0" applyFont="1" applyBorder="1"/>
    <xf numFmtId="44" fontId="10" fillId="0" borderId="0" xfId="0" applyNumberFormat="1" applyFont="1"/>
    <xf numFmtId="9" fontId="10" fillId="0" borderId="0" xfId="0" applyNumberFormat="1" applyFont="1"/>
    <xf numFmtId="9" fontId="2" fillId="0" borderId="13" xfId="0" applyNumberFormat="1" applyFont="1" applyBorder="1"/>
    <xf numFmtId="0" fontId="2" fillId="0" borderId="8" xfId="0" applyFont="1" applyBorder="1" applyAlignment="1">
      <alignment horizontal="center"/>
    </xf>
    <xf numFmtId="0" fontId="3" fillId="0" borderId="0" xfId="0" applyFont="1"/>
    <xf numFmtId="44" fontId="2" fillId="0" borderId="0" xfId="0" applyNumberFormat="1" applyFont="1"/>
    <xf numFmtId="0" fontId="2" fillId="2" borderId="16" xfId="0" applyFont="1" applyFill="1" applyBorder="1"/>
    <xf numFmtId="0" fontId="14" fillId="0" borderId="0" xfId="0" applyFont="1"/>
    <xf numFmtId="0" fontId="6" fillId="0" borderId="12" xfId="0" applyFont="1" applyBorder="1" applyAlignment="1">
      <alignment horizontal="left"/>
    </xf>
    <xf numFmtId="44" fontId="10" fillId="0" borderId="5" xfId="0" applyNumberFormat="1" applyFont="1" applyBorder="1"/>
    <xf numFmtId="0" fontId="6" fillId="0" borderId="7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15" fillId="0" borderId="0" xfId="0" applyFont="1"/>
    <xf numFmtId="0" fontId="1" fillId="0" borderId="7" xfId="0" applyFont="1" applyBorder="1"/>
    <xf numFmtId="164" fontId="10" fillId="0" borderId="6" xfId="0" applyNumberFormat="1" applyFont="1" applyBorder="1"/>
    <xf numFmtId="164" fontId="1" fillId="0" borderId="6" xfId="0" applyNumberFormat="1" applyFont="1" applyBorder="1"/>
    <xf numFmtId="0" fontId="4" fillId="0" borderId="0" xfId="0" applyFont="1"/>
    <xf numFmtId="43" fontId="2" fillId="3" borderId="16" xfId="0" applyNumberFormat="1" applyFont="1" applyFill="1" applyBorder="1"/>
    <xf numFmtId="43" fontId="2" fillId="0" borderId="0" xfId="0" applyNumberFormat="1" applyFont="1"/>
    <xf numFmtId="43" fontId="1" fillId="0" borderId="0" xfId="0" applyNumberFormat="1" applyFont="1"/>
    <xf numFmtId="9" fontId="16" fillId="0" borderId="0" xfId="0" applyNumberFormat="1" applyFont="1"/>
    <xf numFmtId="43" fontId="6" fillId="0" borderId="0" xfId="0" applyNumberFormat="1" applyFont="1"/>
    <xf numFmtId="43" fontId="10" fillId="0" borderId="0" xfId="0" applyNumberFormat="1" applyFont="1"/>
    <xf numFmtId="0" fontId="17" fillId="0" borderId="0" xfId="0" applyFont="1"/>
    <xf numFmtId="9" fontId="17" fillId="0" borderId="0" xfId="0" applyNumberFormat="1" applyFont="1"/>
    <xf numFmtId="43" fontId="17" fillId="0" borderId="3" xfId="0" applyNumberFormat="1" applyFont="1" applyBorder="1"/>
    <xf numFmtId="43" fontId="9" fillId="0" borderId="3" xfId="0" applyNumberFormat="1" applyFont="1" applyBorder="1"/>
    <xf numFmtId="9" fontId="6" fillId="0" borderId="0" xfId="0" applyNumberFormat="1" applyFont="1"/>
    <xf numFmtId="43" fontId="5" fillId="0" borderId="0" xfId="0" applyNumberFormat="1" applyFont="1"/>
    <xf numFmtId="43" fontId="2" fillId="4" borderId="16" xfId="0" applyNumberFormat="1" applyFont="1" applyFill="1" applyBorder="1"/>
    <xf numFmtId="44" fontId="2" fillId="0" borderId="3" xfId="0" applyNumberFormat="1" applyFont="1" applyBorder="1"/>
    <xf numFmtId="43" fontId="2" fillId="0" borderId="3" xfId="0" applyNumberFormat="1" applyFont="1" applyBorder="1"/>
    <xf numFmtId="0" fontId="18" fillId="0" borderId="0" xfId="0" applyFont="1"/>
    <xf numFmtId="0" fontId="19" fillId="0" borderId="0" xfId="0" applyFont="1"/>
    <xf numFmtId="0" fontId="18" fillId="0" borderId="1" xfId="0" applyFont="1" applyBorder="1"/>
    <xf numFmtId="0" fontId="19" fillId="0" borderId="1" xfId="0" applyFont="1" applyBorder="1"/>
    <xf numFmtId="0" fontId="18" fillId="0" borderId="0" xfId="0" applyFont="1" applyAlignment="1">
      <alignment wrapText="1"/>
    </xf>
    <xf numFmtId="0" fontId="19" fillId="0" borderId="5" xfId="0" applyFont="1" applyBorder="1"/>
    <xf numFmtId="0" fontId="19" fillId="0" borderId="6" xfId="0" applyFont="1" applyBorder="1"/>
    <xf numFmtId="0" fontId="18" fillId="0" borderId="6" xfId="0" applyFont="1" applyBorder="1" applyAlignment="1">
      <alignment horizontal="center"/>
    </xf>
    <xf numFmtId="0" fontId="19" fillId="0" borderId="7" xfId="0" applyFont="1" applyBorder="1"/>
    <xf numFmtId="16" fontId="18" fillId="0" borderId="8" xfId="0" applyNumberFormat="1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164" fontId="19" fillId="0" borderId="0" xfId="0" applyNumberFormat="1" applyFont="1"/>
    <xf numFmtId="164" fontId="18" fillId="0" borderId="0" xfId="0" applyNumberFormat="1" applyFont="1"/>
    <xf numFmtId="9" fontId="18" fillId="0" borderId="0" xfId="0" applyNumberFormat="1" applyFont="1"/>
    <xf numFmtId="44" fontId="20" fillId="0" borderId="0" xfId="0" applyNumberFormat="1" applyFont="1"/>
    <xf numFmtId="9" fontId="21" fillId="0" borderId="0" xfId="0" applyNumberFormat="1" applyFont="1"/>
    <xf numFmtId="164" fontId="22" fillId="0" borderId="0" xfId="0" applyNumberFormat="1" applyFont="1"/>
    <xf numFmtId="9" fontId="23" fillId="0" borderId="0" xfId="0" applyNumberFormat="1" applyFont="1"/>
    <xf numFmtId="0" fontId="24" fillId="0" borderId="0" xfId="0" applyFont="1"/>
    <xf numFmtId="164" fontId="19" fillId="0" borderId="3" xfId="0" applyNumberFormat="1" applyFont="1" applyBorder="1"/>
    <xf numFmtId="164" fontId="18" fillId="0" borderId="3" xfId="0" applyNumberFormat="1" applyFont="1" applyBorder="1"/>
    <xf numFmtId="167" fontId="19" fillId="0" borderId="0" xfId="0" applyNumberFormat="1" applyFont="1"/>
    <xf numFmtId="9" fontId="19" fillId="0" borderId="0" xfId="0" applyNumberFormat="1" applyFont="1"/>
    <xf numFmtId="0" fontId="3" fillId="0" borderId="1" xfId="0" applyFont="1" applyBorder="1"/>
    <xf numFmtId="44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44" fontId="19" fillId="0" borderId="0" xfId="0" applyNumberFormat="1" applyFont="1" applyAlignment="1">
      <alignment vertical="top"/>
    </xf>
    <xf numFmtId="0" fontId="1" fillId="0" borderId="17" xfId="0" applyFont="1" applyBorder="1" applyAlignment="1">
      <alignment horizontal="center" wrapText="1"/>
    </xf>
    <xf numFmtId="0" fontId="1" fillId="0" borderId="17" xfId="0" applyFont="1" applyBorder="1" applyAlignment="1">
      <alignment horizontal="center"/>
    </xf>
    <xf numFmtId="164" fontId="1" fillId="0" borderId="1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10" fillId="4" borderId="18" xfId="0" applyFont="1" applyFill="1" applyBorder="1"/>
    <xf numFmtId="0" fontId="2" fillId="4" borderId="16" xfId="0" applyFont="1" applyFill="1" applyBorder="1"/>
    <xf numFmtId="164" fontId="2" fillId="4" borderId="18" xfId="0" applyNumberFormat="1" applyFont="1" applyFill="1" applyBorder="1"/>
    <xf numFmtId="168" fontId="2" fillId="4" borderId="18" xfId="0" applyNumberFormat="1" applyFont="1" applyFill="1" applyBorder="1"/>
    <xf numFmtId="0" fontId="1" fillId="0" borderId="19" xfId="0" applyFont="1" applyBorder="1" applyAlignment="1">
      <alignment horizontal="center"/>
    </xf>
    <xf numFmtId="164" fontId="10" fillId="4" borderId="20" xfId="0" applyNumberFormat="1" applyFont="1" applyFill="1" applyBorder="1"/>
    <xf numFmtId="164" fontId="2" fillId="0" borderId="19" xfId="0" applyNumberFormat="1" applyFont="1" applyBorder="1"/>
    <xf numFmtId="0" fontId="10" fillId="4" borderId="20" xfId="0" applyFont="1" applyFill="1" applyBorder="1"/>
    <xf numFmtId="0" fontId="2" fillId="4" borderId="20" xfId="0" applyFont="1" applyFill="1" applyBorder="1" applyAlignment="1">
      <alignment wrapText="1"/>
    </xf>
    <xf numFmtId="164" fontId="2" fillId="4" borderId="20" xfId="0" applyNumberFormat="1" applyFont="1" applyFill="1" applyBorder="1"/>
    <xf numFmtId="168" fontId="2" fillId="4" borderId="20" xfId="0" applyNumberFormat="1" applyFont="1" applyFill="1" applyBorder="1"/>
    <xf numFmtId="0" fontId="10" fillId="4" borderId="22" xfId="0" applyFont="1" applyFill="1" applyBorder="1"/>
    <xf numFmtId="0" fontId="2" fillId="4" borderId="22" xfId="0" applyFont="1" applyFill="1" applyBorder="1" applyAlignment="1">
      <alignment wrapText="1"/>
    </xf>
    <xf numFmtId="164" fontId="2" fillId="4" borderId="22" xfId="0" applyNumberFormat="1" applyFont="1" applyFill="1" applyBorder="1"/>
    <xf numFmtId="168" fontId="2" fillId="4" borderId="22" xfId="0" applyNumberFormat="1" applyFont="1" applyFill="1" applyBorder="1"/>
    <xf numFmtId="164" fontId="10" fillId="4" borderId="22" xfId="0" applyNumberFormat="1" applyFont="1" applyFill="1" applyBorder="1"/>
    <xf numFmtId="164" fontId="2" fillId="0" borderId="17" xfId="0" applyNumberFormat="1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23" xfId="0" applyFont="1" applyBorder="1"/>
    <xf numFmtId="164" fontId="2" fillId="0" borderId="8" xfId="0" applyNumberFormat="1" applyFont="1" applyBorder="1"/>
    <xf numFmtId="169" fontId="2" fillId="0" borderId="0" xfId="0" applyNumberFormat="1" applyFont="1"/>
    <xf numFmtId="169" fontId="1" fillId="0" borderId="3" xfId="0" applyNumberFormat="1" applyFont="1" applyBorder="1"/>
    <xf numFmtId="9" fontId="2" fillId="0" borderId="0" xfId="0" applyNumberFormat="1" applyFont="1"/>
    <xf numFmtId="0" fontId="2" fillId="5" borderId="16" xfId="0" applyFont="1" applyFill="1" applyBorder="1"/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12" fillId="0" borderId="0" xfId="0" applyNumberFormat="1" applyFont="1"/>
    <xf numFmtId="0" fontId="2" fillId="0" borderId="24" xfId="0" applyFont="1" applyBorder="1" applyAlignment="1">
      <alignment horizontal="center"/>
    </xf>
    <xf numFmtId="0" fontId="2" fillId="0" borderId="17" xfId="0" applyFont="1" applyBorder="1"/>
    <xf numFmtId="0" fontId="2" fillId="0" borderId="24" xfId="0" applyFont="1" applyBorder="1"/>
    <xf numFmtId="164" fontId="2" fillId="0" borderId="24" xfId="0" applyNumberFormat="1" applyFont="1" applyBorder="1"/>
    <xf numFmtId="165" fontId="3" fillId="0" borderId="24" xfId="0" applyNumberFormat="1" applyFont="1" applyBorder="1"/>
    <xf numFmtId="0" fontId="2" fillId="0" borderId="19" xfId="0" applyFont="1" applyBorder="1"/>
    <xf numFmtId="165" fontId="3" fillId="0" borderId="19" xfId="0" applyNumberFormat="1" applyFont="1" applyBorder="1"/>
    <xf numFmtId="165" fontId="2" fillId="0" borderId="17" xfId="0" applyNumberFormat="1" applyFont="1" applyBorder="1"/>
    <xf numFmtId="0" fontId="1" fillId="0" borderId="14" xfId="0" applyFont="1" applyBorder="1"/>
    <xf numFmtId="0" fontId="1" fillId="0" borderId="23" xfId="0" applyFont="1" applyBorder="1"/>
    <xf numFmtId="44" fontId="2" fillId="0" borderId="10" xfId="0" applyNumberFormat="1" applyFont="1" applyBorder="1"/>
    <xf numFmtId="44" fontId="2" fillId="0" borderId="23" xfId="0" applyNumberFormat="1" applyFont="1" applyBorder="1"/>
    <xf numFmtId="0" fontId="25" fillId="0" borderId="0" xfId="0" applyFont="1"/>
    <xf numFmtId="164" fontId="25" fillId="0" borderId="0" xfId="0" applyNumberFormat="1" applyFont="1"/>
    <xf numFmtId="8" fontId="25" fillId="0" borderId="0" xfId="0" applyNumberFormat="1" applyFont="1"/>
    <xf numFmtId="43" fontId="25" fillId="0" borderId="0" xfId="0" applyNumberFormat="1" applyFont="1"/>
    <xf numFmtId="170" fontId="25" fillId="0" borderId="0" xfId="0" applyNumberFormat="1" applyFont="1"/>
    <xf numFmtId="0" fontId="26" fillId="0" borderId="0" xfId="0" applyFont="1" applyAlignment="1">
      <alignment horizontal="center"/>
    </xf>
    <xf numFmtId="17" fontId="25" fillId="0" borderId="0" xfId="0" applyNumberFormat="1" applyFont="1"/>
    <xf numFmtId="0" fontId="2" fillId="0" borderId="0" xfId="0" applyFont="1" applyAlignment="1">
      <alignment horizontal="center"/>
    </xf>
    <xf numFmtId="171" fontId="2" fillId="0" borderId="0" xfId="0" applyNumberFormat="1" applyFont="1"/>
    <xf numFmtId="0" fontId="27" fillId="0" borderId="0" xfId="0" applyFont="1" applyAlignment="1">
      <alignment vertical="center"/>
    </xf>
    <xf numFmtId="44" fontId="28" fillId="0" borderId="0" xfId="0" applyNumberFormat="1" applyFont="1" applyAlignment="1">
      <alignment vertical="center" wrapText="1"/>
    </xf>
    <xf numFmtId="0" fontId="28" fillId="0" borderId="0" xfId="0" applyFont="1" applyAlignment="1">
      <alignment vertical="center" wrapText="1"/>
    </xf>
    <xf numFmtId="172" fontId="28" fillId="0" borderId="0" xfId="0" applyNumberFormat="1" applyFont="1" applyAlignment="1">
      <alignment vertical="center" wrapText="1"/>
    </xf>
    <xf numFmtId="1" fontId="28" fillId="0" borderId="0" xfId="0" applyNumberFormat="1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44" fontId="27" fillId="0" borderId="0" xfId="0" applyNumberFormat="1" applyFont="1" applyAlignment="1">
      <alignment horizontal="center" vertical="center" wrapText="1"/>
    </xf>
    <xf numFmtId="0" fontId="27" fillId="0" borderId="0" xfId="0" applyFont="1" applyAlignment="1">
      <alignment vertical="center" wrapText="1"/>
    </xf>
    <xf numFmtId="1" fontId="27" fillId="0" borderId="0" xfId="0" applyNumberFormat="1" applyFont="1" applyAlignment="1">
      <alignment horizontal="center" vertical="center" wrapText="1"/>
    </xf>
    <xf numFmtId="172" fontId="27" fillId="0" borderId="0" xfId="0" applyNumberFormat="1" applyFont="1" applyAlignment="1">
      <alignment vertical="center" wrapText="1"/>
    </xf>
    <xf numFmtId="44" fontId="27" fillId="0" borderId="0" xfId="0" applyNumberFormat="1" applyFont="1" applyAlignment="1">
      <alignment vertical="center" wrapText="1"/>
    </xf>
    <xf numFmtId="44" fontId="28" fillId="0" borderId="0" xfId="0" applyNumberFormat="1" applyFont="1" applyAlignment="1">
      <alignment vertical="center"/>
    </xf>
    <xf numFmtId="173" fontId="28" fillId="0" borderId="0" xfId="0" applyNumberFormat="1" applyFont="1" applyAlignment="1">
      <alignment vertical="center"/>
    </xf>
    <xf numFmtId="1" fontId="28" fillId="0" borderId="0" xfId="0" applyNumberFormat="1" applyFont="1" applyAlignment="1">
      <alignment horizontal="center" vertical="center"/>
    </xf>
    <xf numFmtId="172" fontId="28" fillId="0" borderId="0" xfId="0" applyNumberFormat="1" applyFont="1" applyAlignment="1">
      <alignment vertical="center"/>
    </xf>
    <xf numFmtId="9" fontId="28" fillId="0" borderId="0" xfId="0" applyNumberFormat="1" applyFont="1" applyAlignment="1">
      <alignment horizontal="center" vertical="center"/>
    </xf>
    <xf numFmtId="165" fontId="28" fillId="0" borderId="0" xfId="0" applyNumberFormat="1" applyFont="1" applyAlignment="1">
      <alignment vertical="center"/>
    </xf>
    <xf numFmtId="1" fontId="28" fillId="0" borderId="0" xfId="0" applyNumberFormat="1" applyFont="1" applyAlignment="1">
      <alignment vertical="center"/>
    </xf>
    <xf numFmtId="174" fontId="28" fillId="0" borderId="0" xfId="0" applyNumberFormat="1" applyFont="1" applyAlignment="1">
      <alignment vertical="center"/>
    </xf>
    <xf numFmtId="174" fontId="28" fillId="6" borderId="16" xfId="0" applyNumberFormat="1" applyFont="1" applyFill="1" applyBorder="1" applyAlignment="1">
      <alignment vertical="center"/>
    </xf>
    <xf numFmtId="0" fontId="29" fillId="2" borderId="16" xfId="0" applyFont="1" applyFill="1" applyBorder="1" applyAlignment="1">
      <alignment vertical="center"/>
    </xf>
    <xf numFmtId="0" fontId="28" fillId="0" borderId="0" xfId="0" applyFont="1" applyAlignment="1">
      <alignment horizontal="right" vertical="center"/>
    </xf>
    <xf numFmtId="0" fontId="30" fillId="0" borderId="0" xfId="0" applyFont="1" applyAlignment="1">
      <alignment horizontal="center"/>
    </xf>
    <xf numFmtId="44" fontId="27" fillId="0" borderId="0" xfId="0" applyNumberFormat="1" applyFont="1" applyAlignment="1">
      <alignment horizontal="center" wrapText="1"/>
    </xf>
    <xf numFmtId="0" fontId="27" fillId="2" borderId="16" xfId="0" applyFont="1" applyFill="1" applyBorder="1" applyAlignment="1">
      <alignment horizontal="center" wrapText="1"/>
    </xf>
    <xf numFmtId="172" fontId="27" fillId="0" borderId="0" xfId="0" applyNumberFormat="1" applyFont="1" applyAlignment="1">
      <alignment horizontal="center" wrapText="1"/>
    </xf>
    <xf numFmtId="0" fontId="27" fillId="0" borderId="0" xfId="0" applyFont="1" applyAlignment="1">
      <alignment horizontal="center" wrapText="1"/>
    </xf>
    <xf numFmtId="1" fontId="27" fillId="7" borderId="16" xfId="0" applyNumberFormat="1" applyFont="1" applyFill="1" applyBorder="1" applyAlignment="1">
      <alignment horizontal="center" wrapText="1"/>
    </xf>
    <xf numFmtId="44" fontId="27" fillId="8" borderId="16" xfId="0" applyNumberFormat="1" applyFont="1" applyFill="1" applyBorder="1" applyAlignment="1">
      <alignment horizontal="center" wrapText="1"/>
    </xf>
    <xf numFmtId="44" fontId="27" fillId="7" borderId="16" xfId="0" applyNumberFormat="1" applyFont="1" applyFill="1" applyBorder="1" applyAlignment="1">
      <alignment horizontal="center" wrapText="1"/>
    </xf>
    <xf numFmtId="0" fontId="27" fillId="7" borderId="16" xfId="0" applyFont="1" applyFill="1" applyBorder="1" applyAlignment="1">
      <alignment horizontal="center" wrapText="1"/>
    </xf>
    <xf numFmtId="0" fontId="27" fillId="8" borderId="16" xfId="0" applyFont="1" applyFill="1" applyBorder="1" applyAlignment="1">
      <alignment horizontal="center" wrapText="1"/>
    </xf>
    <xf numFmtId="0" fontId="28" fillId="0" borderId="0" xfId="0" applyFont="1" applyAlignment="1">
      <alignment horizontal="center" vertical="center"/>
    </xf>
    <xf numFmtId="9" fontId="28" fillId="0" borderId="0" xfId="0" applyNumberFormat="1" applyFont="1" applyAlignment="1">
      <alignment horizontal="right" vertical="center"/>
    </xf>
    <xf numFmtId="174" fontId="28" fillId="0" borderId="0" xfId="0" applyNumberFormat="1" applyFont="1" applyAlignment="1">
      <alignment horizontal="center" vertical="center"/>
    </xf>
    <xf numFmtId="174" fontId="31" fillId="0" borderId="0" xfId="0" applyNumberFormat="1" applyFont="1" applyAlignment="1">
      <alignment vertical="center"/>
    </xf>
    <xf numFmtId="44" fontId="27" fillId="0" borderId="0" xfId="0" applyNumberFormat="1" applyFont="1" applyAlignment="1">
      <alignment vertical="center"/>
    </xf>
    <xf numFmtId="169" fontId="27" fillId="0" borderId="0" xfId="0" applyNumberFormat="1" applyFont="1" applyAlignment="1">
      <alignment vertical="center"/>
    </xf>
    <xf numFmtId="0" fontId="27" fillId="0" borderId="0" xfId="0" applyFont="1" applyAlignment="1">
      <alignment horizontal="center" vertical="center"/>
    </xf>
    <xf numFmtId="174" fontId="27" fillId="0" borderId="0" xfId="0" applyNumberFormat="1" applyFont="1" applyAlignment="1">
      <alignment vertical="center"/>
    </xf>
    <xf numFmtId="164" fontId="27" fillId="0" borderId="0" xfId="0" applyNumberFormat="1" applyFont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0" borderId="0" xfId="0" applyFont="1" applyAlignment="1">
      <alignment horizontal="center" vertical="center" wrapText="1"/>
    </xf>
    <xf numFmtId="2" fontId="28" fillId="0" borderId="0" xfId="0" applyNumberFormat="1" applyFont="1" applyAlignment="1">
      <alignment vertical="center"/>
    </xf>
    <xf numFmtId="9" fontId="27" fillId="0" borderId="0" xfId="0" applyNumberFormat="1" applyFont="1" applyAlignment="1">
      <alignment vertical="center"/>
    </xf>
    <xf numFmtId="2" fontId="27" fillId="0" borderId="0" xfId="0" applyNumberFormat="1" applyFont="1" applyAlignment="1">
      <alignment vertical="center"/>
    </xf>
    <xf numFmtId="0" fontId="5" fillId="0" borderId="6" xfId="0" applyFont="1" applyBorder="1"/>
    <xf numFmtId="43" fontId="5" fillId="0" borderId="6" xfId="0" applyNumberFormat="1" applyFont="1" applyBorder="1" applyAlignment="1">
      <alignment horizontal="right"/>
    </xf>
    <xf numFmtId="43" fontId="5" fillId="2" borderId="25" xfId="0" applyNumberFormat="1" applyFont="1" applyFill="1" applyBorder="1" applyAlignment="1">
      <alignment horizontal="right"/>
    </xf>
    <xf numFmtId="0" fontId="6" fillId="0" borderId="8" xfId="0" applyFont="1" applyBorder="1"/>
    <xf numFmtId="0" fontId="5" fillId="0" borderId="8" xfId="0" applyFont="1" applyBorder="1"/>
    <xf numFmtId="173" fontId="28" fillId="0" borderId="8" xfId="0" applyNumberFormat="1" applyFont="1" applyBorder="1"/>
    <xf numFmtId="1" fontId="6" fillId="2" borderId="8" xfId="0" applyNumberFormat="1" applyFont="1" applyFill="1" applyBorder="1"/>
    <xf numFmtId="0" fontId="32" fillId="0" borderId="0" xfId="0" applyFont="1"/>
    <xf numFmtId="175" fontId="6" fillId="0" borderId="8" xfId="0" applyNumberFormat="1" applyFont="1" applyBorder="1"/>
    <xf numFmtId="176" fontId="6" fillId="0" borderId="8" xfId="0" applyNumberFormat="1" applyFont="1" applyBorder="1"/>
    <xf numFmtId="44" fontId="5" fillId="0" borderId="8" xfId="0" applyNumberFormat="1" applyFont="1" applyBorder="1"/>
    <xf numFmtId="173" fontId="5" fillId="0" borderId="8" xfId="0" applyNumberFormat="1" applyFont="1" applyBorder="1"/>
    <xf numFmtId="173" fontId="5" fillId="2" borderId="8" xfId="0" applyNumberFormat="1" applyFont="1" applyFill="1" applyBorder="1"/>
    <xf numFmtId="43" fontId="5" fillId="0" borderId="8" xfId="0" applyNumberFormat="1" applyFont="1" applyBorder="1" applyAlignment="1">
      <alignment horizontal="right"/>
    </xf>
    <xf numFmtId="44" fontId="28" fillId="0" borderId="8" xfId="0" applyNumberFormat="1" applyFont="1" applyBorder="1"/>
    <xf numFmtId="0" fontId="6" fillId="0" borderId="8" xfId="0" applyFont="1" applyBorder="1" applyAlignment="1">
      <alignment horizontal="center"/>
    </xf>
    <xf numFmtId="44" fontId="28" fillId="0" borderId="0" xfId="0" applyNumberFormat="1" applyFont="1"/>
    <xf numFmtId="0" fontId="6" fillId="0" borderId="6" xfId="0" applyFont="1" applyBorder="1"/>
    <xf numFmtId="14" fontId="6" fillId="0" borderId="0" xfId="0" applyNumberFormat="1" applyFont="1" applyAlignment="1">
      <alignment horizontal="left"/>
    </xf>
    <xf numFmtId="169" fontId="28" fillId="2" borderId="16" xfId="0" applyNumberFormat="1" applyFont="1" applyFill="1" applyBorder="1"/>
    <xf numFmtId="164" fontId="28" fillId="0" borderId="0" xfId="0" applyNumberFormat="1" applyFont="1"/>
    <xf numFmtId="0" fontId="28" fillId="0" borderId="8" xfId="0" applyFont="1" applyBorder="1" applyAlignment="1">
      <alignment vertical="center"/>
    </xf>
    <xf numFmtId="164" fontId="28" fillId="0" borderId="3" xfId="0" applyNumberFormat="1" applyFont="1" applyBorder="1"/>
    <xf numFmtId="1" fontId="28" fillId="0" borderId="8" xfId="0" applyNumberFormat="1" applyFont="1" applyBorder="1" applyAlignment="1">
      <alignment vertical="center"/>
    </xf>
    <xf numFmtId="165" fontId="28" fillId="0" borderId="8" xfId="0" applyNumberFormat="1" applyFont="1" applyBorder="1" applyAlignment="1">
      <alignment vertical="center"/>
    </xf>
    <xf numFmtId="174" fontId="28" fillId="0" borderId="8" xfId="0" applyNumberFormat="1" applyFont="1" applyBorder="1" applyAlignment="1">
      <alignment vertical="center"/>
    </xf>
    <xf numFmtId="14" fontId="5" fillId="0" borderId="0" xfId="0" applyNumberFormat="1" applyFont="1" applyAlignment="1">
      <alignment horizontal="left"/>
    </xf>
    <xf numFmtId="44" fontId="5" fillId="0" borderId="3" xfId="0" applyNumberFormat="1" applyFont="1" applyBorder="1"/>
    <xf numFmtId="9" fontId="5" fillId="0" borderId="0" xfId="0" applyNumberFormat="1" applyFont="1"/>
    <xf numFmtId="44" fontId="28" fillId="2" borderId="16" xfId="0" applyNumberFormat="1" applyFont="1" applyFill="1" applyBorder="1"/>
    <xf numFmtId="0" fontId="6" fillId="0" borderId="0" xfId="0" quotePrefix="1" applyFont="1" applyAlignment="1">
      <alignment horizontal="left"/>
    </xf>
    <xf numFmtId="0" fontId="27" fillId="0" borderId="8" xfId="0" applyFont="1" applyBorder="1" applyAlignment="1">
      <alignment vertical="center"/>
    </xf>
    <xf numFmtId="9" fontId="28" fillId="0" borderId="8" xfId="0" applyNumberFormat="1" applyFont="1" applyBorder="1" applyAlignment="1">
      <alignment vertical="center"/>
    </xf>
    <xf numFmtId="174" fontId="6" fillId="0" borderId="0" xfId="0" applyNumberFormat="1" applyFont="1"/>
    <xf numFmtId="44" fontId="5" fillId="0" borderId="0" xfId="0" applyNumberFormat="1" applyFont="1"/>
    <xf numFmtId="9" fontId="28" fillId="0" borderId="0" xfId="0" applyNumberFormat="1" applyFont="1"/>
    <xf numFmtId="0" fontId="2" fillId="9" borderId="0" xfId="0" applyFont="1" applyFill="1"/>
    <xf numFmtId="0" fontId="34" fillId="0" borderId="0" xfId="0" applyFont="1"/>
    <xf numFmtId="44" fontId="0" fillId="0" borderId="0" xfId="0" applyNumberFormat="1"/>
    <xf numFmtId="0" fontId="2" fillId="0" borderId="16" xfId="0" applyFont="1" applyBorder="1"/>
    <xf numFmtId="44" fontId="35" fillId="0" borderId="16" xfId="0" applyNumberFormat="1" applyFont="1" applyBorder="1"/>
    <xf numFmtId="44" fontId="5" fillId="9" borderId="8" xfId="0" applyNumberFormat="1" applyFont="1" applyFill="1" applyBorder="1"/>
    <xf numFmtId="0" fontId="1" fillId="0" borderId="14" xfId="0" applyFont="1" applyBorder="1" applyAlignment="1">
      <alignment horizontal="center"/>
    </xf>
    <xf numFmtId="170" fontId="10" fillId="0" borderId="0" xfId="0" applyNumberFormat="1" applyFont="1"/>
    <xf numFmtId="0" fontId="36" fillId="0" borderId="0" xfId="1"/>
    <xf numFmtId="164" fontId="12" fillId="0" borderId="16" xfId="0" applyNumberFormat="1" applyFont="1" applyBorder="1"/>
    <xf numFmtId="0" fontId="0" fillId="0" borderId="16" xfId="0" applyBorder="1"/>
    <xf numFmtId="0" fontId="0" fillId="10" borderId="0" xfId="0" applyFill="1"/>
    <xf numFmtId="9" fontId="0" fillId="10" borderId="0" xfId="0" applyNumberFormat="1" applyFill="1"/>
    <xf numFmtId="2" fontId="0" fillId="0" borderId="0" xfId="0" applyNumberFormat="1"/>
    <xf numFmtId="0" fontId="39" fillId="0" borderId="0" xfId="0" applyFont="1"/>
    <xf numFmtId="44" fontId="0" fillId="0" borderId="0" xfId="2" applyFont="1"/>
    <xf numFmtId="44" fontId="0" fillId="10" borderId="0" xfId="2" applyFont="1" applyFill="1"/>
    <xf numFmtId="1" fontId="0" fillId="0" borderId="0" xfId="0" applyNumberFormat="1"/>
    <xf numFmtId="44" fontId="19" fillId="0" borderId="0" xfId="0" applyNumberFormat="1" applyFont="1"/>
    <xf numFmtId="9" fontId="40" fillId="0" borderId="0" xfId="0" applyNumberFormat="1" applyFont="1"/>
    <xf numFmtId="0" fontId="40" fillId="0" borderId="0" xfId="0" applyFont="1"/>
    <xf numFmtId="9" fontId="41" fillId="0" borderId="0" xfId="3" applyFont="1"/>
    <xf numFmtId="44" fontId="20" fillId="10" borderId="0" xfId="0" applyNumberFormat="1" applyFont="1" applyFill="1"/>
    <xf numFmtId="0" fontId="34" fillId="10" borderId="0" xfId="0" applyFont="1" applyFill="1"/>
    <xf numFmtId="9" fontId="19" fillId="10" borderId="0" xfId="0" applyNumberFormat="1" applyFont="1" applyFill="1"/>
    <xf numFmtId="43" fontId="41" fillId="0" borderId="0" xfId="0" applyNumberFormat="1" applyFont="1"/>
    <xf numFmtId="44" fontId="34" fillId="0" borderId="0" xfId="0" applyNumberFormat="1" applyFont="1"/>
    <xf numFmtId="0" fontId="41" fillId="0" borderId="0" xfId="0" applyFont="1"/>
    <xf numFmtId="0" fontId="43" fillId="0" borderId="0" xfId="0" applyFont="1"/>
    <xf numFmtId="0" fontId="42" fillId="0" borderId="0" xfId="0" applyFont="1" applyAlignment="1">
      <alignment horizontal="left"/>
    </xf>
    <xf numFmtId="44" fontId="10" fillId="10" borderId="0" xfId="0" applyNumberFormat="1" applyFont="1" applyFill="1"/>
    <xf numFmtId="0" fontId="18" fillId="0" borderId="16" xfId="0" applyFont="1" applyBorder="1"/>
    <xf numFmtId="0" fontId="18" fillId="0" borderId="25" xfId="0" applyFont="1" applyBorder="1"/>
    <xf numFmtId="0" fontId="18" fillId="0" borderId="14" xfId="0" applyFont="1" applyBorder="1" applyAlignment="1">
      <alignment horizontal="center"/>
    </xf>
    <xf numFmtId="164" fontId="18" fillId="0" borderId="16" xfId="0" applyNumberFormat="1" applyFont="1" applyBorder="1"/>
    <xf numFmtId="44" fontId="18" fillId="0" borderId="16" xfId="2" applyFont="1" applyBorder="1"/>
    <xf numFmtId="164" fontId="19" fillId="0" borderId="16" xfId="0" applyNumberFormat="1" applyFont="1" applyBorder="1"/>
    <xf numFmtId="167" fontId="18" fillId="0" borderId="16" xfId="0" applyNumberFormat="1" applyFont="1" applyBorder="1"/>
    <xf numFmtId="164" fontId="1" fillId="0" borderId="16" xfId="0" applyNumberFormat="1" applyFont="1" applyBorder="1"/>
    <xf numFmtId="43" fontId="41" fillId="0" borderId="16" xfId="0" applyNumberFormat="1" applyFont="1" applyBorder="1"/>
    <xf numFmtId="0" fontId="19" fillId="0" borderId="26" xfId="0" applyFont="1" applyBorder="1"/>
    <xf numFmtId="0" fontId="19" fillId="0" borderId="27" xfId="0" applyFont="1" applyBorder="1"/>
    <xf numFmtId="0" fontId="19" fillId="0" borderId="28" xfId="0" applyFont="1" applyBorder="1"/>
    <xf numFmtId="16" fontId="18" fillId="0" borderId="29" xfId="0" applyNumberFormat="1" applyFont="1" applyBorder="1" applyAlignment="1">
      <alignment horizontal="center"/>
    </xf>
    <xf numFmtId="164" fontId="19" fillId="0" borderId="26" xfId="0" applyNumberFormat="1" applyFont="1" applyBorder="1"/>
    <xf numFmtId="44" fontId="19" fillId="0" borderId="26" xfId="0" applyNumberFormat="1" applyFont="1" applyBorder="1"/>
    <xf numFmtId="164" fontId="22" fillId="0" borderId="26" xfId="0" applyNumberFormat="1" applyFont="1" applyBorder="1"/>
    <xf numFmtId="164" fontId="19" fillId="0" borderId="30" xfId="0" applyNumberFormat="1" applyFont="1" applyBorder="1"/>
    <xf numFmtId="0" fontId="2" fillId="0" borderId="26" xfId="0" applyFont="1" applyBorder="1"/>
    <xf numFmtId="0" fontId="0" fillId="0" borderId="26" xfId="0" applyBorder="1"/>
    <xf numFmtId="0" fontId="19" fillId="0" borderId="16" xfId="0" applyFont="1" applyBorder="1"/>
    <xf numFmtId="0" fontId="19" fillId="0" borderId="25" xfId="0" applyFont="1" applyBorder="1"/>
    <xf numFmtId="44" fontId="19" fillId="0" borderId="16" xfId="0" applyNumberFormat="1" applyFont="1" applyBorder="1"/>
    <xf numFmtId="167" fontId="19" fillId="0" borderId="26" xfId="0" applyNumberFormat="1" applyFont="1" applyBorder="1"/>
    <xf numFmtId="44" fontId="19" fillId="0" borderId="26" xfId="2" applyFont="1" applyBorder="1"/>
    <xf numFmtId="44" fontId="19" fillId="0" borderId="0" xfId="2" applyFont="1"/>
    <xf numFmtId="164" fontId="2" fillId="0" borderId="16" xfId="0" applyNumberFormat="1" applyFont="1" applyBorder="1"/>
    <xf numFmtId="44" fontId="6" fillId="0" borderId="16" xfId="2" applyFont="1" applyFill="1" applyBorder="1"/>
    <xf numFmtId="164" fontId="6" fillId="0" borderId="16" xfId="0" applyNumberFormat="1" applyFont="1" applyBorder="1"/>
    <xf numFmtId="0" fontId="2" fillId="0" borderId="25" xfId="0" applyFont="1" applyBorder="1"/>
    <xf numFmtId="44" fontId="2" fillId="0" borderId="16" xfId="2" applyFont="1" applyBorder="1"/>
    <xf numFmtId="0" fontId="2" fillId="0" borderId="27" xfId="0" applyFont="1" applyBorder="1"/>
    <xf numFmtId="0" fontId="2" fillId="0" borderId="28" xfId="0" applyFont="1" applyBorder="1"/>
    <xf numFmtId="16" fontId="1" fillId="0" borderId="29" xfId="0" applyNumberFormat="1" applyFont="1" applyBorder="1" applyAlignment="1">
      <alignment horizontal="center"/>
    </xf>
    <xf numFmtId="164" fontId="2" fillId="0" borderId="26" xfId="0" applyNumberFormat="1" applyFont="1" applyBorder="1"/>
    <xf numFmtId="44" fontId="6" fillId="0" borderId="26" xfId="2" applyFont="1" applyFill="1" applyBorder="1"/>
    <xf numFmtId="164" fontId="6" fillId="0" borderId="26" xfId="0" applyNumberFormat="1" applyFont="1" applyBorder="1"/>
    <xf numFmtId="9" fontId="10" fillId="10" borderId="0" xfId="0" applyNumberFormat="1" applyFont="1" applyFill="1"/>
    <xf numFmtId="164" fontId="10" fillId="10" borderId="0" xfId="0" applyNumberFormat="1" applyFont="1" applyFill="1"/>
    <xf numFmtId="0" fontId="44" fillId="0" borderId="0" xfId="0" applyFont="1"/>
    <xf numFmtId="164" fontId="45" fillId="0" borderId="0" xfId="0" applyNumberFormat="1" applyFont="1"/>
    <xf numFmtId="0" fontId="43" fillId="0" borderId="0" xfId="0" applyFont="1" applyAlignment="1">
      <alignment horizontal="left"/>
    </xf>
    <xf numFmtId="0" fontId="45" fillId="0" borderId="0" xfId="0" applyFont="1"/>
    <xf numFmtId="0" fontId="8" fillId="0" borderId="16" xfId="0" applyFont="1" applyBorder="1"/>
    <xf numFmtId="0" fontId="2" fillId="0" borderId="16" xfId="0" applyFont="1" applyBorder="1" applyAlignment="1">
      <alignment horizontal="center"/>
    </xf>
    <xf numFmtId="44" fontId="10" fillId="0" borderId="0" xfId="2" applyFont="1"/>
    <xf numFmtId="164" fontId="43" fillId="0" borderId="0" xfId="0" applyNumberFormat="1" applyFont="1"/>
    <xf numFmtId="0" fontId="43" fillId="4" borderId="18" xfId="0" applyFont="1" applyFill="1" applyBorder="1" applyAlignment="1">
      <alignment wrapText="1"/>
    </xf>
    <xf numFmtId="0" fontId="43" fillId="4" borderId="20" xfId="0" applyFont="1" applyFill="1" applyBorder="1" applyAlignment="1">
      <alignment wrapText="1"/>
    </xf>
    <xf numFmtId="174" fontId="0" fillId="0" borderId="0" xfId="0" applyNumberFormat="1"/>
    <xf numFmtId="9" fontId="2" fillId="10" borderId="0" xfId="0" applyNumberFormat="1" applyFont="1" applyFill="1"/>
    <xf numFmtId="0" fontId="2" fillId="0" borderId="20" xfId="0" applyFont="1" applyBorder="1"/>
    <xf numFmtId="164" fontId="2" fillId="0" borderId="20" xfId="0" applyNumberFormat="1" applyFont="1" applyBorder="1"/>
    <xf numFmtId="165" fontId="3" fillId="0" borderId="20" xfId="0" applyNumberFormat="1" applyFont="1" applyBorder="1"/>
    <xf numFmtId="0" fontId="2" fillId="4" borderId="21" xfId="0" applyFont="1" applyFill="1" applyBorder="1" applyAlignment="1">
      <alignment wrapText="1"/>
    </xf>
    <xf numFmtId="0" fontId="0" fillId="0" borderId="0" xfId="0" quotePrefix="1"/>
    <xf numFmtId="14" fontId="0" fillId="0" borderId="0" xfId="0" applyNumberFormat="1"/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164" fontId="1" fillId="0" borderId="33" xfId="0" applyNumberFormat="1" applyFont="1" applyBorder="1" applyAlignment="1">
      <alignment horizontal="center"/>
    </xf>
    <xf numFmtId="0" fontId="43" fillId="4" borderId="34" xfId="0" applyFont="1" applyFill="1" applyBorder="1" applyAlignment="1">
      <alignment wrapText="1"/>
    </xf>
    <xf numFmtId="164" fontId="2" fillId="4" borderId="35" xfId="0" applyNumberFormat="1" applyFont="1" applyFill="1" applyBorder="1"/>
    <xf numFmtId="0" fontId="43" fillId="4" borderId="36" xfId="0" applyFont="1" applyFill="1" applyBorder="1" applyAlignment="1">
      <alignment wrapText="1"/>
    </xf>
    <xf numFmtId="164" fontId="2" fillId="4" borderId="37" xfId="0" applyNumberFormat="1" applyFont="1" applyFill="1" applyBorder="1"/>
    <xf numFmtId="0" fontId="2" fillId="4" borderId="36" xfId="0" applyFont="1" applyFill="1" applyBorder="1" applyAlignment="1">
      <alignment wrapText="1"/>
    </xf>
    <xf numFmtId="0" fontId="45" fillId="4" borderId="38" xfId="0" applyFont="1" applyFill="1" applyBorder="1" applyAlignment="1">
      <alignment horizontal="right" wrapText="1"/>
    </xf>
    <xf numFmtId="0" fontId="2" fillId="4" borderId="39" xfId="0" applyFont="1" applyFill="1" applyBorder="1"/>
    <xf numFmtId="164" fontId="45" fillId="4" borderId="40" xfId="0" applyNumberFormat="1" applyFont="1" applyFill="1" applyBorder="1"/>
    <xf numFmtId="0" fontId="45" fillId="4" borderId="41" xfId="0" applyFont="1" applyFill="1" applyBorder="1" applyAlignment="1">
      <alignment horizontal="right" wrapText="1"/>
    </xf>
    <xf numFmtId="0" fontId="2" fillId="4" borderId="42" xfId="0" applyFont="1" applyFill="1" applyBorder="1"/>
    <xf numFmtId="164" fontId="45" fillId="4" borderId="43" xfId="0" applyNumberFormat="1" applyFont="1" applyFill="1" applyBorder="1"/>
    <xf numFmtId="169" fontId="0" fillId="0" borderId="0" xfId="2" applyNumberFormat="1" applyFont="1"/>
    <xf numFmtId="0" fontId="39" fillId="0" borderId="0" xfId="0" quotePrefix="1" applyFont="1"/>
    <xf numFmtId="0" fontId="46" fillId="0" borderId="0" xfId="0" applyFont="1"/>
    <xf numFmtId="169" fontId="41" fillId="10" borderId="0" xfId="2" applyNumberFormat="1" applyFont="1" applyFill="1"/>
    <xf numFmtId="43" fontId="0" fillId="0" borderId="0" xfId="0" applyNumberFormat="1"/>
    <xf numFmtId="169" fontId="0" fillId="0" borderId="0" xfId="0" applyNumberFormat="1"/>
    <xf numFmtId="169" fontId="0" fillId="10" borderId="0" xfId="2" applyNumberFormat="1" applyFont="1" applyFill="1"/>
    <xf numFmtId="0" fontId="39" fillId="0" borderId="0" xfId="0" applyFont="1" applyAlignment="1">
      <alignment horizontal="right"/>
    </xf>
    <xf numFmtId="0" fontId="47" fillId="0" borderId="0" xfId="0" applyFont="1"/>
    <xf numFmtId="0" fontId="2" fillId="0" borderId="14" xfId="0" applyFont="1" applyBorder="1" applyAlignment="1">
      <alignment horizontal="center"/>
    </xf>
    <xf numFmtId="0" fontId="8" fillId="0" borderId="15" xfId="0" applyFont="1" applyBorder="1"/>
    <xf numFmtId="0" fontId="1" fillId="0" borderId="14" xfId="0" applyFont="1" applyBorder="1" applyAlignment="1">
      <alignment horizontal="center"/>
    </xf>
    <xf numFmtId="0" fontId="1" fillId="0" borderId="14" xfId="0" applyFont="1" applyBorder="1" applyAlignment="1">
      <alignment horizontal="center" wrapText="1"/>
    </xf>
    <xf numFmtId="0" fontId="26" fillId="0" borderId="6" xfId="0" applyFont="1" applyBorder="1" applyAlignment="1">
      <alignment horizontal="center"/>
    </xf>
    <xf numFmtId="0" fontId="8" fillId="0" borderId="6" xfId="0" applyFont="1" applyBorder="1"/>
    <xf numFmtId="0" fontId="1" fillId="0" borderId="2" xfId="0" applyFont="1" applyBorder="1" applyAlignment="1">
      <alignment horizontal="center"/>
    </xf>
    <xf numFmtId="0" fontId="8" fillId="0" borderId="2" xfId="0" applyFont="1" applyBorder="1"/>
    <xf numFmtId="165" fontId="0" fillId="0" borderId="0" xfId="3" applyNumberFormat="1" applyFont="1"/>
  </cellXfs>
  <cellStyles count="4">
    <cellStyle name="Currency" xfId="2" builtinId="4"/>
    <cellStyle name="Hyperlink" xfId="1" builtinId="8"/>
    <cellStyle name="Normal" xfId="0" builtinId="0"/>
    <cellStyle name="Percent" xfId="3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'Year 1 Traffic'!$B$20:$M$20</c:f>
              <c:numCache>
                <c:formatCode>General</c:formatCode>
                <c:ptCount val="12"/>
                <c:pt idx="0">
                  <c:v>0.6</c:v>
                </c:pt>
                <c:pt idx="1">
                  <c:v>0.7</c:v>
                </c:pt>
                <c:pt idx="2">
                  <c:v>0.9</c:v>
                </c:pt>
                <c:pt idx="3">
                  <c:v>1.1000000000000001</c:v>
                </c:pt>
                <c:pt idx="4">
                  <c:v>1.2</c:v>
                </c:pt>
                <c:pt idx="5">
                  <c:v>1.25</c:v>
                </c:pt>
                <c:pt idx="6">
                  <c:v>1.25</c:v>
                </c:pt>
                <c:pt idx="7">
                  <c:v>1.2</c:v>
                </c:pt>
                <c:pt idx="8">
                  <c:v>1.1000000000000001</c:v>
                </c:pt>
                <c:pt idx="9">
                  <c:v>1</c:v>
                </c:pt>
                <c:pt idx="10">
                  <c:v>0.9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D-430C-9777-47767F3A3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205424"/>
        <c:axId val="2004205840"/>
      </c:lineChart>
      <c:catAx>
        <c:axId val="200420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05840"/>
        <c:crosses val="autoZero"/>
        <c:auto val="1"/>
        <c:lblAlgn val="ctr"/>
        <c:lblOffset val="100"/>
        <c:noMultiLvlLbl val="0"/>
      </c:catAx>
      <c:valAx>
        <c:axId val="20042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0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'Exec Summary-Std'!$C$28</c:f>
              <c:strCache>
                <c:ptCount val="1"/>
                <c:pt idx="0">
                  <c:v>Cash Position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'Exec Summary-Std'!$D$27:$H$27</c:f>
              <c:strCache>
                <c:ptCount val="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</c:strCache>
            </c:strRef>
          </c:cat>
          <c:val>
            <c:numRef>
              <c:f>'Exec Summary-Std'!$D$28:$H$28</c:f>
              <c:numCache>
                <c:formatCode>_("$"* #,##0_);_("$"* \(#,##0\);_("$"* "-"??_);_(@_)</c:formatCode>
                <c:ptCount val="5"/>
                <c:pt idx="0">
                  <c:v>127028.72899517168</c:v>
                </c:pt>
                <c:pt idx="1">
                  <c:v>71365.665462587727</c:v>
                </c:pt>
                <c:pt idx="2">
                  <c:v>102137.35348095003</c:v>
                </c:pt>
                <c:pt idx="3">
                  <c:v>95682.808042634162</c:v>
                </c:pt>
                <c:pt idx="4">
                  <c:v>55003.628733279009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3-4EFC-A52C-C9ED6E918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35040"/>
        <c:axId val="2006749584"/>
      </c:barChart>
      <c:catAx>
        <c:axId val="7103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749584"/>
        <c:crosses val="autoZero"/>
        <c:auto val="1"/>
        <c:lblAlgn val="ctr"/>
        <c:lblOffset val="100"/>
        <c:noMultiLvlLbl val="0"/>
      </c:catAx>
      <c:valAx>
        <c:axId val="20067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3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295275</xdr:colOff>
      <xdr:row>2</xdr:row>
      <xdr:rowOff>85725</xdr:rowOff>
    </xdr:from>
    <xdr:to>
      <xdr:col>8</xdr:col>
      <xdr:colOff>590550</xdr:colOff>
      <xdr:row>9</xdr:row>
      <xdr:rowOff>161737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DD50AD-C45B-CA88-3178-98EBE932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466725"/>
          <a:ext cx="1581150" cy="1409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566370</xdr:colOff>
      <xdr:row>28</xdr:row>
      <xdr:rowOff>167054</xdr:rowOff>
    </xdr:from>
    <xdr:to>
      <xdr:col>7</xdr:col>
      <xdr:colOff>305532</xdr:colOff>
      <xdr:row>43</xdr:row>
      <xdr:rowOff>52754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75D8D-7B3C-C01E-B2F2-FFBC83086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1</xdr:row>
      <xdr:rowOff>0</xdr:rowOff>
    </xdr:from>
    <xdr:to>
      <xdr:col>11</xdr:col>
      <xdr:colOff>781050</xdr:colOff>
      <xdr:row>8</xdr:row>
      <xdr:rowOff>76012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C8544B-A5D1-4623-9145-CEE1E92B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190500"/>
          <a:ext cx="1581150" cy="1409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87313</xdr:rowOff>
    </xdr:from>
    <xdr:to>
      <xdr:col>5</xdr:col>
      <xdr:colOff>182562</xdr:colOff>
      <xdr:row>5</xdr:row>
      <xdr:rowOff>181178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62B438-5BF9-446B-BB9C-4A47B107C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563" y="87313"/>
          <a:ext cx="1182687" cy="10543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0</xdr:row>
      <xdr:rowOff>38100</xdr:rowOff>
    </xdr:from>
    <xdr:to>
      <xdr:col>5</xdr:col>
      <xdr:colOff>1184861</xdr:colOff>
      <xdr:row>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078725-4C97-4354-AB6F-F916D42D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38100"/>
          <a:ext cx="1175336" cy="1047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19050</xdr:rowOff>
    </xdr:from>
    <xdr:to>
      <xdr:col>2</xdr:col>
      <xdr:colOff>1244823</xdr:colOff>
      <xdr:row>4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9F73B2-FC56-447B-8761-97E6B80FA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09550"/>
          <a:ext cx="1025748" cy="914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561975</xdr:colOff>
      <xdr:row>0</xdr:row>
      <xdr:rowOff>66675</xdr:rowOff>
    </xdr:from>
    <xdr:to>
      <xdr:col>3</xdr:col>
      <xdr:colOff>1228725</xdr:colOff>
      <xdr:row>3</xdr:row>
      <xdr:rowOff>89548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4BC6E7-FE79-4218-97D6-C1DC90897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66675"/>
          <a:ext cx="666750" cy="5943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219075</xdr:colOff>
      <xdr:row>0</xdr:row>
      <xdr:rowOff>152400</xdr:rowOff>
    </xdr:from>
    <xdr:to>
      <xdr:col>4</xdr:col>
      <xdr:colOff>419100</xdr:colOff>
      <xdr:row>6</xdr:row>
      <xdr:rowOff>96253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6252BE-C56B-42B7-9A35-AA0CFCF0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152400"/>
          <a:ext cx="1219200" cy="10868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1247775</xdr:colOff>
      <xdr:row>0</xdr:row>
      <xdr:rowOff>38100</xdr:rowOff>
    </xdr:from>
    <xdr:to>
      <xdr:col>5</xdr:col>
      <xdr:colOff>133350</xdr:colOff>
      <xdr:row>4</xdr:row>
      <xdr:rowOff>158134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89AEA-9950-415D-868B-A691AEF4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8375" y="38100"/>
          <a:ext cx="1000125" cy="8915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447675</xdr:colOff>
      <xdr:row>0</xdr:row>
      <xdr:rowOff>57150</xdr:rowOff>
    </xdr:from>
    <xdr:to>
      <xdr:col>5</xdr:col>
      <xdr:colOff>1419998</xdr:colOff>
      <xdr:row>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3EE826-72E0-44F3-AEA5-00B240CF6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57150"/>
          <a:ext cx="972323" cy="8667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974959</xdr:colOff>
      <xdr:row>0</xdr:row>
      <xdr:rowOff>76200</xdr:rowOff>
    </xdr:from>
    <xdr:to>
      <xdr:col>5</xdr:col>
      <xdr:colOff>171450</xdr:colOff>
      <xdr:row>5</xdr:row>
      <xdr:rowOff>104587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0D1006-DCC7-4943-8092-CFA0D9C61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09" y="76200"/>
          <a:ext cx="1111016" cy="99041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0</xdr:row>
      <xdr:rowOff>95250</xdr:rowOff>
    </xdr:from>
    <xdr:to>
      <xdr:col>3</xdr:col>
      <xdr:colOff>219602</xdr:colOff>
      <xdr:row>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1E4E3-B3DD-4746-A0D5-F83C794B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5250"/>
          <a:ext cx="1057802" cy="942975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23</xdr:row>
      <xdr:rowOff>19049</xdr:rowOff>
    </xdr:from>
    <xdr:to>
      <xdr:col>10</xdr:col>
      <xdr:colOff>323850</xdr:colOff>
      <xdr:row>45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06B06-86B7-BE3A-5220-812D3B0AD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arrensburg-mo.com/190/Liquor-License-Fees" TargetMode="External"/><Relationship Id="rId3" Type="http://schemas.openxmlformats.org/officeDocument/2006/relationships/hyperlink" Target="https://www.salestaxhandbook.com/missouri/rates/warrensburg" TargetMode="External"/><Relationship Id="rId7" Type="http://schemas.openxmlformats.org/officeDocument/2006/relationships/hyperlink" Target="https://www.warrensburg-mo.com/190/Liquor-License-Fees" TargetMode="External"/><Relationship Id="rId2" Type="http://schemas.openxmlformats.org/officeDocument/2006/relationships/hyperlink" Target="https://atc.dps.mo.gov/licensing/by_drink.php" TargetMode="External"/><Relationship Id="rId1" Type="http://schemas.openxmlformats.org/officeDocument/2006/relationships/hyperlink" Target="https://atc.dps.mo.gov/licensing/microbrewery.php" TargetMode="External"/><Relationship Id="rId6" Type="http://schemas.openxmlformats.org/officeDocument/2006/relationships/hyperlink" Target="https://atc.dps.mo.gov/licensing/secondary_retail.php" TargetMode="External"/><Relationship Id="rId5" Type="http://schemas.openxmlformats.org/officeDocument/2006/relationships/hyperlink" Target="https://atc.dps.mo.gov/excise_tax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or.mo.gov/taxation/business/tax-types/corporation-income/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3D7A3-7719-4FF3-8788-53AD85D46D9B}">
  <dimension ref="A1:C5"/>
  <sheetViews>
    <sheetView workbookViewId="0">
      <selection activeCell="C6" sqref="C6"/>
    </sheetView>
  </sheetViews>
  <sheetFormatPr defaultRowHeight="15"/>
  <cols>
    <col min="2" max="2" width="10.7109375" bestFit="1" customWidth="1"/>
    <col min="3" max="3" width="76.5703125" bestFit="1" customWidth="1"/>
  </cols>
  <sheetData>
    <row r="1" spans="1:3">
      <c r="A1" t="s">
        <v>607</v>
      </c>
      <c r="B1" t="s">
        <v>608</v>
      </c>
      <c r="C1" t="s">
        <v>609</v>
      </c>
    </row>
    <row r="2" spans="1:3">
      <c r="A2" s="340" t="s">
        <v>610</v>
      </c>
      <c r="B2" s="341">
        <v>44789</v>
      </c>
      <c r="C2" t="s">
        <v>611</v>
      </c>
    </row>
    <row r="3" spans="1:3">
      <c r="A3" s="340" t="s">
        <v>612</v>
      </c>
      <c r="B3" s="341">
        <v>44853</v>
      </c>
      <c r="C3" s="269" t="s">
        <v>624</v>
      </c>
    </row>
    <row r="4" spans="1:3">
      <c r="A4" s="357" t="s">
        <v>626</v>
      </c>
      <c r="B4" s="341">
        <v>44853</v>
      </c>
      <c r="C4" s="269" t="s">
        <v>625</v>
      </c>
    </row>
    <row r="5" spans="1:3">
      <c r="A5" s="340" t="s">
        <v>627</v>
      </c>
      <c r="B5" s="341">
        <v>45022</v>
      </c>
      <c r="C5" s="269" t="s">
        <v>646</v>
      </c>
    </row>
  </sheetData>
  <sheetProtection sheet="1" objects="1" scenarios="1"/>
  <pageMargins left="0.7" right="0.7" top="0.75" bottom="0.75" header="0.3" footer="0.3"/>
  <ignoredErrors>
    <ignoredError sqref="A2:A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S1003"/>
  <sheetViews>
    <sheetView zoomScaleNormal="100" workbookViewId="0">
      <pane xSplit="1" ySplit="2" topLeftCell="B60" activePane="bottomRight" state="frozen"/>
      <selection pane="topRight" activeCell="B1" sqref="B1"/>
      <selection pane="bottomLeft" activeCell="A3" sqref="A3"/>
      <selection pane="bottomRight" activeCell="D73" sqref="D73"/>
    </sheetView>
  </sheetViews>
  <sheetFormatPr defaultColWidth="14.42578125" defaultRowHeight="15" customHeight="1"/>
  <cols>
    <col min="1" max="1" width="7.140625" customWidth="1"/>
    <col min="2" max="2" width="12" customWidth="1"/>
    <col min="3" max="3" width="30.28515625" customWidth="1"/>
    <col min="4" max="4" width="9.28515625" customWidth="1"/>
    <col min="5" max="5" width="9.5703125" customWidth="1"/>
    <col min="6" max="7" width="8.7109375" customWidth="1"/>
    <col min="8" max="11" width="10.5703125" bestFit="1" customWidth="1"/>
    <col min="12" max="12" width="9.28515625" customWidth="1"/>
    <col min="13" max="15" width="11.5703125" customWidth="1"/>
    <col min="16" max="16" width="21.85546875" customWidth="1"/>
    <col min="17" max="17" width="34.7109375" customWidth="1"/>
    <col min="18" max="30" width="17.28515625" customWidth="1"/>
  </cols>
  <sheetData>
    <row r="1" spans="1:16">
      <c r="A1" s="45" t="s">
        <v>462</v>
      </c>
      <c r="B1" s="2"/>
      <c r="C1" s="2"/>
      <c r="D1" s="2"/>
      <c r="E1" s="2"/>
      <c r="L1" s="2"/>
      <c r="M1" s="2"/>
      <c r="N1" s="2"/>
      <c r="O1" s="2"/>
      <c r="P1" s="2"/>
    </row>
    <row r="2" spans="1:16">
      <c r="A2" s="2" t="s">
        <v>122</v>
      </c>
      <c r="B2" s="2"/>
      <c r="C2" s="2"/>
      <c r="D2" s="2"/>
      <c r="E2" s="2"/>
      <c r="L2" s="2"/>
      <c r="M2" s="2"/>
      <c r="N2" s="2"/>
      <c r="O2" s="2"/>
      <c r="P2" s="2"/>
    </row>
    <row r="3" spans="1:16">
      <c r="A3" s="2"/>
      <c r="B3" s="2"/>
      <c r="C3" s="2"/>
      <c r="D3" s="2"/>
      <c r="E3" s="2"/>
      <c r="L3" s="2"/>
      <c r="M3" s="2"/>
      <c r="N3" s="2"/>
      <c r="O3" s="2"/>
      <c r="P3" s="2"/>
    </row>
    <row r="4" spans="1:16">
      <c r="A4" s="2" t="s">
        <v>123</v>
      </c>
      <c r="B4" s="2"/>
      <c r="C4" s="2"/>
      <c r="D4" s="2"/>
      <c r="E4" s="2"/>
      <c r="L4" s="2"/>
      <c r="M4" s="2"/>
      <c r="N4" s="2"/>
      <c r="O4" s="2"/>
      <c r="P4" s="2"/>
    </row>
    <row r="5" spans="1:16">
      <c r="A5" s="2" t="s">
        <v>124</v>
      </c>
      <c r="B5" s="2"/>
      <c r="C5" s="2"/>
      <c r="D5" s="2"/>
      <c r="E5" s="2"/>
      <c r="L5" s="2"/>
      <c r="M5" s="2"/>
      <c r="N5" s="2"/>
      <c r="O5" s="2"/>
      <c r="P5" s="2"/>
    </row>
    <row r="6" spans="1:16">
      <c r="A6" s="2" t="s">
        <v>125</v>
      </c>
      <c r="B6" s="2"/>
      <c r="C6" s="2"/>
      <c r="D6" s="2"/>
      <c r="E6" s="2"/>
      <c r="L6" s="2"/>
      <c r="M6" s="2"/>
      <c r="N6" s="2"/>
      <c r="O6" s="2"/>
      <c r="P6" s="2"/>
    </row>
    <row r="7" spans="1:16">
      <c r="A7" s="2"/>
      <c r="B7" s="2"/>
      <c r="C7" s="2"/>
      <c r="D7" s="2"/>
      <c r="E7" s="2"/>
      <c r="L7" s="2"/>
      <c r="M7" s="2"/>
      <c r="N7" s="2"/>
      <c r="O7" s="2"/>
      <c r="P7" s="2"/>
    </row>
    <row r="8" spans="1:16">
      <c r="A8" s="2"/>
      <c r="B8" s="3"/>
      <c r="C8" s="2"/>
      <c r="D8" s="2"/>
      <c r="E8" s="2"/>
      <c r="L8" s="2"/>
      <c r="M8" s="2"/>
      <c r="N8" s="2"/>
      <c r="O8" s="2"/>
      <c r="P8" s="2"/>
    </row>
    <row r="9" spans="1:16">
      <c r="A9" s="2"/>
      <c r="B9" s="2"/>
      <c r="C9" s="2"/>
      <c r="D9" s="2"/>
      <c r="E9" s="2"/>
      <c r="L9" s="2"/>
      <c r="M9" s="2"/>
      <c r="N9" s="2"/>
      <c r="O9" s="2"/>
      <c r="P9" s="2"/>
    </row>
    <row r="10" spans="1:16">
      <c r="A10" s="2" t="s">
        <v>126</v>
      </c>
      <c r="B10" s="2"/>
      <c r="C10" s="2"/>
      <c r="D10" s="2"/>
      <c r="E10" s="2"/>
      <c r="L10" s="2"/>
      <c r="M10" s="2"/>
      <c r="N10" s="2"/>
      <c r="O10" s="2"/>
      <c r="P10" s="2"/>
    </row>
    <row r="11" spans="1:16">
      <c r="A11" s="2"/>
      <c r="B11" s="2" t="s">
        <v>127</v>
      </c>
      <c r="C11" s="2"/>
      <c r="D11" s="2"/>
      <c r="E11" s="2"/>
      <c r="L11" s="2"/>
      <c r="M11" s="2"/>
      <c r="N11" s="2"/>
      <c r="O11" s="2"/>
      <c r="P11" s="2"/>
    </row>
    <row r="12" spans="1:16">
      <c r="A12" s="46">
        <v>1</v>
      </c>
      <c r="B12" s="47"/>
      <c r="C12" s="48" t="s">
        <v>128</v>
      </c>
      <c r="D12" s="49"/>
      <c r="E12" s="2"/>
      <c r="L12" s="2"/>
      <c r="M12" s="2"/>
      <c r="N12" s="2"/>
      <c r="O12" s="2"/>
      <c r="P12" s="2"/>
    </row>
    <row r="13" spans="1:16">
      <c r="A13" s="31"/>
      <c r="B13" s="50">
        <v>1</v>
      </c>
      <c r="C13" s="32" t="s">
        <v>129</v>
      </c>
      <c r="D13" s="34"/>
      <c r="E13" s="2"/>
      <c r="L13" s="2"/>
      <c r="M13" s="2"/>
      <c r="N13" s="2"/>
      <c r="O13" s="2"/>
      <c r="P13" s="2"/>
    </row>
    <row r="14" spans="1:16">
      <c r="A14" s="46">
        <v>2</v>
      </c>
      <c r="B14" s="47">
        <v>0</v>
      </c>
      <c r="C14" s="48" t="s">
        <v>130</v>
      </c>
      <c r="D14" s="49"/>
      <c r="E14" s="2"/>
      <c r="L14" s="2"/>
      <c r="M14" s="2"/>
      <c r="N14" s="2"/>
      <c r="O14" s="2"/>
      <c r="P14" s="2"/>
    </row>
    <row r="15" spans="1:16">
      <c r="A15" s="31"/>
      <c r="B15" s="50">
        <v>1</v>
      </c>
      <c r="C15" s="32" t="s">
        <v>129</v>
      </c>
      <c r="D15" s="34"/>
      <c r="E15" s="2"/>
      <c r="L15" s="2"/>
      <c r="M15" s="2"/>
      <c r="N15" s="2"/>
      <c r="O15" s="2"/>
      <c r="P15" s="2"/>
    </row>
    <row r="16" spans="1:16">
      <c r="A16" s="2"/>
      <c r="B16" s="51"/>
      <c r="C16" s="2"/>
      <c r="D16" s="2"/>
      <c r="E16" s="2"/>
      <c r="L16" s="2"/>
      <c r="M16" s="2"/>
      <c r="N16" s="2"/>
      <c r="O16" s="2"/>
      <c r="P16" s="2"/>
    </row>
    <row r="17" spans="1:16">
      <c r="A17" s="2"/>
      <c r="B17" s="2" t="s">
        <v>131</v>
      </c>
      <c r="C17" s="2"/>
      <c r="D17" s="2"/>
      <c r="E17" s="2"/>
      <c r="L17" s="2"/>
      <c r="M17" s="2"/>
      <c r="N17" s="2"/>
      <c r="O17" s="2"/>
      <c r="P17" s="2"/>
    </row>
    <row r="18" spans="1:16">
      <c r="A18" s="46">
        <v>1</v>
      </c>
      <c r="B18" s="47">
        <v>0</v>
      </c>
      <c r="C18" s="48" t="s">
        <v>128</v>
      </c>
      <c r="D18" s="49"/>
      <c r="E18" s="2"/>
      <c r="L18" s="2"/>
      <c r="M18" s="2"/>
      <c r="N18" s="2"/>
      <c r="O18" s="2"/>
      <c r="P18" s="2"/>
    </row>
    <row r="19" spans="1:16">
      <c r="A19" s="31"/>
      <c r="B19" s="50">
        <v>1</v>
      </c>
      <c r="C19" s="32" t="s">
        <v>129</v>
      </c>
      <c r="D19" s="34"/>
      <c r="E19" s="2"/>
      <c r="L19" s="2"/>
      <c r="M19" s="2"/>
      <c r="N19" s="2"/>
      <c r="O19" s="2"/>
      <c r="P19" s="2"/>
    </row>
    <row r="20" spans="1:16">
      <c r="A20" s="46">
        <v>2</v>
      </c>
      <c r="B20" s="47">
        <v>0</v>
      </c>
      <c r="C20" s="48" t="s">
        <v>128</v>
      </c>
      <c r="D20" s="49"/>
      <c r="E20" s="2"/>
      <c r="L20" s="2"/>
      <c r="M20" s="2"/>
      <c r="N20" s="2"/>
      <c r="O20" s="2"/>
      <c r="P20" s="2"/>
    </row>
    <row r="21" spans="1:16" ht="15.75" customHeight="1">
      <c r="A21" s="31"/>
      <c r="B21" s="50">
        <v>1</v>
      </c>
      <c r="C21" s="32" t="s">
        <v>129</v>
      </c>
      <c r="D21" s="34"/>
      <c r="E21" s="2"/>
      <c r="L21" s="2"/>
      <c r="M21" s="2"/>
      <c r="N21" s="2"/>
      <c r="O21" s="2"/>
      <c r="P21" s="2"/>
    </row>
    <row r="22" spans="1:16" ht="15.75" customHeight="1">
      <c r="A22" s="2"/>
      <c r="B22" s="51"/>
      <c r="C22" s="2"/>
      <c r="D22" s="2"/>
      <c r="E22" s="2"/>
      <c r="L22" s="2"/>
      <c r="M22" s="2"/>
      <c r="N22" s="2"/>
      <c r="O22" s="2"/>
      <c r="P22" s="2"/>
    </row>
    <row r="23" spans="1:16" ht="15.75" customHeight="1">
      <c r="A23" s="2"/>
      <c r="B23" s="39" t="s">
        <v>132</v>
      </c>
      <c r="C23" s="2"/>
      <c r="D23" s="2"/>
      <c r="E23" s="2"/>
      <c r="L23" s="2"/>
      <c r="M23" s="2"/>
      <c r="N23" s="2"/>
      <c r="O23" s="2"/>
      <c r="P23" s="2"/>
    </row>
    <row r="24" spans="1:16" ht="15.75" customHeight="1">
      <c r="A24" s="46">
        <v>1</v>
      </c>
      <c r="B24" s="47"/>
      <c r="C24" s="48" t="s">
        <v>128</v>
      </c>
      <c r="D24" s="49"/>
      <c r="E24" s="283"/>
      <c r="L24" s="2"/>
      <c r="M24" s="2"/>
      <c r="N24" s="2"/>
      <c r="O24" s="2"/>
      <c r="P24" s="2"/>
    </row>
    <row r="25" spans="1:16" ht="15.75" customHeight="1">
      <c r="A25" s="31"/>
      <c r="B25" s="50">
        <v>1</v>
      </c>
      <c r="C25" s="32" t="s">
        <v>129</v>
      </c>
      <c r="D25" s="34"/>
      <c r="E25" s="2"/>
      <c r="L25" s="2"/>
      <c r="M25" s="2"/>
      <c r="N25" s="2"/>
      <c r="O25" s="2"/>
      <c r="P25" s="2"/>
    </row>
    <row r="26" spans="1:16" ht="15.75" customHeight="1">
      <c r="A26" s="46">
        <v>2</v>
      </c>
      <c r="B26" s="47">
        <v>0</v>
      </c>
      <c r="C26" s="48" t="s">
        <v>128</v>
      </c>
      <c r="D26" s="49"/>
      <c r="E26" s="2"/>
      <c r="L26" s="2"/>
      <c r="M26" s="2"/>
      <c r="N26" s="2"/>
      <c r="O26" s="2"/>
      <c r="P26" s="2"/>
    </row>
    <row r="27" spans="1:16" ht="15.75" customHeight="1">
      <c r="A27" s="31"/>
      <c r="B27" s="50">
        <v>1</v>
      </c>
      <c r="C27" s="32" t="s">
        <v>129</v>
      </c>
      <c r="D27" s="34"/>
      <c r="E27" s="2"/>
      <c r="L27" s="2"/>
      <c r="M27" s="2"/>
      <c r="N27" s="2"/>
      <c r="O27" s="2"/>
      <c r="P27" s="2"/>
    </row>
    <row r="28" spans="1:16" ht="15.75" customHeight="1">
      <c r="A28" s="46">
        <v>3</v>
      </c>
      <c r="B28" s="47">
        <v>0</v>
      </c>
      <c r="C28" s="48" t="s">
        <v>128</v>
      </c>
      <c r="D28" s="49"/>
      <c r="E28" s="2"/>
      <c r="L28" s="2"/>
      <c r="M28" s="2"/>
      <c r="N28" s="2"/>
      <c r="O28" s="2"/>
      <c r="P28" s="2"/>
    </row>
    <row r="29" spans="1:16" ht="15.75" customHeight="1">
      <c r="A29" s="31"/>
      <c r="B29" s="50">
        <v>1</v>
      </c>
      <c r="C29" s="32" t="s">
        <v>129</v>
      </c>
      <c r="D29" s="34"/>
      <c r="E29" s="2"/>
      <c r="L29" s="2"/>
      <c r="M29" s="2"/>
      <c r="N29" s="2"/>
      <c r="O29" s="2"/>
      <c r="P29" s="2"/>
    </row>
    <row r="30" spans="1:16" ht="15.75" customHeight="1">
      <c r="A30" s="46">
        <v>4</v>
      </c>
      <c r="B30" s="47">
        <v>0</v>
      </c>
      <c r="C30" s="48" t="s">
        <v>128</v>
      </c>
      <c r="D30" s="49"/>
      <c r="E30" s="2"/>
      <c r="L30" s="2"/>
      <c r="M30" s="2"/>
      <c r="N30" s="2"/>
      <c r="O30" s="2"/>
      <c r="P30" s="2"/>
    </row>
    <row r="31" spans="1:16" ht="15.75" customHeight="1">
      <c r="A31" s="31"/>
      <c r="B31" s="50">
        <v>1</v>
      </c>
      <c r="C31" s="32" t="s">
        <v>129</v>
      </c>
      <c r="D31" s="34"/>
      <c r="E31" s="2"/>
      <c r="L31" s="2"/>
      <c r="M31" s="2"/>
      <c r="N31" s="2"/>
      <c r="O31" s="2"/>
      <c r="P31" s="2"/>
    </row>
    <row r="32" spans="1:16" ht="15.75" customHeight="1">
      <c r="A32" s="2"/>
      <c r="B32" s="51"/>
      <c r="C32" s="2"/>
      <c r="D32" s="2"/>
      <c r="E32" s="2"/>
      <c r="L32" s="2"/>
      <c r="M32" s="2"/>
      <c r="N32" s="2"/>
      <c r="O32" s="2"/>
      <c r="P32" s="2"/>
    </row>
    <row r="33" spans="1:16" ht="15.75" customHeight="1">
      <c r="A33" s="2" t="s">
        <v>133</v>
      </c>
      <c r="B33" s="52"/>
      <c r="C33" s="2"/>
      <c r="D33" s="2"/>
      <c r="E33" s="2"/>
      <c r="L33" s="2"/>
      <c r="M33" s="2"/>
      <c r="N33" s="2"/>
      <c r="O33" s="2"/>
      <c r="P33" s="2"/>
    </row>
    <row r="34" spans="1:16" ht="15.75" customHeight="1">
      <c r="A34" s="46">
        <v>1</v>
      </c>
      <c r="B34" s="53">
        <v>800000</v>
      </c>
      <c r="C34" s="48" t="s">
        <v>134</v>
      </c>
      <c r="D34" s="49"/>
      <c r="E34" s="2"/>
      <c r="L34" s="2"/>
      <c r="M34" s="2"/>
      <c r="N34" s="2"/>
      <c r="O34" s="2"/>
      <c r="P34" s="2"/>
    </row>
    <row r="35" spans="1:16" ht="15.75" customHeight="1">
      <c r="A35" s="54"/>
      <c r="B35" s="38">
        <v>120</v>
      </c>
      <c r="C35" s="2" t="s">
        <v>135</v>
      </c>
      <c r="D35" s="55"/>
      <c r="E35" s="2"/>
      <c r="L35" s="2"/>
      <c r="M35" s="2"/>
      <c r="N35" s="2"/>
      <c r="O35" s="2"/>
      <c r="P35" s="2"/>
    </row>
    <row r="36" spans="1:16" ht="15.75" customHeight="1">
      <c r="A36" s="54"/>
      <c r="B36" s="51">
        <v>1</v>
      </c>
      <c r="C36" s="2" t="s">
        <v>129</v>
      </c>
      <c r="D36" s="55"/>
      <c r="E36" s="2"/>
      <c r="L36" s="2"/>
      <c r="M36" s="2"/>
      <c r="N36" s="2"/>
      <c r="O36" s="2"/>
      <c r="P36" s="2"/>
    </row>
    <row r="37" spans="1:16" ht="15.75" customHeight="1">
      <c r="A37" s="31"/>
      <c r="B37" s="56">
        <v>0.1</v>
      </c>
      <c r="C37" s="32" t="s">
        <v>136</v>
      </c>
      <c r="D37" s="34"/>
      <c r="E37" s="2"/>
      <c r="L37" s="2"/>
      <c r="M37" s="2"/>
      <c r="N37" s="2"/>
      <c r="O37" s="2"/>
      <c r="P37" s="2"/>
    </row>
    <row r="38" spans="1:16" ht="15.75" customHeight="1">
      <c r="A38" s="46">
        <v>2</v>
      </c>
      <c r="B38" s="53">
        <v>0</v>
      </c>
      <c r="C38" s="48" t="s">
        <v>134</v>
      </c>
      <c r="D38" s="49"/>
      <c r="E38" s="2"/>
      <c r="L38" s="2"/>
      <c r="M38" s="2"/>
      <c r="N38" s="2"/>
      <c r="O38" s="2"/>
      <c r="P38" s="2"/>
    </row>
    <row r="39" spans="1:16" ht="15.75" customHeight="1">
      <c r="A39" s="54"/>
      <c r="B39" s="38">
        <v>0</v>
      </c>
      <c r="C39" s="2" t="s">
        <v>135</v>
      </c>
      <c r="D39" s="55"/>
      <c r="E39" s="2"/>
      <c r="L39" s="2"/>
      <c r="M39" s="2"/>
      <c r="N39" s="2"/>
      <c r="O39" s="2"/>
      <c r="P39" s="2"/>
    </row>
    <row r="40" spans="1:16" ht="15.75" customHeight="1">
      <c r="A40" s="54"/>
      <c r="B40" s="51">
        <v>1</v>
      </c>
      <c r="C40" s="2" t="s">
        <v>129</v>
      </c>
      <c r="D40" s="55"/>
      <c r="E40" s="2"/>
      <c r="L40" s="2"/>
      <c r="M40" s="2"/>
      <c r="N40" s="2"/>
      <c r="O40" s="2"/>
      <c r="P40" s="2"/>
    </row>
    <row r="41" spans="1:16" ht="15.75" customHeight="1">
      <c r="A41" s="31"/>
      <c r="B41" s="56">
        <v>0</v>
      </c>
      <c r="C41" s="32" t="s">
        <v>136</v>
      </c>
      <c r="D41" s="34"/>
      <c r="E41" s="2"/>
      <c r="L41" s="2"/>
      <c r="M41" s="2"/>
      <c r="N41" s="2"/>
      <c r="O41" s="2"/>
      <c r="P41" s="2"/>
    </row>
    <row r="42" spans="1:16" ht="15.75" customHeight="1">
      <c r="A42" s="2"/>
      <c r="B42" s="57"/>
      <c r="C42" s="2"/>
      <c r="D42" s="2"/>
      <c r="E42" s="2"/>
      <c r="L42" s="2"/>
      <c r="M42" s="2"/>
      <c r="N42" s="2"/>
      <c r="O42" s="2"/>
      <c r="P42" s="2"/>
    </row>
    <row r="43" spans="1:16" ht="15.75" customHeight="1">
      <c r="A43" s="2" t="s">
        <v>137</v>
      </c>
      <c r="B43" s="2"/>
      <c r="C43" s="2"/>
      <c r="D43" s="2"/>
      <c r="E43" s="2"/>
      <c r="L43" s="2"/>
      <c r="M43" s="2"/>
      <c r="N43" s="2"/>
      <c r="O43" s="2"/>
      <c r="P43" s="2"/>
    </row>
    <row r="44" spans="1:16" ht="15.75" customHeight="1">
      <c r="A44" s="46"/>
      <c r="B44" s="58" t="s">
        <v>138</v>
      </c>
      <c r="C44" s="48" t="s">
        <v>139</v>
      </c>
      <c r="D44" s="49"/>
      <c r="E44" s="2"/>
      <c r="L44" s="2"/>
      <c r="M44" s="2"/>
      <c r="N44" s="2"/>
      <c r="O44" s="2"/>
      <c r="P44" s="2"/>
    </row>
    <row r="45" spans="1:16" ht="15.75" customHeight="1">
      <c r="A45" s="54"/>
      <c r="B45" s="59">
        <v>5000</v>
      </c>
      <c r="C45" s="2" t="s">
        <v>140</v>
      </c>
      <c r="D45" s="55"/>
      <c r="E45" s="2"/>
      <c r="L45" s="2"/>
      <c r="M45" s="2"/>
      <c r="N45" s="2"/>
      <c r="O45" s="2"/>
      <c r="P45" s="2"/>
    </row>
    <row r="46" spans="1:16" ht="15.75" customHeight="1">
      <c r="A46" s="31"/>
      <c r="B46" s="50">
        <v>1</v>
      </c>
      <c r="C46" s="32" t="s">
        <v>141</v>
      </c>
      <c r="D46" s="34"/>
      <c r="E46" s="2"/>
      <c r="L46" s="2"/>
      <c r="M46" s="2"/>
      <c r="N46" s="2"/>
      <c r="O46" s="2"/>
      <c r="P46" s="2"/>
    </row>
    <row r="47" spans="1:16" ht="15.75" customHeight="1">
      <c r="A47" s="2"/>
      <c r="B47" s="2"/>
      <c r="C47" s="2"/>
      <c r="D47" s="2"/>
      <c r="E47" s="2"/>
      <c r="L47" s="2"/>
      <c r="M47" s="2"/>
      <c r="N47" s="2"/>
      <c r="O47" s="2"/>
      <c r="P47" s="2"/>
    </row>
    <row r="48" spans="1:16" ht="15.75" customHeight="1">
      <c r="A48" s="2" t="s">
        <v>464</v>
      </c>
      <c r="B48" s="2"/>
      <c r="C48" s="262">
        <v>9.4750000000000001E-2</v>
      </c>
      <c r="D48" s="263" t="s">
        <v>463</v>
      </c>
      <c r="E48" s="2"/>
      <c r="L48" s="2"/>
      <c r="M48" s="2"/>
      <c r="N48" s="2"/>
      <c r="O48" s="2"/>
      <c r="P48" s="2"/>
    </row>
    <row r="49" spans="1:19" ht="15.75" customHeight="1">
      <c r="A49" s="2"/>
      <c r="B49" s="2"/>
      <c r="C49" s="2"/>
      <c r="D49" s="2"/>
      <c r="E49" s="2"/>
      <c r="L49" s="2"/>
      <c r="M49" s="2"/>
      <c r="N49" s="2"/>
      <c r="O49" s="2"/>
      <c r="P49" s="2"/>
    </row>
    <row r="50" spans="1:19" ht="15.75" customHeight="1">
      <c r="A50" s="283" t="s">
        <v>560</v>
      </c>
      <c r="B50" s="2"/>
      <c r="C50" s="57">
        <v>0.25</v>
      </c>
      <c r="D50" s="263" t="s">
        <v>465</v>
      </c>
      <c r="E50" s="283" t="s">
        <v>561</v>
      </c>
      <c r="L50" s="2"/>
      <c r="M50" s="2"/>
      <c r="N50" s="2"/>
      <c r="O50" s="2"/>
      <c r="P50" s="2"/>
    </row>
    <row r="51" spans="1:19" ht="15.75" customHeight="1">
      <c r="A51" s="2"/>
      <c r="B51" s="2"/>
      <c r="C51" s="2"/>
      <c r="D51" s="2"/>
      <c r="E51" s="2"/>
      <c r="L51" s="2"/>
      <c r="M51" s="2"/>
      <c r="N51" s="2"/>
      <c r="O51" s="2"/>
      <c r="P51" s="2"/>
    </row>
    <row r="52" spans="1:19" ht="15.75" customHeight="1">
      <c r="A52" s="2" t="s">
        <v>142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 spans="1:19" ht="15.75" customHeight="1">
      <c r="A53" s="2"/>
      <c r="B53" s="59">
        <v>3.5</v>
      </c>
      <c r="C53" s="2" t="s">
        <v>143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 spans="1:19" ht="15.75" customHeight="1">
      <c r="A54" s="2"/>
      <c r="B54" s="59">
        <f>0.06*31</f>
        <v>1.8599999999999999</v>
      </c>
      <c r="C54" s="263" t="s">
        <v>466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</row>
    <row r="55" spans="1:19" ht="15.75" customHeight="1">
      <c r="A55" s="2"/>
      <c r="B55" s="2"/>
      <c r="C55" s="2"/>
      <c r="D55" s="2"/>
      <c r="E55" s="2"/>
      <c r="L55" s="2"/>
      <c r="M55" s="2"/>
      <c r="N55" s="2"/>
      <c r="O55" s="2"/>
      <c r="P55" s="2"/>
    </row>
    <row r="56" spans="1:19" ht="15.75" customHeight="1">
      <c r="A56" s="2" t="s">
        <v>144</v>
      </c>
      <c r="B56" s="2"/>
      <c r="C56" s="2"/>
      <c r="D56" s="2"/>
      <c r="E56" s="2"/>
      <c r="L56" s="2"/>
      <c r="M56" s="2"/>
      <c r="N56" s="2"/>
      <c r="O56" s="2"/>
      <c r="P56" s="2"/>
    </row>
    <row r="57" spans="1:19" ht="15.75" customHeight="1">
      <c r="A57" s="2"/>
      <c r="B57" s="60">
        <v>0.5</v>
      </c>
      <c r="C57" s="2" t="s">
        <v>145</v>
      </c>
      <c r="D57" s="2"/>
      <c r="E57" s="2"/>
      <c r="L57" s="2"/>
      <c r="M57" s="2"/>
      <c r="N57" s="2"/>
      <c r="O57" s="2"/>
      <c r="P57" s="2"/>
    </row>
    <row r="58" spans="1:19" ht="15.75" customHeight="1">
      <c r="A58" s="2"/>
      <c r="B58" s="60">
        <v>0.5</v>
      </c>
      <c r="C58" s="2" t="s">
        <v>146</v>
      </c>
      <c r="D58" s="2"/>
      <c r="E58" s="2"/>
      <c r="L58" s="2"/>
      <c r="M58" s="2"/>
      <c r="N58" s="2"/>
      <c r="O58" s="2"/>
      <c r="P58" s="2"/>
    </row>
    <row r="59" spans="1:19" ht="15.75" customHeight="1">
      <c r="A59" s="2"/>
      <c r="B59" s="61">
        <f>SUM(B57:B58)</f>
        <v>1</v>
      </c>
      <c r="C59" s="2"/>
      <c r="D59" s="2"/>
      <c r="E59" s="2"/>
      <c r="L59" s="2"/>
      <c r="M59" s="2"/>
      <c r="N59" s="2"/>
      <c r="O59" s="2"/>
      <c r="P59" s="2"/>
    </row>
    <row r="60" spans="1:19" ht="15.75" customHeight="1">
      <c r="A60" s="2"/>
      <c r="B60" s="2"/>
      <c r="C60" s="2"/>
      <c r="D60" s="2"/>
      <c r="E60" s="2"/>
      <c r="L60" s="2"/>
      <c r="M60" s="2"/>
      <c r="N60" s="2"/>
      <c r="O60" s="2"/>
      <c r="P60" s="2"/>
    </row>
    <row r="61" spans="1:19" ht="15.75" customHeight="1">
      <c r="A61" s="2"/>
      <c r="B61" s="2"/>
      <c r="C61" s="2"/>
      <c r="D61" s="2"/>
      <c r="E61" s="2"/>
      <c r="L61" s="2"/>
      <c r="M61" s="2"/>
      <c r="N61" s="2"/>
      <c r="O61" s="2"/>
      <c r="P61" s="2"/>
    </row>
    <row r="62" spans="1:19" ht="15.75" customHeight="1">
      <c r="A62" s="1" t="s">
        <v>147</v>
      </c>
      <c r="B62" s="2"/>
      <c r="C62" s="2"/>
      <c r="D62" s="365" t="s">
        <v>148</v>
      </c>
      <c r="E62" s="366"/>
      <c r="F62" s="366"/>
      <c r="G62" s="366"/>
      <c r="H62" s="328"/>
      <c r="I62" s="328"/>
      <c r="J62" s="328"/>
      <c r="K62" s="328"/>
      <c r="L62" s="2"/>
      <c r="M62" s="2"/>
      <c r="N62" s="2"/>
      <c r="O62" s="2"/>
      <c r="P62" s="2"/>
      <c r="Q62" s="1" t="s">
        <v>149</v>
      </c>
    </row>
    <row r="63" spans="1:19" ht="15.75" customHeight="1">
      <c r="A63" s="2"/>
      <c r="B63" s="2"/>
      <c r="C63" s="2"/>
      <c r="D63" s="62" t="s">
        <v>150</v>
      </c>
      <c r="E63" s="62" t="s">
        <v>151</v>
      </c>
      <c r="F63" s="62" t="s">
        <v>152</v>
      </c>
      <c r="G63" s="62" t="s">
        <v>153</v>
      </c>
      <c r="H63" s="329"/>
      <c r="I63" s="329"/>
      <c r="J63" s="329"/>
      <c r="K63" s="329"/>
      <c r="L63" s="2"/>
      <c r="M63" s="2"/>
      <c r="N63" s="2"/>
      <c r="O63" s="2"/>
      <c r="P63" s="2"/>
      <c r="Q63" s="63" t="s">
        <v>154</v>
      </c>
    </row>
    <row r="64" spans="1:19" ht="15.75" customHeight="1">
      <c r="A64" s="2"/>
      <c r="B64" s="59">
        <v>250</v>
      </c>
      <c r="C64" s="2" t="s">
        <v>46</v>
      </c>
      <c r="D64" s="60">
        <v>0.05</v>
      </c>
      <c r="E64" s="60">
        <v>0.15</v>
      </c>
      <c r="F64" s="60">
        <v>0.15</v>
      </c>
      <c r="G64" s="60">
        <v>0.15</v>
      </c>
      <c r="H64" s="330">
        <f>B64*(1+D64)</f>
        <v>262.5</v>
      </c>
      <c r="I64" s="330">
        <f>H64*(1+E64)</f>
        <v>301.875</v>
      </c>
      <c r="J64" s="330">
        <f>I64*(1+F64)</f>
        <v>347.15625</v>
      </c>
      <c r="K64" s="330">
        <f>J64*(1+G64)</f>
        <v>399.22968749999995</v>
      </c>
      <c r="L64" s="330"/>
      <c r="M64" s="2"/>
      <c r="N64" s="2"/>
      <c r="O64" s="2"/>
      <c r="P64" s="2"/>
      <c r="Q64" s="263" t="s">
        <v>467</v>
      </c>
      <c r="R64" s="64">
        <v>250</v>
      </c>
      <c r="S64" t="s">
        <v>468</v>
      </c>
    </row>
    <row r="65" spans="1:19" ht="15.75" customHeight="1">
      <c r="A65" s="2"/>
      <c r="B65" s="60">
        <v>0.03</v>
      </c>
      <c r="C65" s="2" t="s">
        <v>460</v>
      </c>
      <c r="D65" s="60"/>
      <c r="E65" s="60"/>
      <c r="F65" s="2"/>
      <c r="G65" s="2"/>
      <c r="I65" s="2"/>
      <c r="J65" s="2"/>
      <c r="K65" s="2"/>
      <c r="L65" s="2"/>
      <c r="M65" s="2"/>
      <c r="N65" s="2"/>
      <c r="O65" s="2"/>
      <c r="P65" s="2"/>
      <c r="Q65" s="263" t="s">
        <v>469</v>
      </c>
      <c r="R65" s="64">
        <v>300</v>
      </c>
    </row>
    <row r="66" spans="1:19" ht="15.75" customHeight="1">
      <c r="A66" s="2"/>
      <c r="B66" s="59">
        <f>(169+195+899)/12</f>
        <v>105.25</v>
      </c>
      <c r="C66" s="2" t="s">
        <v>155</v>
      </c>
      <c r="D66" s="60">
        <v>0.05</v>
      </c>
      <c r="E66" s="60">
        <v>0.05</v>
      </c>
      <c r="F66" s="60">
        <v>0.05</v>
      </c>
      <c r="G66" s="60">
        <v>0.05</v>
      </c>
      <c r="H66" s="330">
        <f>B66*(1+D66)</f>
        <v>110.5125</v>
      </c>
      <c r="I66" s="330">
        <f t="shared" ref="I66:K68" si="0">H66*(1+E66)</f>
        <v>116.03812500000001</v>
      </c>
      <c r="J66" s="330">
        <f t="shared" si="0"/>
        <v>121.84003125000001</v>
      </c>
      <c r="K66" s="330">
        <f t="shared" si="0"/>
        <v>127.93203281250001</v>
      </c>
      <c r="L66" s="2"/>
      <c r="M66" s="2" t="s">
        <v>601</v>
      </c>
      <c r="N66" s="2"/>
      <c r="O66" s="2"/>
      <c r="P66" s="2"/>
      <c r="Q66" s="263" t="s">
        <v>470</v>
      </c>
      <c r="R66" s="64">
        <v>225</v>
      </c>
      <c r="S66" t="s">
        <v>471</v>
      </c>
    </row>
    <row r="67" spans="1:19" ht="15.75" customHeight="1">
      <c r="A67" s="2"/>
      <c r="B67" s="59">
        <v>100</v>
      </c>
      <c r="C67" s="21" t="s">
        <v>50</v>
      </c>
      <c r="D67" s="60">
        <v>0.05</v>
      </c>
      <c r="E67" s="60">
        <v>0.04</v>
      </c>
      <c r="F67" s="60">
        <v>0.03</v>
      </c>
      <c r="G67" s="60">
        <v>0.02</v>
      </c>
      <c r="H67" s="330">
        <f>B67*(1+D67)</f>
        <v>105</v>
      </c>
      <c r="I67" s="330">
        <f t="shared" si="0"/>
        <v>109.2</v>
      </c>
      <c r="J67" s="330">
        <f t="shared" si="0"/>
        <v>112.476</v>
      </c>
      <c r="K67" s="330">
        <f t="shared" si="0"/>
        <v>114.72552</v>
      </c>
      <c r="L67" s="2"/>
      <c r="M67" s="2"/>
      <c r="N67" s="2"/>
      <c r="O67" s="2"/>
      <c r="P67" s="2"/>
      <c r="Q67" s="263" t="s">
        <v>597</v>
      </c>
      <c r="R67" s="64">
        <v>450</v>
      </c>
    </row>
    <row r="68" spans="1:19" ht="15.75" customHeight="1">
      <c r="A68" s="2"/>
      <c r="B68" s="59">
        <v>450</v>
      </c>
      <c r="C68" s="24" t="s">
        <v>156</v>
      </c>
      <c r="D68" s="60">
        <v>0.05</v>
      </c>
      <c r="E68" s="60">
        <v>0.04</v>
      </c>
      <c r="F68" s="60">
        <v>0.03</v>
      </c>
      <c r="G68" s="60">
        <v>0.02</v>
      </c>
      <c r="H68" s="330">
        <f>B68*(1+D68)</f>
        <v>472.5</v>
      </c>
      <c r="I68" s="330">
        <f t="shared" si="0"/>
        <v>491.40000000000003</v>
      </c>
      <c r="J68" s="330">
        <f t="shared" si="0"/>
        <v>506.14200000000005</v>
      </c>
      <c r="K68" s="330">
        <f t="shared" si="0"/>
        <v>516.26484000000005</v>
      </c>
      <c r="L68" s="2"/>
      <c r="M68" s="66"/>
      <c r="N68" s="2"/>
      <c r="O68" s="2"/>
      <c r="P68" s="2"/>
      <c r="Q68" s="263" t="s">
        <v>598</v>
      </c>
      <c r="R68" s="64">
        <v>300</v>
      </c>
    </row>
    <row r="69" spans="1:19" ht="15.75" customHeight="1">
      <c r="A69" s="2"/>
      <c r="B69" s="59">
        <f>SUM(R64:R70)/12</f>
        <v>139.58333333333334</v>
      </c>
      <c r="C69" s="24" t="s">
        <v>157</v>
      </c>
      <c r="D69" s="60"/>
      <c r="E69" s="60"/>
      <c r="F69" s="2"/>
      <c r="G69" s="2"/>
      <c r="H69" s="2"/>
      <c r="I69" s="2"/>
      <c r="J69" s="2"/>
      <c r="K69" s="2"/>
      <c r="L69" s="2"/>
      <c r="M69" s="265" t="s">
        <v>473</v>
      </c>
      <c r="N69" s="2"/>
      <c r="O69" s="2"/>
      <c r="P69" s="2"/>
      <c r="Q69" s="263" t="s">
        <v>599</v>
      </c>
      <c r="R69" s="64">
        <v>75</v>
      </c>
    </row>
    <row r="70" spans="1:19" ht="15.75" customHeight="1">
      <c r="A70" s="2"/>
      <c r="B70" s="59">
        <v>100</v>
      </c>
      <c r="C70" s="24" t="s">
        <v>53</v>
      </c>
      <c r="D70" s="60">
        <v>0.05</v>
      </c>
      <c r="E70" s="60">
        <v>0.06</v>
      </c>
      <c r="F70" s="60">
        <v>0.1</v>
      </c>
      <c r="G70" s="60">
        <v>0.1</v>
      </c>
      <c r="H70" s="330">
        <f>B70*(1+D70)</f>
        <v>105</v>
      </c>
      <c r="I70" s="330">
        <f t="shared" ref="I70:K72" si="1">H70*(1+E70)</f>
        <v>111.30000000000001</v>
      </c>
      <c r="J70" s="330">
        <f t="shared" si="1"/>
        <v>122.43000000000002</v>
      </c>
      <c r="K70" s="330">
        <f t="shared" si="1"/>
        <v>134.67300000000003</v>
      </c>
      <c r="L70" s="2"/>
      <c r="M70" s="2"/>
      <c r="N70" s="2"/>
      <c r="O70" s="2"/>
      <c r="P70" s="2"/>
      <c r="Q70" s="263" t="s">
        <v>600</v>
      </c>
      <c r="R70" s="64">
        <v>75</v>
      </c>
    </row>
    <row r="71" spans="1:19" ht="15.75" customHeight="1">
      <c r="A71" s="2"/>
      <c r="B71" s="59">
        <v>100</v>
      </c>
      <c r="C71" s="24" t="s">
        <v>158</v>
      </c>
      <c r="D71" s="60">
        <v>0.03</v>
      </c>
      <c r="E71" s="60">
        <v>0.03</v>
      </c>
      <c r="F71" s="60">
        <v>0.03</v>
      </c>
      <c r="G71" s="60">
        <v>0.03</v>
      </c>
      <c r="H71" s="330">
        <f>B71*(1+D71)</f>
        <v>103</v>
      </c>
      <c r="I71" s="330">
        <f t="shared" si="1"/>
        <v>106.09</v>
      </c>
      <c r="J71" s="330">
        <f t="shared" si="1"/>
        <v>109.2727</v>
      </c>
      <c r="K71" s="330">
        <f t="shared" si="1"/>
        <v>112.550881</v>
      </c>
      <c r="L71" s="2"/>
      <c r="M71" s="2"/>
      <c r="N71" s="2"/>
      <c r="O71" s="2"/>
      <c r="P71" s="2"/>
    </row>
    <row r="72" spans="1:19" ht="15.75" customHeight="1">
      <c r="A72" s="2"/>
      <c r="B72" s="59">
        <v>4000</v>
      </c>
      <c r="C72" s="2" t="s">
        <v>159</v>
      </c>
      <c r="D72" s="60">
        <v>0.03</v>
      </c>
      <c r="E72" s="60">
        <v>0.06</v>
      </c>
      <c r="F72" s="60">
        <v>0.09</v>
      </c>
      <c r="G72" s="60">
        <v>0.12</v>
      </c>
      <c r="H72" s="330">
        <f>B72*(1+D72)</f>
        <v>4120</v>
      </c>
      <c r="I72" s="330">
        <f t="shared" si="1"/>
        <v>4367.2</v>
      </c>
      <c r="J72" s="330">
        <f t="shared" si="1"/>
        <v>4760.2480000000005</v>
      </c>
      <c r="K72" s="330">
        <f t="shared" si="1"/>
        <v>5331.4777600000007</v>
      </c>
      <c r="L72" s="2"/>
      <c r="M72" s="2"/>
      <c r="N72" s="2"/>
      <c r="O72" s="2"/>
      <c r="P72" s="2"/>
    </row>
    <row r="73" spans="1:19" ht="15.75" customHeight="1">
      <c r="A73" s="2"/>
      <c r="B73" s="59"/>
      <c r="C73" s="284" t="s">
        <v>531</v>
      </c>
      <c r="D73" s="60">
        <v>0.25</v>
      </c>
      <c r="E73" s="60">
        <v>0.15</v>
      </c>
      <c r="F73" s="60">
        <v>0.1</v>
      </c>
      <c r="G73" s="60">
        <v>0.1</v>
      </c>
      <c r="H73" s="60"/>
      <c r="I73" s="60"/>
      <c r="J73" s="60"/>
      <c r="K73" s="60"/>
      <c r="L73" s="2"/>
      <c r="M73" s="2"/>
      <c r="N73" s="2"/>
      <c r="O73" s="2"/>
      <c r="P73" s="2"/>
    </row>
    <row r="74" spans="1:19" ht="15.75" customHeight="1">
      <c r="A74" s="2"/>
      <c r="B74" s="59"/>
      <c r="C74" s="284" t="s">
        <v>532</v>
      </c>
      <c r="D74" s="60">
        <v>0.04</v>
      </c>
      <c r="E74" s="60">
        <v>0.03</v>
      </c>
      <c r="F74" s="60">
        <v>0.03</v>
      </c>
      <c r="G74" s="60">
        <v>0.03</v>
      </c>
      <c r="H74" s="60"/>
      <c r="I74" s="60"/>
      <c r="J74" s="60"/>
      <c r="K74" s="60"/>
      <c r="L74" s="2"/>
      <c r="M74" s="2"/>
      <c r="N74" s="2"/>
      <c r="O74" s="2"/>
      <c r="P74" s="2"/>
    </row>
    <row r="75" spans="1:19" ht="15.75" customHeight="1">
      <c r="A75" s="2"/>
      <c r="B75" s="59"/>
      <c r="C75" s="284" t="s">
        <v>533</v>
      </c>
      <c r="D75" s="60">
        <v>0.08</v>
      </c>
      <c r="E75" s="60">
        <v>0.06</v>
      </c>
      <c r="F75" s="60">
        <v>0.04</v>
      </c>
      <c r="G75" s="60">
        <v>0.02</v>
      </c>
      <c r="H75" s="60"/>
      <c r="I75" s="60"/>
      <c r="J75" s="60"/>
      <c r="K75" s="60"/>
      <c r="L75" s="2"/>
      <c r="M75" s="2"/>
      <c r="N75" s="2"/>
      <c r="O75" s="2"/>
      <c r="P75" s="2"/>
    </row>
    <row r="76" spans="1:19" ht="15.75" customHeight="1">
      <c r="A76" s="2"/>
      <c r="B76" s="264">
        <v>1</v>
      </c>
      <c r="C76" s="24" t="s">
        <v>160</v>
      </c>
      <c r="D76" s="60"/>
      <c r="E76" s="60"/>
      <c r="F76" s="60"/>
      <c r="G76" s="60"/>
      <c r="H76" s="60"/>
      <c r="I76" s="60"/>
      <c r="J76" s="60"/>
      <c r="K76" s="60"/>
      <c r="L76" s="2"/>
      <c r="M76" s="2"/>
      <c r="N76" s="2"/>
      <c r="O76" s="2"/>
      <c r="P76" s="2"/>
    </row>
    <row r="77" spans="1:19" ht="15.75" customHeight="1">
      <c r="A77" s="2"/>
      <c r="B77" s="59">
        <v>2000</v>
      </c>
      <c r="C77" s="49" t="s">
        <v>161</v>
      </c>
      <c r="D77" s="60">
        <v>0.1</v>
      </c>
      <c r="E77" s="60">
        <v>0.08</v>
      </c>
      <c r="F77" s="60">
        <v>0.04</v>
      </c>
      <c r="G77" s="60">
        <v>0.03</v>
      </c>
      <c r="H77" s="330">
        <f t="shared" ref="H77:H85" si="2">B77*(1+D77)</f>
        <v>2200</v>
      </c>
      <c r="I77" s="330">
        <f t="shared" ref="I77:I85" si="3">H77*(1+E77)</f>
        <v>2376</v>
      </c>
      <c r="J77" s="330">
        <f t="shared" ref="J77:J86" si="4">I77*(1+F77)</f>
        <v>2471.04</v>
      </c>
      <c r="K77" s="330">
        <f t="shared" ref="K77:K86" si="5">J77*(1+G77)</f>
        <v>2545.1712000000002</v>
      </c>
      <c r="L77" s="2"/>
      <c r="M77" s="2"/>
      <c r="N77" s="2"/>
      <c r="O77" s="2"/>
      <c r="P77" s="2"/>
    </row>
    <row r="78" spans="1:19" ht="15.75" customHeight="1">
      <c r="A78" s="2"/>
      <c r="B78" s="59">
        <v>500</v>
      </c>
      <c r="C78" s="67" t="s">
        <v>162</v>
      </c>
      <c r="D78" s="60">
        <v>0.05</v>
      </c>
      <c r="E78" s="60">
        <v>0.04</v>
      </c>
      <c r="F78" s="60">
        <v>0.03</v>
      </c>
      <c r="G78" s="60">
        <v>0.02</v>
      </c>
      <c r="H78" s="330">
        <f t="shared" si="2"/>
        <v>525</v>
      </c>
      <c r="I78" s="330">
        <f t="shared" si="3"/>
        <v>546</v>
      </c>
      <c r="J78" s="330">
        <f t="shared" si="4"/>
        <v>562.38</v>
      </c>
      <c r="K78" s="330">
        <f t="shared" si="5"/>
        <v>573.62760000000003</v>
      </c>
      <c r="L78" s="2"/>
      <c r="M78" s="24"/>
      <c r="N78" s="24"/>
      <c r="O78" s="2"/>
      <c r="P78" s="2"/>
      <c r="Q78" s="63"/>
    </row>
    <row r="79" spans="1:19" ht="15.75" customHeight="1">
      <c r="A79" s="2"/>
      <c r="B79" s="59">
        <v>1000</v>
      </c>
      <c r="C79" s="67" t="s">
        <v>163</v>
      </c>
      <c r="D79" s="60">
        <v>0.1</v>
      </c>
      <c r="E79" s="60">
        <v>0.05</v>
      </c>
      <c r="F79" s="60">
        <v>0.04</v>
      </c>
      <c r="G79" s="60">
        <v>0.03</v>
      </c>
      <c r="H79" s="330">
        <f t="shared" si="2"/>
        <v>1100</v>
      </c>
      <c r="I79" s="330">
        <f t="shared" si="3"/>
        <v>1155</v>
      </c>
      <c r="J79" s="330">
        <f t="shared" si="4"/>
        <v>1201.2</v>
      </c>
      <c r="K79" s="330">
        <f t="shared" si="5"/>
        <v>1237.2360000000001</v>
      </c>
      <c r="L79" s="2"/>
      <c r="M79" s="24"/>
      <c r="N79" s="24"/>
      <c r="O79" s="2"/>
      <c r="P79" s="2"/>
      <c r="Q79" s="2"/>
    </row>
    <row r="80" spans="1:19" ht="15.75" customHeight="1">
      <c r="A80" s="2"/>
      <c r="B80" s="68">
        <v>200</v>
      </c>
      <c r="C80" s="69" t="s">
        <v>165</v>
      </c>
      <c r="D80" s="60">
        <v>0.05</v>
      </c>
      <c r="E80" s="60">
        <v>2.5000000000000001E-2</v>
      </c>
      <c r="F80" s="60">
        <v>2.5000000000000001E-2</v>
      </c>
      <c r="G80" s="60">
        <v>0.02</v>
      </c>
      <c r="H80" s="330">
        <f t="shared" si="2"/>
        <v>210</v>
      </c>
      <c r="I80" s="330">
        <f t="shared" si="3"/>
        <v>215.24999999999997</v>
      </c>
      <c r="J80" s="330">
        <f t="shared" si="4"/>
        <v>220.63124999999997</v>
      </c>
      <c r="K80" s="330">
        <f t="shared" si="5"/>
        <v>225.04387499999996</v>
      </c>
      <c r="L80" s="2"/>
      <c r="M80" s="24"/>
      <c r="N80" s="24"/>
      <c r="O80" s="2"/>
      <c r="P80" s="2"/>
    </row>
    <row r="81" spans="1:16" ht="15.75" customHeight="1">
      <c r="A81" s="2"/>
      <c r="B81" s="59">
        <v>20</v>
      </c>
      <c r="C81" s="21" t="s">
        <v>56</v>
      </c>
      <c r="D81" s="60">
        <v>0.05</v>
      </c>
      <c r="E81" s="60">
        <v>0.05</v>
      </c>
      <c r="F81" s="60">
        <v>0.05</v>
      </c>
      <c r="G81" s="60">
        <v>0.05</v>
      </c>
      <c r="H81" s="330">
        <f t="shared" si="2"/>
        <v>21</v>
      </c>
      <c r="I81" s="330">
        <f t="shared" si="3"/>
        <v>22.05</v>
      </c>
      <c r="J81" s="330">
        <f t="shared" si="4"/>
        <v>23.152500000000003</v>
      </c>
      <c r="K81" s="330">
        <f t="shared" si="5"/>
        <v>24.310125000000003</v>
      </c>
      <c r="L81" s="2"/>
      <c r="M81" s="24"/>
      <c r="N81" s="24"/>
      <c r="O81" s="2"/>
      <c r="P81" s="2"/>
    </row>
    <row r="82" spans="1:16" ht="15.75" customHeight="1">
      <c r="A82" s="2"/>
      <c r="B82" s="59">
        <v>400</v>
      </c>
      <c r="C82" s="21" t="s">
        <v>57</v>
      </c>
      <c r="D82" s="60">
        <v>0.05</v>
      </c>
      <c r="E82" s="60">
        <v>0.05</v>
      </c>
      <c r="F82" s="60">
        <v>0.05</v>
      </c>
      <c r="G82" s="60">
        <v>0.05</v>
      </c>
      <c r="H82" s="330">
        <f t="shared" si="2"/>
        <v>420</v>
      </c>
      <c r="I82" s="330">
        <f t="shared" si="3"/>
        <v>441</v>
      </c>
      <c r="J82" s="330">
        <f t="shared" si="4"/>
        <v>463.05</v>
      </c>
      <c r="K82" s="330">
        <f t="shared" si="5"/>
        <v>486.20250000000004</v>
      </c>
      <c r="L82" s="2"/>
      <c r="M82" s="24"/>
      <c r="N82" s="24"/>
      <c r="O82" s="2"/>
      <c r="P82" s="2"/>
    </row>
    <row r="83" spans="1:16" ht="15.75" customHeight="1">
      <c r="A83" s="2"/>
      <c r="B83" s="59">
        <v>125</v>
      </c>
      <c r="C83" s="2" t="s">
        <v>166</v>
      </c>
      <c r="D83" s="60">
        <v>0.1</v>
      </c>
      <c r="E83" s="60">
        <v>7.4999999999999997E-2</v>
      </c>
      <c r="F83" s="60">
        <v>0.05</v>
      </c>
      <c r="G83" s="60">
        <v>2.5000000000000001E-2</v>
      </c>
      <c r="H83" s="330">
        <f t="shared" si="2"/>
        <v>137.5</v>
      </c>
      <c r="I83" s="330">
        <f t="shared" si="3"/>
        <v>147.8125</v>
      </c>
      <c r="J83" s="330">
        <f t="shared" si="4"/>
        <v>155.203125</v>
      </c>
      <c r="K83" s="330">
        <f t="shared" si="5"/>
        <v>159.08320312499998</v>
      </c>
      <c r="L83" s="2"/>
      <c r="M83" s="24"/>
      <c r="N83" s="24"/>
      <c r="O83" s="2"/>
      <c r="P83" s="2"/>
    </row>
    <row r="84" spans="1:16" ht="15.75" customHeight="1">
      <c r="A84" s="2"/>
      <c r="B84" s="59">
        <v>350</v>
      </c>
      <c r="C84" s="2" t="s">
        <v>167</v>
      </c>
      <c r="D84" s="60">
        <v>0.05</v>
      </c>
      <c r="E84" s="60">
        <v>0.05</v>
      </c>
      <c r="F84" s="60">
        <v>0.05</v>
      </c>
      <c r="G84" s="60">
        <v>0.05</v>
      </c>
      <c r="H84" s="330">
        <f t="shared" si="2"/>
        <v>367.5</v>
      </c>
      <c r="I84" s="330">
        <f t="shared" si="3"/>
        <v>385.875</v>
      </c>
      <c r="J84" s="330">
        <f t="shared" si="4"/>
        <v>405.16875000000005</v>
      </c>
      <c r="K84" s="330">
        <f t="shared" si="5"/>
        <v>425.42718750000006</v>
      </c>
      <c r="L84" s="2"/>
      <c r="M84" s="24"/>
      <c r="N84" s="24"/>
      <c r="O84" s="2"/>
      <c r="P84" s="2"/>
    </row>
    <row r="85" spans="1:16" ht="15.75" customHeight="1">
      <c r="A85" s="2"/>
      <c r="B85" s="59">
        <v>200</v>
      </c>
      <c r="C85" s="2" t="s">
        <v>61</v>
      </c>
      <c r="D85" s="60">
        <v>0.05</v>
      </c>
      <c r="E85" s="60">
        <v>0.05</v>
      </c>
      <c r="F85" s="60">
        <v>0.05</v>
      </c>
      <c r="G85" s="60">
        <v>0.05</v>
      </c>
      <c r="H85" s="330">
        <f t="shared" si="2"/>
        <v>210</v>
      </c>
      <c r="I85" s="330">
        <f t="shared" si="3"/>
        <v>220.5</v>
      </c>
      <c r="J85" s="330">
        <f t="shared" si="4"/>
        <v>231.52500000000001</v>
      </c>
      <c r="K85" s="330">
        <f t="shared" si="5"/>
        <v>243.10125000000002</v>
      </c>
      <c r="L85" s="2"/>
      <c r="M85" s="24" t="s">
        <v>472</v>
      </c>
      <c r="N85" s="24"/>
      <c r="O85" s="2"/>
      <c r="P85" s="2"/>
    </row>
    <row r="86" spans="1:16" ht="15.75" customHeight="1">
      <c r="A86" s="2"/>
      <c r="B86" s="59">
        <v>50</v>
      </c>
      <c r="C86" s="21" t="s">
        <v>62</v>
      </c>
      <c r="D86" s="60">
        <v>0.05</v>
      </c>
      <c r="E86" s="60">
        <v>0.1</v>
      </c>
      <c r="F86" s="60">
        <v>0.125</v>
      </c>
      <c r="G86" s="60">
        <v>0.15</v>
      </c>
      <c r="H86" s="330">
        <f>B86*(1+D86)</f>
        <v>52.5</v>
      </c>
      <c r="I86" s="330">
        <f>H86*(1+E86)</f>
        <v>57.750000000000007</v>
      </c>
      <c r="J86" s="330">
        <f t="shared" si="4"/>
        <v>64.968750000000014</v>
      </c>
      <c r="K86" s="330">
        <f t="shared" si="5"/>
        <v>74.714062500000011</v>
      </c>
      <c r="L86" s="2"/>
      <c r="M86" s="21"/>
      <c r="N86" s="2"/>
      <c r="O86" s="2"/>
      <c r="P86" s="2"/>
    </row>
    <row r="87" spans="1:16" ht="30" customHeight="1">
      <c r="A87" s="2"/>
      <c r="B87" s="60">
        <v>0</v>
      </c>
      <c r="C87" s="70" t="s">
        <v>168</v>
      </c>
      <c r="D87" s="60"/>
      <c r="E87" s="60"/>
      <c r="F87" s="2"/>
      <c r="G87" s="2"/>
      <c r="H87" s="2"/>
      <c r="I87" s="2"/>
      <c r="J87" s="2"/>
      <c r="K87" s="2"/>
      <c r="L87" s="2"/>
      <c r="M87" s="21"/>
      <c r="N87" s="2"/>
      <c r="O87" s="2"/>
      <c r="P87" s="2"/>
    </row>
    <row r="88" spans="1:16" ht="15.75" customHeight="1">
      <c r="A88" s="2"/>
      <c r="B88" s="59">
        <v>100</v>
      </c>
      <c r="C88" s="24" t="s">
        <v>169</v>
      </c>
      <c r="D88" s="60">
        <v>0.05</v>
      </c>
      <c r="E88" s="60">
        <v>0.04</v>
      </c>
      <c r="F88" s="60">
        <v>0.03</v>
      </c>
      <c r="G88" s="60">
        <v>0.02</v>
      </c>
      <c r="H88" s="330">
        <f>B88*(1+D88)</f>
        <v>105</v>
      </c>
      <c r="I88" s="330">
        <f t="shared" ref="I88:K92" si="6">H88*(1+E88)</f>
        <v>109.2</v>
      </c>
      <c r="J88" s="330">
        <f t="shared" si="6"/>
        <v>112.476</v>
      </c>
      <c r="K88" s="330">
        <f t="shared" si="6"/>
        <v>114.72552</v>
      </c>
      <c r="L88" s="2"/>
      <c r="M88" s="21"/>
      <c r="N88" s="24"/>
      <c r="O88" s="2"/>
      <c r="P88" s="2"/>
    </row>
    <row r="89" spans="1:16" ht="15.75" customHeight="1">
      <c r="A89" s="2"/>
      <c r="B89" s="59">
        <v>400</v>
      </c>
      <c r="C89" s="2" t="s">
        <v>119</v>
      </c>
      <c r="D89" s="60">
        <v>0.05</v>
      </c>
      <c r="E89" s="60">
        <v>0.04</v>
      </c>
      <c r="F89" s="60">
        <v>2.5000000000000001E-2</v>
      </c>
      <c r="G89" s="60">
        <v>0.02</v>
      </c>
      <c r="H89" s="330">
        <f>B89*(1+D89)</f>
        <v>420</v>
      </c>
      <c r="I89" s="330">
        <f t="shared" si="6"/>
        <v>436.8</v>
      </c>
      <c r="J89" s="330">
        <f t="shared" si="6"/>
        <v>447.71999999999997</v>
      </c>
      <c r="K89" s="330">
        <f t="shared" si="6"/>
        <v>456.67439999999999</v>
      </c>
      <c r="L89" s="2"/>
      <c r="M89" s="21"/>
      <c r="N89" s="24"/>
      <c r="O89" s="2"/>
      <c r="P89" s="2"/>
    </row>
    <row r="90" spans="1:16" ht="15.75" customHeight="1">
      <c r="A90" s="2"/>
      <c r="B90" s="59">
        <v>150</v>
      </c>
      <c r="C90" s="2" t="s">
        <v>170</v>
      </c>
      <c r="D90" s="60">
        <v>0.08</v>
      </c>
      <c r="E90" s="60">
        <v>0.05</v>
      </c>
      <c r="F90" s="60">
        <v>2.5000000000000001E-2</v>
      </c>
      <c r="G90" s="60">
        <v>0.02</v>
      </c>
      <c r="H90" s="330">
        <f>B90*(1+D90)</f>
        <v>162</v>
      </c>
      <c r="I90" s="330">
        <f t="shared" si="6"/>
        <v>170.1</v>
      </c>
      <c r="J90" s="330">
        <f t="shared" si="6"/>
        <v>174.35249999999999</v>
      </c>
      <c r="K90" s="330">
        <f t="shared" si="6"/>
        <v>177.83955</v>
      </c>
      <c r="L90" s="2"/>
      <c r="M90" s="21"/>
      <c r="N90" s="24"/>
      <c r="O90" s="2"/>
      <c r="P90" s="2"/>
    </row>
    <row r="91" spans="1:16" ht="15.75" customHeight="1">
      <c r="A91" s="2"/>
      <c r="B91" s="59">
        <v>0</v>
      </c>
      <c r="C91" s="2" t="s">
        <v>171</v>
      </c>
      <c r="D91" s="60"/>
      <c r="E91" s="60"/>
      <c r="F91" s="60"/>
      <c r="G91" s="60"/>
      <c r="H91" s="330">
        <f>B91*(1+D91)</f>
        <v>0</v>
      </c>
      <c r="I91" s="330">
        <f t="shared" si="6"/>
        <v>0</v>
      </c>
      <c r="J91" s="330">
        <f t="shared" si="6"/>
        <v>0</v>
      </c>
      <c r="K91" s="330">
        <f t="shared" si="6"/>
        <v>0</v>
      </c>
      <c r="L91" s="2"/>
      <c r="M91" s="21"/>
      <c r="N91" s="2"/>
      <c r="O91" s="2"/>
      <c r="P91" s="2"/>
    </row>
    <row r="92" spans="1:16" ht="15.75" customHeight="1">
      <c r="A92" s="2"/>
      <c r="B92" s="59">
        <v>100</v>
      </c>
      <c r="C92" s="2" t="s">
        <v>172</v>
      </c>
      <c r="D92" s="60">
        <v>0.05</v>
      </c>
      <c r="E92" s="60">
        <v>0.04</v>
      </c>
      <c r="F92" s="60">
        <v>0.03</v>
      </c>
      <c r="G92" s="60">
        <v>0.02</v>
      </c>
      <c r="H92" s="330">
        <f>B92*(1+D92)</f>
        <v>105</v>
      </c>
      <c r="I92" s="330">
        <f t="shared" si="6"/>
        <v>109.2</v>
      </c>
      <c r="J92" s="330">
        <f t="shared" si="6"/>
        <v>112.476</v>
      </c>
      <c r="K92" s="330">
        <f t="shared" si="6"/>
        <v>114.72552</v>
      </c>
      <c r="L92" s="2"/>
      <c r="M92" s="21"/>
      <c r="N92" s="2"/>
      <c r="O92" s="2"/>
      <c r="P92" s="2"/>
    </row>
    <row r="93" spans="1:16" ht="15.75" customHeight="1">
      <c r="A93" s="2"/>
      <c r="B93" s="2"/>
      <c r="C93" s="2"/>
      <c r="D93" s="2"/>
      <c r="E93" s="2"/>
      <c r="L93" s="2"/>
      <c r="M93" s="21"/>
      <c r="N93" s="2"/>
      <c r="O93" s="2"/>
      <c r="P93" s="2"/>
    </row>
    <row r="94" spans="1:16" ht="15.75" customHeight="1">
      <c r="A94" s="2"/>
      <c r="B94" s="2"/>
      <c r="C94" s="2"/>
      <c r="D94" s="2"/>
      <c r="E94" s="2"/>
      <c r="L94" s="2"/>
      <c r="M94" s="2"/>
      <c r="N94" s="2"/>
      <c r="O94" s="2"/>
      <c r="P94" s="2"/>
    </row>
    <row r="95" spans="1:16" ht="15.75" customHeight="1">
      <c r="A95" s="2"/>
      <c r="B95" s="2"/>
      <c r="C95" s="2"/>
      <c r="D95" s="2"/>
      <c r="E95" s="2"/>
      <c r="L95" s="2"/>
      <c r="M95" s="2"/>
      <c r="N95" s="2"/>
      <c r="O95" s="2"/>
      <c r="P95" s="2"/>
    </row>
    <row r="96" spans="1:16" ht="15.75" customHeight="1">
      <c r="A96" s="2"/>
      <c r="B96" s="2"/>
      <c r="C96" s="71"/>
      <c r="D96" s="2"/>
      <c r="E96" s="2"/>
      <c r="L96" s="2"/>
      <c r="M96" s="2"/>
      <c r="N96" s="2"/>
      <c r="O96" s="2"/>
      <c r="P96" s="2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sheetProtection sheet="1"/>
  <protectedRanges>
    <protectedRange sqref="B12:B15 B18:B21 B24:B31 B34:B38 B39:B41 B44:B46 B64:B92 D66:G92 R64:R68 D64:G64 R69:R70" name="Range1"/>
  </protectedRanges>
  <mergeCells count="1">
    <mergeCell ref="D62:G62"/>
  </mergeCells>
  <dataValidations count="2">
    <dataValidation type="list" allowBlank="1" showErrorMessage="1" sqref="B44" xr:uid="{00000000-0002-0000-0400-000000000000}">
      <formula1>Yes_No</formula1>
    </dataValidation>
    <dataValidation type="list" allowBlank="1" showErrorMessage="1" sqref="B13 B15 B19 B21 B25 B27 B29 B31 B36 B40 B46 B76" xr:uid="{00000000-0002-0000-0400-000001000000}">
      <formula1>No_Mos</formula1>
    </dataValidation>
  </dataValidations>
  <hyperlinks>
    <hyperlink ref="Q64" r:id="rId1" xr:uid="{00000000-0004-0000-0400-000000000000}"/>
    <hyperlink ref="Q65" r:id="rId2" xr:uid="{00000000-0004-0000-0400-000001000000}"/>
    <hyperlink ref="D48" r:id="rId3" xr:uid="{D6FB0DEC-8B85-4FAD-A8DE-FAAE98107E7B}"/>
    <hyperlink ref="D50" r:id="rId4" xr:uid="{007E1C9F-6E4F-4727-BF04-E62F21D0EFB8}"/>
    <hyperlink ref="C54" r:id="rId5" xr:uid="{5163DD1F-CCD6-4E73-9953-5A31BA040A16}"/>
    <hyperlink ref="Q66" r:id="rId6" location="sunday" xr:uid="{4D5E442A-B7FF-49DF-8332-9B25B12AE5E4}"/>
    <hyperlink ref="Q67" r:id="rId7" xr:uid="{5396947C-3312-4735-9F20-A7FE06453D72}"/>
    <hyperlink ref="Q68:Q70" r:id="rId8" display="W'burg liquor Sunday sales" xr:uid="{BA305E28-9946-4E93-8A70-EFFB0D38116B}"/>
  </hyperlinks>
  <pageMargins left="0.7" right="0.7" top="0.75" bottom="0.75" header="0" footer="0"/>
  <pageSetup orientation="landscape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BF79-519D-4C9A-BCB5-DF19CF30B4E9}">
  <dimension ref="A1:N27"/>
  <sheetViews>
    <sheetView zoomScaleNormal="100" workbookViewId="0">
      <selection activeCell="B20" sqref="B20"/>
    </sheetView>
  </sheetViews>
  <sheetFormatPr defaultRowHeight="15"/>
  <cols>
    <col min="1" max="1" width="15.42578125" customWidth="1"/>
    <col min="2" max="2" width="12.28515625" bestFit="1" customWidth="1"/>
    <col min="3" max="3" width="12" bestFit="1" customWidth="1"/>
    <col min="4" max="4" width="12.28515625" bestFit="1" customWidth="1"/>
    <col min="5" max="13" width="12" bestFit="1" customWidth="1"/>
  </cols>
  <sheetData>
    <row r="1" spans="1:9">
      <c r="A1" t="s">
        <v>489</v>
      </c>
    </row>
    <row r="3" spans="1:9">
      <c r="B3" t="s">
        <v>474</v>
      </c>
      <c r="C3" s="266">
        <v>100</v>
      </c>
    </row>
    <row r="5" spans="1:9">
      <c r="B5" t="s">
        <v>475</v>
      </c>
      <c r="C5" t="s">
        <v>476</v>
      </c>
      <c r="D5" t="s">
        <v>477</v>
      </c>
      <c r="E5" t="s">
        <v>478</v>
      </c>
      <c r="F5" t="s">
        <v>479</v>
      </c>
      <c r="G5" t="s">
        <v>480</v>
      </c>
      <c r="H5" t="s">
        <v>481</v>
      </c>
      <c r="I5" s="269" t="s">
        <v>221</v>
      </c>
    </row>
    <row r="6" spans="1:9">
      <c r="A6" t="s">
        <v>484</v>
      </c>
      <c r="B6" s="266">
        <v>0.4</v>
      </c>
      <c r="C6" s="266">
        <v>0.5</v>
      </c>
      <c r="D6" s="266">
        <v>0.6</v>
      </c>
      <c r="E6" s="266">
        <v>0.8</v>
      </c>
      <c r="F6" s="266">
        <v>1.2</v>
      </c>
      <c r="G6" s="266">
        <v>2.5</v>
      </c>
      <c r="H6" s="266">
        <v>1.8</v>
      </c>
    </row>
    <row r="7" spans="1:9">
      <c r="A7" t="s">
        <v>485</v>
      </c>
      <c r="B7">
        <f t="shared" ref="B7:H7" si="0">$C$3*B6</f>
        <v>40</v>
      </c>
      <c r="C7">
        <f t="shared" si="0"/>
        <v>50</v>
      </c>
      <c r="D7">
        <f t="shared" si="0"/>
        <v>60</v>
      </c>
      <c r="E7">
        <f t="shared" si="0"/>
        <v>80</v>
      </c>
      <c r="F7">
        <f t="shared" si="0"/>
        <v>120</v>
      </c>
      <c r="G7">
        <f t="shared" si="0"/>
        <v>250</v>
      </c>
      <c r="H7">
        <f t="shared" si="0"/>
        <v>180</v>
      </c>
      <c r="I7">
        <f>SUM(B7:H7)</f>
        <v>780</v>
      </c>
    </row>
    <row r="8" spans="1:9">
      <c r="A8" t="s">
        <v>483</v>
      </c>
      <c r="B8" s="266">
        <v>1.5</v>
      </c>
      <c r="C8" s="266">
        <v>1.5</v>
      </c>
      <c r="D8" s="266">
        <v>1.5</v>
      </c>
      <c r="E8" s="266">
        <v>2</v>
      </c>
      <c r="F8" s="266">
        <v>2.5</v>
      </c>
      <c r="G8" s="266">
        <v>2.8</v>
      </c>
      <c r="H8" s="266">
        <v>2</v>
      </c>
    </row>
    <row r="9" spans="1:9">
      <c r="A9" t="s">
        <v>482</v>
      </c>
      <c r="B9">
        <f t="shared" ref="B9:H9" si="1">B7*B8</f>
        <v>60</v>
      </c>
      <c r="C9">
        <f t="shared" si="1"/>
        <v>75</v>
      </c>
      <c r="D9">
        <f t="shared" si="1"/>
        <v>90</v>
      </c>
      <c r="E9">
        <f t="shared" si="1"/>
        <v>160</v>
      </c>
      <c r="F9">
        <f t="shared" si="1"/>
        <v>300</v>
      </c>
      <c r="G9">
        <f t="shared" si="1"/>
        <v>700</v>
      </c>
      <c r="H9">
        <f t="shared" si="1"/>
        <v>360</v>
      </c>
      <c r="I9">
        <f>SUM(B9:H9)</f>
        <v>1745</v>
      </c>
    </row>
    <row r="10" spans="1:9">
      <c r="A10" t="s">
        <v>486</v>
      </c>
      <c r="B10" s="267">
        <v>0.05</v>
      </c>
      <c r="C10" s="267">
        <v>0.05</v>
      </c>
      <c r="D10" s="267">
        <v>0.05</v>
      </c>
      <c r="E10" s="267">
        <v>7.0000000000000007E-2</v>
      </c>
      <c r="F10" s="267">
        <v>0.12</v>
      </c>
      <c r="G10" s="267">
        <v>0.15</v>
      </c>
      <c r="H10" s="267">
        <v>0.1</v>
      </c>
    </row>
    <row r="11" spans="1:9">
      <c r="A11" t="s">
        <v>487</v>
      </c>
      <c r="B11">
        <f>B9*B10</f>
        <v>3</v>
      </c>
      <c r="C11">
        <f t="shared" ref="C11:H11" si="2">C9*C10</f>
        <v>3.75</v>
      </c>
      <c r="D11">
        <f t="shared" si="2"/>
        <v>4.5</v>
      </c>
      <c r="E11">
        <f t="shared" si="2"/>
        <v>11.200000000000001</v>
      </c>
      <c r="F11">
        <f t="shared" si="2"/>
        <v>36</v>
      </c>
      <c r="G11">
        <f t="shared" si="2"/>
        <v>105</v>
      </c>
      <c r="H11">
        <f t="shared" si="2"/>
        <v>36</v>
      </c>
      <c r="I11">
        <f>SUM(B11:H11)</f>
        <v>199.45</v>
      </c>
    </row>
    <row r="12" spans="1:9">
      <c r="A12" t="s">
        <v>488</v>
      </c>
      <c r="B12">
        <f>B9-B11</f>
        <v>57</v>
      </c>
      <c r="C12">
        <f t="shared" ref="C12:H12" si="3">C9-C11</f>
        <v>71.25</v>
      </c>
      <c r="D12">
        <f t="shared" si="3"/>
        <v>85.5</v>
      </c>
      <c r="E12">
        <f t="shared" si="3"/>
        <v>148.80000000000001</v>
      </c>
      <c r="F12">
        <f t="shared" si="3"/>
        <v>264</v>
      </c>
      <c r="G12">
        <f t="shared" si="3"/>
        <v>595</v>
      </c>
      <c r="H12">
        <f t="shared" si="3"/>
        <v>324</v>
      </c>
      <c r="I12">
        <f>SUM(B12:H12)</f>
        <v>1545.55</v>
      </c>
    </row>
    <row r="13" spans="1:9">
      <c r="A13" s="269" t="s">
        <v>504</v>
      </c>
      <c r="B13" s="271">
        <v>4</v>
      </c>
      <c r="C13" s="271">
        <v>4</v>
      </c>
      <c r="D13" s="271">
        <v>4</v>
      </c>
      <c r="E13" s="271">
        <v>4</v>
      </c>
      <c r="F13" s="271">
        <v>8</v>
      </c>
      <c r="G13" s="271">
        <v>8</v>
      </c>
      <c r="H13" s="271">
        <v>8</v>
      </c>
    </row>
    <row r="14" spans="1:9">
      <c r="A14" s="269" t="s">
        <v>506</v>
      </c>
      <c r="B14" s="270">
        <f>B7*B13</f>
        <v>160</v>
      </c>
      <c r="C14" s="270">
        <f t="shared" ref="C14:H14" si="4">C7*C13</f>
        <v>200</v>
      </c>
      <c r="D14" s="270">
        <f t="shared" si="4"/>
        <v>240</v>
      </c>
      <c r="E14" s="270">
        <f t="shared" si="4"/>
        <v>320</v>
      </c>
      <c r="F14" s="270">
        <f t="shared" si="4"/>
        <v>960</v>
      </c>
      <c r="G14" s="270">
        <f t="shared" si="4"/>
        <v>2000</v>
      </c>
      <c r="H14" s="270">
        <f t="shared" si="4"/>
        <v>1440</v>
      </c>
      <c r="I14" s="257">
        <f>SUM(B14:H14)</f>
        <v>5320</v>
      </c>
    </row>
    <row r="15" spans="1:9">
      <c r="A15" s="269" t="s">
        <v>515</v>
      </c>
      <c r="B15" s="266">
        <v>0.05</v>
      </c>
      <c r="C15" s="266">
        <v>0.05</v>
      </c>
      <c r="D15" s="266">
        <v>0.05</v>
      </c>
      <c r="E15" s="266">
        <v>0.05</v>
      </c>
      <c r="F15" s="266">
        <v>0.05</v>
      </c>
      <c r="G15" s="266">
        <v>0.05</v>
      </c>
      <c r="H15" s="266">
        <v>0.05</v>
      </c>
      <c r="I15" s="257"/>
    </row>
    <row r="16" spans="1:9">
      <c r="A16" s="269" t="s">
        <v>516</v>
      </c>
      <c r="B16">
        <f>B7*B15</f>
        <v>2</v>
      </c>
      <c r="C16">
        <f t="shared" ref="C16:H16" si="5">C7*C15</f>
        <v>2.5</v>
      </c>
      <c r="D16">
        <f t="shared" si="5"/>
        <v>3</v>
      </c>
      <c r="E16">
        <f t="shared" si="5"/>
        <v>4</v>
      </c>
      <c r="F16">
        <f t="shared" si="5"/>
        <v>6</v>
      </c>
      <c r="G16">
        <f t="shared" si="5"/>
        <v>12.5</v>
      </c>
      <c r="H16">
        <f t="shared" si="5"/>
        <v>9</v>
      </c>
      <c r="I16">
        <f>SUM(B16:H16)</f>
        <v>39</v>
      </c>
    </row>
    <row r="18" spans="1:14">
      <c r="A18" t="s">
        <v>490</v>
      </c>
    </row>
    <row r="19" spans="1:14">
      <c r="A19" s="269" t="s">
        <v>312</v>
      </c>
      <c r="B19" t="s">
        <v>491</v>
      </c>
      <c r="C19" t="s">
        <v>492</v>
      </c>
      <c r="D19" t="s">
        <v>493</v>
      </c>
      <c r="E19" t="s">
        <v>494</v>
      </c>
      <c r="F19" t="s">
        <v>107</v>
      </c>
      <c r="G19" t="s">
        <v>495</v>
      </c>
      <c r="H19" t="s">
        <v>496</v>
      </c>
      <c r="I19" t="s">
        <v>497</v>
      </c>
      <c r="J19" t="s">
        <v>498</v>
      </c>
      <c r="K19" t="s">
        <v>499</v>
      </c>
      <c r="L19" t="s">
        <v>500</v>
      </c>
      <c r="M19" t="s">
        <v>501</v>
      </c>
    </row>
    <row r="20" spans="1:14">
      <c r="A20" s="269" t="s">
        <v>503</v>
      </c>
      <c r="B20" s="266">
        <v>0.6</v>
      </c>
      <c r="C20" s="266">
        <v>0.7</v>
      </c>
      <c r="D20" s="266">
        <v>0.9</v>
      </c>
      <c r="E20" s="266">
        <v>1.1000000000000001</v>
      </c>
      <c r="F20" s="266">
        <v>1.2</v>
      </c>
      <c r="G20" s="266">
        <v>1.25</v>
      </c>
      <c r="H20" s="266">
        <v>1.25</v>
      </c>
      <c r="I20" s="266">
        <v>1.2</v>
      </c>
      <c r="J20" s="266">
        <v>1.1000000000000001</v>
      </c>
      <c r="K20" s="266">
        <v>1</v>
      </c>
      <c r="L20" s="266">
        <v>0.9</v>
      </c>
      <c r="M20" s="266">
        <v>0.8</v>
      </c>
      <c r="N20" s="268">
        <f>AVERAGE(B20:M20)</f>
        <v>1</v>
      </c>
    </row>
    <row r="21" spans="1:14">
      <c r="A21" s="269" t="s">
        <v>371</v>
      </c>
      <c r="B21">
        <v>31</v>
      </c>
      <c r="C21">
        <v>28.25</v>
      </c>
      <c r="D21">
        <v>31</v>
      </c>
      <c r="E21">
        <v>30</v>
      </c>
      <c r="F21">
        <v>31</v>
      </c>
      <c r="G21">
        <v>30</v>
      </c>
      <c r="H21">
        <v>31</v>
      </c>
      <c r="I21">
        <v>31</v>
      </c>
      <c r="J21">
        <v>30</v>
      </c>
      <c r="K21">
        <v>31</v>
      </c>
      <c r="L21">
        <v>30</v>
      </c>
      <c r="M21">
        <v>31</v>
      </c>
    </row>
    <row r="22" spans="1:14">
      <c r="A22" s="269" t="s">
        <v>502</v>
      </c>
      <c r="B22" s="268">
        <f>B21/7</f>
        <v>4.4285714285714288</v>
      </c>
      <c r="C22" s="268">
        <f t="shared" ref="C22:M22" si="6">C21/7</f>
        <v>4.0357142857142856</v>
      </c>
      <c r="D22" s="268">
        <f t="shared" si="6"/>
        <v>4.4285714285714288</v>
      </c>
      <c r="E22" s="268">
        <f t="shared" si="6"/>
        <v>4.2857142857142856</v>
      </c>
      <c r="F22" s="268">
        <f t="shared" si="6"/>
        <v>4.4285714285714288</v>
      </c>
      <c r="G22" s="268">
        <f t="shared" si="6"/>
        <v>4.2857142857142856</v>
      </c>
      <c r="H22" s="268">
        <f t="shared" si="6"/>
        <v>4.4285714285714288</v>
      </c>
      <c r="I22" s="268">
        <f t="shared" si="6"/>
        <v>4.4285714285714288</v>
      </c>
      <c r="J22" s="268">
        <f t="shared" si="6"/>
        <v>4.2857142857142856</v>
      </c>
      <c r="K22" s="268">
        <f t="shared" si="6"/>
        <v>4.4285714285714288</v>
      </c>
      <c r="L22" s="268">
        <f t="shared" si="6"/>
        <v>4.2857142857142856</v>
      </c>
      <c r="M22" s="268">
        <f t="shared" si="6"/>
        <v>4.4285714285714288</v>
      </c>
    </row>
    <row r="23" spans="1:14">
      <c r="A23" s="269" t="s">
        <v>487</v>
      </c>
      <c r="B23" s="272">
        <f>$I$11*B22*B20</f>
        <v>529.9671428571429</v>
      </c>
      <c r="C23" s="272">
        <f t="shared" ref="C23:M23" si="7">$I$11*C22*C20</f>
        <v>563.44624999999996</v>
      </c>
      <c r="D23" s="272">
        <f t="shared" si="7"/>
        <v>794.9507142857143</v>
      </c>
      <c r="E23" s="272">
        <f t="shared" si="7"/>
        <v>940.26428571428573</v>
      </c>
      <c r="F23" s="272">
        <f t="shared" si="7"/>
        <v>1059.9342857142858</v>
      </c>
      <c r="G23" s="272">
        <f t="shared" si="7"/>
        <v>1068.4821428571427</v>
      </c>
      <c r="H23" s="272">
        <f t="shared" si="7"/>
        <v>1104.0982142857142</v>
      </c>
      <c r="I23" s="272">
        <f t="shared" si="7"/>
        <v>1059.9342857142858</v>
      </c>
      <c r="J23" s="272">
        <f t="shared" si="7"/>
        <v>940.26428571428573</v>
      </c>
      <c r="K23" s="272">
        <f t="shared" si="7"/>
        <v>883.27857142857147</v>
      </c>
      <c r="L23" s="272">
        <f t="shared" si="7"/>
        <v>769.30714285714282</v>
      </c>
      <c r="M23" s="272">
        <f t="shared" si="7"/>
        <v>706.62285714285724</v>
      </c>
    </row>
    <row r="24" spans="1:14">
      <c r="A24" s="269" t="s">
        <v>488</v>
      </c>
      <c r="B24" s="272">
        <f>$I$12*B22*B20</f>
        <v>4106.7471428571425</v>
      </c>
      <c r="C24" s="272">
        <f t="shared" ref="C24:M24" si="8">$I$12*C22*C20</f>
        <v>4366.1787499999991</v>
      </c>
      <c r="D24" s="272">
        <f t="shared" si="8"/>
        <v>6160.1207142857138</v>
      </c>
      <c r="E24" s="272">
        <f t="shared" si="8"/>
        <v>7286.1642857142861</v>
      </c>
      <c r="F24" s="272">
        <f t="shared" si="8"/>
        <v>8213.4942857142851</v>
      </c>
      <c r="G24" s="272">
        <f t="shared" si="8"/>
        <v>8279.7321428571413</v>
      </c>
      <c r="H24" s="272">
        <f t="shared" si="8"/>
        <v>8555.7232142857138</v>
      </c>
      <c r="I24" s="272">
        <f t="shared" si="8"/>
        <v>8213.4942857142851</v>
      </c>
      <c r="J24" s="272">
        <f t="shared" si="8"/>
        <v>7286.1642857142861</v>
      </c>
      <c r="K24" s="272">
        <f t="shared" si="8"/>
        <v>6844.5785714285712</v>
      </c>
      <c r="L24" s="272">
        <f t="shared" si="8"/>
        <v>5961.4071428571424</v>
      </c>
      <c r="M24" s="272">
        <f t="shared" si="8"/>
        <v>5475.6628571428573</v>
      </c>
    </row>
    <row r="25" spans="1:14">
      <c r="A25" s="269" t="s">
        <v>505</v>
      </c>
      <c r="B25" s="257">
        <f>$I$14*B22*B20</f>
        <v>14136</v>
      </c>
      <c r="C25" s="257">
        <f t="shared" ref="C25:M25" si="9">$I$14*C22*C20</f>
        <v>15028.999999999998</v>
      </c>
      <c r="D25" s="257">
        <f t="shared" si="9"/>
        <v>21204</v>
      </c>
      <c r="E25" s="257">
        <f t="shared" si="9"/>
        <v>25080.000000000004</v>
      </c>
      <c r="F25" s="257">
        <f t="shared" si="9"/>
        <v>28272</v>
      </c>
      <c r="G25" s="257">
        <f t="shared" si="9"/>
        <v>28500</v>
      </c>
      <c r="H25" s="257">
        <f t="shared" si="9"/>
        <v>29450</v>
      </c>
      <c r="I25" s="257">
        <f t="shared" si="9"/>
        <v>28272</v>
      </c>
      <c r="J25" s="257">
        <f t="shared" si="9"/>
        <v>25080.000000000004</v>
      </c>
      <c r="K25" s="257">
        <f t="shared" si="9"/>
        <v>23560</v>
      </c>
      <c r="L25" s="257">
        <f t="shared" si="9"/>
        <v>20520</v>
      </c>
      <c r="M25" s="257">
        <f t="shared" si="9"/>
        <v>18848</v>
      </c>
    </row>
    <row r="26" spans="1:14">
      <c r="A26" s="269" t="s">
        <v>517</v>
      </c>
      <c r="B26" s="272">
        <f>$I$16*B22*B20</f>
        <v>103.62857142857143</v>
      </c>
      <c r="C26" s="272">
        <f t="shared" ref="C26:M26" si="10">$I$16*C22*C20</f>
        <v>110.175</v>
      </c>
      <c r="D26" s="272">
        <f t="shared" si="10"/>
        <v>155.44285714285715</v>
      </c>
      <c r="E26" s="272">
        <f t="shared" si="10"/>
        <v>183.85714285714286</v>
      </c>
      <c r="F26" s="272">
        <f t="shared" si="10"/>
        <v>207.25714285714287</v>
      </c>
      <c r="G26" s="272">
        <f t="shared" si="10"/>
        <v>208.92857142857142</v>
      </c>
      <c r="H26" s="272">
        <f t="shared" si="10"/>
        <v>215.89285714285717</v>
      </c>
      <c r="I26" s="272">
        <f t="shared" si="10"/>
        <v>207.25714285714287</v>
      </c>
      <c r="J26" s="272">
        <f t="shared" si="10"/>
        <v>183.85714285714286</v>
      </c>
      <c r="K26" s="272">
        <f t="shared" si="10"/>
        <v>172.71428571428572</v>
      </c>
      <c r="L26" s="272">
        <f t="shared" si="10"/>
        <v>150.42857142857142</v>
      </c>
      <c r="M26" s="272">
        <f t="shared" si="10"/>
        <v>138.17142857142858</v>
      </c>
    </row>
    <row r="27" spans="1:14">
      <c r="A27" s="269" t="s">
        <v>583</v>
      </c>
      <c r="B27" s="334">
        <f>B26/6</f>
        <v>17.271428571428572</v>
      </c>
      <c r="C27" s="334">
        <f t="shared" ref="C27:M27" si="11">C26/6</f>
        <v>18.362500000000001</v>
      </c>
      <c r="D27" s="334">
        <f t="shared" si="11"/>
        <v>25.907142857142858</v>
      </c>
      <c r="E27" s="334">
        <f t="shared" si="11"/>
        <v>30.642857142857142</v>
      </c>
      <c r="F27" s="334">
        <f t="shared" si="11"/>
        <v>34.542857142857144</v>
      </c>
      <c r="G27" s="334">
        <f t="shared" si="11"/>
        <v>34.821428571428569</v>
      </c>
      <c r="H27" s="334">
        <f t="shared" si="11"/>
        <v>35.982142857142861</v>
      </c>
      <c r="I27" s="334">
        <f t="shared" si="11"/>
        <v>34.542857142857144</v>
      </c>
      <c r="J27" s="334">
        <f t="shared" si="11"/>
        <v>30.642857142857142</v>
      </c>
      <c r="K27" s="334">
        <f t="shared" si="11"/>
        <v>28.785714285714288</v>
      </c>
      <c r="L27" s="334">
        <f t="shared" si="11"/>
        <v>25.071428571428569</v>
      </c>
      <c r="M27" s="334">
        <f t="shared" si="11"/>
        <v>23.028571428571428</v>
      </c>
    </row>
  </sheetData>
  <sheetProtection sheet="1"/>
  <protectedRanges>
    <protectedRange sqref="C3 B6:H6 B8:H8 B10:H10 B13:H13 B15:H15 B20:M20" name="Range1"/>
  </protectedRanges>
  <phoneticPr fontId="38" type="noConversion"/>
  <conditionalFormatting sqref="N20">
    <cfRule type="cellIs" dxfId="5" priority="1" operator="notEqual">
      <formula>1</formula>
    </cfRule>
    <cfRule type="cellIs" dxfId="4" priority="2" operator="equal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93874-57AD-4FF7-AC39-57BAC6890473}">
  <dimension ref="A1:M31"/>
  <sheetViews>
    <sheetView workbookViewId="0">
      <selection activeCell="B27" sqref="B27"/>
    </sheetView>
  </sheetViews>
  <sheetFormatPr defaultRowHeight="15"/>
  <cols>
    <col min="1" max="1" width="21.85546875" bestFit="1" customWidth="1"/>
    <col min="2" max="13" width="11.42578125" customWidth="1"/>
  </cols>
  <sheetData>
    <row r="1" spans="1:13" ht="21">
      <c r="A1" s="364" t="s">
        <v>605</v>
      </c>
    </row>
    <row r="2" spans="1:13">
      <c r="B2" t="s">
        <v>632</v>
      </c>
      <c r="D2" t="s">
        <v>636</v>
      </c>
      <c r="F2" t="s">
        <v>637</v>
      </c>
    </row>
    <row r="3" spans="1:13">
      <c r="A3" t="s">
        <v>647</v>
      </c>
      <c r="B3" s="362">
        <v>500</v>
      </c>
      <c r="D3" s="266" t="s">
        <v>138</v>
      </c>
      <c r="F3" s="266" t="s">
        <v>138</v>
      </c>
    </row>
    <row r="4" spans="1:13">
      <c r="A4" t="s">
        <v>648</v>
      </c>
      <c r="B4" s="362">
        <v>1000</v>
      </c>
    </row>
    <row r="5" spans="1:13">
      <c r="A5" t="s">
        <v>649</v>
      </c>
      <c r="B5" s="362">
        <v>300</v>
      </c>
    </row>
    <row r="7" spans="1:13">
      <c r="A7" t="s">
        <v>633</v>
      </c>
    </row>
    <row r="8" spans="1:13">
      <c r="A8" t="s">
        <v>647</v>
      </c>
      <c r="B8" s="266">
        <v>4</v>
      </c>
    </row>
    <row r="9" spans="1:13">
      <c r="A9" t="s">
        <v>648</v>
      </c>
      <c r="B9" s="266">
        <v>1</v>
      </c>
    </row>
    <row r="10" spans="1:13">
      <c r="A10" t="s">
        <v>649</v>
      </c>
      <c r="B10" s="266">
        <v>1</v>
      </c>
    </row>
    <row r="12" spans="1:13">
      <c r="B12">
        <f>IF($D$3="No",1,'Year 1 Traffic'!B20)</f>
        <v>0.6</v>
      </c>
      <c r="C12">
        <f>IF($D$3="No",1,'Year 1 Traffic'!C20)</f>
        <v>0.7</v>
      </c>
      <c r="D12">
        <f>IF($D$3="No",1,'Year 1 Traffic'!D20)</f>
        <v>0.9</v>
      </c>
      <c r="E12">
        <f>IF($D$3="No",1,'Year 1 Traffic'!E20)</f>
        <v>1.1000000000000001</v>
      </c>
      <c r="F12">
        <f>IF($D$3="No",1,'Year 1 Traffic'!F20)</f>
        <v>1.2</v>
      </c>
      <c r="G12">
        <f>IF($D$3="No",1,'Year 1 Traffic'!G20)</f>
        <v>1.25</v>
      </c>
      <c r="H12">
        <f>IF($D$3="No",1,'Year 1 Traffic'!H20)</f>
        <v>1.25</v>
      </c>
      <c r="I12">
        <f>IF($D$3="No",1,'Year 1 Traffic'!I20)</f>
        <v>1.2</v>
      </c>
      <c r="J12">
        <f>IF($D$3="No",1,'Year 1 Traffic'!J20)</f>
        <v>1.1000000000000001</v>
      </c>
      <c r="K12">
        <f>IF($D$3="No",1,'Year 1 Traffic'!K20)</f>
        <v>1</v>
      </c>
      <c r="L12">
        <f>IF($D$3="No",1,'Year 1 Traffic'!L20)</f>
        <v>0.9</v>
      </c>
      <c r="M12">
        <f>IF($D$3="No",1,'Year 1 Traffic'!M20)</f>
        <v>0.8</v>
      </c>
    </row>
    <row r="13" spans="1:13">
      <c r="A13" s="269" t="s">
        <v>312</v>
      </c>
      <c r="B13" t="s">
        <v>491</v>
      </c>
      <c r="C13" t="s">
        <v>492</v>
      </c>
      <c r="D13" t="s">
        <v>493</v>
      </c>
      <c r="E13" t="s">
        <v>494</v>
      </c>
      <c r="F13" t="s">
        <v>107</v>
      </c>
      <c r="G13" t="s">
        <v>495</v>
      </c>
      <c r="H13" t="s">
        <v>496</v>
      </c>
      <c r="I13" t="s">
        <v>497</v>
      </c>
      <c r="J13" t="s">
        <v>498</v>
      </c>
      <c r="K13" t="s">
        <v>499</v>
      </c>
      <c r="L13" t="s">
        <v>500</v>
      </c>
      <c r="M13" t="s">
        <v>501</v>
      </c>
    </row>
    <row r="14" spans="1:13">
      <c r="A14" t="s">
        <v>647</v>
      </c>
      <c r="B14" s="361">
        <f>$B$8*$B$3*B$12</f>
        <v>1200</v>
      </c>
      <c r="C14" s="361">
        <f t="shared" ref="C14:M14" si="0">$B$8*$B$3*C$12</f>
        <v>1400</v>
      </c>
      <c r="D14" s="361">
        <f t="shared" si="0"/>
        <v>1800</v>
      </c>
      <c r="E14" s="361">
        <f t="shared" si="0"/>
        <v>2200</v>
      </c>
      <c r="F14" s="361">
        <f t="shared" si="0"/>
        <v>2400</v>
      </c>
      <c r="G14" s="361">
        <f t="shared" si="0"/>
        <v>2500</v>
      </c>
      <c r="H14" s="361">
        <f t="shared" si="0"/>
        <v>2500</v>
      </c>
      <c r="I14" s="361">
        <f t="shared" si="0"/>
        <v>2400</v>
      </c>
      <c r="J14" s="361">
        <f t="shared" si="0"/>
        <v>2200</v>
      </c>
      <c r="K14" s="361">
        <f t="shared" si="0"/>
        <v>2000</v>
      </c>
      <c r="L14" s="361">
        <f t="shared" si="0"/>
        <v>1800</v>
      </c>
      <c r="M14" s="361">
        <f t="shared" si="0"/>
        <v>1600</v>
      </c>
    </row>
    <row r="15" spans="1:13">
      <c r="A15" t="s">
        <v>648</v>
      </c>
      <c r="B15" s="361">
        <f>$B$9*$B$4*B$12</f>
        <v>600</v>
      </c>
      <c r="C15" s="361">
        <f t="shared" ref="C15:M15" si="1">$B$9*$B$4*C$12</f>
        <v>700</v>
      </c>
      <c r="D15" s="361">
        <f t="shared" si="1"/>
        <v>900</v>
      </c>
      <c r="E15" s="361">
        <f t="shared" si="1"/>
        <v>1100</v>
      </c>
      <c r="F15" s="361">
        <f t="shared" si="1"/>
        <v>1200</v>
      </c>
      <c r="G15" s="361">
        <f t="shared" si="1"/>
        <v>1250</v>
      </c>
      <c r="H15" s="361">
        <f t="shared" si="1"/>
        <v>1250</v>
      </c>
      <c r="I15" s="361">
        <f t="shared" si="1"/>
        <v>1200</v>
      </c>
      <c r="J15" s="361">
        <f t="shared" si="1"/>
        <v>1100</v>
      </c>
      <c r="K15" s="361">
        <f t="shared" si="1"/>
        <v>1000</v>
      </c>
      <c r="L15" s="361">
        <f t="shared" si="1"/>
        <v>900</v>
      </c>
      <c r="M15" s="361">
        <f t="shared" si="1"/>
        <v>800</v>
      </c>
    </row>
    <row r="16" spans="1:13">
      <c r="A16" t="s">
        <v>649</v>
      </c>
      <c r="B16" s="361">
        <f>$B$5*$B$10*B12</f>
        <v>180</v>
      </c>
      <c r="C16" s="361">
        <f t="shared" ref="C16:M16" si="2">$B$5*$B$10*C12</f>
        <v>210</v>
      </c>
      <c r="D16" s="361">
        <f t="shared" si="2"/>
        <v>270</v>
      </c>
      <c r="E16" s="361">
        <f t="shared" si="2"/>
        <v>330</v>
      </c>
      <c r="F16" s="361">
        <f t="shared" si="2"/>
        <v>360</v>
      </c>
      <c r="G16" s="361">
        <f t="shared" si="2"/>
        <v>375</v>
      </c>
      <c r="H16" s="361">
        <f t="shared" si="2"/>
        <v>375</v>
      </c>
      <c r="I16" s="361">
        <f t="shared" si="2"/>
        <v>360</v>
      </c>
      <c r="J16" s="361">
        <f t="shared" si="2"/>
        <v>330</v>
      </c>
      <c r="K16" s="361">
        <f t="shared" si="2"/>
        <v>300</v>
      </c>
      <c r="L16" s="361">
        <f t="shared" si="2"/>
        <v>270</v>
      </c>
      <c r="M16" s="361">
        <f t="shared" si="2"/>
        <v>240</v>
      </c>
    </row>
    <row r="17" spans="1:13">
      <c r="A17" s="363" t="s">
        <v>221</v>
      </c>
      <c r="B17" s="361">
        <f>SUM(B14:B16)</f>
        <v>1980</v>
      </c>
      <c r="C17" s="361">
        <f t="shared" ref="C17:M17" si="3">SUM(C14:C16)</f>
        <v>2310</v>
      </c>
      <c r="D17" s="361">
        <f t="shared" si="3"/>
        <v>2970</v>
      </c>
      <c r="E17" s="361">
        <f t="shared" si="3"/>
        <v>3630</v>
      </c>
      <c r="F17" s="361">
        <f t="shared" si="3"/>
        <v>3960</v>
      </c>
      <c r="G17" s="361">
        <f t="shared" si="3"/>
        <v>4125</v>
      </c>
      <c r="H17" s="361">
        <f t="shared" si="3"/>
        <v>4125</v>
      </c>
      <c r="I17" s="361">
        <f t="shared" si="3"/>
        <v>3960</v>
      </c>
      <c r="J17" s="361">
        <f t="shared" si="3"/>
        <v>3630</v>
      </c>
      <c r="K17" s="361">
        <f t="shared" si="3"/>
        <v>3300</v>
      </c>
      <c r="L17" s="361">
        <f t="shared" si="3"/>
        <v>2970</v>
      </c>
      <c r="M17" s="361">
        <f t="shared" si="3"/>
        <v>2640</v>
      </c>
    </row>
    <row r="19" spans="1:13" ht="21">
      <c r="A19" s="364" t="s">
        <v>638</v>
      </c>
    </row>
    <row r="20" spans="1:13">
      <c r="B20" t="s">
        <v>650</v>
      </c>
      <c r="C20" t="s">
        <v>635</v>
      </c>
    </row>
    <row r="21" spans="1:13">
      <c r="A21" t="s">
        <v>639</v>
      </c>
      <c r="B21" s="266">
        <v>2</v>
      </c>
      <c r="C21" s="266">
        <v>3</v>
      </c>
    </row>
    <row r="22" spans="1:13">
      <c r="A22" t="s">
        <v>640</v>
      </c>
      <c r="B22" s="266">
        <v>5</v>
      </c>
      <c r="C22" s="266">
        <v>5</v>
      </c>
    </row>
    <row r="23" spans="1:13">
      <c r="A23" t="s">
        <v>641</v>
      </c>
      <c r="B23" s="271">
        <v>12</v>
      </c>
      <c r="C23" s="271">
        <v>12</v>
      </c>
    </row>
    <row r="26" spans="1:13">
      <c r="A26" s="269" t="s">
        <v>312</v>
      </c>
      <c r="B26" t="s">
        <v>491</v>
      </c>
      <c r="C26" t="s">
        <v>492</v>
      </c>
      <c r="D26" t="s">
        <v>493</v>
      </c>
      <c r="E26" t="s">
        <v>494</v>
      </c>
      <c r="F26" t="s">
        <v>107</v>
      </c>
      <c r="G26" t="s">
        <v>495</v>
      </c>
      <c r="H26" t="s">
        <v>496</v>
      </c>
      <c r="I26" t="s">
        <v>497</v>
      </c>
      <c r="J26" t="s">
        <v>498</v>
      </c>
      <c r="K26" t="s">
        <v>499</v>
      </c>
      <c r="L26" t="s">
        <v>500</v>
      </c>
      <c r="M26" t="s">
        <v>501</v>
      </c>
    </row>
    <row r="27" spans="1:13">
      <c r="A27" s="269" t="s">
        <v>634</v>
      </c>
      <c r="B27" s="361">
        <f>$B$8*B$12*$B$21*$B$22*$B$23</f>
        <v>288</v>
      </c>
      <c r="C27" s="361">
        <f t="shared" ref="C27:M27" si="4">$B$8*C$12*$B$21*$B$22*$B$23</f>
        <v>336</v>
      </c>
      <c r="D27" s="361">
        <f t="shared" si="4"/>
        <v>432</v>
      </c>
      <c r="E27" s="361">
        <f t="shared" si="4"/>
        <v>528</v>
      </c>
      <c r="F27" s="361">
        <f t="shared" si="4"/>
        <v>576</v>
      </c>
      <c r="G27" s="361">
        <f t="shared" si="4"/>
        <v>600</v>
      </c>
      <c r="H27" s="361">
        <f t="shared" si="4"/>
        <v>600</v>
      </c>
      <c r="I27" s="361">
        <f t="shared" si="4"/>
        <v>576</v>
      </c>
      <c r="J27" s="361">
        <f t="shared" si="4"/>
        <v>528</v>
      </c>
      <c r="K27" s="361">
        <f t="shared" si="4"/>
        <v>480</v>
      </c>
      <c r="L27" s="361">
        <f t="shared" si="4"/>
        <v>432</v>
      </c>
      <c r="M27" s="361">
        <f t="shared" si="4"/>
        <v>384</v>
      </c>
    </row>
    <row r="28" spans="1:13">
      <c r="A28" s="269" t="s">
        <v>635</v>
      </c>
      <c r="B28" s="361">
        <f>$B$9*B$12*$C$21*$C$22*$C$23</f>
        <v>108</v>
      </c>
      <c r="C28" s="361">
        <f t="shared" ref="C28:M28" si="5">$B$9*C$12*$C$21*$C$22*$C$23</f>
        <v>125.99999999999997</v>
      </c>
      <c r="D28" s="361">
        <f t="shared" si="5"/>
        <v>162</v>
      </c>
      <c r="E28" s="361">
        <f t="shared" si="5"/>
        <v>198</v>
      </c>
      <c r="F28" s="361">
        <f t="shared" si="5"/>
        <v>216</v>
      </c>
      <c r="G28" s="361">
        <f t="shared" si="5"/>
        <v>225</v>
      </c>
      <c r="H28" s="361">
        <f t="shared" si="5"/>
        <v>225</v>
      </c>
      <c r="I28" s="361">
        <f t="shared" si="5"/>
        <v>216</v>
      </c>
      <c r="J28" s="361">
        <f t="shared" si="5"/>
        <v>198</v>
      </c>
      <c r="K28" s="361">
        <f t="shared" si="5"/>
        <v>180</v>
      </c>
      <c r="L28" s="361">
        <f t="shared" si="5"/>
        <v>162</v>
      </c>
      <c r="M28" s="361">
        <f t="shared" si="5"/>
        <v>144.00000000000003</v>
      </c>
    </row>
    <row r="29" spans="1:13">
      <c r="A29" s="363" t="s">
        <v>221</v>
      </c>
      <c r="B29" s="361">
        <f>SUM(B27:B28)</f>
        <v>396</v>
      </c>
      <c r="C29" s="361">
        <f t="shared" ref="C29" si="6">SUM(C27:C28)</f>
        <v>462</v>
      </c>
      <c r="D29" s="361">
        <f t="shared" ref="D29" si="7">SUM(D27:D28)</f>
        <v>594</v>
      </c>
      <c r="E29" s="361">
        <f t="shared" ref="E29" si="8">SUM(E27:E28)</f>
        <v>726</v>
      </c>
      <c r="F29" s="361">
        <f t="shared" ref="F29" si="9">SUM(F27:F28)</f>
        <v>792</v>
      </c>
      <c r="G29" s="361">
        <f t="shared" ref="G29" si="10">SUM(G27:G28)</f>
        <v>825</v>
      </c>
      <c r="H29" s="361">
        <f t="shared" ref="H29" si="11">SUM(H27:H28)</f>
        <v>825</v>
      </c>
      <c r="I29" s="361">
        <f t="shared" ref="I29" si="12">SUM(I27:I28)</f>
        <v>792</v>
      </c>
      <c r="J29" s="361">
        <f t="shared" ref="J29" si="13">SUM(J27:J28)</f>
        <v>726</v>
      </c>
      <c r="K29" s="361">
        <f t="shared" ref="K29" si="14">SUM(K27:K28)</f>
        <v>660</v>
      </c>
      <c r="L29" s="361">
        <f t="shared" ref="L29" si="15">SUM(L27:L28)</f>
        <v>594</v>
      </c>
      <c r="M29" s="361">
        <f t="shared" ref="M29" si="16">SUM(M27:M28)</f>
        <v>528</v>
      </c>
    </row>
    <row r="31" spans="1:13">
      <c r="B31" s="373">
        <f>B29/B17</f>
        <v>0.2</v>
      </c>
      <c r="C31" s="373">
        <f t="shared" ref="C31:M31" si="17">C29/C17</f>
        <v>0.2</v>
      </c>
      <c r="D31" s="373">
        <f t="shared" si="17"/>
        <v>0.2</v>
      </c>
      <c r="E31" s="373">
        <f t="shared" si="17"/>
        <v>0.2</v>
      </c>
      <c r="F31" s="373">
        <f t="shared" si="17"/>
        <v>0.2</v>
      </c>
      <c r="G31" s="373">
        <f t="shared" si="17"/>
        <v>0.2</v>
      </c>
      <c r="H31" s="373">
        <f t="shared" si="17"/>
        <v>0.2</v>
      </c>
      <c r="I31" s="373">
        <f t="shared" si="17"/>
        <v>0.2</v>
      </c>
      <c r="J31" s="373">
        <f t="shared" si="17"/>
        <v>0.2</v>
      </c>
      <c r="K31" s="373">
        <f t="shared" si="17"/>
        <v>0.2</v>
      </c>
      <c r="L31" s="373">
        <f t="shared" si="17"/>
        <v>0.2</v>
      </c>
      <c r="M31" s="373">
        <f t="shared" si="17"/>
        <v>0.2</v>
      </c>
    </row>
  </sheetData>
  <sheetProtection sheet="1" objects="1" scenarios="1"/>
  <protectedRanges>
    <protectedRange sqref="B3:B5 D3 F3 B8:B10 B21:C23" name="Range1"/>
  </protectedRanges>
  <dataValidations count="1">
    <dataValidation type="list" allowBlank="1" showInputMessage="1" showErrorMessage="1" sqref="D3 F3" xr:uid="{F02D0902-4FC6-4C4D-A518-FF81D905660A}">
      <formula1>Yes_No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U976"/>
  <sheetViews>
    <sheetView zoomScale="115" zoomScaleNormal="115" workbookViewId="0">
      <pane xSplit="7" ySplit="6" topLeftCell="H112" activePane="bottomRight" state="frozen"/>
      <selection pane="topRight" activeCell="G1" sqref="G1"/>
      <selection pane="bottomLeft" activeCell="A7" sqref="A7"/>
      <selection pane="bottomRight" activeCell="G130" sqref="G130"/>
    </sheetView>
  </sheetViews>
  <sheetFormatPr defaultColWidth="14.42578125" defaultRowHeight="15" customHeight="1"/>
  <cols>
    <col min="1" max="1" width="3.7109375" customWidth="1"/>
    <col min="2" max="2" width="11.140625" customWidth="1"/>
    <col min="3" max="3" width="8.85546875" customWidth="1"/>
    <col min="4" max="4" width="9.7109375" customWidth="1"/>
    <col min="5" max="5" width="5.28515625" customWidth="1"/>
    <col min="6" max="6" width="12.7109375" customWidth="1"/>
    <col min="7" max="7" width="12.28515625" customWidth="1"/>
    <col min="8" max="8" width="11.5703125" customWidth="1"/>
    <col min="9" max="19" width="10.5703125" customWidth="1"/>
    <col min="20" max="20" width="12.42578125" style="265" customWidth="1"/>
    <col min="21" max="21" width="11.85546875" style="304" customWidth="1"/>
    <col min="22" max="23" width="11.85546875" customWidth="1"/>
    <col min="24" max="24" width="10.85546875" customWidth="1"/>
    <col min="25" max="26" width="11.28515625" customWidth="1"/>
    <col min="27" max="27" width="11.85546875" customWidth="1"/>
    <col min="28" max="28" width="11.28515625" customWidth="1"/>
    <col min="29" max="32" width="11.85546875" customWidth="1"/>
    <col min="33" max="33" width="12.28515625" style="265" customWidth="1"/>
    <col min="34" max="34" width="11.85546875" style="304" customWidth="1"/>
    <col min="35" max="35" width="11.85546875" customWidth="1"/>
    <col min="36" max="45" width="11" bestFit="1" customWidth="1"/>
    <col min="46" max="46" width="12" style="265" bestFit="1" customWidth="1"/>
    <col min="47" max="47" width="11" style="304" bestFit="1" customWidth="1"/>
    <col min="48" max="58" width="11" bestFit="1" customWidth="1"/>
    <col min="59" max="59" width="12" style="265" bestFit="1" customWidth="1"/>
    <col min="60" max="60" width="11" style="304" bestFit="1" customWidth="1"/>
    <col min="61" max="71" width="11" bestFit="1" customWidth="1"/>
    <col min="72" max="72" width="12" bestFit="1" customWidth="1"/>
    <col min="73" max="73" width="10.5703125" customWidth="1"/>
  </cols>
  <sheetData>
    <row r="1" spans="1:73">
      <c r="A1" s="91" t="str">
        <f>Assumptions!A1</f>
        <v>Central Brewing Company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286"/>
      <c r="U1" s="295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305"/>
      <c r="AH1" s="295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305"/>
      <c r="AU1" s="295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305"/>
      <c r="BH1" s="295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</row>
    <row r="2" spans="1:73">
      <c r="A2" s="92" t="s">
        <v>605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286"/>
      <c r="U2" s="295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305"/>
      <c r="AH2" s="295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305"/>
      <c r="AU2" s="295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305"/>
      <c r="BH2" s="295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  <c r="BU2" s="92"/>
    </row>
    <row r="3" spans="1:73" ht="15.75" customHeight="1">
      <c r="A3" s="93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3"/>
      <c r="U3" s="296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296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296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296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2"/>
    </row>
    <row r="4" spans="1:73">
      <c r="A4" s="95"/>
      <c r="B4" s="95"/>
      <c r="C4" s="95"/>
      <c r="D4" s="95"/>
      <c r="E4" s="95"/>
      <c r="F4" s="95"/>
      <c r="G4" s="95"/>
      <c r="H4" s="96"/>
      <c r="I4" s="97"/>
      <c r="J4" s="97"/>
      <c r="K4" s="97"/>
      <c r="L4" s="97"/>
      <c r="M4" s="97"/>
      <c r="N4" s="98" t="s">
        <v>98</v>
      </c>
      <c r="O4" s="97"/>
      <c r="P4" s="97"/>
      <c r="Q4" s="97"/>
      <c r="R4" s="97"/>
      <c r="S4" s="97"/>
      <c r="T4" s="287"/>
      <c r="U4" s="297"/>
      <c r="V4" s="97"/>
      <c r="W4" s="97"/>
      <c r="X4" s="97"/>
      <c r="Y4" s="97"/>
      <c r="Z4" s="97"/>
      <c r="AA4" s="98" t="s">
        <v>99</v>
      </c>
      <c r="AB4" s="97"/>
      <c r="AC4" s="97"/>
      <c r="AD4" s="97"/>
      <c r="AE4" s="97"/>
      <c r="AF4" s="97"/>
      <c r="AG4" s="306"/>
      <c r="AH4" s="297"/>
      <c r="AI4" s="97"/>
      <c r="AJ4" s="97"/>
      <c r="AK4" s="97"/>
      <c r="AL4" s="97"/>
      <c r="AM4" s="97"/>
      <c r="AN4" s="98" t="s">
        <v>100</v>
      </c>
      <c r="AO4" s="97"/>
      <c r="AP4" s="97"/>
      <c r="AQ4" s="97"/>
      <c r="AR4" s="97"/>
      <c r="AS4" s="97"/>
      <c r="AT4" s="306"/>
      <c r="AU4" s="297"/>
      <c r="AV4" s="97"/>
      <c r="AW4" s="97"/>
      <c r="AX4" s="97"/>
      <c r="AY4" s="97"/>
      <c r="AZ4" s="97"/>
      <c r="BA4" s="98" t="s">
        <v>101</v>
      </c>
      <c r="BB4" s="97"/>
      <c r="BC4" s="97"/>
      <c r="BD4" s="97"/>
      <c r="BE4" s="97"/>
      <c r="BF4" s="97"/>
      <c r="BG4" s="306"/>
      <c r="BH4" s="297"/>
      <c r="BI4" s="97"/>
      <c r="BJ4" s="97"/>
      <c r="BK4" s="97"/>
      <c r="BL4" s="97"/>
      <c r="BM4" s="97"/>
      <c r="BN4" s="98" t="s">
        <v>102</v>
      </c>
      <c r="BO4" s="97"/>
      <c r="BP4" s="97"/>
      <c r="BQ4" s="97"/>
      <c r="BR4" s="97"/>
      <c r="BS4" s="97"/>
      <c r="BT4" s="99"/>
      <c r="BU4" s="92"/>
    </row>
    <row r="5" spans="1:73">
      <c r="A5" s="91"/>
      <c r="B5" s="91"/>
      <c r="C5" s="91"/>
      <c r="D5" s="91"/>
      <c r="E5" s="91"/>
      <c r="F5" s="91"/>
      <c r="G5" s="91"/>
      <c r="H5" s="100" t="str">
        <f>SOFP!F5</f>
        <v>Jan</v>
      </c>
      <c r="I5" s="100" t="str">
        <f>SOFP!G5</f>
        <v>Feb</v>
      </c>
      <c r="J5" s="100" t="str">
        <f>SOFP!H5</f>
        <v>Mar</v>
      </c>
      <c r="K5" s="100" t="str">
        <f>SOFP!I5</f>
        <v>Apr</v>
      </c>
      <c r="L5" s="100" t="str">
        <f>SOFP!J5</f>
        <v>May</v>
      </c>
      <c r="M5" s="100" t="str">
        <f>SOFP!K5</f>
        <v>Jun</v>
      </c>
      <c r="N5" s="100" t="str">
        <f>SOFP!L5</f>
        <v>Jul</v>
      </c>
      <c r="O5" s="100" t="str">
        <f>SOFP!M5</f>
        <v>Aug</v>
      </c>
      <c r="P5" s="100" t="str">
        <f>SOFP!N5</f>
        <v>Sep</v>
      </c>
      <c r="Q5" s="100" t="str">
        <f>SOFP!O5</f>
        <v>Oct</v>
      </c>
      <c r="R5" s="100" t="str">
        <f>SOFP!P5</f>
        <v>Nov</v>
      </c>
      <c r="S5" s="100" t="str">
        <f>SOFP!Q5</f>
        <v>Dec</v>
      </c>
      <c r="T5" s="288" t="s">
        <v>116</v>
      </c>
      <c r="U5" s="298" t="str">
        <f t="shared" ref="U5:AF5" si="0">H5</f>
        <v>Jan</v>
      </c>
      <c r="V5" s="100" t="str">
        <f t="shared" si="0"/>
        <v>Feb</v>
      </c>
      <c r="W5" s="100" t="str">
        <f t="shared" si="0"/>
        <v>Mar</v>
      </c>
      <c r="X5" s="100" t="str">
        <f t="shared" si="0"/>
        <v>Apr</v>
      </c>
      <c r="Y5" s="100" t="str">
        <f t="shared" si="0"/>
        <v>May</v>
      </c>
      <c r="Z5" s="100" t="str">
        <f t="shared" si="0"/>
        <v>Jun</v>
      </c>
      <c r="AA5" s="100" t="str">
        <f t="shared" si="0"/>
        <v>Jul</v>
      </c>
      <c r="AB5" s="100" t="str">
        <f t="shared" si="0"/>
        <v>Aug</v>
      </c>
      <c r="AC5" s="100" t="str">
        <f t="shared" si="0"/>
        <v>Sep</v>
      </c>
      <c r="AD5" s="100" t="str">
        <f t="shared" si="0"/>
        <v>Oct</v>
      </c>
      <c r="AE5" s="100" t="str">
        <f t="shared" si="0"/>
        <v>Nov</v>
      </c>
      <c r="AF5" s="100" t="str">
        <f t="shared" si="0"/>
        <v>Dec</v>
      </c>
      <c r="AG5" s="288" t="s">
        <v>116</v>
      </c>
      <c r="AH5" s="298" t="str">
        <f t="shared" ref="AH5:AS5" si="1">U5</f>
        <v>Jan</v>
      </c>
      <c r="AI5" s="100" t="str">
        <f t="shared" si="1"/>
        <v>Feb</v>
      </c>
      <c r="AJ5" s="100" t="str">
        <f t="shared" si="1"/>
        <v>Mar</v>
      </c>
      <c r="AK5" s="100" t="str">
        <f t="shared" si="1"/>
        <v>Apr</v>
      </c>
      <c r="AL5" s="100" t="str">
        <f t="shared" si="1"/>
        <v>May</v>
      </c>
      <c r="AM5" s="100" t="str">
        <f t="shared" si="1"/>
        <v>Jun</v>
      </c>
      <c r="AN5" s="100" t="str">
        <f t="shared" si="1"/>
        <v>Jul</v>
      </c>
      <c r="AO5" s="100" t="str">
        <f t="shared" si="1"/>
        <v>Aug</v>
      </c>
      <c r="AP5" s="100" t="str">
        <f t="shared" si="1"/>
        <v>Sep</v>
      </c>
      <c r="AQ5" s="100" t="str">
        <f t="shared" si="1"/>
        <v>Oct</v>
      </c>
      <c r="AR5" s="100" t="str">
        <f t="shared" si="1"/>
        <v>Nov</v>
      </c>
      <c r="AS5" s="100" t="str">
        <f t="shared" si="1"/>
        <v>Dec</v>
      </c>
      <c r="AT5" s="288" t="s">
        <v>116</v>
      </c>
      <c r="AU5" s="298" t="str">
        <f t="shared" ref="AU5:BF5" si="2">AH5</f>
        <v>Jan</v>
      </c>
      <c r="AV5" s="100" t="str">
        <f t="shared" si="2"/>
        <v>Feb</v>
      </c>
      <c r="AW5" s="100" t="str">
        <f t="shared" si="2"/>
        <v>Mar</v>
      </c>
      <c r="AX5" s="100" t="str">
        <f t="shared" si="2"/>
        <v>Apr</v>
      </c>
      <c r="AY5" s="100" t="str">
        <f t="shared" si="2"/>
        <v>May</v>
      </c>
      <c r="AZ5" s="100" t="str">
        <f t="shared" si="2"/>
        <v>Jun</v>
      </c>
      <c r="BA5" s="100" t="str">
        <f t="shared" si="2"/>
        <v>Jul</v>
      </c>
      <c r="BB5" s="100" t="str">
        <f t="shared" si="2"/>
        <v>Aug</v>
      </c>
      <c r="BC5" s="100" t="str">
        <f t="shared" si="2"/>
        <v>Sep</v>
      </c>
      <c r="BD5" s="100" t="str">
        <f t="shared" si="2"/>
        <v>Oct</v>
      </c>
      <c r="BE5" s="100" t="str">
        <f t="shared" si="2"/>
        <v>Nov</v>
      </c>
      <c r="BF5" s="100" t="str">
        <f t="shared" si="2"/>
        <v>Dec</v>
      </c>
      <c r="BG5" s="288" t="s">
        <v>116</v>
      </c>
      <c r="BH5" s="298" t="str">
        <f t="shared" ref="BH5:BS5" si="3">AU5</f>
        <v>Jan</v>
      </c>
      <c r="BI5" s="100" t="str">
        <f t="shared" si="3"/>
        <v>Feb</v>
      </c>
      <c r="BJ5" s="100" t="str">
        <f t="shared" si="3"/>
        <v>Mar</v>
      </c>
      <c r="BK5" s="100" t="str">
        <f t="shared" si="3"/>
        <v>Apr</v>
      </c>
      <c r="BL5" s="100" t="str">
        <f t="shared" si="3"/>
        <v>May</v>
      </c>
      <c r="BM5" s="100" t="str">
        <f t="shared" si="3"/>
        <v>Jun</v>
      </c>
      <c r="BN5" s="100" t="str">
        <f t="shared" si="3"/>
        <v>Jul</v>
      </c>
      <c r="BO5" s="100" t="str">
        <f t="shared" si="3"/>
        <v>Aug</v>
      </c>
      <c r="BP5" s="100" t="str">
        <f t="shared" si="3"/>
        <v>Sep</v>
      </c>
      <c r="BQ5" s="100" t="str">
        <f t="shared" si="3"/>
        <v>Oct</v>
      </c>
      <c r="BR5" s="100" t="str">
        <f t="shared" si="3"/>
        <v>Nov</v>
      </c>
      <c r="BS5" s="100" t="str">
        <f t="shared" si="3"/>
        <v>Dec</v>
      </c>
      <c r="BT5" s="101" t="s">
        <v>116</v>
      </c>
      <c r="BU5" s="101" t="s">
        <v>117</v>
      </c>
    </row>
    <row r="6" spans="1:73">
      <c r="A6" s="91"/>
      <c r="B6" s="92"/>
      <c r="C6" s="92"/>
      <c r="D6" s="92"/>
      <c r="E6" s="92"/>
      <c r="F6" s="92"/>
      <c r="G6" s="92"/>
      <c r="H6" s="102">
        <v>1</v>
      </c>
      <c r="I6" s="102">
        <v>2</v>
      </c>
      <c r="J6" s="102">
        <v>3</v>
      </c>
      <c r="K6" s="102">
        <v>4</v>
      </c>
      <c r="L6" s="102">
        <v>5</v>
      </c>
      <c r="M6" s="102">
        <v>6</v>
      </c>
      <c r="N6" s="102">
        <v>7</v>
      </c>
      <c r="O6" s="102">
        <v>8</v>
      </c>
      <c r="P6" s="102">
        <v>9</v>
      </c>
      <c r="Q6" s="102">
        <v>10</v>
      </c>
      <c r="R6" s="102">
        <v>11</v>
      </c>
      <c r="S6" s="102">
        <v>12</v>
      </c>
      <c r="T6" s="289"/>
      <c r="U6" s="299">
        <v>13</v>
      </c>
      <c r="V6" s="102">
        <v>14</v>
      </c>
      <c r="W6" s="102">
        <v>15</v>
      </c>
      <c r="X6" s="102">
        <v>16</v>
      </c>
      <c r="Y6" s="102">
        <v>17</v>
      </c>
      <c r="Z6" s="102">
        <v>18</v>
      </c>
      <c r="AA6" s="102">
        <v>19</v>
      </c>
      <c r="AB6" s="102">
        <v>20</v>
      </c>
      <c r="AC6" s="102">
        <v>21</v>
      </c>
      <c r="AD6" s="102">
        <v>22</v>
      </c>
      <c r="AE6" s="102">
        <v>23</v>
      </c>
      <c r="AF6" s="102">
        <v>24</v>
      </c>
      <c r="AG6" s="289"/>
      <c r="AH6" s="299">
        <v>25</v>
      </c>
      <c r="AI6" s="102">
        <v>26</v>
      </c>
      <c r="AJ6" s="102">
        <v>27</v>
      </c>
      <c r="AK6" s="102">
        <v>28</v>
      </c>
      <c r="AL6" s="102">
        <v>29</v>
      </c>
      <c r="AM6" s="102">
        <v>30</v>
      </c>
      <c r="AN6" s="102">
        <v>31</v>
      </c>
      <c r="AO6" s="102">
        <v>32</v>
      </c>
      <c r="AP6" s="102">
        <v>33</v>
      </c>
      <c r="AQ6" s="102">
        <v>34</v>
      </c>
      <c r="AR6" s="102">
        <v>35</v>
      </c>
      <c r="AS6" s="102">
        <v>36</v>
      </c>
      <c r="AT6" s="289"/>
      <c r="AU6" s="299">
        <v>37</v>
      </c>
      <c r="AV6" s="102">
        <v>38</v>
      </c>
      <c r="AW6" s="102">
        <v>39</v>
      </c>
      <c r="AX6" s="102">
        <v>40</v>
      </c>
      <c r="AY6" s="102">
        <v>41</v>
      </c>
      <c r="AZ6" s="102">
        <v>42</v>
      </c>
      <c r="BA6" s="102">
        <v>43</v>
      </c>
      <c r="BB6" s="102">
        <v>44</v>
      </c>
      <c r="BC6" s="102">
        <v>45</v>
      </c>
      <c r="BD6" s="102">
        <v>46</v>
      </c>
      <c r="BE6" s="102">
        <v>47</v>
      </c>
      <c r="BF6" s="102">
        <v>48</v>
      </c>
      <c r="BG6" s="289"/>
      <c r="BH6" s="299">
        <v>49</v>
      </c>
      <c r="BI6" s="102">
        <v>50</v>
      </c>
      <c r="BJ6" s="102">
        <v>51</v>
      </c>
      <c r="BK6" s="102">
        <v>52</v>
      </c>
      <c r="BL6" s="102">
        <v>53</v>
      </c>
      <c r="BM6" s="102">
        <v>54</v>
      </c>
      <c r="BN6" s="102">
        <v>55</v>
      </c>
      <c r="BO6" s="102">
        <v>56</v>
      </c>
      <c r="BP6" s="102">
        <v>57</v>
      </c>
      <c r="BQ6" s="102">
        <v>58</v>
      </c>
      <c r="BR6" s="102">
        <v>59</v>
      </c>
      <c r="BS6" s="102">
        <v>60</v>
      </c>
      <c r="BT6" s="103"/>
      <c r="BU6" s="92"/>
    </row>
    <row r="7" spans="1:73" ht="14.25" customHeight="1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289">
        <f>SUM(H7:S7)</f>
        <v>0</v>
      </c>
      <c r="U7" s="295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305"/>
      <c r="AH7" s="295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305"/>
      <c r="AU7" s="295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305"/>
      <c r="BH7" s="295"/>
      <c r="BI7" s="92"/>
      <c r="BJ7" s="92"/>
      <c r="BK7" s="92"/>
      <c r="BL7" s="92"/>
      <c r="BM7" s="92"/>
      <c r="BN7" s="92"/>
      <c r="BO7" s="92"/>
      <c r="BP7" s="92"/>
      <c r="BQ7" s="92"/>
      <c r="BR7" s="92"/>
      <c r="BS7" s="92"/>
      <c r="BT7" s="92"/>
      <c r="BU7" s="92"/>
    </row>
    <row r="8" spans="1:73" ht="14.25" customHeight="1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289"/>
      <c r="U8" s="295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305"/>
      <c r="AH8" s="295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305"/>
      <c r="AU8" s="295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05"/>
      <c r="BH8" s="295"/>
      <c r="BI8" s="92"/>
      <c r="BJ8" s="92"/>
      <c r="BK8" s="92"/>
      <c r="BL8" s="92"/>
      <c r="BM8" s="92"/>
      <c r="BN8" s="92"/>
      <c r="BO8" s="92"/>
      <c r="BP8" s="92"/>
      <c r="BQ8" s="92"/>
      <c r="BR8" s="92"/>
      <c r="BS8" s="92"/>
      <c r="BT8" s="92"/>
      <c r="BU8" s="92"/>
    </row>
    <row r="9" spans="1:73" ht="14.25" customHeight="1">
      <c r="B9" s="92"/>
      <c r="C9" s="92"/>
      <c r="D9" s="92"/>
      <c r="E9" s="92"/>
      <c r="F9" s="256" t="s">
        <v>507</v>
      </c>
      <c r="G9" s="92"/>
      <c r="H9" s="273">
        <f>'Year 1 Traffic'!B25</f>
        <v>14136</v>
      </c>
      <c r="I9" s="273">
        <f>'Year 1 Traffic'!C25</f>
        <v>15028.999999999998</v>
      </c>
      <c r="J9" s="273">
        <f>'Year 1 Traffic'!D25</f>
        <v>21204</v>
      </c>
      <c r="K9" s="273">
        <f>'Year 1 Traffic'!E25</f>
        <v>25080.000000000004</v>
      </c>
      <c r="L9" s="273">
        <f>'Year 1 Traffic'!F25</f>
        <v>28272</v>
      </c>
      <c r="M9" s="273">
        <f>'Year 1 Traffic'!G25</f>
        <v>28500</v>
      </c>
      <c r="N9" s="273">
        <f>'Year 1 Traffic'!H25</f>
        <v>29450</v>
      </c>
      <c r="O9" s="273">
        <f>'Year 1 Traffic'!I25</f>
        <v>28272</v>
      </c>
      <c r="P9" s="273">
        <f>'Year 1 Traffic'!J25</f>
        <v>25080.000000000004</v>
      </c>
      <c r="Q9" s="273">
        <f>'Year 1 Traffic'!K25</f>
        <v>23560</v>
      </c>
      <c r="R9" s="273">
        <f>'Year 1 Traffic'!L25</f>
        <v>20520</v>
      </c>
      <c r="S9" s="273">
        <f>'Year 1 Traffic'!M25</f>
        <v>18848</v>
      </c>
      <c r="T9" s="290">
        <f>SUM(H9:S9)</f>
        <v>277951</v>
      </c>
      <c r="U9" s="300">
        <f>H9*(1+Assumptions!$D$73)*(1+Assumptions!$D$74)</f>
        <v>18376.8</v>
      </c>
      <c r="V9" s="273">
        <f>I9*(1+Assumptions!$D$73)*(1+Assumptions!$D$74)</f>
        <v>19537.699999999997</v>
      </c>
      <c r="W9" s="273">
        <f>J9*(1+Assumptions!$D$73)*(1+Assumptions!$D$74)</f>
        <v>27565.200000000001</v>
      </c>
      <c r="X9" s="273">
        <f>K9*(1+Assumptions!$D$73)*(1+Assumptions!$D$74)</f>
        <v>32604.000000000004</v>
      </c>
      <c r="Y9" s="273">
        <f>L9*(1+Assumptions!$D$73)*(1+Assumptions!$D$74)</f>
        <v>36753.599999999999</v>
      </c>
      <c r="Z9" s="273">
        <f>M9*(1+Assumptions!$D$73)*(1+Assumptions!$D$74)</f>
        <v>37050</v>
      </c>
      <c r="AA9" s="273">
        <f>N9*(1+Assumptions!$D$73)*(1+Assumptions!$D$74)</f>
        <v>38285</v>
      </c>
      <c r="AB9" s="273">
        <f>O9*(1+Assumptions!$D$73)*(1+Assumptions!$D$74)</f>
        <v>36753.599999999999</v>
      </c>
      <c r="AC9" s="273">
        <f>P9*(1+Assumptions!$D$73)*(1+Assumptions!$D$74)</f>
        <v>32604.000000000004</v>
      </c>
      <c r="AD9" s="273">
        <f>Q9*(1+Assumptions!$D$73)*(1+Assumptions!$D$74)</f>
        <v>30628</v>
      </c>
      <c r="AE9" s="273">
        <f>R9*(1+Assumptions!$D$73)*(1+Assumptions!$D$74)</f>
        <v>26676</v>
      </c>
      <c r="AF9" s="273">
        <f>S9*(1+Assumptions!$D$73)*(1+Assumptions!$D$74)</f>
        <v>24502.400000000001</v>
      </c>
      <c r="AG9" s="307">
        <f>SUM(U9:AF9)</f>
        <v>361336.30000000005</v>
      </c>
      <c r="AH9" s="300">
        <f>U9*(1+Assumptions!$E$73)*(1+Assumptions!$E$74)</f>
        <v>21767.319599999995</v>
      </c>
      <c r="AI9" s="273">
        <f>V9*(1+Assumptions!$E$73)*(1+Assumptions!$E$74)</f>
        <v>23142.405649999997</v>
      </c>
      <c r="AJ9" s="273">
        <f>W9*(1+Assumptions!$E$73)*(1+Assumptions!$E$74)</f>
        <v>32650.9794</v>
      </c>
      <c r="AK9" s="273">
        <f>X9*(1+Assumptions!$E$73)*(1+Assumptions!$E$74)</f>
        <v>38619.438000000002</v>
      </c>
      <c r="AL9" s="273">
        <f>Y9*(1+Assumptions!$E$73)*(1+Assumptions!$E$74)</f>
        <v>43534.639199999991</v>
      </c>
      <c r="AM9" s="273">
        <f>Z9*(1+Assumptions!$E$73)*(1+Assumptions!$E$74)</f>
        <v>43885.724999999999</v>
      </c>
      <c r="AN9" s="273">
        <f>AA9*(1+Assumptions!$E$73)*(1+Assumptions!$E$74)</f>
        <v>45348.582500000004</v>
      </c>
      <c r="AO9" s="273">
        <f>AB9*(1+Assumptions!$E$73)*(1+Assumptions!$E$74)</f>
        <v>43534.639199999991</v>
      </c>
      <c r="AP9" s="273">
        <f>AC9*(1+Assumptions!$E$73)*(1+Assumptions!$E$74)</f>
        <v>38619.438000000002</v>
      </c>
      <c r="AQ9" s="273">
        <f>AD9*(1+Assumptions!$E$73)*(1+Assumptions!$E$74)</f>
        <v>36278.865999999995</v>
      </c>
      <c r="AR9" s="273">
        <f>AE9*(1+Assumptions!$E$73)*(1+Assumptions!$E$74)</f>
        <v>31597.721999999998</v>
      </c>
      <c r="AS9" s="273">
        <f>AF9*(1+Assumptions!$E$73)*(1+Assumptions!$E$74)</f>
        <v>29023.092799999999</v>
      </c>
      <c r="AT9" s="307">
        <f>SUM(AH9:AS9)</f>
        <v>428002.84734999994</v>
      </c>
      <c r="AU9" s="300">
        <f>AH9*(1+Assumptions!$F$73)*(1+Assumptions!$F$74)</f>
        <v>24662.373106799998</v>
      </c>
      <c r="AV9" s="273">
        <f>AI9*(1+Assumptions!$F$73)*(1+Assumptions!$F$74)</f>
        <v>26220.345601449997</v>
      </c>
      <c r="AW9" s="273">
        <f>AJ9*(1+Assumptions!$F$73)*(1+Assumptions!$F$74)</f>
        <v>36993.559660200008</v>
      </c>
      <c r="AX9" s="273">
        <f>AK9*(1+Assumptions!$F$73)*(1+Assumptions!$F$74)</f>
        <v>43755.823254000003</v>
      </c>
      <c r="AY9" s="273">
        <f>AL9*(1+Assumptions!$F$73)*(1+Assumptions!$F$74)</f>
        <v>49324.746213599996</v>
      </c>
      <c r="AZ9" s="273">
        <f>AM9*(1+Assumptions!$F$73)*(1+Assumptions!$F$74)</f>
        <v>49722.526425000004</v>
      </c>
      <c r="BA9" s="273">
        <f>AN9*(1+Assumptions!$F$73)*(1+Assumptions!$F$74)</f>
        <v>51379.943972500012</v>
      </c>
      <c r="BB9" s="273">
        <f>AO9*(1+Assumptions!$F$73)*(1+Assumptions!$F$74)</f>
        <v>49324.746213599996</v>
      </c>
      <c r="BC9" s="273">
        <f>AP9*(1+Assumptions!$F$73)*(1+Assumptions!$F$74)</f>
        <v>43755.823254000003</v>
      </c>
      <c r="BD9" s="273">
        <f>AQ9*(1+Assumptions!$F$73)*(1+Assumptions!$F$74)</f>
        <v>41103.955178000004</v>
      </c>
      <c r="BE9" s="273">
        <f>AR9*(1+Assumptions!$F$73)*(1+Assumptions!$F$74)</f>
        <v>35800.219025999999</v>
      </c>
      <c r="BF9" s="273">
        <f>AS9*(1+Assumptions!$F$73)*(1+Assumptions!$F$74)</f>
        <v>32883.164142399997</v>
      </c>
      <c r="BG9" s="307">
        <f>SUM(AU9:BF9)</f>
        <v>484927.22604754998</v>
      </c>
      <c r="BH9" s="300">
        <f>AU9*(1+Assumptions!$G$73)*(1+Assumptions!$G$74)</f>
        <v>27942.468730004399</v>
      </c>
      <c r="BI9" s="273">
        <f>AV9*(1+Assumptions!$G$73)*(1+Assumptions!$G$74)</f>
        <v>29707.651566442852</v>
      </c>
      <c r="BJ9" s="273">
        <f>AW9*(1+Assumptions!$G$73)*(1+Assumptions!$G$74)</f>
        <v>41913.703095006611</v>
      </c>
      <c r="BK9" s="273">
        <f>AX9*(1+Assumptions!$G$73)*(1+Assumptions!$G$74)</f>
        <v>49575.347746782012</v>
      </c>
      <c r="BL9" s="273">
        <f>AY9*(1+Assumptions!$G$73)*(1+Assumptions!$G$74)</f>
        <v>55884.937460008798</v>
      </c>
      <c r="BM9" s="273">
        <f>AZ9*(1+Assumptions!$G$73)*(1+Assumptions!$G$74)</f>
        <v>56335.62243952501</v>
      </c>
      <c r="BN9" s="273">
        <f>BA9*(1+Assumptions!$G$73)*(1+Assumptions!$G$74)</f>
        <v>58213.476520842516</v>
      </c>
      <c r="BO9" s="273">
        <f>BB9*(1+Assumptions!$G$73)*(1+Assumptions!$G$74)</f>
        <v>55884.937460008798</v>
      </c>
      <c r="BP9" s="273">
        <f>BC9*(1+Assumptions!$G$73)*(1+Assumptions!$G$74)</f>
        <v>49575.347746782012</v>
      </c>
      <c r="BQ9" s="273">
        <f>BD9*(1+Assumptions!$G$73)*(1+Assumptions!$G$74)</f>
        <v>46570.781216674011</v>
      </c>
      <c r="BR9" s="273">
        <f>BE9*(1+Assumptions!$G$73)*(1+Assumptions!$G$74)</f>
        <v>40561.648156458003</v>
      </c>
      <c r="BS9" s="273">
        <f>BF9*(1+Assumptions!$G$73)*(1+Assumptions!$G$74)</f>
        <v>37256.624973339203</v>
      </c>
      <c r="BT9" s="273">
        <f>SUM(BH9:BS9)</f>
        <v>549422.54711187421</v>
      </c>
      <c r="BU9" s="92"/>
    </row>
    <row r="10" spans="1:73" ht="14.25" customHeight="1">
      <c r="A10" s="92"/>
      <c r="B10" s="105">
        <v>9</v>
      </c>
      <c r="C10" s="92"/>
      <c r="D10" s="92"/>
      <c r="E10" s="92"/>
      <c r="F10" s="256" t="s">
        <v>508</v>
      </c>
      <c r="G10" s="92"/>
      <c r="H10" s="273">
        <f>'Year 1 Traffic'!B23*'Beer Revenue'!$B$10</f>
        <v>4769.704285714286</v>
      </c>
      <c r="I10" s="273">
        <f>'Year 1 Traffic'!C23*'Beer Revenue'!$B$10</f>
        <v>5071.0162499999997</v>
      </c>
      <c r="J10" s="273">
        <f>'Year 1 Traffic'!D23*'Beer Revenue'!$B$10</f>
        <v>7154.556428571429</v>
      </c>
      <c r="K10" s="273">
        <f>'Year 1 Traffic'!E23*'Beer Revenue'!$B$10</f>
        <v>8462.3785714285714</v>
      </c>
      <c r="L10" s="273">
        <f>'Year 1 Traffic'!F23*'Beer Revenue'!$B$10</f>
        <v>9539.408571428572</v>
      </c>
      <c r="M10" s="273">
        <f>'Year 1 Traffic'!G23*'Beer Revenue'!$B$10</f>
        <v>9616.3392857142844</v>
      </c>
      <c r="N10" s="273">
        <f>'Year 1 Traffic'!H23*'Beer Revenue'!$B$10</f>
        <v>9936.8839285714275</v>
      </c>
      <c r="O10" s="273">
        <f>'Year 1 Traffic'!I23*'Beer Revenue'!$B$10</f>
        <v>9539.408571428572</v>
      </c>
      <c r="P10" s="273">
        <f>'Year 1 Traffic'!J23*'Beer Revenue'!$B$10</f>
        <v>8462.3785714285714</v>
      </c>
      <c r="Q10" s="273">
        <f>'Year 1 Traffic'!K23*'Beer Revenue'!$B$10</f>
        <v>7949.5071428571428</v>
      </c>
      <c r="R10" s="273">
        <f>'Year 1 Traffic'!L23*'Beer Revenue'!$B$10</f>
        <v>6923.7642857142855</v>
      </c>
      <c r="S10" s="273">
        <f>'Year 1 Traffic'!M23*'Beer Revenue'!$B$10</f>
        <v>6359.6057142857153</v>
      </c>
      <c r="T10" s="290">
        <f>SUM(H10:S10)</f>
        <v>93784.951607142866</v>
      </c>
      <c r="U10" s="300">
        <f>H10*(1+Assumptions!$D$73)*(1+Assumptions!$D$74)</f>
        <v>6200.6155714285724</v>
      </c>
      <c r="V10" s="273">
        <f>I10*(1+Assumptions!$D$73)*(1+Assumptions!$D$74)</f>
        <v>6592.3211250000004</v>
      </c>
      <c r="W10" s="273">
        <f>J10*(1+Assumptions!$D$73)*(1+Assumptions!$D$74)</f>
        <v>9300.9233571428595</v>
      </c>
      <c r="X10" s="273">
        <f>K10*(1+Assumptions!$D$73)*(1+Assumptions!$D$74)</f>
        <v>11001.092142857142</v>
      </c>
      <c r="Y10" s="273">
        <f>L10*(1+Assumptions!$D$73)*(1+Assumptions!$D$74)</f>
        <v>12401.231142857145</v>
      </c>
      <c r="Z10" s="273">
        <f>M10*(1+Assumptions!$D$73)*(1+Assumptions!$D$74)</f>
        <v>12501.241071428569</v>
      </c>
      <c r="AA10" s="273">
        <f>N10*(1+Assumptions!$D$73)*(1+Assumptions!$D$74)</f>
        <v>12917.949107142857</v>
      </c>
      <c r="AB10" s="273">
        <f>O10*(1+Assumptions!$D$73)*(1+Assumptions!$D$74)</f>
        <v>12401.231142857145</v>
      </c>
      <c r="AC10" s="273">
        <f>P10*(1+Assumptions!$D$73)*(1+Assumptions!$D$74)</f>
        <v>11001.092142857142</v>
      </c>
      <c r="AD10" s="273">
        <f>Q10*(1+Assumptions!$D$73)*(1+Assumptions!$D$74)</f>
        <v>10334.359285714285</v>
      </c>
      <c r="AE10" s="273">
        <f>R10*(1+Assumptions!$D$73)*(1+Assumptions!$D$74)</f>
        <v>9000.8935714285708</v>
      </c>
      <c r="AF10" s="273">
        <f>S10*(1+Assumptions!$D$73)*(1+Assumptions!$D$74)</f>
        <v>8267.4874285714304</v>
      </c>
      <c r="AG10" s="307">
        <f>SUM(U10:AF10)</f>
        <v>121920.43708928571</v>
      </c>
      <c r="AH10" s="300">
        <f>U10*(1+Assumptions!$E$73)*(1+Assumptions!$E$74)</f>
        <v>7344.6291443571436</v>
      </c>
      <c r="AI10" s="273">
        <f>V10*(1+Assumptions!$E$73)*(1+Assumptions!$E$74)</f>
        <v>7808.6043725625004</v>
      </c>
      <c r="AJ10" s="273">
        <f>W10*(1+Assumptions!$E$73)*(1+Assumptions!$E$74)</f>
        <v>11016.943716535718</v>
      </c>
      <c r="AK10" s="273">
        <f>X10*(1+Assumptions!$E$73)*(1+Assumptions!$E$74)</f>
        <v>13030.793643214283</v>
      </c>
      <c r="AL10" s="273">
        <f>Y10*(1+Assumptions!$E$73)*(1+Assumptions!$E$74)</f>
        <v>14689.258288714287</v>
      </c>
      <c r="AM10" s="273">
        <f>Z10*(1+Assumptions!$E$73)*(1+Assumptions!$E$74)</f>
        <v>14807.720049107138</v>
      </c>
      <c r="AN10" s="273">
        <f>AA10*(1+Assumptions!$E$73)*(1+Assumptions!$E$74)</f>
        <v>15301.310717410714</v>
      </c>
      <c r="AO10" s="273">
        <f>AB10*(1+Assumptions!$E$73)*(1+Assumptions!$E$74)</f>
        <v>14689.258288714287</v>
      </c>
      <c r="AP10" s="273">
        <f>AC10*(1+Assumptions!$E$73)*(1+Assumptions!$E$74)</f>
        <v>13030.793643214283</v>
      </c>
      <c r="AQ10" s="273">
        <f>AD10*(1+Assumptions!$E$73)*(1+Assumptions!$E$74)</f>
        <v>12241.04857392857</v>
      </c>
      <c r="AR10" s="273">
        <f>AE10*(1+Assumptions!$E$73)*(1+Assumptions!$E$74)</f>
        <v>10661.558435357141</v>
      </c>
      <c r="AS10" s="273">
        <f>AF10*(1+Assumptions!$E$73)*(1+Assumptions!$E$74)</f>
        <v>9792.8388591428593</v>
      </c>
      <c r="AT10" s="307">
        <f>SUM(AH10:AS10)</f>
        <v>144414.75773225891</v>
      </c>
      <c r="AU10" s="300">
        <f>AH10*(1+Assumptions!$F$73)*(1+Assumptions!$F$74)</f>
        <v>8321.4648205566446</v>
      </c>
      <c r="AV10" s="273">
        <f>AI10*(1+Assumptions!$F$73)*(1+Assumptions!$F$74)</f>
        <v>8847.1487541133138</v>
      </c>
      <c r="AW10" s="273">
        <f>AJ10*(1+Assumptions!$F$73)*(1+Assumptions!$F$74)</f>
        <v>12482.19723083497</v>
      </c>
      <c r="AX10" s="273">
        <f>AK10*(1+Assumptions!$F$73)*(1+Assumptions!$F$74)</f>
        <v>14763.889197761784</v>
      </c>
      <c r="AY10" s="273">
        <f>AL10*(1+Assumptions!$F$73)*(1+Assumptions!$F$74)</f>
        <v>16642.929641113289</v>
      </c>
      <c r="AZ10" s="273">
        <f>AM10*(1+Assumptions!$F$73)*(1+Assumptions!$F$74)</f>
        <v>16777.146815638389</v>
      </c>
      <c r="BA10" s="273">
        <f>AN10*(1+Assumptions!$F$73)*(1+Assumptions!$F$74)</f>
        <v>17336.385042826343</v>
      </c>
      <c r="BB10" s="273">
        <f>AO10*(1+Assumptions!$F$73)*(1+Assumptions!$F$74)</f>
        <v>16642.929641113289</v>
      </c>
      <c r="BC10" s="273">
        <f>AP10*(1+Assumptions!$F$73)*(1+Assumptions!$F$74)</f>
        <v>14763.889197761784</v>
      </c>
      <c r="BD10" s="273">
        <f>AQ10*(1+Assumptions!$F$73)*(1+Assumptions!$F$74)</f>
        <v>13869.108034261071</v>
      </c>
      <c r="BE10" s="273">
        <f>AR10*(1+Assumptions!$F$73)*(1+Assumptions!$F$74)</f>
        <v>12079.545707259642</v>
      </c>
      <c r="BF10" s="273">
        <f>AS10*(1+Assumptions!$F$73)*(1+Assumptions!$F$74)</f>
        <v>11095.286427408861</v>
      </c>
      <c r="BG10" s="307">
        <f>SUM(AU10:BF10)</f>
        <v>163621.92051064939</v>
      </c>
      <c r="BH10" s="300">
        <f>AU10*(1+Assumptions!$G$73)*(1+Assumptions!$G$74)</f>
        <v>9428.2196416906791</v>
      </c>
      <c r="BI10" s="273">
        <f>AV10*(1+Assumptions!$G$73)*(1+Assumptions!$G$74)</f>
        <v>10023.819538410386</v>
      </c>
      <c r="BJ10" s="273">
        <f>AW10*(1+Assumptions!$G$73)*(1+Assumptions!$G$74)</f>
        <v>14142.329462536023</v>
      </c>
      <c r="BK10" s="273">
        <f>AX10*(1+Assumptions!$G$73)*(1+Assumptions!$G$74)</f>
        <v>16727.486461064105</v>
      </c>
      <c r="BL10" s="273">
        <f>AY10*(1+Assumptions!$G$73)*(1+Assumptions!$G$74)</f>
        <v>18856.439283381358</v>
      </c>
      <c r="BM10" s="273">
        <f>AZ10*(1+Assumptions!$G$73)*(1+Assumptions!$G$74)</f>
        <v>19008.507342118297</v>
      </c>
      <c r="BN10" s="273">
        <f>BA10*(1+Assumptions!$G$73)*(1+Assumptions!$G$74)</f>
        <v>19642.124253522248</v>
      </c>
      <c r="BO10" s="273">
        <f>BB10*(1+Assumptions!$G$73)*(1+Assumptions!$G$74)</f>
        <v>18856.439283381358</v>
      </c>
      <c r="BP10" s="273">
        <f>BC10*(1+Assumptions!$G$73)*(1+Assumptions!$G$74)</f>
        <v>16727.486461064105</v>
      </c>
      <c r="BQ10" s="273">
        <f>BD10*(1+Assumptions!$G$73)*(1+Assumptions!$G$74)</f>
        <v>15713.699402817794</v>
      </c>
      <c r="BR10" s="273">
        <f>BE10*(1+Assumptions!$G$73)*(1+Assumptions!$G$74)</f>
        <v>13686.125286325176</v>
      </c>
      <c r="BS10" s="273">
        <f>BF10*(1+Assumptions!$G$73)*(1+Assumptions!$G$74)</f>
        <v>12570.959522254239</v>
      </c>
      <c r="BT10" s="273">
        <f>SUM(BH10:BS10)</f>
        <v>185383.63593856577</v>
      </c>
      <c r="BU10" s="92"/>
    </row>
    <row r="11" spans="1:73" ht="14.25" customHeight="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289"/>
      <c r="U11" s="295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305"/>
      <c r="AH11" s="295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305"/>
      <c r="AU11" s="295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305"/>
      <c r="BH11" s="295"/>
      <c r="BI11" s="92"/>
      <c r="BJ11" s="92"/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</row>
    <row r="12" spans="1:73">
      <c r="A12" s="91" t="s">
        <v>243</v>
      </c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289"/>
      <c r="U12" s="295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305"/>
      <c r="AH12" s="295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305"/>
      <c r="AU12" s="295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305"/>
      <c r="BH12" s="295"/>
      <c r="BI12" s="92"/>
      <c r="BJ12" s="92"/>
      <c r="BK12" s="92"/>
      <c r="BL12" s="92"/>
      <c r="BM12" s="92"/>
      <c r="BN12" s="92"/>
      <c r="BO12" s="92"/>
      <c r="BP12" s="92"/>
      <c r="BQ12" s="92"/>
      <c r="BR12" s="92"/>
      <c r="BS12" s="92"/>
      <c r="BT12" s="92"/>
      <c r="BU12" s="92"/>
    </row>
    <row r="13" spans="1:73">
      <c r="A13" s="92"/>
      <c r="B13" s="92"/>
      <c r="C13" s="275" t="s">
        <v>458</v>
      </c>
      <c r="D13" s="275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289"/>
      <c r="U13" s="295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305"/>
      <c r="AH13" s="295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305"/>
      <c r="AU13" s="295"/>
      <c r="AV13" s="92"/>
      <c r="AW13" s="92"/>
      <c r="AX13" s="92"/>
      <c r="AY13" s="92"/>
      <c r="AZ13" s="92"/>
      <c r="BA13" s="92"/>
      <c r="BB13" s="92"/>
      <c r="BC13" s="92"/>
      <c r="BD13" s="92"/>
      <c r="BE13" s="92"/>
      <c r="BF13" s="92"/>
      <c r="BG13" s="305"/>
      <c r="BH13" s="295"/>
      <c r="BI13" s="92"/>
      <c r="BJ13" s="92"/>
      <c r="BK13" s="92"/>
      <c r="BL13" s="92"/>
      <c r="BM13" s="92"/>
      <c r="BN13" s="92"/>
      <c r="BO13" s="92"/>
      <c r="BP13" s="92"/>
      <c r="BQ13" s="92"/>
      <c r="BR13" s="92"/>
      <c r="BS13" s="92"/>
      <c r="BT13" s="92"/>
      <c r="BU13" s="92"/>
    </row>
    <row r="14" spans="1:73">
      <c r="A14" s="92"/>
      <c r="B14" s="92" t="s">
        <v>536</v>
      </c>
      <c r="C14" s="274" t="s">
        <v>513</v>
      </c>
      <c r="D14" s="274" t="s">
        <v>522</v>
      </c>
      <c r="E14" s="256" t="s">
        <v>514</v>
      </c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289"/>
      <c r="U14" s="295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305"/>
      <c r="AH14" s="295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305"/>
      <c r="AU14" s="295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305"/>
      <c r="BH14" s="295"/>
      <c r="BI14" s="92"/>
      <c r="BJ14" s="92"/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</row>
    <row r="15" spans="1:73">
      <c r="A15" s="92"/>
      <c r="B15" s="277">
        <v>5</v>
      </c>
      <c r="C15" s="278">
        <v>14</v>
      </c>
      <c r="D15" s="281">
        <f>B15/C15*128*31</f>
        <v>1417.1428571428571</v>
      </c>
      <c r="E15" s="279">
        <v>0.2</v>
      </c>
      <c r="F15" s="278" t="s">
        <v>509</v>
      </c>
      <c r="G15" s="92"/>
      <c r="H15" s="107">
        <f>'Year 1 Traffic'!B$24*'Beer Revenue'!$E15</f>
        <v>821.34942857142858</v>
      </c>
      <c r="I15" s="107">
        <f>'Year 1 Traffic'!C$24*'Beer Revenue'!$E15</f>
        <v>873.23574999999983</v>
      </c>
      <c r="J15" s="107">
        <f>'Year 1 Traffic'!D$24*'Beer Revenue'!$E15</f>
        <v>1232.0241428571428</v>
      </c>
      <c r="K15" s="107">
        <f>'Year 1 Traffic'!E$24*'Beer Revenue'!$E15</f>
        <v>1457.2328571428573</v>
      </c>
      <c r="L15" s="107">
        <f>'Year 1 Traffic'!F$24*'Beer Revenue'!$E15</f>
        <v>1642.6988571428572</v>
      </c>
      <c r="M15" s="107">
        <f>'Year 1 Traffic'!G$24*'Beer Revenue'!$E15</f>
        <v>1655.9464285714284</v>
      </c>
      <c r="N15" s="107">
        <f>'Year 1 Traffic'!H$24*'Beer Revenue'!$E15</f>
        <v>1711.1446428571428</v>
      </c>
      <c r="O15" s="107">
        <f>'Year 1 Traffic'!I$24*'Beer Revenue'!$E15</f>
        <v>1642.6988571428572</v>
      </c>
      <c r="P15" s="107">
        <f>'Year 1 Traffic'!J$24*'Beer Revenue'!$E15</f>
        <v>1457.2328571428573</v>
      </c>
      <c r="Q15" s="107">
        <f>'Year 1 Traffic'!K$24*'Beer Revenue'!$E15</f>
        <v>1368.9157142857143</v>
      </c>
      <c r="R15" s="107">
        <f>'Year 1 Traffic'!L$24*'Beer Revenue'!$E15</f>
        <v>1192.2814285714285</v>
      </c>
      <c r="S15" s="107">
        <f>'Year 1 Traffic'!M$24*'Beer Revenue'!$E15</f>
        <v>1095.1325714285715</v>
      </c>
      <c r="T15" s="289">
        <f t="shared" ref="T15:T40" si="4">SUM(H15:S15)</f>
        <v>16149.893535714287</v>
      </c>
      <c r="U15" s="301">
        <f>H15*(1+Assumptions!$D$73)</f>
        <v>1026.6867857142856</v>
      </c>
      <c r="V15" s="107">
        <f>I15*(1+Assumptions!$D$73)</f>
        <v>1091.5446874999998</v>
      </c>
      <c r="W15" s="107">
        <f>J15*(1+Assumptions!$D$73)</f>
        <v>1540.0301785714285</v>
      </c>
      <c r="X15" s="107">
        <f>K15*(1+Assumptions!$D$73)</f>
        <v>1821.5410714285715</v>
      </c>
      <c r="Y15" s="107">
        <f>L15*(1+Assumptions!$D$73)</f>
        <v>2053.3735714285713</v>
      </c>
      <c r="Z15" s="107">
        <f>M15*(1+Assumptions!$D$73)</f>
        <v>2069.9330357142853</v>
      </c>
      <c r="AA15" s="107">
        <f>N15*(1+Assumptions!$D$73)</f>
        <v>2138.9308035714284</v>
      </c>
      <c r="AB15" s="107">
        <f>O15*(1+Assumptions!$D$73)</f>
        <v>2053.3735714285713</v>
      </c>
      <c r="AC15" s="107">
        <f>P15*(1+Assumptions!$D$73)</f>
        <v>1821.5410714285715</v>
      </c>
      <c r="AD15" s="107">
        <f>Q15*(1+Assumptions!$D$73)</f>
        <v>1711.144642857143</v>
      </c>
      <c r="AE15" s="107">
        <f>R15*(1+Assumptions!$D$73)</f>
        <v>1490.3517857142856</v>
      </c>
      <c r="AF15" s="107">
        <f>S15*(1+Assumptions!$D$73)</f>
        <v>1368.9157142857143</v>
      </c>
      <c r="AG15" s="289">
        <f t="shared" ref="AG15:AG27" si="5">SUM(U15:AF15)</f>
        <v>20187.36691964286</v>
      </c>
      <c r="AH15" s="301">
        <f>U15*(1+Assumptions!$E$73)</f>
        <v>1180.6898035714285</v>
      </c>
      <c r="AI15" s="107">
        <f>V15*(1+Assumptions!$E$73)</f>
        <v>1255.2763906249997</v>
      </c>
      <c r="AJ15" s="107">
        <f>W15*(1+Assumptions!$E$73)</f>
        <v>1771.0347053571427</v>
      </c>
      <c r="AK15" s="107">
        <f>X15*(1+Assumptions!$E$73)</f>
        <v>2094.7722321428569</v>
      </c>
      <c r="AL15" s="107">
        <f>Y15*(1+Assumptions!$E$73)</f>
        <v>2361.3796071428569</v>
      </c>
      <c r="AM15" s="107">
        <f>Z15*(1+Assumptions!$E$73)</f>
        <v>2380.422991071428</v>
      </c>
      <c r="AN15" s="107">
        <f>AA15*(1+Assumptions!$E$73)</f>
        <v>2459.7704241071424</v>
      </c>
      <c r="AO15" s="107">
        <f>AB15*(1+Assumptions!$E$73)</f>
        <v>2361.3796071428569</v>
      </c>
      <c r="AP15" s="107">
        <f>AC15*(1+Assumptions!$E$73)</f>
        <v>2094.7722321428569</v>
      </c>
      <c r="AQ15" s="107">
        <f>AD15*(1+Assumptions!$E$73)</f>
        <v>1967.8163392857143</v>
      </c>
      <c r="AR15" s="107">
        <f>AE15*(1+Assumptions!$E$73)</f>
        <v>1713.9045535714283</v>
      </c>
      <c r="AS15" s="107">
        <f>AF15*(1+Assumptions!$E$73)</f>
        <v>1574.2530714285713</v>
      </c>
      <c r="AT15" s="289">
        <f t="shared" ref="AT15:AT27" si="6">SUM(AH15:AS15)</f>
        <v>23215.471957589281</v>
      </c>
      <c r="AU15" s="301">
        <f>AH15*(1+Assumptions!$F$73)</f>
        <v>1298.7587839285713</v>
      </c>
      <c r="AV15" s="107">
        <f>AI15*(1+Assumptions!$F$73)</f>
        <v>1380.8040296874999</v>
      </c>
      <c r="AW15" s="107">
        <f>AJ15*(1+Assumptions!$F$73)</f>
        <v>1948.1381758928571</v>
      </c>
      <c r="AX15" s="107">
        <f>AK15*(1+Assumptions!$F$73)</f>
        <v>2304.2494553571428</v>
      </c>
      <c r="AY15" s="107">
        <f>AL15*(1+Assumptions!$F$73)</f>
        <v>2597.5175678571427</v>
      </c>
      <c r="AZ15" s="107">
        <f>AM15*(1+Assumptions!$F$73)</f>
        <v>2618.4652901785712</v>
      </c>
      <c r="BA15" s="107">
        <f>AN15*(1+Assumptions!$F$73)</f>
        <v>2705.747466517857</v>
      </c>
      <c r="BB15" s="107">
        <f>AO15*(1+Assumptions!$F$73)</f>
        <v>2597.5175678571427</v>
      </c>
      <c r="BC15" s="107">
        <f>AP15*(1+Assumptions!$F$73)</f>
        <v>2304.2494553571428</v>
      </c>
      <c r="BD15" s="107">
        <f>AQ15*(1+Assumptions!$F$73)</f>
        <v>2164.597973214286</v>
      </c>
      <c r="BE15" s="107">
        <f>AR15*(1+Assumptions!$F$73)</f>
        <v>1885.2950089285714</v>
      </c>
      <c r="BF15" s="107">
        <f>AS15*(1+Assumptions!$F$73)</f>
        <v>1731.6783785714285</v>
      </c>
      <c r="BG15" s="289">
        <f t="shared" ref="BG15:BG27" si="7">SUM(AU15:BF15)</f>
        <v>25537.019153348214</v>
      </c>
      <c r="BH15" s="301">
        <f>AU15*(1+Assumptions!$G$73)</f>
        <v>1428.6346623214286</v>
      </c>
      <c r="BI15" s="107">
        <f>AV15*(1+Assumptions!$G$73)</f>
        <v>1518.8844326562501</v>
      </c>
      <c r="BJ15" s="107">
        <f>AW15*(1+Assumptions!$G$73)</f>
        <v>2142.9519934821428</v>
      </c>
      <c r="BK15" s="107">
        <f>AX15*(1+Assumptions!$G$73)</f>
        <v>2534.6744008928572</v>
      </c>
      <c r="BL15" s="107">
        <f>AY15*(1+Assumptions!$G$73)</f>
        <v>2857.2693246428571</v>
      </c>
      <c r="BM15" s="107">
        <f>AZ15*(1+Assumptions!$G$73)</f>
        <v>2880.3118191964286</v>
      </c>
      <c r="BN15" s="107">
        <f>BA15*(1+Assumptions!$G$73)</f>
        <v>2976.322213169643</v>
      </c>
      <c r="BO15" s="107">
        <f>BB15*(1+Assumptions!$G$73)</f>
        <v>2857.2693246428571</v>
      </c>
      <c r="BP15" s="107">
        <f>BC15*(1+Assumptions!$G$73)</f>
        <v>2534.6744008928572</v>
      </c>
      <c r="BQ15" s="107">
        <f>BD15*(1+Assumptions!$G$73)</f>
        <v>2381.0577705357146</v>
      </c>
      <c r="BR15" s="107">
        <f>BE15*(1+Assumptions!$G$73)</f>
        <v>2073.8245098214288</v>
      </c>
      <c r="BS15" s="107">
        <f>BF15*(1+Assumptions!$G$73)</f>
        <v>1904.8462164285716</v>
      </c>
      <c r="BT15" s="289">
        <f t="shared" ref="BT15:BT27" si="8">SUM(BH15:BS15)</f>
        <v>28090.721068683033</v>
      </c>
      <c r="BU15" s="102">
        <f>T15+AG15+AT15+BG15+BT15</f>
        <v>113180.47263497768</v>
      </c>
    </row>
    <row r="16" spans="1:73">
      <c r="A16" s="92"/>
      <c r="B16" s="277">
        <v>6.5</v>
      </c>
      <c r="C16" s="278">
        <v>14</v>
      </c>
      <c r="D16" s="281">
        <f t="shared" ref="D16:D23" si="9">B16/C16*128*31</f>
        <v>1842.2857142857144</v>
      </c>
      <c r="E16" s="279">
        <v>0.3</v>
      </c>
      <c r="F16" s="278" t="s">
        <v>577</v>
      </c>
      <c r="G16" s="92"/>
      <c r="H16" s="107">
        <f>'Year 1 Traffic'!B$24*'Beer Revenue'!$E16</f>
        <v>1232.0241428571428</v>
      </c>
      <c r="I16" s="107">
        <f>'Year 1 Traffic'!C$24*'Beer Revenue'!$E16</f>
        <v>1309.8536249999997</v>
      </c>
      <c r="J16" s="107">
        <f>'Year 1 Traffic'!D$24*'Beer Revenue'!$E16</f>
        <v>1848.0362142857141</v>
      </c>
      <c r="K16" s="107">
        <f>'Year 1 Traffic'!E$24*'Beer Revenue'!$E16</f>
        <v>2185.8492857142855</v>
      </c>
      <c r="L16" s="107">
        <f>'Year 1 Traffic'!F$24*'Beer Revenue'!$E16</f>
        <v>2464.0482857142856</v>
      </c>
      <c r="M16" s="107">
        <f>'Year 1 Traffic'!G$24*'Beer Revenue'!$E16</f>
        <v>2483.9196428571422</v>
      </c>
      <c r="N16" s="107">
        <f>'Year 1 Traffic'!H$24*'Beer Revenue'!$E16</f>
        <v>2566.7169642857139</v>
      </c>
      <c r="O16" s="107">
        <f>'Year 1 Traffic'!I$24*'Beer Revenue'!$E16</f>
        <v>2464.0482857142856</v>
      </c>
      <c r="P16" s="107">
        <f>'Year 1 Traffic'!J$24*'Beer Revenue'!$E16</f>
        <v>2185.8492857142855</v>
      </c>
      <c r="Q16" s="107">
        <f>'Year 1 Traffic'!K$24*'Beer Revenue'!$E16</f>
        <v>2053.3735714285713</v>
      </c>
      <c r="R16" s="107">
        <f>'Year 1 Traffic'!L$24*'Beer Revenue'!$E16</f>
        <v>1788.4221428571427</v>
      </c>
      <c r="S16" s="107">
        <f>'Year 1 Traffic'!M$24*'Beer Revenue'!$E16</f>
        <v>1642.6988571428572</v>
      </c>
      <c r="T16" s="289">
        <f t="shared" si="4"/>
        <v>24224.840303571425</v>
      </c>
      <c r="U16" s="301">
        <f>H16*(1+Assumptions!$D$73)</f>
        <v>1540.0301785714285</v>
      </c>
      <c r="V16" s="107">
        <f>I16*(1+Assumptions!$D$73)</f>
        <v>1637.3170312499997</v>
      </c>
      <c r="W16" s="107">
        <f>J16*(1+Assumptions!$D$73)</f>
        <v>2310.0452678571428</v>
      </c>
      <c r="X16" s="107">
        <f>K16*(1+Assumptions!$D$73)</f>
        <v>2732.3116071428567</v>
      </c>
      <c r="Y16" s="107">
        <f>L16*(1+Assumptions!$D$73)</f>
        <v>3080.0603571428569</v>
      </c>
      <c r="Z16" s="107">
        <f>M16*(1+Assumptions!$D$73)</f>
        <v>3104.8995535714275</v>
      </c>
      <c r="AA16" s="107">
        <f>N16*(1+Assumptions!$D$73)</f>
        <v>3208.3962053571422</v>
      </c>
      <c r="AB16" s="107">
        <f>O16*(1+Assumptions!$D$73)</f>
        <v>3080.0603571428569</v>
      </c>
      <c r="AC16" s="107">
        <f>P16*(1+Assumptions!$D$73)</f>
        <v>2732.3116071428567</v>
      </c>
      <c r="AD16" s="107">
        <f>Q16*(1+Assumptions!$D$73)</f>
        <v>2566.7169642857143</v>
      </c>
      <c r="AE16" s="107">
        <f>R16*(1+Assumptions!$D$73)</f>
        <v>2235.5276785714286</v>
      </c>
      <c r="AF16" s="107">
        <f>S16*(1+Assumptions!$D$73)</f>
        <v>2053.3735714285713</v>
      </c>
      <c r="AG16" s="289">
        <f t="shared" si="5"/>
        <v>30281.050379464286</v>
      </c>
      <c r="AH16" s="301">
        <f>U16*(1+Assumptions!$E$73)</f>
        <v>1771.0347053571427</v>
      </c>
      <c r="AI16" s="107">
        <f>V16*(1+Assumptions!$E$73)</f>
        <v>1882.9145859374994</v>
      </c>
      <c r="AJ16" s="107">
        <f>W16*(1+Assumptions!$E$73)</f>
        <v>2656.5520580357138</v>
      </c>
      <c r="AK16" s="107">
        <f>X16*(1+Assumptions!$E$73)</f>
        <v>3142.1583482142851</v>
      </c>
      <c r="AL16" s="107">
        <f>Y16*(1+Assumptions!$E$73)</f>
        <v>3542.0694107142854</v>
      </c>
      <c r="AM16" s="107">
        <f>Z16*(1+Assumptions!$E$73)</f>
        <v>3570.6344866071413</v>
      </c>
      <c r="AN16" s="107">
        <f>AA16*(1+Assumptions!$E$73)</f>
        <v>3689.6556361607131</v>
      </c>
      <c r="AO16" s="107">
        <f>AB16*(1+Assumptions!$E$73)</f>
        <v>3542.0694107142854</v>
      </c>
      <c r="AP16" s="107">
        <f>AC16*(1+Assumptions!$E$73)</f>
        <v>3142.1583482142851</v>
      </c>
      <c r="AQ16" s="107">
        <f>AD16*(1+Assumptions!$E$73)</f>
        <v>2951.7245089285711</v>
      </c>
      <c r="AR16" s="107">
        <f>AE16*(1+Assumptions!$E$73)</f>
        <v>2570.8568303571428</v>
      </c>
      <c r="AS16" s="107">
        <f>AF16*(1+Assumptions!$E$73)</f>
        <v>2361.3796071428569</v>
      </c>
      <c r="AT16" s="289">
        <f t="shared" si="6"/>
        <v>34823.207936383922</v>
      </c>
      <c r="AU16" s="301">
        <f>AH16*(1+Assumptions!$F$73)</f>
        <v>1948.1381758928571</v>
      </c>
      <c r="AV16" s="107">
        <f>AI16*(1+Assumptions!$F$73)</f>
        <v>2071.2060445312495</v>
      </c>
      <c r="AW16" s="107">
        <f>AJ16*(1+Assumptions!$F$73)</f>
        <v>2922.2072638392856</v>
      </c>
      <c r="AX16" s="107">
        <f>AK16*(1+Assumptions!$F$73)</f>
        <v>3456.3741830357139</v>
      </c>
      <c r="AY16" s="107">
        <f>AL16*(1+Assumptions!$F$73)</f>
        <v>3896.2763517857143</v>
      </c>
      <c r="AZ16" s="107">
        <f>AM16*(1+Assumptions!$F$73)</f>
        <v>3927.6979352678559</v>
      </c>
      <c r="BA16" s="107">
        <f>AN16*(1+Assumptions!$F$73)</f>
        <v>4058.6211997767846</v>
      </c>
      <c r="BB16" s="107">
        <f>AO16*(1+Assumptions!$F$73)</f>
        <v>3896.2763517857143</v>
      </c>
      <c r="BC16" s="107">
        <f>AP16*(1+Assumptions!$F$73)</f>
        <v>3456.3741830357139</v>
      </c>
      <c r="BD16" s="107">
        <f>AQ16*(1+Assumptions!$F$73)</f>
        <v>3246.8969598214285</v>
      </c>
      <c r="BE16" s="107">
        <f>AR16*(1+Assumptions!$F$73)</f>
        <v>2827.9425133928576</v>
      </c>
      <c r="BF16" s="107">
        <f>AS16*(1+Assumptions!$F$73)</f>
        <v>2597.5175678571427</v>
      </c>
      <c r="BG16" s="289">
        <f t="shared" si="7"/>
        <v>38305.528730022321</v>
      </c>
      <c r="BH16" s="301">
        <f>AU16*(1+Assumptions!$G$73)</f>
        <v>2142.9519934821428</v>
      </c>
      <c r="BI16" s="107">
        <f>AV16*(1+Assumptions!$G$73)</f>
        <v>2278.3266489843745</v>
      </c>
      <c r="BJ16" s="107">
        <f>AW16*(1+Assumptions!$G$73)</f>
        <v>3214.4279902232142</v>
      </c>
      <c r="BK16" s="107">
        <f>AX16*(1+Assumptions!$G$73)</f>
        <v>3802.0116013392858</v>
      </c>
      <c r="BL16" s="107">
        <f>AY16*(1+Assumptions!$G$73)</f>
        <v>4285.9039869642857</v>
      </c>
      <c r="BM16" s="107">
        <f>AZ16*(1+Assumptions!$G$73)</f>
        <v>4320.4677287946415</v>
      </c>
      <c r="BN16" s="107">
        <f>BA16*(1+Assumptions!$G$73)</f>
        <v>4464.4833197544631</v>
      </c>
      <c r="BO16" s="107">
        <f>BB16*(1+Assumptions!$G$73)</f>
        <v>4285.9039869642857</v>
      </c>
      <c r="BP16" s="107">
        <f>BC16*(1+Assumptions!$G$73)</f>
        <v>3802.0116013392858</v>
      </c>
      <c r="BQ16" s="107">
        <f>BD16*(1+Assumptions!$G$73)</f>
        <v>3571.5866558035718</v>
      </c>
      <c r="BR16" s="107">
        <f>BE16*(1+Assumptions!$G$73)</f>
        <v>3110.7367647321435</v>
      </c>
      <c r="BS16" s="107">
        <f>BF16*(1+Assumptions!$G$73)</f>
        <v>2857.2693246428571</v>
      </c>
      <c r="BT16" s="289">
        <f t="shared" si="8"/>
        <v>42136.081603024562</v>
      </c>
      <c r="BU16" s="102">
        <f t="shared" ref="BU16:BU27" si="10">T16+AG16+AT16+BG16+BT16</f>
        <v>169770.70895246652</v>
      </c>
    </row>
    <row r="17" spans="1:73">
      <c r="A17" s="92"/>
      <c r="B17" s="277">
        <v>6</v>
      </c>
      <c r="C17" s="278">
        <v>11.5</v>
      </c>
      <c r="D17" s="281">
        <f t="shared" si="9"/>
        <v>2070.2608695652175</v>
      </c>
      <c r="E17" s="279">
        <v>0.1</v>
      </c>
      <c r="F17" s="278" t="s">
        <v>578</v>
      </c>
      <c r="G17" s="92"/>
      <c r="H17" s="107">
        <f>'Year 1 Traffic'!B$24*'Beer Revenue'!$E17</f>
        <v>410.67471428571429</v>
      </c>
      <c r="I17" s="107">
        <f>'Year 1 Traffic'!C$24*'Beer Revenue'!$E17</f>
        <v>436.61787499999991</v>
      </c>
      <c r="J17" s="107">
        <f>'Year 1 Traffic'!D$24*'Beer Revenue'!$E17</f>
        <v>616.0120714285714</v>
      </c>
      <c r="K17" s="107">
        <f>'Year 1 Traffic'!E$24*'Beer Revenue'!$E17</f>
        <v>728.61642857142863</v>
      </c>
      <c r="L17" s="107">
        <f>'Year 1 Traffic'!F$24*'Beer Revenue'!$E17</f>
        <v>821.34942857142858</v>
      </c>
      <c r="M17" s="107">
        <f>'Year 1 Traffic'!G$24*'Beer Revenue'!$E17</f>
        <v>827.97321428571422</v>
      </c>
      <c r="N17" s="107">
        <f>'Year 1 Traffic'!H$24*'Beer Revenue'!$E17</f>
        <v>855.5723214285714</v>
      </c>
      <c r="O17" s="107">
        <f>'Year 1 Traffic'!I$24*'Beer Revenue'!$E17</f>
        <v>821.34942857142858</v>
      </c>
      <c r="P17" s="107">
        <f>'Year 1 Traffic'!J$24*'Beer Revenue'!$E17</f>
        <v>728.61642857142863</v>
      </c>
      <c r="Q17" s="107">
        <f>'Year 1 Traffic'!K$24*'Beer Revenue'!$E17</f>
        <v>684.45785714285716</v>
      </c>
      <c r="R17" s="107">
        <f>'Year 1 Traffic'!L$24*'Beer Revenue'!$E17</f>
        <v>596.14071428571424</v>
      </c>
      <c r="S17" s="107">
        <f>'Year 1 Traffic'!M$24*'Beer Revenue'!$E17</f>
        <v>547.56628571428575</v>
      </c>
      <c r="T17" s="289">
        <f t="shared" si="4"/>
        <v>8074.9467678571436</v>
      </c>
      <c r="U17" s="301">
        <f>H17*(1+Assumptions!$D$73)</f>
        <v>513.34339285714282</v>
      </c>
      <c r="V17" s="107">
        <f>I17*(1+Assumptions!$D$73)</f>
        <v>545.77234374999989</v>
      </c>
      <c r="W17" s="107">
        <f>J17*(1+Assumptions!$D$73)</f>
        <v>770.01508928571423</v>
      </c>
      <c r="X17" s="107">
        <f>K17*(1+Assumptions!$D$73)</f>
        <v>910.77053571428576</v>
      </c>
      <c r="Y17" s="107">
        <f>L17*(1+Assumptions!$D$73)</f>
        <v>1026.6867857142856</v>
      </c>
      <c r="Z17" s="107">
        <f>M17*(1+Assumptions!$D$73)</f>
        <v>1034.9665178571427</v>
      </c>
      <c r="AA17" s="107">
        <f>N17*(1+Assumptions!$D$73)</f>
        <v>1069.4654017857142</v>
      </c>
      <c r="AB17" s="107">
        <f>O17*(1+Assumptions!$D$73)</f>
        <v>1026.6867857142856</v>
      </c>
      <c r="AC17" s="107">
        <f>P17*(1+Assumptions!$D$73)</f>
        <v>910.77053571428576</v>
      </c>
      <c r="AD17" s="107">
        <f>Q17*(1+Assumptions!$D$73)</f>
        <v>855.57232142857151</v>
      </c>
      <c r="AE17" s="107">
        <f>R17*(1+Assumptions!$D$73)</f>
        <v>745.1758928571428</v>
      </c>
      <c r="AF17" s="107">
        <f>S17*(1+Assumptions!$D$73)</f>
        <v>684.45785714285716</v>
      </c>
      <c r="AG17" s="289">
        <f t="shared" si="5"/>
        <v>10093.68345982143</v>
      </c>
      <c r="AH17" s="301">
        <f>U17*(1+Assumptions!$E$73)</f>
        <v>590.34490178571423</v>
      </c>
      <c r="AI17" s="107">
        <f>V17*(1+Assumptions!$E$73)</f>
        <v>627.63819531249987</v>
      </c>
      <c r="AJ17" s="107">
        <f>W17*(1+Assumptions!$E$73)</f>
        <v>885.51735267857134</v>
      </c>
      <c r="AK17" s="107">
        <f>X17*(1+Assumptions!$E$73)</f>
        <v>1047.3861160714284</v>
      </c>
      <c r="AL17" s="107">
        <f>Y17*(1+Assumptions!$E$73)</f>
        <v>1180.6898035714285</v>
      </c>
      <c r="AM17" s="107">
        <f>Z17*(1+Assumptions!$E$73)</f>
        <v>1190.211495535714</v>
      </c>
      <c r="AN17" s="107">
        <f>AA17*(1+Assumptions!$E$73)</f>
        <v>1229.8852120535712</v>
      </c>
      <c r="AO17" s="107">
        <f>AB17*(1+Assumptions!$E$73)</f>
        <v>1180.6898035714285</v>
      </c>
      <c r="AP17" s="107">
        <f>AC17*(1+Assumptions!$E$73)</f>
        <v>1047.3861160714284</v>
      </c>
      <c r="AQ17" s="107">
        <f>AD17*(1+Assumptions!$E$73)</f>
        <v>983.90816964285716</v>
      </c>
      <c r="AR17" s="107">
        <f>AE17*(1+Assumptions!$E$73)</f>
        <v>856.95227678571416</v>
      </c>
      <c r="AS17" s="107">
        <f>AF17*(1+Assumptions!$E$73)</f>
        <v>787.12653571428564</v>
      </c>
      <c r="AT17" s="289">
        <f t="shared" si="6"/>
        <v>11607.735978794641</v>
      </c>
      <c r="AU17" s="301">
        <f>AH17*(1+Assumptions!$F$73)</f>
        <v>649.37939196428567</v>
      </c>
      <c r="AV17" s="107">
        <f>AI17*(1+Assumptions!$F$73)</f>
        <v>690.40201484374995</v>
      </c>
      <c r="AW17" s="107">
        <f>AJ17*(1+Assumptions!$F$73)</f>
        <v>974.06908794642857</v>
      </c>
      <c r="AX17" s="107">
        <f>AK17*(1+Assumptions!$F$73)</f>
        <v>1152.1247276785714</v>
      </c>
      <c r="AY17" s="107">
        <f>AL17*(1+Assumptions!$F$73)</f>
        <v>1298.7587839285713</v>
      </c>
      <c r="AZ17" s="107">
        <f>AM17*(1+Assumptions!$F$73)</f>
        <v>1309.2326450892856</v>
      </c>
      <c r="BA17" s="107">
        <f>AN17*(1+Assumptions!$F$73)</f>
        <v>1352.8737332589285</v>
      </c>
      <c r="BB17" s="107">
        <f>AO17*(1+Assumptions!$F$73)</f>
        <v>1298.7587839285713</v>
      </c>
      <c r="BC17" s="107">
        <f>AP17*(1+Assumptions!$F$73)</f>
        <v>1152.1247276785714</v>
      </c>
      <c r="BD17" s="107">
        <f>AQ17*(1+Assumptions!$F$73)</f>
        <v>1082.298986607143</v>
      </c>
      <c r="BE17" s="107">
        <f>AR17*(1+Assumptions!$F$73)</f>
        <v>942.6475044642857</v>
      </c>
      <c r="BF17" s="107">
        <f>AS17*(1+Assumptions!$F$73)</f>
        <v>865.83918928571427</v>
      </c>
      <c r="BG17" s="289">
        <f t="shared" si="7"/>
        <v>12768.509576674107</v>
      </c>
      <c r="BH17" s="301">
        <f>AU17*(1+Assumptions!$G$73)</f>
        <v>714.31733116071428</v>
      </c>
      <c r="BI17" s="107">
        <f>AV17*(1+Assumptions!$G$73)</f>
        <v>759.44221632812503</v>
      </c>
      <c r="BJ17" s="107">
        <f>AW17*(1+Assumptions!$G$73)</f>
        <v>1071.4759967410714</v>
      </c>
      <c r="BK17" s="107">
        <f>AX17*(1+Assumptions!$G$73)</f>
        <v>1267.3372004464286</v>
      </c>
      <c r="BL17" s="107">
        <f>AY17*(1+Assumptions!$G$73)</f>
        <v>1428.6346623214286</v>
      </c>
      <c r="BM17" s="107">
        <f>AZ17*(1+Assumptions!$G$73)</f>
        <v>1440.1559095982143</v>
      </c>
      <c r="BN17" s="107">
        <f>BA17*(1+Assumptions!$G$73)</f>
        <v>1488.1611065848215</v>
      </c>
      <c r="BO17" s="107">
        <f>BB17*(1+Assumptions!$G$73)</f>
        <v>1428.6346623214286</v>
      </c>
      <c r="BP17" s="107">
        <f>BC17*(1+Assumptions!$G$73)</f>
        <v>1267.3372004464286</v>
      </c>
      <c r="BQ17" s="107">
        <f>BD17*(1+Assumptions!$G$73)</f>
        <v>1190.5288852678573</v>
      </c>
      <c r="BR17" s="107">
        <f>BE17*(1+Assumptions!$G$73)</f>
        <v>1036.9122549107144</v>
      </c>
      <c r="BS17" s="107">
        <f>BF17*(1+Assumptions!$G$73)</f>
        <v>952.42310821428578</v>
      </c>
      <c r="BT17" s="289">
        <f t="shared" si="8"/>
        <v>14045.360534341517</v>
      </c>
      <c r="BU17" s="102">
        <f t="shared" si="10"/>
        <v>56590.236317488838</v>
      </c>
    </row>
    <row r="18" spans="1:73">
      <c r="A18" s="92"/>
      <c r="B18" s="277">
        <v>6</v>
      </c>
      <c r="C18" s="278">
        <v>11.5</v>
      </c>
      <c r="D18" s="281">
        <f t="shared" si="9"/>
        <v>2070.2608695652175</v>
      </c>
      <c r="E18" s="279">
        <v>0.05</v>
      </c>
      <c r="F18" s="278" t="s">
        <v>580</v>
      </c>
      <c r="G18" s="92"/>
      <c r="H18" s="107">
        <f>'Year 1 Traffic'!B$24*'Beer Revenue'!$E18</f>
        <v>205.33735714285714</v>
      </c>
      <c r="I18" s="107">
        <f>'Year 1 Traffic'!C$24*'Beer Revenue'!$E18</f>
        <v>218.30893749999996</v>
      </c>
      <c r="J18" s="107">
        <f>'Year 1 Traffic'!D$24*'Beer Revenue'!$E18</f>
        <v>308.0060357142857</v>
      </c>
      <c r="K18" s="107">
        <f>'Year 1 Traffic'!E$24*'Beer Revenue'!$E18</f>
        <v>364.30821428571431</v>
      </c>
      <c r="L18" s="107">
        <f>'Year 1 Traffic'!F$24*'Beer Revenue'!$E18</f>
        <v>410.67471428571429</v>
      </c>
      <c r="M18" s="107">
        <f>'Year 1 Traffic'!G$24*'Beer Revenue'!$E18</f>
        <v>413.98660714285711</v>
      </c>
      <c r="N18" s="107">
        <f>'Year 1 Traffic'!H$24*'Beer Revenue'!$E18</f>
        <v>427.7861607142857</v>
      </c>
      <c r="O18" s="107">
        <f>'Year 1 Traffic'!I$24*'Beer Revenue'!$E18</f>
        <v>410.67471428571429</v>
      </c>
      <c r="P18" s="107">
        <f>'Year 1 Traffic'!J$24*'Beer Revenue'!$E18</f>
        <v>364.30821428571431</v>
      </c>
      <c r="Q18" s="107">
        <f>'Year 1 Traffic'!K$24*'Beer Revenue'!$E18</f>
        <v>342.22892857142858</v>
      </c>
      <c r="R18" s="107">
        <f>'Year 1 Traffic'!L$24*'Beer Revenue'!$E18</f>
        <v>298.07035714285712</v>
      </c>
      <c r="S18" s="107">
        <f>'Year 1 Traffic'!M$24*'Beer Revenue'!$E18</f>
        <v>273.78314285714288</v>
      </c>
      <c r="T18" s="289">
        <f t="shared" si="4"/>
        <v>4037.4733839285718</v>
      </c>
      <c r="U18" s="301">
        <f>H18*(1+Assumptions!$D$73)</f>
        <v>256.67169642857141</v>
      </c>
      <c r="V18" s="107">
        <f>I18*(1+Assumptions!$D$73)</f>
        <v>272.88617187499995</v>
      </c>
      <c r="W18" s="107">
        <f>J18*(1+Assumptions!$D$73)</f>
        <v>385.00754464285711</v>
      </c>
      <c r="X18" s="107">
        <f>K18*(1+Assumptions!$D$73)</f>
        <v>455.38526785714288</v>
      </c>
      <c r="Y18" s="107">
        <f>L18*(1+Assumptions!$D$73)</f>
        <v>513.34339285714282</v>
      </c>
      <c r="Z18" s="107">
        <f>M18*(1+Assumptions!$D$73)</f>
        <v>517.48325892857133</v>
      </c>
      <c r="AA18" s="107">
        <f>N18*(1+Assumptions!$D$73)</f>
        <v>534.73270089285711</v>
      </c>
      <c r="AB18" s="107">
        <f>O18*(1+Assumptions!$D$73)</f>
        <v>513.34339285714282</v>
      </c>
      <c r="AC18" s="107">
        <f>P18*(1+Assumptions!$D$73)</f>
        <v>455.38526785714288</v>
      </c>
      <c r="AD18" s="107">
        <f>Q18*(1+Assumptions!$D$73)</f>
        <v>427.78616071428576</v>
      </c>
      <c r="AE18" s="107">
        <f>R18*(1+Assumptions!$D$73)</f>
        <v>372.5879464285714</v>
      </c>
      <c r="AF18" s="107">
        <f>S18*(1+Assumptions!$D$73)</f>
        <v>342.22892857142858</v>
      </c>
      <c r="AG18" s="289">
        <f t="shared" si="5"/>
        <v>5046.841729910715</v>
      </c>
      <c r="AH18" s="301">
        <f>U18*(1+Assumptions!$E$73)</f>
        <v>295.17245089285711</v>
      </c>
      <c r="AI18" s="107">
        <f>V18*(1+Assumptions!$E$73)</f>
        <v>313.81909765624994</v>
      </c>
      <c r="AJ18" s="107">
        <f>W18*(1+Assumptions!$E$73)</f>
        <v>442.75867633928567</v>
      </c>
      <c r="AK18" s="107">
        <f>X18*(1+Assumptions!$E$73)</f>
        <v>523.69305803571422</v>
      </c>
      <c r="AL18" s="107">
        <f>Y18*(1+Assumptions!$E$73)</f>
        <v>590.34490178571423</v>
      </c>
      <c r="AM18" s="107">
        <f>Z18*(1+Assumptions!$E$73)</f>
        <v>595.105747767857</v>
      </c>
      <c r="AN18" s="107">
        <f>AA18*(1+Assumptions!$E$73)</f>
        <v>614.9426060267856</v>
      </c>
      <c r="AO18" s="107">
        <f>AB18*(1+Assumptions!$E$73)</f>
        <v>590.34490178571423</v>
      </c>
      <c r="AP18" s="107">
        <f>AC18*(1+Assumptions!$E$73)</f>
        <v>523.69305803571422</v>
      </c>
      <c r="AQ18" s="107">
        <f>AD18*(1+Assumptions!$E$73)</f>
        <v>491.95408482142858</v>
      </c>
      <c r="AR18" s="107">
        <f>AE18*(1+Assumptions!$E$73)</f>
        <v>428.47613839285708</v>
      </c>
      <c r="AS18" s="107">
        <f>AF18*(1+Assumptions!$E$73)</f>
        <v>393.56326785714282</v>
      </c>
      <c r="AT18" s="289">
        <f t="shared" si="6"/>
        <v>5803.8679893973203</v>
      </c>
      <c r="AU18" s="301">
        <f>AH18*(1+Assumptions!$F$73)</f>
        <v>324.68969598214284</v>
      </c>
      <c r="AV18" s="107">
        <f>AI18*(1+Assumptions!$F$73)</f>
        <v>345.20100742187498</v>
      </c>
      <c r="AW18" s="107">
        <f>AJ18*(1+Assumptions!$F$73)</f>
        <v>487.03454397321428</v>
      </c>
      <c r="AX18" s="107">
        <f>AK18*(1+Assumptions!$F$73)</f>
        <v>576.06236383928569</v>
      </c>
      <c r="AY18" s="107">
        <f>AL18*(1+Assumptions!$F$73)</f>
        <v>649.37939196428567</v>
      </c>
      <c r="AZ18" s="107">
        <f>AM18*(1+Assumptions!$F$73)</f>
        <v>654.6163225446428</v>
      </c>
      <c r="BA18" s="107">
        <f>AN18*(1+Assumptions!$F$73)</f>
        <v>676.43686662946425</v>
      </c>
      <c r="BB18" s="107">
        <f>AO18*(1+Assumptions!$F$73)</f>
        <v>649.37939196428567</v>
      </c>
      <c r="BC18" s="107">
        <f>AP18*(1+Assumptions!$F$73)</f>
        <v>576.06236383928569</v>
      </c>
      <c r="BD18" s="107">
        <f>AQ18*(1+Assumptions!$F$73)</f>
        <v>541.14949330357149</v>
      </c>
      <c r="BE18" s="107">
        <f>AR18*(1+Assumptions!$F$73)</f>
        <v>471.32375223214285</v>
      </c>
      <c r="BF18" s="107">
        <f>AS18*(1+Assumptions!$F$73)</f>
        <v>432.91959464285713</v>
      </c>
      <c r="BG18" s="289">
        <f t="shared" si="7"/>
        <v>6384.2547883370535</v>
      </c>
      <c r="BH18" s="301">
        <f>AU18*(1+Assumptions!$G$73)</f>
        <v>357.15866558035714</v>
      </c>
      <c r="BI18" s="107">
        <f>AV18*(1+Assumptions!$G$73)</f>
        <v>379.72110816406251</v>
      </c>
      <c r="BJ18" s="107">
        <f>AW18*(1+Assumptions!$G$73)</f>
        <v>535.73799837053571</v>
      </c>
      <c r="BK18" s="107">
        <f>AX18*(1+Assumptions!$G$73)</f>
        <v>633.6686002232143</v>
      </c>
      <c r="BL18" s="107">
        <f>AY18*(1+Assumptions!$G$73)</f>
        <v>714.31733116071428</v>
      </c>
      <c r="BM18" s="107">
        <f>AZ18*(1+Assumptions!$G$73)</f>
        <v>720.07795479910715</v>
      </c>
      <c r="BN18" s="107">
        <f>BA18*(1+Assumptions!$G$73)</f>
        <v>744.08055329241074</v>
      </c>
      <c r="BO18" s="107">
        <f>BB18*(1+Assumptions!$G$73)</f>
        <v>714.31733116071428</v>
      </c>
      <c r="BP18" s="107">
        <f>BC18*(1+Assumptions!$G$73)</f>
        <v>633.6686002232143</v>
      </c>
      <c r="BQ18" s="107">
        <f>BD18*(1+Assumptions!$G$73)</f>
        <v>595.26444263392864</v>
      </c>
      <c r="BR18" s="107">
        <f>BE18*(1+Assumptions!$G$73)</f>
        <v>518.4561274553572</v>
      </c>
      <c r="BS18" s="107">
        <f>BF18*(1+Assumptions!$G$73)</f>
        <v>476.21155410714289</v>
      </c>
      <c r="BT18" s="289">
        <f t="shared" si="8"/>
        <v>7022.6802671707583</v>
      </c>
      <c r="BU18" s="102">
        <f t="shared" si="10"/>
        <v>28295.118158744419</v>
      </c>
    </row>
    <row r="19" spans="1:73">
      <c r="A19" s="92"/>
      <c r="B19" s="277">
        <v>6</v>
      </c>
      <c r="C19" s="278">
        <v>11.5</v>
      </c>
      <c r="D19" s="281">
        <f t="shared" si="9"/>
        <v>2070.2608695652175</v>
      </c>
      <c r="E19" s="279">
        <v>0.05</v>
      </c>
      <c r="F19" s="278" t="s">
        <v>579</v>
      </c>
      <c r="G19" s="92"/>
      <c r="H19" s="107">
        <f>'Year 1 Traffic'!B$24*'Beer Revenue'!$E19</f>
        <v>205.33735714285714</v>
      </c>
      <c r="I19" s="107">
        <f>'Year 1 Traffic'!C$24*'Beer Revenue'!$E19</f>
        <v>218.30893749999996</v>
      </c>
      <c r="J19" s="107">
        <f>'Year 1 Traffic'!D$24*'Beer Revenue'!$E19</f>
        <v>308.0060357142857</v>
      </c>
      <c r="K19" s="107">
        <f>'Year 1 Traffic'!E$24*'Beer Revenue'!$E19</f>
        <v>364.30821428571431</v>
      </c>
      <c r="L19" s="107">
        <f>'Year 1 Traffic'!F$24*'Beer Revenue'!$E19</f>
        <v>410.67471428571429</v>
      </c>
      <c r="M19" s="107">
        <f>'Year 1 Traffic'!G$24*'Beer Revenue'!$E19</f>
        <v>413.98660714285711</v>
      </c>
      <c r="N19" s="107">
        <f>'Year 1 Traffic'!H$24*'Beer Revenue'!$E19</f>
        <v>427.7861607142857</v>
      </c>
      <c r="O19" s="107">
        <f>'Year 1 Traffic'!I$24*'Beer Revenue'!$E19</f>
        <v>410.67471428571429</v>
      </c>
      <c r="P19" s="107">
        <f>'Year 1 Traffic'!J$24*'Beer Revenue'!$E19</f>
        <v>364.30821428571431</v>
      </c>
      <c r="Q19" s="107">
        <f>'Year 1 Traffic'!K$24*'Beer Revenue'!$E19</f>
        <v>342.22892857142858</v>
      </c>
      <c r="R19" s="107">
        <f>'Year 1 Traffic'!L$24*'Beer Revenue'!$E19</f>
        <v>298.07035714285712</v>
      </c>
      <c r="S19" s="107">
        <f>'Year 1 Traffic'!M$24*'Beer Revenue'!$E19</f>
        <v>273.78314285714288</v>
      </c>
      <c r="T19" s="289">
        <f t="shared" si="4"/>
        <v>4037.4733839285718</v>
      </c>
      <c r="U19" s="301">
        <f>H19*(1+Assumptions!$D$73)</f>
        <v>256.67169642857141</v>
      </c>
      <c r="V19" s="107">
        <f>I19*(1+Assumptions!$D$73)</f>
        <v>272.88617187499995</v>
      </c>
      <c r="W19" s="107">
        <f>J19*(1+Assumptions!$D$73)</f>
        <v>385.00754464285711</v>
      </c>
      <c r="X19" s="107">
        <f>K19*(1+Assumptions!$D$73)</f>
        <v>455.38526785714288</v>
      </c>
      <c r="Y19" s="107">
        <f>L19*(1+Assumptions!$D$73)</f>
        <v>513.34339285714282</v>
      </c>
      <c r="Z19" s="107">
        <f>M19*(1+Assumptions!$D$73)</f>
        <v>517.48325892857133</v>
      </c>
      <c r="AA19" s="107">
        <f>N19*(1+Assumptions!$D$73)</f>
        <v>534.73270089285711</v>
      </c>
      <c r="AB19" s="107">
        <f>O19*(1+Assumptions!$D$73)</f>
        <v>513.34339285714282</v>
      </c>
      <c r="AC19" s="107">
        <f>P19*(1+Assumptions!$D$73)</f>
        <v>455.38526785714288</v>
      </c>
      <c r="AD19" s="107">
        <f>Q19*(1+Assumptions!$D$73)</f>
        <v>427.78616071428576</v>
      </c>
      <c r="AE19" s="107">
        <f>R19*(1+Assumptions!$D$73)</f>
        <v>372.5879464285714</v>
      </c>
      <c r="AF19" s="107">
        <f>S19*(1+Assumptions!$D$73)</f>
        <v>342.22892857142858</v>
      </c>
      <c r="AG19" s="289">
        <f t="shared" si="5"/>
        <v>5046.841729910715</v>
      </c>
      <c r="AH19" s="301">
        <f>U19*(1+Assumptions!$E$73)</f>
        <v>295.17245089285711</v>
      </c>
      <c r="AI19" s="107">
        <f>V19*(1+Assumptions!$E$73)</f>
        <v>313.81909765624994</v>
      </c>
      <c r="AJ19" s="107">
        <f>W19*(1+Assumptions!$E$73)</f>
        <v>442.75867633928567</v>
      </c>
      <c r="AK19" s="107">
        <f>X19*(1+Assumptions!$E$73)</f>
        <v>523.69305803571422</v>
      </c>
      <c r="AL19" s="107">
        <f>Y19*(1+Assumptions!$E$73)</f>
        <v>590.34490178571423</v>
      </c>
      <c r="AM19" s="107">
        <f>Z19*(1+Assumptions!$E$73)</f>
        <v>595.105747767857</v>
      </c>
      <c r="AN19" s="107">
        <f>AA19*(1+Assumptions!$E$73)</f>
        <v>614.9426060267856</v>
      </c>
      <c r="AO19" s="107">
        <f>AB19*(1+Assumptions!$E$73)</f>
        <v>590.34490178571423</v>
      </c>
      <c r="AP19" s="107">
        <f>AC19*(1+Assumptions!$E$73)</f>
        <v>523.69305803571422</v>
      </c>
      <c r="AQ19" s="107">
        <f>AD19*(1+Assumptions!$E$73)</f>
        <v>491.95408482142858</v>
      </c>
      <c r="AR19" s="107">
        <f>AE19*(1+Assumptions!$E$73)</f>
        <v>428.47613839285708</v>
      </c>
      <c r="AS19" s="107">
        <f>AF19*(1+Assumptions!$E$73)</f>
        <v>393.56326785714282</v>
      </c>
      <c r="AT19" s="289">
        <f t="shared" si="6"/>
        <v>5803.8679893973203</v>
      </c>
      <c r="AU19" s="301">
        <f>AH19*(1+Assumptions!$F$73)</f>
        <v>324.68969598214284</v>
      </c>
      <c r="AV19" s="107">
        <f>AI19*(1+Assumptions!$F$73)</f>
        <v>345.20100742187498</v>
      </c>
      <c r="AW19" s="107">
        <f>AJ19*(1+Assumptions!$F$73)</f>
        <v>487.03454397321428</v>
      </c>
      <c r="AX19" s="107">
        <f>AK19*(1+Assumptions!$F$73)</f>
        <v>576.06236383928569</v>
      </c>
      <c r="AY19" s="107">
        <f>AL19*(1+Assumptions!$F$73)</f>
        <v>649.37939196428567</v>
      </c>
      <c r="AZ19" s="107">
        <f>AM19*(1+Assumptions!$F$73)</f>
        <v>654.6163225446428</v>
      </c>
      <c r="BA19" s="107">
        <f>AN19*(1+Assumptions!$F$73)</f>
        <v>676.43686662946425</v>
      </c>
      <c r="BB19" s="107">
        <f>AO19*(1+Assumptions!$F$73)</f>
        <v>649.37939196428567</v>
      </c>
      <c r="BC19" s="107">
        <f>AP19*(1+Assumptions!$F$73)</f>
        <v>576.06236383928569</v>
      </c>
      <c r="BD19" s="107">
        <f>AQ19*(1+Assumptions!$F$73)</f>
        <v>541.14949330357149</v>
      </c>
      <c r="BE19" s="107">
        <f>AR19*(1+Assumptions!$F$73)</f>
        <v>471.32375223214285</v>
      </c>
      <c r="BF19" s="107">
        <f>AS19*(1+Assumptions!$F$73)</f>
        <v>432.91959464285713</v>
      </c>
      <c r="BG19" s="289">
        <f t="shared" si="7"/>
        <v>6384.2547883370535</v>
      </c>
      <c r="BH19" s="301">
        <f>AU19*(1+Assumptions!$G$73)</f>
        <v>357.15866558035714</v>
      </c>
      <c r="BI19" s="107">
        <f>AV19*(1+Assumptions!$G$73)</f>
        <v>379.72110816406251</v>
      </c>
      <c r="BJ19" s="107">
        <f>AW19*(1+Assumptions!$G$73)</f>
        <v>535.73799837053571</v>
      </c>
      <c r="BK19" s="107">
        <f>AX19*(1+Assumptions!$G$73)</f>
        <v>633.6686002232143</v>
      </c>
      <c r="BL19" s="107">
        <f>AY19*(1+Assumptions!$G$73)</f>
        <v>714.31733116071428</v>
      </c>
      <c r="BM19" s="107">
        <f>AZ19*(1+Assumptions!$G$73)</f>
        <v>720.07795479910715</v>
      </c>
      <c r="BN19" s="107">
        <f>BA19*(1+Assumptions!$G$73)</f>
        <v>744.08055329241074</v>
      </c>
      <c r="BO19" s="107">
        <f>BB19*(1+Assumptions!$G$73)</f>
        <v>714.31733116071428</v>
      </c>
      <c r="BP19" s="107">
        <f>BC19*(1+Assumptions!$G$73)</f>
        <v>633.6686002232143</v>
      </c>
      <c r="BQ19" s="107">
        <f>BD19*(1+Assumptions!$G$73)</f>
        <v>595.26444263392864</v>
      </c>
      <c r="BR19" s="107">
        <f>BE19*(1+Assumptions!$G$73)</f>
        <v>518.4561274553572</v>
      </c>
      <c r="BS19" s="107">
        <f>BF19*(1+Assumptions!$G$73)</f>
        <v>476.21155410714289</v>
      </c>
      <c r="BT19" s="289">
        <f t="shared" si="8"/>
        <v>7022.6802671707583</v>
      </c>
      <c r="BU19" s="102">
        <f t="shared" si="10"/>
        <v>28295.118158744419</v>
      </c>
    </row>
    <row r="20" spans="1:73">
      <c r="A20" s="92"/>
      <c r="B20" s="277">
        <v>7</v>
      </c>
      <c r="C20" s="278">
        <v>14</v>
      </c>
      <c r="D20" s="281">
        <f t="shared" si="9"/>
        <v>1984</v>
      </c>
      <c r="E20" s="279">
        <v>0.1</v>
      </c>
      <c r="F20" s="278" t="s">
        <v>510</v>
      </c>
      <c r="G20" s="92"/>
      <c r="H20" s="107">
        <f>'Year 1 Traffic'!B$24*'Beer Revenue'!$E20</f>
        <v>410.67471428571429</v>
      </c>
      <c r="I20" s="107">
        <f>'Year 1 Traffic'!C$24*'Beer Revenue'!$E20</f>
        <v>436.61787499999991</v>
      </c>
      <c r="J20" s="107">
        <f>'Year 1 Traffic'!D$24*'Beer Revenue'!$E20</f>
        <v>616.0120714285714</v>
      </c>
      <c r="K20" s="107">
        <f>'Year 1 Traffic'!E$24*'Beer Revenue'!$E20</f>
        <v>728.61642857142863</v>
      </c>
      <c r="L20" s="107">
        <f>'Year 1 Traffic'!F$24*'Beer Revenue'!$E20</f>
        <v>821.34942857142858</v>
      </c>
      <c r="M20" s="107">
        <f>'Year 1 Traffic'!G$24*'Beer Revenue'!$E20</f>
        <v>827.97321428571422</v>
      </c>
      <c r="N20" s="107">
        <f>'Year 1 Traffic'!H$24*'Beer Revenue'!$E20</f>
        <v>855.5723214285714</v>
      </c>
      <c r="O20" s="107">
        <f>'Year 1 Traffic'!I$24*'Beer Revenue'!$E20</f>
        <v>821.34942857142858</v>
      </c>
      <c r="P20" s="107">
        <f>'Year 1 Traffic'!J$24*'Beer Revenue'!$E20</f>
        <v>728.61642857142863</v>
      </c>
      <c r="Q20" s="107">
        <f>'Year 1 Traffic'!K$24*'Beer Revenue'!$E20</f>
        <v>684.45785714285716</v>
      </c>
      <c r="R20" s="107">
        <f>'Year 1 Traffic'!L$24*'Beer Revenue'!$E20</f>
        <v>596.14071428571424</v>
      </c>
      <c r="S20" s="107">
        <f>'Year 1 Traffic'!M$24*'Beer Revenue'!$E20</f>
        <v>547.56628571428575</v>
      </c>
      <c r="T20" s="289">
        <f t="shared" si="4"/>
        <v>8074.9467678571436</v>
      </c>
      <c r="U20" s="301">
        <f>H20*(1+Assumptions!$D$73)</f>
        <v>513.34339285714282</v>
      </c>
      <c r="V20" s="107">
        <f>I20*(1+Assumptions!$D$73)</f>
        <v>545.77234374999989</v>
      </c>
      <c r="W20" s="107">
        <f>J20*(1+Assumptions!$D$73)</f>
        <v>770.01508928571423</v>
      </c>
      <c r="X20" s="107">
        <f>K20*(1+Assumptions!$D$73)</f>
        <v>910.77053571428576</v>
      </c>
      <c r="Y20" s="107">
        <f>L20*(1+Assumptions!$D$73)</f>
        <v>1026.6867857142856</v>
      </c>
      <c r="Z20" s="107">
        <f>M20*(1+Assumptions!$D$73)</f>
        <v>1034.9665178571427</v>
      </c>
      <c r="AA20" s="107">
        <f>N20*(1+Assumptions!$D$73)</f>
        <v>1069.4654017857142</v>
      </c>
      <c r="AB20" s="107">
        <f>O20*(1+Assumptions!$D$73)</f>
        <v>1026.6867857142856</v>
      </c>
      <c r="AC20" s="107">
        <f>P20*(1+Assumptions!$D$73)</f>
        <v>910.77053571428576</v>
      </c>
      <c r="AD20" s="107">
        <f>Q20*(1+Assumptions!$D$73)</f>
        <v>855.57232142857151</v>
      </c>
      <c r="AE20" s="107">
        <f>R20*(1+Assumptions!$D$73)</f>
        <v>745.1758928571428</v>
      </c>
      <c r="AF20" s="107">
        <f>S20*(1+Assumptions!$D$73)</f>
        <v>684.45785714285716</v>
      </c>
      <c r="AG20" s="289">
        <f t="shared" si="5"/>
        <v>10093.68345982143</v>
      </c>
      <c r="AH20" s="301">
        <f>U20*(1+Assumptions!$E$73)</f>
        <v>590.34490178571423</v>
      </c>
      <c r="AI20" s="107">
        <f>V20*(1+Assumptions!$E$73)</f>
        <v>627.63819531249987</v>
      </c>
      <c r="AJ20" s="107">
        <f>W20*(1+Assumptions!$E$73)</f>
        <v>885.51735267857134</v>
      </c>
      <c r="AK20" s="107">
        <f>X20*(1+Assumptions!$E$73)</f>
        <v>1047.3861160714284</v>
      </c>
      <c r="AL20" s="107">
        <f>Y20*(1+Assumptions!$E$73)</f>
        <v>1180.6898035714285</v>
      </c>
      <c r="AM20" s="107">
        <f>Z20*(1+Assumptions!$E$73)</f>
        <v>1190.211495535714</v>
      </c>
      <c r="AN20" s="107">
        <f>AA20*(1+Assumptions!$E$73)</f>
        <v>1229.8852120535712</v>
      </c>
      <c r="AO20" s="107">
        <f>AB20*(1+Assumptions!$E$73)</f>
        <v>1180.6898035714285</v>
      </c>
      <c r="AP20" s="107">
        <f>AC20*(1+Assumptions!$E$73)</f>
        <v>1047.3861160714284</v>
      </c>
      <c r="AQ20" s="107">
        <f>AD20*(1+Assumptions!$E$73)</f>
        <v>983.90816964285716</v>
      </c>
      <c r="AR20" s="107">
        <f>AE20*(1+Assumptions!$E$73)</f>
        <v>856.95227678571416</v>
      </c>
      <c r="AS20" s="107">
        <f>AF20*(1+Assumptions!$E$73)</f>
        <v>787.12653571428564</v>
      </c>
      <c r="AT20" s="289">
        <f t="shared" si="6"/>
        <v>11607.735978794641</v>
      </c>
      <c r="AU20" s="301">
        <f>AH20*(1+Assumptions!$F$73)</f>
        <v>649.37939196428567</v>
      </c>
      <c r="AV20" s="107">
        <f>AI20*(1+Assumptions!$F$73)</f>
        <v>690.40201484374995</v>
      </c>
      <c r="AW20" s="107">
        <f>AJ20*(1+Assumptions!$F$73)</f>
        <v>974.06908794642857</v>
      </c>
      <c r="AX20" s="107">
        <f>AK20*(1+Assumptions!$F$73)</f>
        <v>1152.1247276785714</v>
      </c>
      <c r="AY20" s="107">
        <f>AL20*(1+Assumptions!$F$73)</f>
        <v>1298.7587839285713</v>
      </c>
      <c r="AZ20" s="107">
        <f>AM20*(1+Assumptions!$F$73)</f>
        <v>1309.2326450892856</v>
      </c>
      <c r="BA20" s="107">
        <f>AN20*(1+Assumptions!$F$73)</f>
        <v>1352.8737332589285</v>
      </c>
      <c r="BB20" s="107">
        <f>AO20*(1+Assumptions!$F$73)</f>
        <v>1298.7587839285713</v>
      </c>
      <c r="BC20" s="107">
        <f>AP20*(1+Assumptions!$F$73)</f>
        <v>1152.1247276785714</v>
      </c>
      <c r="BD20" s="107">
        <f>AQ20*(1+Assumptions!$F$73)</f>
        <v>1082.298986607143</v>
      </c>
      <c r="BE20" s="107">
        <f>AR20*(1+Assumptions!$F$73)</f>
        <v>942.6475044642857</v>
      </c>
      <c r="BF20" s="107">
        <f>AS20*(1+Assumptions!$F$73)</f>
        <v>865.83918928571427</v>
      </c>
      <c r="BG20" s="289">
        <f t="shared" si="7"/>
        <v>12768.509576674107</v>
      </c>
      <c r="BH20" s="301">
        <f>AU20*(1+Assumptions!$G$73)</f>
        <v>714.31733116071428</v>
      </c>
      <c r="BI20" s="107">
        <f>AV20*(1+Assumptions!$G$73)</f>
        <v>759.44221632812503</v>
      </c>
      <c r="BJ20" s="107">
        <f>AW20*(1+Assumptions!$G$73)</f>
        <v>1071.4759967410714</v>
      </c>
      <c r="BK20" s="107">
        <f>AX20*(1+Assumptions!$G$73)</f>
        <v>1267.3372004464286</v>
      </c>
      <c r="BL20" s="107">
        <f>AY20*(1+Assumptions!$G$73)</f>
        <v>1428.6346623214286</v>
      </c>
      <c r="BM20" s="107">
        <f>AZ20*(1+Assumptions!$G$73)</f>
        <v>1440.1559095982143</v>
      </c>
      <c r="BN20" s="107">
        <f>BA20*(1+Assumptions!$G$73)</f>
        <v>1488.1611065848215</v>
      </c>
      <c r="BO20" s="107">
        <f>BB20*(1+Assumptions!$G$73)</f>
        <v>1428.6346623214286</v>
      </c>
      <c r="BP20" s="107">
        <f>BC20*(1+Assumptions!$G$73)</f>
        <v>1267.3372004464286</v>
      </c>
      <c r="BQ20" s="107">
        <f>BD20*(1+Assumptions!$G$73)</f>
        <v>1190.5288852678573</v>
      </c>
      <c r="BR20" s="107">
        <f>BE20*(1+Assumptions!$G$73)</f>
        <v>1036.9122549107144</v>
      </c>
      <c r="BS20" s="107">
        <f>BF20*(1+Assumptions!$G$73)</f>
        <v>952.42310821428578</v>
      </c>
      <c r="BT20" s="289">
        <f t="shared" si="8"/>
        <v>14045.360534341517</v>
      </c>
      <c r="BU20" s="102">
        <f t="shared" si="10"/>
        <v>56590.236317488838</v>
      </c>
    </row>
    <row r="21" spans="1:73">
      <c r="A21" s="92"/>
      <c r="B21" s="277">
        <v>7</v>
      </c>
      <c r="C21" s="278">
        <v>11.5</v>
      </c>
      <c r="D21" s="281">
        <f t="shared" si="9"/>
        <v>2415.304347826087</v>
      </c>
      <c r="E21" s="279">
        <v>0.05</v>
      </c>
      <c r="F21" s="278" t="s">
        <v>511</v>
      </c>
      <c r="G21" s="92"/>
      <c r="H21" s="107">
        <f>'Year 1 Traffic'!B$24*'Beer Revenue'!$E21</f>
        <v>205.33735714285714</v>
      </c>
      <c r="I21" s="107">
        <f>'Year 1 Traffic'!C$24*'Beer Revenue'!$E21</f>
        <v>218.30893749999996</v>
      </c>
      <c r="J21" s="107">
        <f>'Year 1 Traffic'!D$24*'Beer Revenue'!$E21</f>
        <v>308.0060357142857</v>
      </c>
      <c r="K21" s="107">
        <f>'Year 1 Traffic'!E$24*'Beer Revenue'!$E21</f>
        <v>364.30821428571431</v>
      </c>
      <c r="L21" s="107">
        <f>'Year 1 Traffic'!F$24*'Beer Revenue'!$E21</f>
        <v>410.67471428571429</v>
      </c>
      <c r="M21" s="107">
        <f>'Year 1 Traffic'!G$24*'Beer Revenue'!$E21</f>
        <v>413.98660714285711</v>
      </c>
      <c r="N21" s="107">
        <f>'Year 1 Traffic'!H$24*'Beer Revenue'!$E21</f>
        <v>427.7861607142857</v>
      </c>
      <c r="O21" s="107">
        <f>'Year 1 Traffic'!I$24*'Beer Revenue'!$E21</f>
        <v>410.67471428571429</v>
      </c>
      <c r="P21" s="107">
        <f>'Year 1 Traffic'!J$24*'Beer Revenue'!$E21</f>
        <v>364.30821428571431</v>
      </c>
      <c r="Q21" s="107">
        <f>'Year 1 Traffic'!K$24*'Beer Revenue'!$E21</f>
        <v>342.22892857142858</v>
      </c>
      <c r="R21" s="107">
        <f>'Year 1 Traffic'!L$24*'Beer Revenue'!$E21</f>
        <v>298.07035714285712</v>
      </c>
      <c r="S21" s="107">
        <f>'Year 1 Traffic'!M$24*'Beer Revenue'!$E21</f>
        <v>273.78314285714288</v>
      </c>
      <c r="T21" s="289">
        <f t="shared" si="4"/>
        <v>4037.4733839285718</v>
      </c>
      <c r="U21" s="301">
        <f>H21*(1+Assumptions!$D$73)</f>
        <v>256.67169642857141</v>
      </c>
      <c r="V21" s="107">
        <f>I21*(1+Assumptions!$D$73)</f>
        <v>272.88617187499995</v>
      </c>
      <c r="W21" s="107">
        <f>J21*(1+Assumptions!$D$73)</f>
        <v>385.00754464285711</v>
      </c>
      <c r="X21" s="107">
        <f>K21*(1+Assumptions!$D$73)</f>
        <v>455.38526785714288</v>
      </c>
      <c r="Y21" s="107">
        <f>L21*(1+Assumptions!$D$73)</f>
        <v>513.34339285714282</v>
      </c>
      <c r="Z21" s="107">
        <f>M21*(1+Assumptions!$D$73)</f>
        <v>517.48325892857133</v>
      </c>
      <c r="AA21" s="107">
        <f>N21*(1+Assumptions!$D$73)</f>
        <v>534.73270089285711</v>
      </c>
      <c r="AB21" s="107">
        <f>O21*(1+Assumptions!$D$73)</f>
        <v>513.34339285714282</v>
      </c>
      <c r="AC21" s="107">
        <f>P21*(1+Assumptions!$D$73)</f>
        <v>455.38526785714288</v>
      </c>
      <c r="AD21" s="107">
        <f>Q21*(1+Assumptions!$D$73)</f>
        <v>427.78616071428576</v>
      </c>
      <c r="AE21" s="107">
        <f>R21*(1+Assumptions!$D$73)</f>
        <v>372.5879464285714</v>
      </c>
      <c r="AF21" s="107">
        <f>S21*(1+Assumptions!$D$73)</f>
        <v>342.22892857142858</v>
      </c>
      <c r="AG21" s="289">
        <f t="shared" si="5"/>
        <v>5046.841729910715</v>
      </c>
      <c r="AH21" s="301">
        <f>U21*(1+Assumptions!$E$73)</f>
        <v>295.17245089285711</v>
      </c>
      <c r="AI21" s="107">
        <f>V21*(1+Assumptions!$E$73)</f>
        <v>313.81909765624994</v>
      </c>
      <c r="AJ21" s="107">
        <f>W21*(1+Assumptions!$E$73)</f>
        <v>442.75867633928567</v>
      </c>
      <c r="AK21" s="107">
        <f>X21*(1+Assumptions!$E$73)</f>
        <v>523.69305803571422</v>
      </c>
      <c r="AL21" s="107">
        <f>Y21*(1+Assumptions!$E$73)</f>
        <v>590.34490178571423</v>
      </c>
      <c r="AM21" s="107">
        <f>Z21*(1+Assumptions!$E$73)</f>
        <v>595.105747767857</v>
      </c>
      <c r="AN21" s="107">
        <f>AA21*(1+Assumptions!$E$73)</f>
        <v>614.9426060267856</v>
      </c>
      <c r="AO21" s="107">
        <f>AB21*(1+Assumptions!$E$73)</f>
        <v>590.34490178571423</v>
      </c>
      <c r="AP21" s="107">
        <f>AC21*(1+Assumptions!$E$73)</f>
        <v>523.69305803571422</v>
      </c>
      <c r="AQ21" s="107">
        <f>AD21*(1+Assumptions!$E$73)</f>
        <v>491.95408482142858</v>
      </c>
      <c r="AR21" s="107">
        <f>AE21*(1+Assumptions!$E$73)</f>
        <v>428.47613839285708</v>
      </c>
      <c r="AS21" s="107">
        <f>AF21*(1+Assumptions!$E$73)</f>
        <v>393.56326785714282</v>
      </c>
      <c r="AT21" s="289">
        <f t="shared" si="6"/>
        <v>5803.8679893973203</v>
      </c>
      <c r="AU21" s="301">
        <f>AH21*(1+Assumptions!$F$73)</f>
        <v>324.68969598214284</v>
      </c>
      <c r="AV21" s="107">
        <f>AI21*(1+Assumptions!$F$73)</f>
        <v>345.20100742187498</v>
      </c>
      <c r="AW21" s="107">
        <f>AJ21*(1+Assumptions!$F$73)</f>
        <v>487.03454397321428</v>
      </c>
      <c r="AX21" s="107">
        <f>AK21*(1+Assumptions!$F$73)</f>
        <v>576.06236383928569</v>
      </c>
      <c r="AY21" s="107">
        <f>AL21*(1+Assumptions!$F$73)</f>
        <v>649.37939196428567</v>
      </c>
      <c r="AZ21" s="107">
        <f>AM21*(1+Assumptions!$F$73)</f>
        <v>654.6163225446428</v>
      </c>
      <c r="BA21" s="107">
        <f>AN21*(1+Assumptions!$F$73)</f>
        <v>676.43686662946425</v>
      </c>
      <c r="BB21" s="107">
        <f>AO21*(1+Assumptions!$F$73)</f>
        <v>649.37939196428567</v>
      </c>
      <c r="BC21" s="107">
        <f>AP21*(1+Assumptions!$F$73)</f>
        <v>576.06236383928569</v>
      </c>
      <c r="BD21" s="107">
        <f>AQ21*(1+Assumptions!$F$73)</f>
        <v>541.14949330357149</v>
      </c>
      <c r="BE21" s="107">
        <f>AR21*(1+Assumptions!$F$73)</f>
        <v>471.32375223214285</v>
      </c>
      <c r="BF21" s="107">
        <f>AS21*(1+Assumptions!$F$73)</f>
        <v>432.91959464285713</v>
      </c>
      <c r="BG21" s="289">
        <f t="shared" si="7"/>
        <v>6384.2547883370535</v>
      </c>
      <c r="BH21" s="301">
        <f>AU21*(1+Assumptions!$G$73)</f>
        <v>357.15866558035714</v>
      </c>
      <c r="BI21" s="107">
        <f>AV21*(1+Assumptions!$G$73)</f>
        <v>379.72110816406251</v>
      </c>
      <c r="BJ21" s="107">
        <f>AW21*(1+Assumptions!$G$73)</f>
        <v>535.73799837053571</v>
      </c>
      <c r="BK21" s="107">
        <f>AX21*(1+Assumptions!$G$73)</f>
        <v>633.6686002232143</v>
      </c>
      <c r="BL21" s="107">
        <f>AY21*(1+Assumptions!$G$73)</f>
        <v>714.31733116071428</v>
      </c>
      <c r="BM21" s="107">
        <f>AZ21*(1+Assumptions!$G$73)</f>
        <v>720.07795479910715</v>
      </c>
      <c r="BN21" s="107">
        <f>BA21*(1+Assumptions!$G$73)</f>
        <v>744.08055329241074</v>
      </c>
      <c r="BO21" s="107">
        <f>BB21*(1+Assumptions!$G$73)</f>
        <v>714.31733116071428</v>
      </c>
      <c r="BP21" s="107">
        <f>BC21*(1+Assumptions!$G$73)</f>
        <v>633.6686002232143</v>
      </c>
      <c r="BQ21" s="107">
        <f>BD21*(1+Assumptions!$G$73)</f>
        <v>595.26444263392864</v>
      </c>
      <c r="BR21" s="107">
        <f>BE21*(1+Assumptions!$G$73)</f>
        <v>518.4561274553572</v>
      </c>
      <c r="BS21" s="107">
        <f>BF21*(1+Assumptions!$G$73)</f>
        <v>476.21155410714289</v>
      </c>
      <c r="BT21" s="289">
        <f t="shared" si="8"/>
        <v>7022.6802671707583</v>
      </c>
      <c r="BU21" s="102">
        <f t="shared" si="10"/>
        <v>28295.118158744419</v>
      </c>
    </row>
    <row r="22" spans="1:73">
      <c r="A22" s="92"/>
      <c r="B22" s="277">
        <v>7</v>
      </c>
      <c r="C22" s="278">
        <v>11.5</v>
      </c>
      <c r="D22" s="281">
        <f t="shared" si="9"/>
        <v>2415.304347826087</v>
      </c>
      <c r="E22" s="279">
        <v>0.05</v>
      </c>
      <c r="F22" s="278" t="s">
        <v>581</v>
      </c>
      <c r="G22" s="92"/>
      <c r="H22" s="107">
        <f>'Year 1 Traffic'!B$24*'Beer Revenue'!$E22</f>
        <v>205.33735714285714</v>
      </c>
      <c r="I22" s="107">
        <f>'Year 1 Traffic'!C$24*'Beer Revenue'!$E22</f>
        <v>218.30893749999996</v>
      </c>
      <c r="J22" s="107">
        <f>'Year 1 Traffic'!D$24*'Beer Revenue'!$E22</f>
        <v>308.0060357142857</v>
      </c>
      <c r="K22" s="107">
        <f>'Year 1 Traffic'!E$24*'Beer Revenue'!$E22</f>
        <v>364.30821428571431</v>
      </c>
      <c r="L22" s="107">
        <f>'Year 1 Traffic'!F$24*'Beer Revenue'!$E22</f>
        <v>410.67471428571429</v>
      </c>
      <c r="M22" s="107">
        <f>'Year 1 Traffic'!G$24*'Beer Revenue'!$E22</f>
        <v>413.98660714285711</v>
      </c>
      <c r="N22" s="107">
        <f>'Year 1 Traffic'!H$24*'Beer Revenue'!$E22</f>
        <v>427.7861607142857</v>
      </c>
      <c r="O22" s="107">
        <f>'Year 1 Traffic'!I$24*'Beer Revenue'!$E22</f>
        <v>410.67471428571429</v>
      </c>
      <c r="P22" s="107">
        <f>'Year 1 Traffic'!J$24*'Beer Revenue'!$E22</f>
        <v>364.30821428571431</v>
      </c>
      <c r="Q22" s="107">
        <f>'Year 1 Traffic'!K$24*'Beer Revenue'!$E22</f>
        <v>342.22892857142858</v>
      </c>
      <c r="R22" s="107">
        <f>'Year 1 Traffic'!L$24*'Beer Revenue'!$E22</f>
        <v>298.07035714285712</v>
      </c>
      <c r="S22" s="107">
        <f>'Year 1 Traffic'!M$24*'Beer Revenue'!$E22</f>
        <v>273.78314285714288</v>
      </c>
      <c r="T22" s="289">
        <f t="shared" si="4"/>
        <v>4037.4733839285718</v>
      </c>
      <c r="U22" s="301">
        <f>H22*(1+Assumptions!$D$73)</f>
        <v>256.67169642857141</v>
      </c>
      <c r="V22" s="107">
        <f>I22*(1+Assumptions!$D$73)</f>
        <v>272.88617187499995</v>
      </c>
      <c r="W22" s="107">
        <f>J22*(1+Assumptions!$D$73)</f>
        <v>385.00754464285711</v>
      </c>
      <c r="X22" s="107">
        <f>K22*(1+Assumptions!$D$73)</f>
        <v>455.38526785714288</v>
      </c>
      <c r="Y22" s="107">
        <f>L22*(1+Assumptions!$D$73)</f>
        <v>513.34339285714282</v>
      </c>
      <c r="Z22" s="107">
        <f>M22*(1+Assumptions!$D$73)</f>
        <v>517.48325892857133</v>
      </c>
      <c r="AA22" s="107">
        <f>N22*(1+Assumptions!$D$73)</f>
        <v>534.73270089285711</v>
      </c>
      <c r="AB22" s="107">
        <f>O22*(1+Assumptions!$D$73)</f>
        <v>513.34339285714282</v>
      </c>
      <c r="AC22" s="107">
        <f>P22*(1+Assumptions!$D$73)</f>
        <v>455.38526785714288</v>
      </c>
      <c r="AD22" s="107">
        <f>Q22*(1+Assumptions!$D$73)</f>
        <v>427.78616071428576</v>
      </c>
      <c r="AE22" s="107">
        <f>R22*(1+Assumptions!$D$73)</f>
        <v>372.5879464285714</v>
      </c>
      <c r="AF22" s="107">
        <f>S22*(1+Assumptions!$D$73)</f>
        <v>342.22892857142858</v>
      </c>
      <c r="AG22" s="289">
        <f t="shared" si="5"/>
        <v>5046.841729910715</v>
      </c>
      <c r="AH22" s="301">
        <f>U22*(1+Assumptions!$E$73)</f>
        <v>295.17245089285711</v>
      </c>
      <c r="AI22" s="107">
        <f>V22*(1+Assumptions!$E$73)</f>
        <v>313.81909765624994</v>
      </c>
      <c r="AJ22" s="107">
        <f>W22*(1+Assumptions!$E$73)</f>
        <v>442.75867633928567</v>
      </c>
      <c r="AK22" s="107">
        <f>X22*(1+Assumptions!$E$73)</f>
        <v>523.69305803571422</v>
      </c>
      <c r="AL22" s="107">
        <f>Y22*(1+Assumptions!$E$73)</f>
        <v>590.34490178571423</v>
      </c>
      <c r="AM22" s="107">
        <f>Z22*(1+Assumptions!$E$73)</f>
        <v>595.105747767857</v>
      </c>
      <c r="AN22" s="107">
        <f>AA22*(1+Assumptions!$E$73)</f>
        <v>614.9426060267856</v>
      </c>
      <c r="AO22" s="107">
        <f>AB22*(1+Assumptions!$E$73)</f>
        <v>590.34490178571423</v>
      </c>
      <c r="AP22" s="107">
        <f>AC22*(1+Assumptions!$E$73)</f>
        <v>523.69305803571422</v>
      </c>
      <c r="AQ22" s="107">
        <f>AD22*(1+Assumptions!$E$73)</f>
        <v>491.95408482142858</v>
      </c>
      <c r="AR22" s="107">
        <f>AE22*(1+Assumptions!$E$73)</f>
        <v>428.47613839285708</v>
      </c>
      <c r="AS22" s="107">
        <f>AF22*(1+Assumptions!$E$73)</f>
        <v>393.56326785714282</v>
      </c>
      <c r="AT22" s="289">
        <f t="shared" si="6"/>
        <v>5803.8679893973203</v>
      </c>
      <c r="AU22" s="301">
        <f>AH22*(1+Assumptions!$F$73)</f>
        <v>324.68969598214284</v>
      </c>
      <c r="AV22" s="107">
        <f>AI22*(1+Assumptions!$F$73)</f>
        <v>345.20100742187498</v>
      </c>
      <c r="AW22" s="107">
        <f>AJ22*(1+Assumptions!$F$73)</f>
        <v>487.03454397321428</v>
      </c>
      <c r="AX22" s="107">
        <f>AK22*(1+Assumptions!$F$73)</f>
        <v>576.06236383928569</v>
      </c>
      <c r="AY22" s="107">
        <f>AL22*(1+Assumptions!$F$73)</f>
        <v>649.37939196428567</v>
      </c>
      <c r="AZ22" s="107">
        <f>AM22*(1+Assumptions!$F$73)</f>
        <v>654.6163225446428</v>
      </c>
      <c r="BA22" s="107">
        <f>AN22*(1+Assumptions!$F$73)</f>
        <v>676.43686662946425</v>
      </c>
      <c r="BB22" s="107">
        <f>AO22*(1+Assumptions!$F$73)</f>
        <v>649.37939196428567</v>
      </c>
      <c r="BC22" s="107">
        <f>AP22*(1+Assumptions!$F$73)</f>
        <v>576.06236383928569</v>
      </c>
      <c r="BD22" s="107">
        <f>AQ22*(1+Assumptions!$F$73)</f>
        <v>541.14949330357149</v>
      </c>
      <c r="BE22" s="107">
        <f>AR22*(1+Assumptions!$F$73)</f>
        <v>471.32375223214285</v>
      </c>
      <c r="BF22" s="107">
        <f>AS22*(1+Assumptions!$F$73)</f>
        <v>432.91959464285713</v>
      </c>
      <c r="BG22" s="289">
        <f t="shared" si="7"/>
        <v>6384.2547883370535</v>
      </c>
      <c r="BH22" s="301">
        <f>AU22*(1+Assumptions!$G$73)</f>
        <v>357.15866558035714</v>
      </c>
      <c r="BI22" s="107">
        <f>AV22*(1+Assumptions!$G$73)</f>
        <v>379.72110816406251</v>
      </c>
      <c r="BJ22" s="107">
        <f>AW22*(1+Assumptions!$G$73)</f>
        <v>535.73799837053571</v>
      </c>
      <c r="BK22" s="107">
        <f>AX22*(1+Assumptions!$G$73)</f>
        <v>633.6686002232143</v>
      </c>
      <c r="BL22" s="107">
        <f>AY22*(1+Assumptions!$G$73)</f>
        <v>714.31733116071428</v>
      </c>
      <c r="BM22" s="107">
        <f>AZ22*(1+Assumptions!$G$73)</f>
        <v>720.07795479910715</v>
      </c>
      <c r="BN22" s="107">
        <f>BA22*(1+Assumptions!$G$73)</f>
        <v>744.08055329241074</v>
      </c>
      <c r="BO22" s="107">
        <f>BB22*(1+Assumptions!$G$73)</f>
        <v>714.31733116071428</v>
      </c>
      <c r="BP22" s="107">
        <f>BC22*(1+Assumptions!$G$73)</f>
        <v>633.6686002232143</v>
      </c>
      <c r="BQ22" s="107">
        <f>BD22*(1+Assumptions!$G$73)</f>
        <v>595.26444263392864</v>
      </c>
      <c r="BR22" s="107">
        <f>BE22*(1+Assumptions!$G$73)</f>
        <v>518.4561274553572</v>
      </c>
      <c r="BS22" s="107">
        <f>BF22*(1+Assumptions!$G$73)</f>
        <v>476.21155410714289</v>
      </c>
      <c r="BT22" s="289">
        <f t="shared" si="8"/>
        <v>7022.6802671707583</v>
      </c>
      <c r="BU22" s="102">
        <f t="shared" si="10"/>
        <v>28295.118158744419</v>
      </c>
    </row>
    <row r="23" spans="1:73">
      <c r="A23" s="92"/>
      <c r="B23" s="277">
        <v>7</v>
      </c>
      <c r="C23" s="278">
        <v>11.5</v>
      </c>
      <c r="D23" s="281">
        <f t="shared" si="9"/>
        <v>2415.304347826087</v>
      </c>
      <c r="E23" s="279">
        <v>7.4999999999999997E-2</v>
      </c>
      <c r="F23" s="278" t="s">
        <v>582</v>
      </c>
      <c r="G23" s="92"/>
      <c r="H23" s="107">
        <f>'Year 1 Traffic'!B$24*'Beer Revenue'!$E23</f>
        <v>308.0060357142857</v>
      </c>
      <c r="I23" s="107">
        <f>'Year 1 Traffic'!C$24*'Beer Revenue'!$E23</f>
        <v>327.46340624999993</v>
      </c>
      <c r="J23" s="107">
        <f>'Year 1 Traffic'!D$24*'Beer Revenue'!$E23</f>
        <v>462.00905357142852</v>
      </c>
      <c r="K23" s="107">
        <f>'Year 1 Traffic'!E$24*'Beer Revenue'!$E23</f>
        <v>546.46232142857139</v>
      </c>
      <c r="L23" s="107">
        <f>'Year 1 Traffic'!F$24*'Beer Revenue'!$E23</f>
        <v>616.0120714285714</v>
      </c>
      <c r="M23" s="107">
        <f>'Year 1 Traffic'!G$24*'Beer Revenue'!$E23</f>
        <v>620.97991071428555</v>
      </c>
      <c r="N23" s="107">
        <f>'Year 1 Traffic'!H$24*'Beer Revenue'!$E23</f>
        <v>641.67924107142846</v>
      </c>
      <c r="O23" s="107">
        <f>'Year 1 Traffic'!I$24*'Beer Revenue'!$E23</f>
        <v>616.0120714285714</v>
      </c>
      <c r="P23" s="107">
        <f>'Year 1 Traffic'!J$24*'Beer Revenue'!$E23</f>
        <v>546.46232142857139</v>
      </c>
      <c r="Q23" s="107">
        <f>'Year 1 Traffic'!K$24*'Beer Revenue'!$E23</f>
        <v>513.34339285714282</v>
      </c>
      <c r="R23" s="107">
        <f>'Year 1 Traffic'!L$24*'Beer Revenue'!$E23</f>
        <v>447.10553571428568</v>
      </c>
      <c r="S23" s="107">
        <f>'Year 1 Traffic'!M$24*'Beer Revenue'!$E23</f>
        <v>410.67471428571429</v>
      </c>
      <c r="T23" s="289">
        <f t="shared" si="4"/>
        <v>6056.2100758928564</v>
      </c>
      <c r="U23" s="301">
        <f>H23*(1+Assumptions!$D$73)</f>
        <v>385.00754464285711</v>
      </c>
      <c r="V23" s="107">
        <f>I23*(1+Assumptions!$D$73)</f>
        <v>409.32925781249992</v>
      </c>
      <c r="W23" s="107">
        <f>J23*(1+Assumptions!$D$73)</f>
        <v>577.5113169642857</v>
      </c>
      <c r="X23" s="107">
        <f>K23*(1+Assumptions!$D$73)</f>
        <v>683.07790178571418</v>
      </c>
      <c r="Y23" s="107">
        <f>L23*(1+Assumptions!$D$73)</f>
        <v>770.01508928571423</v>
      </c>
      <c r="Z23" s="107">
        <f>M23*(1+Assumptions!$D$73)</f>
        <v>776.22488839285688</v>
      </c>
      <c r="AA23" s="107">
        <f>N23*(1+Assumptions!$D$73)</f>
        <v>802.09905133928555</v>
      </c>
      <c r="AB23" s="107">
        <f>O23*(1+Assumptions!$D$73)</f>
        <v>770.01508928571423</v>
      </c>
      <c r="AC23" s="107">
        <f>P23*(1+Assumptions!$D$73)</f>
        <v>683.07790178571418</v>
      </c>
      <c r="AD23" s="107">
        <f>Q23*(1+Assumptions!$D$73)</f>
        <v>641.67924107142858</v>
      </c>
      <c r="AE23" s="107">
        <f>R23*(1+Assumptions!$D$73)</f>
        <v>558.88191964285716</v>
      </c>
      <c r="AF23" s="107">
        <f>S23*(1+Assumptions!$D$73)</f>
        <v>513.34339285714282</v>
      </c>
      <c r="AG23" s="289">
        <f t="shared" si="5"/>
        <v>7570.2625948660716</v>
      </c>
      <c r="AH23" s="301">
        <f>U23*(1+Assumptions!$E$73)</f>
        <v>442.75867633928567</v>
      </c>
      <c r="AI23" s="107">
        <f>V23*(1+Assumptions!$E$73)</f>
        <v>470.72864648437485</v>
      </c>
      <c r="AJ23" s="107">
        <f>W23*(1+Assumptions!$E$73)</f>
        <v>664.13801450892845</v>
      </c>
      <c r="AK23" s="107">
        <f>X23*(1+Assumptions!$E$73)</f>
        <v>785.53958705357127</v>
      </c>
      <c r="AL23" s="107">
        <f>Y23*(1+Assumptions!$E$73)</f>
        <v>885.51735267857134</v>
      </c>
      <c r="AM23" s="107">
        <f>Z23*(1+Assumptions!$E$73)</f>
        <v>892.65862165178532</v>
      </c>
      <c r="AN23" s="107">
        <f>AA23*(1+Assumptions!$E$73)</f>
        <v>922.41390904017828</v>
      </c>
      <c r="AO23" s="107">
        <f>AB23*(1+Assumptions!$E$73)</f>
        <v>885.51735267857134</v>
      </c>
      <c r="AP23" s="107">
        <f>AC23*(1+Assumptions!$E$73)</f>
        <v>785.53958705357127</v>
      </c>
      <c r="AQ23" s="107">
        <f>AD23*(1+Assumptions!$E$73)</f>
        <v>737.93112723214279</v>
      </c>
      <c r="AR23" s="107">
        <f>AE23*(1+Assumptions!$E$73)</f>
        <v>642.71420758928571</v>
      </c>
      <c r="AS23" s="107">
        <f>AF23*(1+Assumptions!$E$73)</f>
        <v>590.34490178571423</v>
      </c>
      <c r="AT23" s="289">
        <f t="shared" si="6"/>
        <v>8705.8019840959805</v>
      </c>
      <c r="AU23" s="301">
        <f>AH23*(1+Assumptions!$F$73)</f>
        <v>487.03454397321428</v>
      </c>
      <c r="AV23" s="107">
        <f>AI23*(1+Assumptions!$F$73)</f>
        <v>517.80151113281238</v>
      </c>
      <c r="AW23" s="107">
        <f>AJ23*(1+Assumptions!$F$73)</f>
        <v>730.5518159598214</v>
      </c>
      <c r="AX23" s="107">
        <f>AK23*(1+Assumptions!$F$73)</f>
        <v>864.09354575892849</v>
      </c>
      <c r="AY23" s="107">
        <f>AL23*(1+Assumptions!$F$73)</f>
        <v>974.06908794642857</v>
      </c>
      <c r="AZ23" s="107">
        <f>AM23*(1+Assumptions!$F$73)</f>
        <v>981.92448381696397</v>
      </c>
      <c r="BA23" s="107">
        <f>AN23*(1+Assumptions!$F$73)</f>
        <v>1014.6552999441961</v>
      </c>
      <c r="BB23" s="107">
        <f>AO23*(1+Assumptions!$F$73)</f>
        <v>974.06908794642857</v>
      </c>
      <c r="BC23" s="107">
        <f>AP23*(1+Assumptions!$F$73)</f>
        <v>864.09354575892849</v>
      </c>
      <c r="BD23" s="107">
        <f>AQ23*(1+Assumptions!$F$73)</f>
        <v>811.72423995535712</v>
      </c>
      <c r="BE23" s="107">
        <f>AR23*(1+Assumptions!$F$73)</f>
        <v>706.98562834821439</v>
      </c>
      <c r="BF23" s="107">
        <f>AS23*(1+Assumptions!$F$73)</f>
        <v>649.37939196428567</v>
      </c>
      <c r="BG23" s="289">
        <f t="shared" si="7"/>
        <v>9576.3821825055802</v>
      </c>
      <c r="BH23" s="301">
        <f>AU23*(1+Assumptions!$G$73)</f>
        <v>535.73799837053571</v>
      </c>
      <c r="BI23" s="107">
        <f>AV23*(1+Assumptions!$G$73)</f>
        <v>569.58166224609363</v>
      </c>
      <c r="BJ23" s="107">
        <f>AW23*(1+Assumptions!$G$73)</f>
        <v>803.60699755580356</v>
      </c>
      <c r="BK23" s="107">
        <f>AX23*(1+Assumptions!$G$73)</f>
        <v>950.50290033482145</v>
      </c>
      <c r="BL23" s="107">
        <f>AY23*(1+Assumptions!$G$73)</f>
        <v>1071.4759967410714</v>
      </c>
      <c r="BM23" s="107">
        <f>AZ23*(1+Assumptions!$G$73)</f>
        <v>1080.1169321986604</v>
      </c>
      <c r="BN23" s="107">
        <f>BA23*(1+Assumptions!$G$73)</f>
        <v>1116.1208299386158</v>
      </c>
      <c r="BO23" s="107">
        <f>BB23*(1+Assumptions!$G$73)</f>
        <v>1071.4759967410714</v>
      </c>
      <c r="BP23" s="107">
        <f>BC23*(1+Assumptions!$G$73)</f>
        <v>950.50290033482145</v>
      </c>
      <c r="BQ23" s="107">
        <f>BD23*(1+Assumptions!$G$73)</f>
        <v>892.89666395089296</v>
      </c>
      <c r="BR23" s="107">
        <f>BE23*(1+Assumptions!$G$73)</f>
        <v>777.68419118303586</v>
      </c>
      <c r="BS23" s="107">
        <f>BF23*(1+Assumptions!$G$73)</f>
        <v>714.31733116071428</v>
      </c>
      <c r="BT23" s="289">
        <f t="shared" si="8"/>
        <v>10534.020400756141</v>
      </c>
      <c r="BU23" s="102">
        <f t="shared" si="10"/>
        <v>42442.67723811663</v>
      </c>
    </row>
    <row r="24" spans="1:73">
      <c r="A24" s="92"/>
      <c r="B24" s="277">
        <v>9</v>
      </c>
      <c r="C24" s="278">
        <v>9</v>
      </c>
      <c r="D24" s="281">
        <f>B24/C24*128*31</f>
        <v>3968</v>
      </c>
      <c r="E24" s="279">
        <v>2.5000000000000001E-2</v>
      </c>
      <c r="F24" s="278" t="s">
        <v>512</v>
      </c>
      <c r="G24" s="92"/>
      <c r="H24" s="107">
        <f>'Year 1 Traffic'!B$24*'Beer Revenue'!$E24</f>
        <v>102.66867857142857</v>
      </c>
      <c r="I24" s="107">
        <f>'Year 1 Traffic'!C$24*'Beer Revenue'!$E24</f>
        <v>109.15446874999998</v>
      </c>
      <c r="J24" s="107">
        <f>'Year 1 Traffic'!D$24*'Beer Revenue'!$E24</f>
        <v>154.00301785714285</v>
      </c>
      <c r="K24" s="107">
        <f>'Year 1 Traffic'!E$24*'Beer Revenue'!$E24</f>
        <v>182.15410714285716</v>
      </c>
      <c r="L24" s="107">
        <f>'Year 1 Traffic'!F$24*'Beer Revenue'!$E24</f>
        <v>205.33735714285714</v>
      </c>
      <c r="M24" s="107">
        <f>'Year 1 Traffic'!G$24*'Beer Revenue'!$E24</f>
        <v>206.99330357142856</v>
      </c>
      <c r="N24" s="107">
        <f>'Year 1 Traffic'!H$24*'Beer Revenue'!$E24</f>
        <v>213.89308035714285</v>
      </c>
      <c r="O24" s="107">
        <f>'Year 1 Traffic'!I$24*'Beer Revenue'!$E24</f>
        <v>205.33735714285714</v>
      </c>
      <c r="P24" s="107">
        <f>'Year 1 Traffic'!J$24*'Beer Revenue'!$E24</f>
        <v>182.15410714285716</v>
      </c>
      <c r="Q24" s="107">
        <f>'Year 1 Traffic'!K$24*'Beer Revenue'!$E24</f>
        <v>171.11446428571429</v>
      </c>
      <c r="R24" s="107">
        <f>'Year 1 Traffic'!L$24*'Beer Revenue'!$E24</f>
        <v>149.03517857142856</v>
      </c>
      <c r="S24" s="107">
        <f>'Year 1 Traffic'!M$24*'Beer Revenue'!$E24</f>
        <v>136.89157142857144</v>
      </c>
      <c r="T24" s="289">
        <f t="shared" si="4"/>
        <v>2018.7366919642859</v>
      </c>
      <c r="U24" s="301">
        <f>H24*(1+Assumptions!$D$73)</f>
        <v>128.3358482142857</v>
      </c>
      <c r="V24" s="107">
        <f>I24*(1+Assumptions!$D$73)</f>
        <v>136.44308593749997</v>
      </c>
      <c r="W24" s="107">
        <f>J24*(1+Assumptions!$D$73)</f>
        <v>192.50377232142856</v>
      </c>
      <c r="X24" s="107">
        <f>K24*(1+Assumptions!$D$73)</f>
        <v>227.69263392857144</v>
      </c>
      <c r="Y24" s="107">
        <f>L24*(1+Assumptions!$D$73)</f>
        <v>256.67169642857141</v>
      </c>
      <c r="Z24" s="107">
        <f>M24*(1+Assumptions!$D$73)</f>
        <v>258.74162946428567</v>
      </c>
      <c r="AA24" s="107">
        <f>N24*(1+Assumptions!$D$73)</f>
        <v>267.36635044642856</v>
      </c>
      <c r="AB24" s="107">
        <f>O24*(1+Assumptions!$D$73)</f>
        <v>256.67169642857141</v>
      </c>
      <c r="AC24" s="107">
        <f>P24*(1+Assumptions!$D$73)</f>
        <v>227.69263392857144</v>
      </c>
      <c r="AD24" s="107">
        <f>Q24*(1+Assumptions!$D$73)</f>
        <v>213.89308035714288</v>
      </c>
      <c r="AE24" s="107">
        <f>R24*(1+Assumptions!$D$73)</f>
        <v>186.2939732142857</v>
      </c>
      <c r="AF24" s="107">
        <f>S24*(1+Assumptions!$D$73)</f>
        <v>171.11446428571429</v>
      </c>
      <c r="AG24" s="289">
        <f t="shared" si="5"/>
        <v>2523.4208649553575</v>
      </c>
      <c r="AH24" s="301">
        <f>U24*(1+Assumptions!$E$73)</f>
        <v>147.58622544642856</v>
      </c>
      <c r="AI24" s="107">
        <f>V24*(1+Assumptions!$E$73)</f>
        <v>156.90954882812497</v>
      </c>
      <c r="AJ24" s="107">
        <f>W24*(1+Assumptions!$E$73)</f>
        <v>221.37933816964284</v>
      </c>
      <c r="AK24" s="107">
        <f>X24*(1+Assumptions!$E$73)</f>
        <v>261.84652901785711</v>
      </c>
      <c r="AL24" s="107">
        <f>Y24*(1+Assumptions!$E$73)</f>
        <v>295.17245089285711</v>
      </c>
      <c r="AM24" s="107">
        <f>Z24*(1+Assumptions!$E$73)</f>
        <v>297.5528738839285</v>
      </c>
      <c r="AN24" s="107">
        <f>AA24*(1+Assumptions!$E$73)</f>
        <v>307.4713030133928</v>
      </c>
      <c r="AO24" s="107">
        <f>AB24*(1+Assumptions!$E$73)</f>
        <v>295.17245089285711</v>
      </c>
      <c r="AP24" s="107">
        <f>AC24*(1+Assumptions!$E$73)</f>
        <v>261.84652901785711</v>
      </c>
      <c r="AQ24" s="107">
        <f>AD24*(1+Assumptions!$E$73)</f>
        <v>245.97704241071429</v>
      </c>
      <c r="AR24" s="107">
        <f>AE24*(1+Assumptions!$E$73)</f>
        <v>214.23806919642854</v>
      </c>
      <c r="AS24" s="107">
        <f>AF24*(1+Assumptions!$E$73)</f>
        <v>196.78163392857141</v>
      </c>
      <c r="AT24" s="289">
        <f t="shared" si="6"/>
        <v>2901.9339946986602</v>
      </c>
      <c r="AU24" s="301">
        <f>AH24*(1+Assumptions!$F$73)</f>
        <v>162.34484799107142</v>
      </c>
      <c r="AV24" s="107">
        <f>AI24*(1+Assumptions!$F$73)</f>
        <v>172.60050371093749</v>
      </c>
      <c r="AW24" s="107">
        <f>AJ24*(1+Assumptions!$F$73)</f>
        <v>243.51727198660714</v>
      </c>
      <c r="AX24" s="107">
        <f>AK24*(1+Assumptions!$F$73)</f>
        <v>288.03118191964285</v>
      </c>
      <c r="AY24" s="107">
        <f>AL24*(1+Assumptions!$F$73)</f>
        <v>324.68969598214284</v>
      </c>
      <c r="AZ24" s="107">
        <f>AM24*(1+Assumptions!$F$73)</f>
        <v>327.3081612723214</v>
      </c>
      <c r="BA24" s="107">
        <f>AN24*(1+Assumptions!$F$73)</f>
        <v>338.21843331473212</v>
      </c>
      <c r="BB24" s="107">
        <f>AO24*(1+Assumptions!$F$73)</f>
        <v>324.68969598214284</v>
      </c>
      <c r="BC24" s="107">
        <f>AP24*(1+Assumptions!$F$73)</f>
        <v>288.03118191964285</v>
      </c>
      <c r="BD24" s="107">
        <f>AQ24*(1+Assumptions!$F$73)</f>
        <v>270.57474665178574</v>
      </c>
      <c r="BE24" s="107">
        <f>AR24*(1+Assumptions!$F$73)</f>
        <v>235.66187611607143</v>
      </c>
      <c r="BF24" s="107">
        <f>AS24*(1+Assumptions!$F$73)</f>
        <v>216.45979732142857</v>
      </c>
      <c r="BG24" s="289">
        <f t="shared" si="7"/>
        <v>3192.1273941685267</v>
      </c>
      <c r="BH24" s="301">
        <f>AU24*(1+Assumptions!$G$73)</f>
        <v>178.57933279017857</v>
      </c>
      <c r="BI24" s="107">
        <f>AV24*(1+Assumptions!$G$73)</f>
        <v>189.86055408203126</v>
      </c>
      <c r="BJ24" s="107">
        <f>AW24*(1+Assumptions!$G$73)</f>
        <v>267.86899918526785</v>
      </c>
      <c r="BK24" s="107">
        <f>AX24*(1+Assumptions!$G$73)</f>
        <v>316.83430011160715</v>
      </c>
      <c r="BL24" s="107">
        <f>AY24*(1+Assumptions!$G$73)</f>
        <v>357.15866558035714</v>
      </c>
      <c r="BM24" s="107">
        <f>AZ24*(1+Assumptions!$G$73)</f>
        <v>360.03897739955357</v>
      </c>
      <c r="BN24" s="107">
        <f>BA24*(1+Assumptions!$G$73)</f>
        <v>372.04027664620537</v>
      </c>
      <c r="BO24" s="107">
        <f>BB24*(1+Assumptions!$G$73)</f>
        <v>357.15866558035714</v>
      </c>
      <c r="BP24" s="107">
        <f>BC24*(1+Assumptions!$G$73)</f>
        <v>316.83430011160715</v>
      </c>
      <c r="BQ24" s="107">
        <f>BD24*(1+Assumptions!$G$73)</f>
        <v>297.63222131696432</v>
      </c>
      <c r="BR24" s="107">
        <f>BE24*(1+Assumptions!$G$73)</f>
        <v>259.2280637276786</v>
      </c>
      <c r="BS24" s="107">
        <f>BF24*(1+Assumptions!$G$73)</f>
        <v>238.10577705357144</v>
      </c>
      <c r="BT24" s="289">
        <f t="shared" si="8"/>
        <v>3511.3401335853791</v>
      </c>
      <c r="BU24" s="102">
        <f t="shared" si="10"/>
        <v>14147.559079372209</v>
      </c>
    </row>
    <row r="25" spans="1:73">
      <c r="A25" s="92"/>
      <c r="B25" s="277"/>
      <c r="C25" s="278"/>
      <c r="D25" s="281"/>
      <c r="E25" s="279"/>
      <c r="F25" s="278"/>
      <c r="G25" s="92"/>
      <c r="H25" s="107">
        <f>'Year 1 Traffic'!B$24*'Beer Revenue'!$E25</f>
        <v>0</v>
      </c>
      <c r="I25" s="107">
        <f>'Year 1 Traffic'!C$24*'Beer Revenue'!$E25</f>
        <v>0</v>
      </c>
      <c r="J25" s="107">
        <f>'Year 1 Traffic'!D$24*'Beer Revenue'!$E25</f>
        <v>0</v>
      </c>
      <c r="K25" s="107">
        <f>'Year 1 Traffic'!E$24*'Beer Revenue'!$E25</f>
        <v>0</v>
      </c>
      <c r="L25" s="107">
        <f>'Year 1 Traffic'!F$24*'Beer Revenue'!$E25</f>
        <v>0</v>
      </c>
      <c r="M25" s="107">
        <f>'Year 1 Traffic'!G$24*'Beer Revenue'!$E25</f>
        <v>0</v>
      </c>
      <c r="N25" s="107">
        <f>'Year 1 Traffic'!H$24*'Beer Revenue'!$E25</f>
        <v>0</v>
      </c>
      <c r="O25" s="107">
        <f>'Year 1 Traffic'!I$24*'Beer Revenue'!$E25</f>
        <v>0</v>
      </c>
      <c r="P25" s="107">
        <f>'Year 1 Traffic'!J$24*'Beer Revenue'!$E25</f>
        <v>0</v>
      </c>
      <c r="Q25" s="107">
        <f>'Year 1 Traffic'!K$24*'Beer Revenue'!$E25</f>
        <v>0</v>
      </c>
      <c r="R25" s="107">
        <f>'Year 1 Traffic'!L$24*'Beer Revenue'!$E25</f>
        <v>0</v>
      </c>
      <c r="S25" s="107">
        <f>'Year 1 Traffic'!M$24*'Beer Revenue'!$E25</f>
        <v>0</v>
      </c>
      <c r="T25" s="289">
        <f>SUM(H25:S25)</f>
        <v>0</v>
      </c>
      <c r="U25" s="301">
        <f>H25*(1+Assumptions!$D$73)</f>
        <v>0</v>
      </c>
      <c r="V25" s="107">
        <f>I25*(1+Assumptions!$D$73)</f>
        <v>0</v>
      </c>
      <c r="W25" s="107">
        <f>J25*(1+Assumptions!$D$73)</f>
        <v>0</v>
      </c>
      <c r="X25" s="107">
        <f>K25*(1+Assumptions!$D$73)</f>
        <v>0</v>
      </c>
      <c r="Y25" s="107">
        <f>L25*(1+Assumptions!$D$73)</f>
        <v>0</v>
      </c>
      <c r="Z25" s="107">
        <f>M25*(1+Assumptions!$D$73)</f>
        <v>0</v>
      </c>
      <c r="AA25" s="107">
        <f>N25*(1+Assumptions!$D$73)</f>
        <v>0</v>
      </c>
      <c r="AB25" s="107">
        <f>O25*(1+Assumptions!$D$73)</f>
        <v>0</v>
      </c>
      <c r="AC25" s="107">
        <f>P25*(1+Assumptions!$D$73)</f>
        <v>0</v>
      </c>
      <c r="AD25" s="107">
        <f>Q25*(1+Assumptions!$D$73)</f>
        <v>0</v>
      </c>
      <c r="AE25" s="107">
        <f>R25*(1+Assumptions!$D$73)</f>
        <v>0</v>
      </c>
      <c r="AF25" s="107">
        <f>S25*(1+Assumptions!$D$73)</f>
        <v>0</v>
      </c>
      <c r="AG25" s="289">
        <f t="shared" si="5"/>
        <v>0</v>
      </c>
      <c r="AH25" s="301">
        <f>U25*(1+Assumptions!$E$73)</f>
        <v>0</v>
      </c>
      <c r="AI25" s="107">
        <f>V25*(1+Assumptions!$E$73)</f>
        <v>0</v>
      </c>
      <c r="AJ25" s="107">
        <f>W25*(1+Assumptions!$E$73)</f>
        <v>0</v>
      </c>
      <c r="AK25" s="107">
        <f>X25*(1+Assumptions!$E$73)</f>
        <v>0</v>
      </c>
      <c r="AL25" s="107">
        <f>Y25*(1+Assumptions!$E$73)</f>
        <v>0</v>
      </c>
      <c r="AM25" s="107">
        <f>Z25*(1+Assumptions!$E$73)</f>
        <v>0</v>
      </c>
      <c r="AN25" s="107">
        <f>AA25*(1+Assumptions!$E$73)</f>
        <v>0</v>
      </c>
      <c r="AO25" s="107">
        <f>AB25*(1+Assumptions!$E$73)</f>
        <v>0</v>
      </c>
      <c r="AP25" s="107">
        <f>AC25*(1+Assumptions!$E$73)</f>
        <v>0</v>
      </c>
      <c r="AQ25" s="107">
        <f>AD25*(1+Assumptions!$E$73)</f>
        <v>0</v>
      </c>
      <c r="AR25" s="107">
        <f>AE25*(1+Assumptions!$E$73)</f>
        <v>0</v>
      </c>
      <c r="AS25" s="107">
        <f>AF25*(1+Assumptions!$E$73)</f>
        <v>0</v>
      </c>
      <c r="AT25" s="289">
        <f t="shared" si="6"/>
        <v>0</v>
      </c>
      <c r="AU25" s="301">
        <f>AH25*(1+Assumptions!$F$73)</f>
        <v>0</v>
      </c>
      <c r="AV25" s="107">
        <f>AI25*(1+Assumptions!$F$73)</f>
        <v>0</v>
      </c>
      <c r="AW25" s="107">
        <f>AJ25*(1+Assumptions!$F$73)</f>
        <v>0</v>
      </c>
      <c r="AX25" s="107">
        <f>AK25*(1+Assumptions!$F$73)</f>
        <v>0</v>
      </c>
      <c r="AY25" s="107">
        <f>AL25*(1+Assumptions!$F$73)</f>
        <v>0</v>
      </c>
      <c r="AZ25" s="107">
        <f>AM25*(1+Assumptions!$F$73)</f>
        <v>0</v>
      </c>
      <c r="BA25" s="107">
        <f>AN25*(1+Assumptions!$F$73)</f>
        <v>0</v>
      </c>
      <c r="BB25" s="107">
        <f>AO25*(1+Assumptions!$F$73)</f>
        <v>0</v>
      </c>
      <c r="BC25" s="107">
        <f>AP25*(1+Assumptions!$F$73)</f>
        <v>0</v>
      </c>
      <c r="BD25" s="107">
        <f>AQ25*(1+Assumptions!$F$73)</f>
        <v>0</v>
      </c>
      <c r="BE25" s="107">
        <f>AR25*(1+Assumptions!$F$73)</f>
        <v>0</v>
      </c>
      <c r="BF25" s="107">
        <f>AS25*(1+Assumptions!$F$73)</f>
        <v>0</v>
      </c>
      <c r="BG25" s="289">
        <f t="shared" si="7"/>
        <v>0</v>
      </c>
      <c r="BH25" s="301">
        <f>AU25*(1+Assumptions!$G$73)</f>
        <v>0</v>
      </c>
      <c r="BI25" s="107">
        <f>AV25*(1+Assumptions!$G$73)</f>
        <v>0</v>
      </c>
      <c r="BJ25" s="107">
        <f>AW25*(1+Assumptions!$G$73)</f>
        <v>0</v>
      </c>
      <c r="BK25" s="107">
        <f>AX25*(1+Assumptions!$G$73)</f>
        <v>0</v>
      </c>
      <c r="BL25" s="107">
        <f>AY25*(1+Assumptions!$G$73)</f>
        <v>0</v>
      </c>
      <c r="BM25" s="107">
        <f>AZ25*(1+Assumptions!$G$73)</f>
        <v>0</v>
      </c>
      <c r="BN25" s="107">
        <f>BA25*(1+Assumptions!$G$73)</f>
        <v>0</v>
      </c>
      <c r="BO25" s="107">
        <f>BB25*(1+Assumptions!$G$73)</f>
        <v>0</v>
      </c>
      <c r="BP25" s="107">
        <f>BC25*(1+Assumptions!$G$73)</f>
        <v>0</v>
      </c>
      <c r="BQ25" s="107">
        <f>BD25*(1+Assumptions!$G$73)</f>
        <v>0</v>
      </c>
      <c r="BR25" s="107">
        <f>BE25*(1+Assumptions!$G$73)</f>
        <v>0</v>
      </c>
      <c r="BS25" s="107">
        <f>BF25*(1+Assumptions!$G$73)</f>
        <v>0</v>
      </c>
      <c r="BT25" s="289">
        <f t="shared" si="8"/>
        <v>0</v>
      </c>
      <c r="BU25" s="102">
        <f>T25+AG25+AT25+BG25+BT25</f>
        <v>0</v>
      </c>
    </row>
    <row r="26" spans="1:73">
      <c r="A26" s="92"/>
      <c r="B26" s="277"/>
      <c r="C26" s="278"/>
      <c r="D26" s="281"/>
      <c r="E26" s="279"/>
      <c r="F26" s="278"/>
      <c r="G26" s="92"/>
      <c r="H26" s="107">
        <f>'Year 1 Traffic'!B$24*'Beer Revenue'!$E26</f>
        <v>0</v>
      </c>
      <c r="I26" s="107">
        <f>'Year 1 Traffic'!C$24*'Beer Revenue'!$E26</f>
        <v>0</v>
      </c>
      <c r="J26" s="107">
        <f>'Year 1 Traffic'!D$24*'Beer Revenue'!$E26</f>
        <v>0</v>
      </c>
      <c r="K26" s="107">
        <f>'Year 1 Traffic'!E$24*'Beer Revenue'!$E26</f>
        <v>0</v>
      </c>
      <c r="L26" s="107">
        <f>'Year 1 Traffic'!F$24*'Beer Revenue'!$E26</f>
        <v>0</v>
      </c>
      <c r="M26" s="107">
        <f>'Year 1 Traffic'!G$24*'Beer Revenue'!$E26</f>
        <v>0</v>
      </c>
      <c r="N26" s="107">
        <f>'Year 1 Traffic'!H$24*'Beer Revenue'!$E26</f>
        <v>0</v>
      </c>
      <c r="O26" s="107">
        <f>'Year 1 Traffic'!I$24*'Beer Revenue'!$E26</f>
        <v>0</v>
      </c>
      <c r="P26" s="107">
        <f>'Year 1 Traffic'!J$24*'Beer Revenue'!$E26</f>
        <v>0</v>
      </c>
      <c r="Q26" s="107">
        <f>'Year 1 Traffic'!K$24*'Beer Revenue'!$E26</f>
        <v>0</v>
      </c>
      <c r="R26" s="107">
        <f>'Year 1 Traffic'!L$24*'Beer Revenue'!$E26</f>
        <v>0</v>
      </c>
      <c r="S26" s="107">
        <f>'Year 1 Traffic'!M$24*'Beer Revenue'!$E26</f>
        <v>0</v>
      </c>
      <c r="T26" s="289">
        <f>SUM(H26:S26)</f>
        <v>0</v>
      </c>
      <c r="U26" s="301">
        <f>H26*(1+Assumptions!$D$73)</f>
        <v>0</v>
      </c>
      <c r="V26" s="107">
        <f>I26*(1+Assumptions!$D$73)</f>
        <v>0</v>
      </c>
      <c r="W26" s="107">
        <f>J26*(1+Assumptions!$D$73)</f>
        <v>0</v>
      </c>
      <c r="X26" s="107">
        <f>K26*(1+Assumptions!$D$73)</f>
        <v>0</v>
      </c>
      <c r="Y26" s="107">
        <f>L26*(1+Assumptions!$D$73)</f>
        <v>0</v>
      </c>
      <c r="Z26" s="107">
        <f>M26*(1+Assumptions!$D$73)</f>
        <v>0</v>
      </c>
      <c r="AA26" s="107">
        <f>N26*(1+Assumptions!$D$73)</f>
        <v>0</v>
      </c>
      <c r="AB26" s="107">
        <f>O26*(1+Assumptions!$D$73)</f>
        <v>0</v>
      </c>
      <c r="AC26" s="107">
        <f>P26*(1+Assumptions!$D$73)</f>
        <v>0</v>
      </c>
      <c r="AD26" s="107">
        <f>Q26*(1+Assumptions!$D$73)</f>
        <v>0</v>
      </c>
      <c r="AE26" s="107">
        <f>R26*(1+Assumptions!$D$73)</f>
        <v>0</v>
      </c>
      <c r="AF26" s="107">
        <f>S26*(1+Assumptions!$D$73)</f>
        <v>0</v>
      </c>
      <c r="AG26" s="289">
        <f t="shared" si="5"/>
        <v>0</v>
      </c>
      <c r="AH26" s="301">
        <f>U26*(1+Assumptions!$E$73)</f>
        <v>0</v>
      </c>
      <c r="AI26" s="107">
        <f>V26*(1+Assumptions!$E$73)</f>
        <v>0</v>
      </c>
      <c r="AJ26" s="107">
        <f>W26*(1+Assumptions!$E$73)</f>
        <v>0</v>
      </c>
      <c r="AK26" s="107">
        <f>X26*(1+Assumptions!$E$73)</f>
        <v>0</v>
      </c>
      <c r="AL26" s="107">
        <f>Y26*(1+Assumptions!$E$73)</f>
        <v>0</v>
      </c>
      <c r="AM26" s="107">
        <f>Z26*(1+Assumptions!$E$73)</f>
        <v>0</v>
      </c>
      <c r="AN26" s="107">
        <f>AA26*(1+Assumptions!$E$73)</f>
        <v>0</v>
      </c>
      <c r="AO26" s="107">
        <f>AB26*(1+Assumptions!$E$73)</f>
        <v>0</v>
      </c>
      <c r="AP26" s="107">
        <f>AC26*(1+Assumptions!$E$73)</f>
        <v>0</v>
      </c>
      <c r="AQ26" s="107">
        <f>AD26*(1+Assumptions!$E$73)</f>
        <v>0</v>
      </c>
      <c r="AR26" s="107">
        <f>AE26*(1+Assumptions!$E$73)</f>
        <v>0</v>
      </c>
      <c r="AS26" s="107">
        <f>AF26*(1+Assumptions!$E$73)</f>
        <v>0</v>
      </c>
      <c r="AT26" s="289">
        <f t="shared" si="6"/>
        <v>0</v>
      </c>
      <c r="AU26" s="301">
        <f>AH26*(1+Assumptions!$F$73)</f>
        <v>0</v>
      </c>
      <c r="AV26" s="107">
        <f>AI26*(1+Assumptions!$F$73)</f>
        <v>0</v>
      </c>
      <c r="AW26" s="107">
        <f>AJ26*(1+Assumptions!$F$73)</f>
        <v>0</v>
      </c>
      <c r="AX26" s="107">
        <f>AK26*(1+Assumptions!$F$73)</f>
        <v>0</v>
      </c>
      <c r="AY26" s="107">
        <f>AL26*(1+Assumptions!$F$73)</f>
        <v>0</v>
      </c>
      <c r="AZ26" s="107">
        <f>AM26*(1+Assumptions!$F$73)</f>
        <v>0</v>
      </c>
      <c r="BA26" s="107">
        <f>AN26*(1+Assumptions!$F$73)</f>
        <v>0</v>
      </c>
      <c r="BB26" s="107">
        <f>AO26*(1+Assumptions!$F$73)</f>
        <v>0</v>
      </c>
      <c r="BC26" s="107">
        <f>AP26*(1+Assumptions!$F$73)</f>
        <v>0</v>
      </c>
      <c r="BD26" s="107">
        <f>AQ26*(1+Assumptions!$F$73)</f>
        <v>0</v>
      </c>
      <c r="BE26" s="107">
        <f>AR26*(1+Assumptions!$F$73)</f>
        <v>0</v>
      </c>
      <c r="BF26" s="107">
        <f>AS26*(1+Assumptions!$F$73)</f>
        <v>0</v>
      </c>
      <c r="BG26" s="289">
        <f t="shared" si="7"/>
        <v>0</v>
      </c>
      <c r="BH26" s="301">
        <f>AU26*(1+Assumptions!$G$73)</f>
        <v>0</v>
      </c>
      <c r="BI26" s="107">
        <f>AV26*(1+Assumptions!$G$73)</f>
        <v>0</v>
      </c>
      <c r="BJ26" s="107">
        <f>AW26*(1+Assumptions!$G$73)</f>
        <v>0</v>
      </c>
      <c r="BK26" s="107">
        <f>AX26*(1+Assumptions!$G$73)</f>
        <v>0</v>
      </c>
      <c r="BL26" s="107">
        <f>AY26*(1+Assumptions!$G$73)</f>
        <v>0</v>
      </c>
      <c r="BM26" s="107">
        <f>AZ26*(1+Assumptions!$G$73)</f>
        <v>0</v>
      </c>
      <c r="BN26" s="107">
        <f>BA26*(1+Assumptions!$G$73)</f>
        <v>0</v>
      </c>
      <c r="BO26" s="107">
        <f>BB26*(1+Assumptions!$G$73)</f>
        <v>0</v>
      </c>
      <c r="BP26" s="107">
        <f>BC26*(1+Assumptions!$G$73)</f>
        <v>0</v>
      </c>
      <c r="BQ26" s="107">
        <f>BD26*(1+Assumptions!$G$73)</f>
        <v>0</v>
      </c>
      <c r="BR26" s="107">
        <f>BE26*(1+Assumptions!$G$73)</f>
        <v>0</v>
      </c>
      <c r="BS26" s="107">
        <f>BF26*(1+Assumptions!$G$73)</f>
        <v>0</v>
      </c>
      <c r="BT26" s="289">
        <f t="shared" si="8"/>
        <v>0</v>
      </c>
      <c r="BU26" s="102">
        <f t="shared" si="10"/>
        <v>0</v>
      </c>
    </row>
    <row r="27" spans="1:73">
      <c r="A27" s="92"/>
      <c r="B27" s="277"/>
      <c r="C27" s="278"/>
      <c r="D27" s="281"/>
      <c r="E27" s="279"/>
      <c r="F27" s="278"/>
      <c r="G27" s="92"/>
      <c r="H27" s="107">
        <f>'Year 1 Traffic'!B$24*'Beer Revenue'!$E27</f>
        <v>0</v>
      </c>
      <c r="I27" s="107">
        <f>'Year 1 Traffic'!C$24*'Beer Revenue'!$E27</f>
        <v>0</v>
      </c>
      <c r="J27" s="107">
        <f>'Year 1 Traffic'!D$24*'Beer Revenue'!$E27</f>
        <v>0</v>
      </c>
      <c r="K27" s="107">
        <f>'Year 1 Traffic'!E$24*'Beer Revenue'!$E27</f>
        <v>0</v>
      </c>
      <c r="L27" s="107">
        <f>'Year 1 Traffic'!F$24*'Beer Revenue'!$E27</f>
        <v>0</v>
      </c>
      <c r="M27" s="107">
        <f>'Year 1 Traffic'!G$24*'Beer Revenue'!$E27</f>
        <v>0</v>
      </c>
      <c r="N27" s="107">
        <f>'Year 1 Traffic'!H$24*'Beer Revenue'!$E27</f>
        <v>0</v>
      </c>
      <c r="O27" s="107">
        <f>'Year 1 Traffic'!I$24*'Beer Revenue'!$E27</f>
        <v>0</v>
      </c>
      <c r="P27" s="107">
        <f>'Year 1 Traffic'!J$24*'Beer Revenue'!$E27</f>
        <v>0</v>
      </c>
      <c r="Q27" s="107">
        <f>'Year 1 Traffic'!K$24*'Beer Revenue'!$E27</f>
        <v>0</v>
      </c>
      <c r="R27" s="107">
        <f>'Year 1 Traffic'!L$24*'Beer Revenue'!$E27</f>
        <v>0</v>
      </c>
      <c r="S27" s="107">
        <f>'Year 1 Traffic'!M$24*'Beer Revenue'!$E27</f>
        <v>0</v>
      </c>
      <c r="T27" s="289">
        <f>SUM(H27:S27)</f>
        <v>0</v>
      </c>
      <c r="U27" s="301">
        <f>H27*(1+Assumptions!$D$73)</f>
        <v>0</v>
      </c>
      <c r="V27" s="107">
        <f>I27*(1+Assumptions!$D$73)</f>
        <v>0</v>
      </c>
      <c r="W27" s="107">
        <f>J27*(1+Assumptions!$D$73)</f>
        <v>0</v>
      </c>
      <c r="X27" s="107">
        <f>K27*(1+Assumptions!$D$73)</f>
        <v>0</v>
      </c>
      <c r="Y27" s="107">
        <f>L27*(1+Assumptions!$D$73)</f>
        <v>0</v>
      </c>
      <c r="Z27" s="107">
        <f>M27*(1+Assumptions!$D$73)</f>
        <v>0</v>
      </c>
      <c r="AA27" s="107">
        <f>N27*(1+Assumptions!$D$73)</f>
        <v>0</v>
      </c>
      <c r="AB27" s="107">
        <f>O27*(1+Assumptions!$D$73)</f>
        <v>0</v>
      </c>
      <c r="AC27" s="107">
        <f>P27*(1+Assumptions!$D$73)</f>
        <v>0</v>
      </c>
      <c r="AD27" s="107">
        <f>Q27*(1+Assumptions!$D$73)</f>
        <v>0</v>
      </c>
      <c r="AE27" s="107">
        <f>R27*(1+Assumptions!$D$73)</f>
        <v>0</v>
      </c>
      <c r="AF27" s="107">
        <f>S27*(1+Assumptions!$D$73)</f>
        <v>0</v>
      </c>
      <c r="AG27" s="289">
        <f t="shared" si="5"/>
        <v>0</v>
      </c>
      <c r="AH27" s="301">
        <f>U27*(1+Assumptions!$E$73)</f>
        <v>0</v>
      </c>
      <c r="AI27" s="107">
        <f>V27*(1+Assumptions!$E$73)</f>
        <v>0</v>
      </c>
      <c r="AJ27" s="107">
        <f>W27*(1+Assumptions!$E$73)</f>
        <v>0</v>
      </c>
      <c r="AK27" s="107">
        <f>X27*(1+Assumptions!$E$73)</f>
        <v>0</v>
      </c>
      <c r="AL27" s="107">
        <f>Y27*(1+Assumptions!$E$73)</f>
        <v>0</v>
      </c>
      <c r="AM27" s="107">
        <f>Z27*(1+Assumptions!$E$73)</f>
        <v>0</v>
      </c>
      <c r="AN27" s="107">
        <f>AA27*(1+Assumptions!$E$73)</f>
        <v>0</v>
      </c>
      <c r="AO27" s="107">
        <f>AB27*(1+Assumptions!$E$73)</f>
        <v>0</v>
      </c>
      <c r="AP27" s="107">
        <f>AC27*(1+Assumptions!$E$73)</f>
        <v>0</v>
      </c>
      <c r="AQ27" s="107">
        <f>AD27*(1+Assumptions!$E$73)</f>
        <v>0</v>
      </c>
      <c r="AR27" s="107">
        <f>AE27*(1+Assumptions!$E$73)</f>
        <v>0</v>
      </c>
      <c r="AS27" s="107">
        <f>AF27*(1+Assumptions!$E$73)</f>
        <v>0</v>
      </c>
      <c r="AT27" s="289">
        <f t="shared" si="6"/>
        <v>0</v>
      </c>
      <c r="AU27" s="301">
        <f>AH27*(1+Assumptions!$F$73)</f>
        <v>0</v>
      </c>
      <c r="AV27" s="107">
        <f>AI27*(1+Assumptions!$F$73)</f>
        <v>0</v>
      </c>
      <c r="AW27" s="107">
        <f>AJ27*(1+Assumptions!$F$73)</f>
        <v>0</v>
      </c>
      <c r="AX27" s="107">
        <f>AK27*(1+Assumptions!$F$73)</f>
        <v>0</v>
      </c>
      <c r="AY27" s="107">
        <f>AL27*(1+Assumptions!$F$73)</f>
        <v>0</v>
      </c>
      <c r="AZ27" s="107">
        <f>AM27*(1+Assumptions!$F$73)</f>
        <v>0</v>
      </c>
      <c r="BA27" s="107">
        <f>AN27*(1+Assumptions!$F$73)</f>
        <v>0</v>
      </c>
      <c r="BB27" s="107">
        <f>AO27*(1+Assumptions!$F$73)</f>
        <v>0</v>
      </c>
      <c r="BC27" s="107">
        <f>AP27*(1+Assumptions!$F$73)</f>
        <v>0</v>
      </c>
      <c r="BD27" s="107">
        <f>AQ27*(1+Assumptions!$F$73)</f>
        <v>0</v>
      </c>
      <c r="BE27" s="107">
        <f>AR27*(1+Assumptions!$F$73)</f>
        <v>0</v>
      </c>
      <c r="BF27" s="107">
        <f>AS27*(1+Assumptions!$F$73)</f>
        <v>0</v>
      </c>
      <c r="BG27" s="289">
        <f t="shared" si="7"/>
        <v>0</v>
      </c>
      <c r="BH27" s="301">
        <f>AU27*(1+Assumptions!$G$73)</f>
        <v>0</v>
      </c>
      <c r="BI27" s="107">
        <f>AV27*(1+Assumptions!$G$73)</f>
        <v>0</v>
      </c>
      <c r="BJ27" s="107">
        <f>AW27*(1+Assumptions!$G$73)</f>
        <v>0</v>
      </c>
      <c r="BK27" s="107">
        <f>AX27*(1+Assumptions!$G$73)</f>
        <v>0</v>
      </c>
      <c r="BL27" s="107">
        <f>AY27*(1+Assumptions!$G$73)</f>
        <v>0</v>
      </c>
      <c r="BM27" s="107">
        <f>AZ27*(1+Assumptions!$G$73)</f>
        <v>0</v>
      </c>
      <c r="BN27" s="107">
        <f>BA27*(1+Assumptions!$G$73)</f>
        <v>0</v>
      </c>
      <c r="BO27" s="107">
        <f>BB27*(1+Assumptions!$G$73)</f>
        <v>0</v>
      </c>
      <c r="BP27" s="107">
        <f>BC27*(1+Assumptions!$G$73)</f>
        <v>0</v>
      </c>
      <c r="BQ27" s="107">
        <f>BD27*(1+Assumptions!$G$73)</f>
        <v>0</v>
      </c>
      <c r="BR27" s="107">
        <f>BE27*(1+Assumptions!$G$73)</f>
        <v>0</v>
      </c>
      <c r="BS27" s="107">
        <f>BF27*(1+Assumptions!$G$73)</f>
        <v>0</v>
      </c>
      <c r="BT27" s="289">
        <f t="shared" si="8"/>
        <v>0</v>
      </c>
      <c r="BU27" s="102">
        <f t="shared" si="10"/>
        <v>0</v>
      </c>
    </row>
    <row r="28" spans="1:73">
      <c r="A28" s="92"/>
      <c r="B28" s="105"/>
      <c r="C28" s="256"/>
      <c r="D28" s="256"/>
      <c r="E28" s="276">
        <f>SUM(E15:E27)</f>
        <v>1</v>
      </c>
      <c r="F28" s="256"/>
      <c r="G28" s="92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289"/>
      <c r="U28" s="301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291"/>
      <c r="AH28" s="301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291"/>
      <c r="AU28" s="301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291"/>
      <c r="BH28" s="301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2"/>
      <c r="BU28" s="102"/>
    </row>
    <row r="29" spans="1:73">
      <c r="A29" s="92"/>
      <c r="B29" s="105"/>
      <c r="C29" s="256"/>
      <c r="D29" s="256"/>
      <c r="E29" s="256"/>
      <c r="F29" s="256"/>
      <c r="G29" s="92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289"/>
      <c r="U29" s="301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291"/>
      <c r="AH29" s="301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291"/>
      <c r="AU29" s="301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291"/>
      <c r="BH29" s="301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2"/>
      <c r="BU29" s="102"/>
    </row>
    <row r="30" spans="1:73">
      <c r="A30" s="92"/>
      <c r="B30" s="105"/>
      <c r="C30" s="275" t="s">
        <v>518</v>
      </c>
      <c r="D30" s="275"/>
      <c r="E30" s="113"/>
      <c r="F30" s="256"/>
      <c r="G30" s="92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289"/>
      <c r="U30" s="301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291"/>
      <c r="AH30" s="301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291"/>
      <c r="AU30" s="301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291"/>
      <c r="BH30" s="301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2"/>
      <c r="BU30" s="102"/>
    </row>
    <row r="31" spans="1:73">
      <c r="A31" s="92"/>
      <c r="B31" s="277">
        <v>12.99</v>
      </c>
      <c r="C31" s="108"/>
      <c r="D31" s="281">
        <f>B31/4/16*128*31</f>
        <v>805.38</v>
      </c>
      <c r="E31" s="279">
        <v>0.2</v>
      </c>
      <c r="F31" s="92" t="str">
        <f t="shared" ref="F31:F43" si="11">F15</f>
        <v>Core 1 - Lager</v>
      </c>
      <c r="G31" s="92"/>
      <c r="H31" s="107">
        <f>'Year 1 Traffic'!B$26*'Beer Revenue'!$E31</f>
        <v>20.72571428571429</v>
      </c>
      <c r="I31" s="107">
        <f>'Year 1 Traffic'!C$26*'Beer Revenue'!$E31</f>
        <v>22.035</v>
      </c>
      <c r="J31" s="107">
        <f>'Year 1 Traffic'!D$26*'Beer Revenue'!$E31</f>
        <v>31.088571428571431</v>
      </c>
      <c r="K31" s="107">
        <f>'Year 1 Traffic'!E$26*'Beer Revenue'!$E31</f>
        <v>36.771428571428572</v>
      </c>
      <c r="L31" s="107">
        <f>'Year 1 Traffic'!F$26*'Beer Revenue'!$E31</f>
        <v>41.451428571428579</v>
      </c>
      <c r="M31" s="107">
        <f>'Year 1 Traffic'!G$26*'Beer Revenue'!$E31</f>
        <v>41.785714285714285</v>
      </c>
      <c r="N31" s="107">
        <f>'Year 1 Traffic'!H$26*'Beer Revenue'!$E31</f>
        <v>43.178571428571438</v>
      </c>
      <c r="O31" s="107">
        <f>'Year 1 Traffic'!I$26*'Beer Revenue'!$E31</f>
        <v>41.451428571428579</v>
      </c>
      <c r="P31" s="107">
        <f>'Year 1 Traffic'!J$26*'Beer Revenue'!$E31</f>
        <v>36.771428571428572</v>
      </c>
      <c r="Q31" s="107">
        <f>'Year 1 Traffic'!K$26*'Beer Revenue'!$E31</f>
        <v>34.542857142857144</v>
      </c>
      <c r="R31" s="107">
        <f>'Year 1 Traffic'!L$26*'Beer Revenue'!$E31</f>
        <v>30.085714285714285</v>
      </c>
      <c r="S31" s="107">
        <f>'Year 1 Traffic'!M$26*'Beer Revenue'!$E31</f>
        <v>27.634285714285717</v>
      </c>
      <c r="T31" s="289">
        <f t="shared" si="4"/>
        <v>407.52214285714291</v>
      </c>
      <c r="U31" s="301">
        <f>H31*(1+Assumptions!$D$73)</f>
        <v>25.907142857142862</v>
      </c>
      <c r="V31" s="107">
        <f>I31*(1+Assumptions!$D$73)</f>
        <v>27.543749999999999</v>
      </c>
      <c r="W31" s="107">
        <f>J31*(1+Assumptions!$D$73)</f>
        <v>38.860714285714288</v>
      </c>
      <c r="X31" s="107">
        <f>K31*(1+Assumptions!$D$73)</f>
        <v>45.964285714285715</v>
      </c>
      <c r="Y31" s="107">
        <f>L31*(1+Assumptions!$D$73)</f>
        <v>51.814285714285724</v>
      </c>
      <c r="Z31" s="107">
        <f>M31*(1+Assumptions!$D$73)</f>
        <v>52.232142857142854</v>
      </c>
      <c r="AA31" s="107">
        <f>N31*(1+Assumptions!$D$73)</f>
        <v>53.973214285714299</v>
      </c>
      <c r="AB31" s="107">
        <f>O31*(1+Assumptions!$D$73)</f>
        <v>51.814285714285724</v>
      </c>
      <c r="AC31" s="107">
        <f>P31*(1+Assumptions!$D$73)</f>
        <v>45.964285714285715</v>
      </c>
      <c r="AD31" s="107">
        <f>Q31*(1+Assumptions!$D$73)</f>
        <v>43.178571428571431</v>
      </c>
      <c r="AE31" s="107">
        <f>R31*(1+Assumptions!$D$73)</f>
        <v>37.607142857142854</v>
      </c>
      <c r="AF31" s="107">
        <f>S31*(1+Assumptions!$D$73)</f>
        <v>34.542857142857144</v>
      </c>
      <c r="AG31" s="289">
        <f t="shared" ref="AG31:AG40" si="12">SUM(U31:AF31)</f>
        <v>509.40267857142862</v>
      </c>
      <c r="AH31" s="301">
        <f>U31*(1+Assumptions!$E$73)</f>
        <v>29.793214285714289</v>
      </c>
      <c r="AI31" s="107">
        <f>V31*(1+Assumptions!$E$73)</f>
        <v>31.675312499999997</v>
      </c>
      <c r="AJ31" s="107">
        <f>W31*(1+Assumptions!$E$73)</f>
        <v>44.689821428571427</v>
      </c>
      <c r="AK31" s="107">
        <f>X31*(1+Assumptions!$E$73)</f>
        <v>52.858928571428571</v>
      </c>
      <c r="AL31" s="107">
        <f>Y31*(1+Assumptions!$E$73)</f>
        <v>59.586428571428577</v>
      </c>
      <c r="AM31" s="107">
        <f>Z31*(1+Assumptions!$E$73)</f>
        <v>60.066964285714278</v>
      </c>
      <c r="AN31" s="107">
        <f>AA31*(1+Assumptions!$E$73)</f>
        <v>62.069196428571438</v>
      </c>
      <c r="AO31" s="107">
        <f>AB31*(1+Assumptions!$E$73)</f>
        <v>59.586428571428577</v>
      </c>
      <c r="AP31" s="107">
        <f>AC31*(1+Assumptions!$E$73)</f>
        <v>52.858928571428571</v>
      </c>
      <c r="AQ31" s="107">
        <f>AD31*(1+Assumptions!$E$73)</f>
        <v>49.655357142857142</v>
      </c>
      <c r="AR31" s="107">
        <f>AE31*(1+Assumptions!$E$73)</f>
        <v>43.248214285714276</v>
      </c>
      <c r="AS31" s="107">
        <f>AF31*(1+Assumptions!$E$73)</f>
        <v>39.724285714285713</v>
      </c>
      <c r="AT31" s="289">
        <f t="shared" ref="AT31:AT43" si="13">SUM(AH31:AS31)</f>
        <v>585.81308035714301</v>
      </c>
      <c r="AU31" s="301">
        <f>AH31*(1+Assumptions!$F$73)</f>
        <v>32.772535714285723</v>
      </c>
      <c r="AV31" s="107">
        <f>AI31*(1+Assumptions!$F$73)</f>
        <v>34.84284375</v>
      </c>
      <c r="AW31" s="107">
        <f>AJ31*(1+Assumptions!$F$73)</f>
        <v>49.158803571428571</v>
      </c>
      <c r="AX31" s="107">
        <f>AK31*(1+Assumptions!$F$73)</f>
        <v>58.144821428571433</v>
      </c>
      <c r="AY31" s="107">
        <f>AL31*(1+Assumptions!$F$73)</f>
        <v>65.545071428571447</v>
      </c>
      <c r="AZ31" s="107">
        <f>AM31*(1+Assumptions!$F$73)</f>
        <v>66.073660714285708</v>
      </c>
      <c r="BA31" s="107">
        <f>AN31*(1+Assumptions!$F$73)</f>
        <v>68.276116071428589</v>
      </c>
      <c r="BB31" s="107">
        <f>AO31*(1+Assumptions!$F$73)</f>
        <v>65.545071428571447</v>
      </c>
      <c r="BC31" s="107">
        <f>AP31*(1+Assumptions!$F$73)</f>
        <v>58.144821428571433</v>
      </c>
      <c r="BD31" s="107">
        <f>AQ31*(1+Assumptions!$F$73)</f>
        <v>54.620892857142863</v>
      </c>
      <c r="BE31" s="107">
        <f>AR31*(1+Assumptions!$F$73)</f>
        <v>47.573035714285709</v>
      </c>
      <c r="BF31" s="107">
        <f>AS31*(1+Assumptions!$F$73)</f>
        <v>43.696714285714286</v>
      </c>
      <c r="BG31" s="289">
        <f t="shared" ref="BG31:BG43" si="14">SUM(AU31:BF31)</f>
        <v>644.39438839285731</v>
      </c>
      <c r="BH31" s="301">
        <f>AU31*(1+Assumptions!$G$73)</f>
        <v>36.049789285714297</v>
      </c>
      <c r="BI31" s="107">
        <f>AV31*(1+Assumptions!$G$73)</f>
        <v>38.327128125000002</v>
      </c>
      <c r="BJ31" s="107">
        <f>AW31*(1+Assumptions!$G$73)</f>
        <v>54.074683928571432</v>
      </c>
      <c r="BK31" s="107">
        <f>AX31*(1+Assumptions!$G$73)</f>
        <v>63.959303571428585</v>
      </c>
      <c r="BL31" s="107">
        <f>AY31*(1+Assumptions!$G$73)</f>
        <v>72.099578571428594</v>
      </c>
      <c r="BM31" s="107">
        <f>AZ31*(1+Assumptions!$G$73)</f>
        <v>72.68102678571428</v>
      </c>
      <c r="BN31" s="107">
        <f>BA31*(1+Assumptions!$G$73)</f>
        <v>75.10372767857146</v>
      </c>
      <c r="BO31" s="107">
        <f>BB31*(1+Assumptions!$G$73)</f>
        <v>72.099578571428594</v>
      </c>
      <c r="BP31" s="107">
        <f>BC31*(1+Assumptions!$G$73)</f>
        <v>63.959303571428585</v>
      </c>
      <c r="BQ31" s="107">
        <f>BD31*(1+Assumptions!$G$73)</f>
        <v>60.082982142857155</v>
      </c>
      <c r="BR31" s="107">
        <f>BE31*(1+Assumptions!$G$73)</f>
        <v>52.330339285714281</v>
      </c>
      <c r="BS31" s="107">
        <f>BF31*(1+Assumptions!$G$73)</f>
        <v>48.066385714285715</v>
      </c>
      <c r="BT31" s="289">
        <f t="shared" ref="BT31:BT43" si="15">SUM(BH31:BS31)</f>
        <v>708.83382723214311</v>
      </c>
      <c r="BU31" s="102">
        <f>T31+AG31+AT31+BG31+BT31</f>
        <v>2855.9661174107146</v>
      </c>
    </row>
    <row r="32" spans="1:73">
      <c r="A32" s="92"/>
      <c r="B32" s="277">
        <v>16.989999999999998</v>
      </c>
      <c r="C32" s="108"/>
      <c r="D32" s="281">
        <f t="shared" ref="D32:D40" si="16">B32/4/16*128*31</f>
        <v>1053.3799999999999</v>
      </c>
      <c r="E32" s="279">
        <v>0.3</v>
      </c>
      <c r="F32" s="92" t="str">
        <f t="shared" si="11"/>
        <v>Core 2 - Hoppy Pale</v>
      </c>
      <c r="G32" s="92"/>
      <c r="H32" s="107">
        <f>'Year 1 Traffic'!B$26*'Beer Revenue'!$E32</f>
        <v>31.088571428571427</v>
      </c>
      <c r="I32" s="107">
        <f>'Year 1 Traffic'!C$26*'Beer Revenue'!$E32</f>
        <v>33.052499999999995</v>
      </c>
      <c r="J32" s="107">
        <f>'Year 1 Traffic'!D$26*'Beer Revenue'!$E32</f>
        <v>46.632857142857141</v>
      </c>
      <c r="K32" s="107">
        <f>'Year 1 Traffic'!E$26*'Beer Revenue'!$E32</f>
        <v>55.157142857142858</v>
      </c>
      <c r="L32" s="107">
        <f>'Year 1 Traffic'!F$26*'Beer Revenue'!$E32</f>
        <v>62.177142857142854</v>
      </c>
      <c r="M32" s="107">
        <f>'Year 1 Traffic'!G$26*'Beer Revenue'!$E32</f>
        <v>62.678571428571423</v>
      </c>
      <c r="N32" s="107">
        <f>'Year 1 Traffic'!H$26*'Beer Revenue'!$E32</f>
        <v>64.767857142857153</v>
      </c>
      <c r="O32" s="107">
        <f>'Year 1 Traffic'!I$26*'Beer Revenue'!$E32</f>
        <v>62.177142857142854</v>
      </c>
      <c r="P32" s="107">
        <f>'Year 1 Traffic'!J$26*'Beer Revenue'!$E32</f>
        <v>55.157142857142858</v>
      </c>
      <c r="Q32" s="107">
        <f>'Year 1 Traffic'!K$26*'Beer Revenue'!$E32</f>
        <v>51.814285714285717</v>
      </c>
      <c r="R32" s="107">
        <f>'Year 1 Traffic'!L$26*'Beer Revenue'!$E32</f>
        <v>45.128571428571426</v>
      </c>
      <c r="S32" s="107">
        <f>'Year 1 Traffic'!M$26*'Beer Revenue'!$E32</f>
        <v>41.451428571428572</v>
      </c>
      <c r="T32" s="289">
        <f t="shared" si="4"/>
        <v>611.28321428571417</v>
      </c>
      <c r="U32" s="301">
        <f>H32*(1+Assumptions!$D$73)</f>
        <v>38.86071428571428</v>
      </c>
      <c r="V32" s="107">
        <f>I32*(1+Assumptions!$D$73)</f>
        <v>41.315624999999997</v>
      </c>
      <c r="W32" s="107">
        <f>J32*(1+Assumptions!$D$73)</f>
        <v>58.291071428571428</v>
      </c>
      <c r="X32" s="107">
        <f>K32*(1+Assumptions!$D$73)</f>
        <v>68.946428571428569</v>
      </c>
      <c r="Y32" s="107">
        <f>L32*(1+Assumptions!$D$73)</f>
        <v>77.721428571428561</v>
      </c>
      <c r="Z32" s="107">
        <f>M32*(1+Assumptions!$D$73)</f>
        <v>78.348214285714278</v>
      </c>
      <c r="AA32" s="107">
        <f>N32*(1+Assumptions!$D$73)</f>
        <v>80.959821428571445</v>
      </c>
      <c r="AB32" s="107">
        <f>O32*(1+Assumptions!$D$73)</f>
        <v>77.721428571428561</v>
      </c>
      <c r="AC32" s="107">
        <f>P32*(1+Assumptions!$D$73)</f>
        <v>68.946428571428569</v>
      </c>
      <c r="AD32" s="107">
        <f>Q32*(1+Assumptions!$D$73)</f>
        <v>64.767857142857139</v>
      </c>
      <c r="AE32" s="107">
        <f>R32*(1+Assumptions!$D$73)</f>
        <v>56.410714285714285</v>
      </c>
      <c r="AF32" s="107">
        <f>S32*(1+Assumptions!$D$73)</f>
        <v>51.814285714285717</v>
      </c>
      <c r="AG32" s="289">
        <f t="shared" si="12"/>
        <v>764.10401785714282</v>
      </c>
      <c r="AH32" s="301">
        <f>U32*(1+Assumptions!$E$73)</f>
        <v>44.68982142857142</v>
      </c>
      <c r="AI32" s="107">
        <f>V32*(1+Assumptions!$E$73)</f>
        <v>47.512968749999992</v>
      </c>
      <c r="AJ32" s="107">
        <f>W32*(1+Assumptions!$E$73)</f>
        <v>67.034732142857138</v>
      </c>
      <c r="AK32" s="107">
        <f>X32*(1+Assumptions!$E$73)</f>
        <v>79.288392857142853</v>
      </c>
      <c r="AL32" s="107">
        <f>Y32*(1+Assumptions!$E$73)</f>
        <v>89.379642857142841</v>
      </c>
      <c r="AM32" s="107">
        <f>Z32*(1+Assumptions!$E$73)</f>
        <v>90.100446428571416</v>
      </c>
      <c r="AN32" s="107">
        <f>AA32*(1+Assumptions!$E$73)</f>
        <v>93.103794642857153</v>
      </c>
      <c r="AO32" s="107">
        <f>AB32*(1+Assumptions!$E$73)</f>
        <v>89.379642857142841</v>
      </c>
      <c r="AP32" s="107">
        <f>AC32*(1+Assumptions!$E$73)</f>
        <v>79.288392857142853</v>
      </c>
      <c r="AQ32" s="107">
        <f>AD32*(1+Assumptions!$E$73)</f>
        <v>74.483035714285705</v>
      </c>
      <c r="AR32" s="107">
        <f>AE32*(1+Assumptions!$E$73)</f>
        <v>64.872321428571425</v>
      </c>
      <c r="AS32" s="107">
        <f>AF32*(1+Assumptions!$E$73)</f>
        <v>59.58642857142857</v>
      </c>
      <c r="AT32" s="289">
        <f t="shared" si="13"/>
        <v>878.71962053571428</v>
      </c>
      <c r="AU32" s="301">
        <f>AH32*(1+Assumptions!$F$73)</f>
        <v>49.158803571428564</v>
      </c>
      <c r="AV32" s="107">
        <f>AI32*(1+Assumptions!$F$73)</f>
        <v>52.264265624999993</v>
      </c>
      <c r="AW32" s="107">
        <f>AJ32*(1+Assumptions!$F$73)</f>
        <v>73.73820535714286</v>
      </c>
      <c r="AX32" s="107">
        <f>AK32*(1+Assumptions!$F$73)</f>
        <v>87.217232142857142</v>
      </c>
      <c r="AY32" s="107">
        <f>AL32*(1+Assumptions!$F$73)</f>
        <v>98.317607142857128</v>
      </c>
      <c r="AZ32" s="107">
        <f>AM32*(1+Assumptions!$F$73)</f>
        <v>99.110491071428569</v>
      </c>
      <c r="BA32" s="107">
        <f>AN32*(1+Assumptions!$F$73)</f>
        <v>102.41417410714287</v>
      </c>
      <c r="BB32" s="107">
        <f>AO32*(1+Assumptions!$F$73)</f>
        <v>98.317607142857128</v>
      </c>
      <c r="BC32" s="107">
        <f>AP32*(1+Assumptions!$F$73)</f>
        <v>87.217232142857142</v>
      </c>
      <c r="BD32" s="107">
        <f>AQ32*(1+Assumptions!$F$73)</f>
        <v>81.931339285714287</v>
      </c>
      <c r="BE32" s="107">
        <f>AR32*(1+Assumptions!$F$73)</f>
        <v>71.359553571428577</v>
      </c>
      <c r="BF32" s="107">
        <f>AS32*(1+Assumptions!$F$73)</f>
        <v>65.545071428571433</v>
      </c>
      <c r="BG32" s="289">
        <f t="shared" si="14"/>
        <v>966.59158258928574</v>
      </c>
      <c r="BH32" s="301">
        <f>AU32*(1+Assumptions!$G$73)</f>
        <v>54.074683928571424</v>
      </c>
      <c r="BI32" s="107">
        <f>AV32*(1+Assumptions!$G$73)</f>
        <v>57.490692187499995</v>
      </c>
      <c r="BJ32" s="107">
        <f>AW32*(1+Assumptions!$G$73)</f>
        <v>81.112025892857147</v>
      </c>
      <c r="BK32" s="107">
        <f>AX32*(1+Assumptions!$G$73)</f>
        <v>95.938955357142859</v>
      </c>
      <c r="BL32" s="107">
        <f>AY32*(1+Assumptions!$G$73)</f>
        <v>108.14936785714285</v>
      </c>
      <c r="BM32" s="107">
        <f>AZ32*(1+Assumptions!$G$73)</f>
        <v>109.02154017857144</v>
      </c>
      <c r="BN32" s="107">
        <f>BA32*(1+Assumptions!$G$73)</f>
        <v>112.65559151785716</v>
      </c>
      <c r="BO32" s="107">
        <f>BB32*(1+Assumptions!$G$73)</f>
        <v>108.14936785714285</v>
      </c>
      <c r="BP32" s="107">
        <f>BC32*(1+Assumptions!$G$73)</f>
        <v>95.938955357142859</v>
      </c>
      <c r="BQ32" s="107">
        <f>BD32*(1+Assumptions!$G$73)</f>
        <v>90.124473214285729</v>
      </c>
      <c r="BR32" s="107">
        <f>BE32*(1+Assumptions!$G$73)</f>
        <v>78.495508928571439</v>
      </c>
      <c r="BS32" s="107">
        <f>BF32*(1+Assumptions!$G$73)</f>
        <v>72.09957857142858</v>
      </c>
      <c r="BT32" s="289">
        <f t="shared" si="15"/>
        <v>1063.2507408482145</v>
      </c>
      <c r="BU32" s="102">
        <f t="shared" ref="BU32:BU40" si="17">T32+AG32+AT32+BG32+BT32</f>
        <v>4283.9491761160716</v>
      </c>
    </row>
    <row r="33" spans="1:73">
      <c r="A33" s="92"/>
      <c r="B33" s="277">
        <v>12.99</v>
      </c>
      <c r="C33" s="108"/>
      <c r="D33" s="281">
        <f t="shared" si="16"/>
        <v>805.38</v>
      </c>
      <c r="E33" s="279">
        <v>0.1</v>
      </c>
      <c r="F33" s="92" t="str">
        <f t="shared" si="11"/>
        <v>Core 3 - Red Ale</v>
      </c>
      <c r="G33" s="92"/>
      <c r="H33" s="107">
        <f>'Year 1 Traffic'!B$26*'Beer Revenue'!$E33</f>
        <v>10.362857142857145</v>
      </c>
      <c r="I33" s="107">
        <f>'Year 1 Traffic'!C$26*'Beer Revenue'!$E33</f>
        <v>11.0175</v>
      </c>
      <c r="J33" s="107">
        <f>'Year 1 Traffic'!D$26*'Beer Revenue'!$E33</f>
        <v>15.544285714285715</v>
      </c>
      <c r="K33" s="107">
        <f>'Year 1 Traffic'!E$26*'Beer Revenue'!$E33</f>
        <v>18.385714285714286</v>
      </c>
      <c r="L33" s="107">
        <f>'Year 1 Traffic'!F$26*'Beer Revenue'!$E33</f>
        <v>20.72571428571429</v>
      </c>
      <c r="M33" s="107">
        <f>'Year 1 Traffic'!G$26*'Beer Revenue'!$E33</f>
        <v>20.892857142857142</v>
      </c>
      <c r="N33" s="107">
        <f>'Year 1 Traffic'!H$26*'Beer Revenue'!$E33</f>
        <v>21.589285714285719</v>
      </c>
      <c r="O33" s="107">
        <f>'Year 1 Traffic'!I$26*'Beer Revenue'!$E33</f>
        <v>20.72571428571429</v>
      </c>
      <c r="P33" s="107">
        <f>'Year 1 Traffic'!J$26*'Beer Revenue'!$E33</f>
        <v>18.385714285714286</v>
      </c>
      <c r="Q33" s="107">
        <f>'Year 1 Traffic'!K$26*'Beer Revenue'!$E33</f>
        <v>17.271428571428572</v>
      </c>
      <c r="R33" s="107">
        <f>'Year 1 Traffic'!L$26*'Beer Revenue'!$E33</f>
        <v>15.042857142857143</v>
      </c>
      <c r="S33" s="107">
        <f>'Year 1 Traffic'!M$26*'Beer Revenue'!$E33</f>
        <v>13.817142857142859</v>
      </c>
      <c r="T33" s="289">
        <f t="shared" si="4"/>
        <v>203.76107142857146</v>
      </c>
      <c r="U33" s="301">
        <f>H33*(1+Assumptions!$D$73)</f>
        <v>12.953571428571431</v>
      </c>
      <c r="V33" s="107">
        <f>I33*(1+Assumptions!$D$73)</f>
        <v>13.771875</v>
      </c>
      <c r="W33" s="107">
        <f>J33*(1+Assumptions!$D$73)</f>
        <v>19.430357142857144</v>
      </c>
      <c r="X33" s="107">
        <f>K33*(1+Assumptions!$D$73)</f>
        <v>22.982142857142858</v>
      </c>
      <c r="Y33" s="107">
        <f>L33*(1+Assumptions!$D$73)</f>
        <v>25.907142857142862</v>
      </c>
      <c r="Z33" s="107">
        <f>M33*(1+Assumptions!$D$73)</f>
        <v>26.116071428571427</v>
      </c>
      <c r="AA33" s="107">
        <f>N33*(1+Assumptions!$D$73)</f>
        <v>26.986607142857149</v>
      </c>
      <c r="AB33" s="107">
        <f>O33*(1+Assumptions!$D$73)</f>
        <v>25.907142857142862</v>
      </c>
      <c r="AC33" s="107">
        <f>P33*(1+Assumptions!$D$73)</f>
        <v>22.982142857142858</v>
      </c>
      <c r="AD33" s="107">
        <f>Q33*(1+Assumptions!$D$73)</f>
        <v>21.589285714285715</v>
      </c>
      <c r="AE33" s="107">
        <f>R33*(1+Assumptions!$D$73)</f>
        <v>18.803571428571427</v>
      </c>
      <c r="AF33" s="107">
        <f>S33*(1+Assumptions!$D$73)</f>
        <v>17.271428571428572</v>
      </c>
      <c r="AG33" s="289">
        <f t="shared" si="12"/>
        <v>254.70133928571431</v>
      </c>
      <c r="AH33" s="301">
        <f>U33*(1+Assumptions!$E$73)</f>
        <v>14.896607142857144</v>
      </c>
      <c r="AI33" s="107">
        <f>V33*(1+Assumptions!$E$73)</f>
        <v>15.837656249999998</v>
      </c>
      <c r="AJ33" s="107">
        <f>W33*(1+Assumptions!$E$73)</f>
        <v>22.344910714285714</v>
      </c>
      <c r="AK33" s="107">
        <f>X33*(1+Assumptions!$E$73)</f>
        <v>26.429464285714285</v>
      </c>
      <c r="AL33" s="107">
        <f>Y33*(1+Assumptions!$E$73)</f>
        <v>29.793214285714289</v>
      </c>
      <c r="AM33" s="107">
        <f>Z33*(1+Assumptions!$E$73)</f>
        <v>30.033482142857139</v>
      </c>
      <c r="AN33" s="107">
        <f>AA33*(1+Assumptions!$E$73)</f>
        <v>31.034598214285719</v>
      </c>
      <c r="AO33" s="107">
        <f>AB33*(1+Assumptions!$E$73)</f>
        <v>29.793214285714289</v>
      </c>
      <c r="AP33" s="107">
        <f>AC33*(1+Assumptions!$E$73)</f>
        <v>26.429464285714285</v>
      </c>
      <c r="AQ33" s="107">
        <f>AD33*(1+Assumptions!$E$73)</f>
        <v>24.827678571428571</v>
      </c>
      <c r="AR33" s="107">
        <f>AE33*(1+Assumptions!$E$73)</f>
        <v>21.624107142857138</v>
      </c>
      <c r="AS33" s="107">
        <f>AF33*(1+Assumptions!$E$73)</f>
        <v>19.862142857142857</v>
      </c>
      <c r="AT33" s="289">
        <f t="shared" si="13"/>
        <v>292.9065401785715</v>
      </c>
      <c r="AU33" s="301">
        <f>AH33*(1+Assumptions!$F$73)</f>
        <v>16.386267857142862</v>
      </c>
      <c r="AV33" s="107">
        <f>AI33*(1+Assumptions!$F$73)</f>
        <v>17.421421875</v>
      </c>
      <c r="AW33" s="107">
        <f>AJ33*(1+Assumptions!$F$73)</f>
        <v>24.579401785714285</v>
      </c>
      <c r="AX33" s="107">
        <f>AK33*(1+Assumptions!$F$73)</f>
        <v>29.072410714285716</v>
      </c>
      <c r="AY33" s="107">
        <f>AL33*(1+Assumptions!$F$73)</f>
        <v>32.772535714285723</v>
      </c>
      <c r="AZ33" s="107">
        <f>AM33*(1+Assumptions!$F$73)</f>
        <v>33.036830357142854</v>
      </c>
      <c r="BA33" s="107">
        <f>AN33*(1+Assumptions!$F$73)</f>
        <v>34.138058035714295</v>
      </c>
      <c r="BB33" s="107">
        <f>AO33*(1+Assumptions!$F$73)</f>
        <v>32.772535714285723</v>
      </c>
      <c r="BC33" s="107">
        <f>AP33*(1+Assumptions!$F$73)</f>
        <v>29.072410714285716</v>
      </c>
      <c r="BD33" s="107">
        <f>AQ33*(1+Assumptions!$F$73)</f>
        <v>27.310446428571431</v>
      </c>
      <c r="BE33" s="107">
        <f>AR33*(1+Assumptions!$F$73)</f>
        <v>23.786517857142854</v>
      </c>
      <c r="BF33" s="107">
        <f>AS33*(1+Assumptions!$F$73)</f>
        <v>21.848357142857143</v>
      </c>
      <c r="BG33" s="289">
        <f t="shared" si="14"/>
        <v>322.19719419642865</v>
      </c>
      <c r="BH33" s="301">
        <f>AU33*(1+Assumptions!$G$73)</f>
        <v>18.024894642857149</v>
      </c>
      <c r="BI33" s="107">
        <f>AV33*(1+Assumptions!$G$73)</f>
        <v>19.163564062500001</v>
      </c>
      <c r="BJ33" s="107">
        <f>AW33*(1+Assumptions!$G$73)</f>
        <v>27.037341964285716</v>
      </c>
      <c r="BK33" s="107">
        <f>AX33*(1+Assumptions!$G$73)</f>
        <v>31.979651785714292</v>
      </c>
      <c r="BL33" s="107">
        <f>AY33*(1+Assumptions!$G$73)</f>
        <v>36.049789285714297</v>
      </c>
      <c r="BM33" s="107">
        <f>AZ33*(1+Assumptions!$G$73)</f>
        <v>36.34051339285714</v>
      </c>
      <c r="BN33" s="107">
        <f>BA33*(1+Assumptions!$G$73)</f>
        <v>37.55186383928573</v>
      </c>
      <c r="BO33" s="107">
        <f>BB33*(1+Assumptions!$G$73)</f>
        <v>36.049789285714297</v>
      </c>
      <c r="BP33" s="107">
        <f>BC33*(1+Assumptions!$G$73)</f>
        <v>31.979651785714292</v>
      </c>
      <c r="BQ33" s="107">
        <f>BD33*(1+Assumptions!$G$73)</f>
        <v>30.041491071428577</v>
      </c>
      <c r="BR33" s="107">
        <f>BE33*(1+Assumptions!$G$73)</f>
        <v>26.165169642857141</v>
      </c>
      <c r="BS33" s="107">
        <f>BF33*(1+Assumptions!$G$73)</f>
        <v>24.033192857142858</v>
      </c>
      <c r="BT33" s="289">
        <f t="shared" si="15"/>
        <v>354.41691361607155</v>
      </c>
      <c r="BU33" s="102">
        <f t="shared" si="17"/>
        <v>1427.9830587053573</v>
      </c>
    </row>
    <row r="34" spans="1:73">
      <c r="A34" s="92"/>
      <c r="B34" s="277">
        <v>16.989999999999998</v>
      </c>
      <c r="C34" s="108"/>
      <c r="D34" s="281">
        <f t="shared" si="16"/>
        <v>1053.3799999999999</v>
      </c>
      <c r="E34" s="279">
        <v>0.1</v>
      </c>
      <c r="F34" s="92" t="str">
        <f t="shared" si="11"/>
        <v>Core 4 - Dark (Porter?)</v>
      </c>
      <c r="G34" s="92"/>
      <c r="H34" s="107">
        <f>'Year 1 Traffic'!B$26*'Beer Revenue'!$E34</f>
        <v>10.362857142857145</v>
      </c>
      <c r="I34" s="107">
        <f>'Year 1 Traffic'!C$26*'Beer Revenue'!$E34</f>
        <v>11.0175</v>
      </c>
      <c r="J34" s="107">
        <f>'Year 1 Traffic'!D$26*'Beer Revenue'!$E34</f>
        <v>15.544285714285715</v>
      </c>
      <c r="K34" s="107">
        <f>'Year 1 Traffic'!E$26*'Beer Revenue'!$E34</f>
        <v>18.385714285714286</v>
      </c>
      <c r="L34" s="107">
        <f>'Year 1 Traffic'!F$26*'Beer Revenue'!$E34</f>
        <v>20.72571428571429</v>
      </c>
      <c r="M34" s="107">
        <f>'Year 1 Traffic'!G$26*'Beer Revenue'!$E34</f>
        <v>20.892857142857142</v>
      </c>
      <c r="N34" s="107">
        <f>'Year 1 Traffic'!H$26*'Beer Revenue'!$E34</f>
        <v>21.589285714285719</v>
      </c>
      <c r="O34" s="107">
        <f>'Year 1 Traffic'!I$26*'Beer Revenue'!$E34</f>
        <v>20.72571428571429</v>
      </c>
      <c r="P34" s="107">
        <f>'Year 1 Traffic'!J$26*'Beer Revenue'!$E34</f>
        <v>18.385714285714286</v>
      </c>
      <c r="Q34" s="107">
        <f>'Year 1 Traffic'!K$26*'Beer Revenue'!$E34</f>
        <v>17.271428571428572</v>
      </c>
      <c r="R34" s="107">
        <f>'Year 1 Traffic'!L$26*'Beer Revenue'!$E34</f>
        <v>15.042857142857143</v>
      </c>
      <c r="S34" s="107">
        <f>'Year 1 Traffic'!M$26*'Beer Revenue'!$E34</f>
        <v>13.817142857142859</v>
      </c>
      <c r="T34" s="289">
        <f t="shared" si="4"/>
        <v>203.76107142857146</v>
      </c>
      <c r="U34" s="301">
        <f>H34*(1+Assumptions!$D$73)</f>
        <v>12.953571428571431</v>
      </c>
      <c r="V34" s="107">
        <f>I34*(1+Assumptions!$D$73)</f>
        <v>13.771875</v>
      </c>
      <c r="W34" s="107">
        <f>J34*(1+Assumptions!$D$73)</f>
        <v>19.430357142857144</v>
      </c>
      <c r="X34" s="107">
        <f>K34*(1+Assumptions!$D$73)</f>
        <v>22.982142857142858</v>
      </c>
      <c r="Y34" s="107">
        <f>L34*(1+Assumptions!$D$73)</f>
        <v>25.907142857142862</v>
      </c>
      <c r="Z34" s="107">
        <f>M34*(1+Assumptions!$D$73)</f>
        <v>26.116071428571427</v>
      </c>
      <c r="AA34" s="107">
        <f>N34*(1+Assumptions!$D$73)</f>
        <v>26.986607142857149</v>
      </c>
      <c r="AB34" s="107">
        <f>O34*(1+Assumptions!$D$73)</f>
        <v>25.907142857142862</v>
      </c>
      <c r="AC34" s="107">
        <f>P34*(1+Assumptions!$D$73)</f>
        <v>22.982142857142858</v>
      </c>
      <c r="AD34" s="107">
        <f>Q34*(1+Assumptions!$D$73)</f>
        <v>21.589285714285715</v>
      </c>
      <c r="AE34" s="107">
        <f>R34*(1+Assumptions!$D$73)</f>
        <v>18.803571428571427</v>
      </c>
      <c r="AF34" s="107">
        <f>S34*(1+Assumptions!$D$73)</f>
        <v>17.271428571428572</v>
      </c>
      <c r="AG34" s="289">
        <f t="shared" si="12"/>
        <v>254.70133928571431</v>
      </c>
      <c r="AH34" s="301">
        <f>U34*(1+Assumptions!$E$73)</f>
        <v>14.896607142857144</v>
      </c>
      <c r="AI34" s="107">
        <f>V34*(1+Assumptions!$E$73)</f>
        <v>15.837656249999998</v>
      </c>
      <c r="AJ34" s="107">
        <f>W34*(1+Assumptions!$E$73)</f>
        <v>22.344910714285714</v>
      </c>
      <c r="AK34" s="107">
        <f>X34*(1+Assumptions!$E$73)</f>
        <v>26.429464285714285</v>
      </c>
      <c r="AL34" s="107">
        <f>Y34*(1+Assumptions!$E$73)</f>
        <v>29.793214285714289</v>
      </c>
      <c r="AM34" s="107">
        <f>Z34*(1+Assumptions!$E$73)</f>
        <v>30.033482142857139</v>
      </c>
      <c r="AN34" s="107">
        <f>AA34*(1+Assumptions!$E$73)</f>
        <v>31.034598214285719</v>
      </c>
      <c r="AO34" s="107">
        <f>AB34*(1+Assumptions!$E$73)</f>
        <v>29.793214285714289</v>
      </c>
      <c r="AP34" s="107">
        <f>AC34*(1+Assumptions!$E$73)</f>
        <v>26.429464285714285</v>
      </c>
      <c r="AQ34" s="107">
        <f>AD34*(1+Assumptions!$E$73)</f>
        <v>24.827678571428571</v>
      </c>
      <c r="AR34" s="107">
        <f>AE34*(1+Assumptions!$E$73)</f>
        <v>21.624107142857138</v>
      </c>
      <c r="AS34" s="107">
        <f>AF34*(1+Assumptions!$E$73)</f>
        <v>19.862142857142857</v>
      </c>
      <c r="AT34" s="289">
        <f t="shared" si="13"/>
        <v>292.9065401785715</v>
      </c>
      <c r="AU34" s="301">
        <f>AH34*(1+Assumptions!$F$73)</f>
        <v>16.386267857142862</v>
      </c>
      <c r="AV34" s="107">
        <f>AI34*(1+Assumptions!$F$73)</f>
        <v>17.421421875</v>
      </c>
      <c r="AW34" s="107">
        <f>AJ34*(1+Assumptions!$F$73)</f>
        <v>24.579401785714285</v>
      </c>
      <c r="AX34" s="107">
        <f>AK34*(1+Assumptions!$F$73)</f>
        <v>29.072410714285716</v>
      </c>
      <c r="AY34" s="107">
        <f>AL34*(1+Assumptions!$F$73)</f>
        <v>32.772535714285723</v>
      </c>
      <c r="AZ34" s="107">
        <f>AM34*(1+Assumptions!$F$73)</f>
        <v>33.036830357142854</v>
      </c>
      <c r="BA34" s="107">
        <f>AN34*(1+Assumptions!$F$73)</f>
        <v>34.138058035714295</v>
      </c>
      <c r="BB34" s="107">
        <f>AO34*(1+Assumptions!$F$73)</f>
        <v>32.772535714285723</v>
      </c>
      <c r="BC34" s="107">
        <f>AP34*(1+Assumptions!$F$73)</f>
        <v>29.072410714285716</v>
      </c>
      <c r="BD34" s="107">
        <f>AQ34*(1+Assumptions!$F$73)</f>
        <v>27.310446428571431</v>
      </c>
      <c r="BE34" s="107">
        <f>AR34*(1+Assumptions!$F$73)</f>
        <v>23.786517857142854</v>
      </c>
      <c r="BF34" s="107">
        <f>AS34*(1+Assumptions!$F$73)</f>
        <v>21.848357142857143</v>
      </c>
      <c r="BG34" s="289">
        <f t="shared" si="14"/>
        <v>322.19719419642865</v>
      </c>
      <c r="BH34" s="301">
        <f>AU34*(1+Assumptions!$G$73)</f>
        <v>18.024894642857149</v>
      </c>
      <c r="BI34" s="107">
        <f>AV34*(1+Assumptions!$G$73)</f>
        <v>19.163564062500001</v>
      </c>
      <c r="BJ34" s="107">
        <f>AW34*(1+Assumptions!$G$73)</f>
        <v>27.037341964285716</v>
      </c>
      <c r="BK34" s="107">
        <f>AX34*(1+Assumptions!$G$73)</f>
        <v>31.979651785714292</v>
      </c>
      <c r="BL34" s="107">
        <f>AY34*(1+Assumptions!$G$73)</f>
        <v>36.049789285714297</v>
      </c>
      <c r="BM34" s="107">
        <f>AZ34*(1+Assumptions!$G$73)</f>
        <v>36.34051339285714</v>
      </c>
      <c r="BN34" s="107">
        <f>BA34*(1+Assumptions!$G$73)</f>
        <v>37.55186383928573</v>
      </c>
      <c r="BO34" s="107">
        <f>BB34*(1+Assumptions!$G$73)</f>
        <v>36.049789285714297</v>
      </c>
      <c r="BP34" s="107">
        <f>BC34*(1+Assumptions!$G$73)</f>
        <v>31.979651785714292</v>
      </c>
      <c r="BQ34" s="107">
        <f>BD34*(1+Assumptions!$G$73)</f>
        <v>30.041491071428577</v>
      </c>
      <c r="BR34" s="107">
        <f>BE34*(1+Assumptions!$G$73)</f>
        <v>26.165169642857141</v>
      </c>
      <c r="BS34" s="107">
        <f>BF34*(1+Assumptions!$G$73)</f>
        <v>24.033192857142858</v>
      </c>
      <c r="BT34" s="289">
        <f t="shared" si="15"/>
        <v>354.41691361607155</v>
      </c>
      <c r="BU34" s="102">
        <f t="shared" si="17"/>
        <v>1427.9830587053573</v>
      </c>
    </row>
    <row r="35" spans="1:73">
      <c r="A35" s="92"/>
      <c r="B35" s="277">
        <v>12.99</v>
      </c>
      <c r="C35" s="108"/>
      <c r="D35" s="281">
        <f t="shared" si="16"/>
        <v>805.38</v>
      </c>
      <c r="E35" s="279">
        <v>0.05</v>
      </c>
      <c r="F35" s="92" t="str">
        <f t="shared" si="11"/>
        <v>Rotating Sour</v>
      </c>
      <c r="G35" s="92"/>
      <c r="H35" s="107">
        <f>'Year 1 Traffic'!B$26*'Beer Revenue'!$E35</f>
        <v>5.1814285714285724</v>
      </c>
      <c r="I35" s="107">
        <f>'Year 1 Traffic'!C$26*'Beer Revenue'!$E35</f>
        <v>5.50875</v>
      </c>
      <c r="J35" s="107">
        <f>'Year 1 Traffic'!D$26*'Beer Revenue'!$E35</f>
        <v>7.7721428571428577</v>
      </c>
      <c r="K35" s="107">
        <f>'Year 1 Traffic'!E$26*'Beer Revenue'!$E35</f>
        <v>9.1928571428571431</v>
      </c>
      <c r="L35" s="107">
        <f>'Year 1 Traffic'!F$26*'Beer Revenue'!$E35</f>
        <v>10.362857142857145</v>
      </c>
      <c r="M35" s="107">
        <f>'Year 1 Traffic'!G$26*'Beer Revenue'!$E35</f>
        <v>10.446428571428571</v>
      </c>
      <c r="N35" s="107">
        <f>'Year 1 Traffic'!H$26*'Beer Revenue'!$E35</f>
        <v>10.794642857142859</v>
      </c>
      <c r="O35" s="107">
        <f>'Year 1 Traffic'!I$26*'Beer Revenue'!$E35</f>
        <v>10.362857142857145</v>
      </c>
      <c r="P35" s="107">
        <f>'Year 1 Traffic'!J$26*'Beer Revenue'!$E35</f>
        <v>9.1928571428571431</v>
      </c>
      <c r="Q35" s="107">
        <f>'Year 1 Traffic'!K$26*'Beer Revenue'!$E35</f>
        <v>8.6357142857142861</v>
      </c>
      <c r="R35" s="107">
        <f>'Year 1 Traffic'!L$26*'Beer Revenue'!$E35</f>
        <v>7.5214285714285714</v>
      </c>
      <c r="S35" s="107">
        <f>'Year 1 Traffic'!M$26*'Beer Revenue'!$E35</f>
        <v>6.9085714285714293</v>
      </c>
      <c r="T35" s="289">
        <f t="shared" si="4"/>
        <v>101.88053571428573</v>
      </c>
      <c r="U35" s="301">
        <f>H35*(1+Assumptions!$D$73)</f>
        <v>6.4767857142857155</v>
      </c>
      <c r="V35" s="107">
        <f>I35*(1+Assumptions!$D$73)</f>
        <v>6.8859374999999998</v>
      </c>
      <c r="W35" s="107">
        <f>J35*(1+Assumptions!$D$73)</f>
        <v>9.7151785714285719</v>
      </c>
      <c r="X35" s="107">
        <f>K35*(1+Assumptions!$D$73)</f>
        <v>11.491071428571429</v>
      </c>
      <c r="Y35" s="107">
        <f>L35*(1+Assumptions!$D$73)</f>
        <v>12.953571428571431</v>
      </c>
      <c r="Z35" s="107">
        <f>M35*(1+Assumptions!$D$73)</f>
        <v>13.058035714285714</v>
      </c>
      <c r="AA35" s="107">
        <f>N35*(1+Assumptions!$D$73)</f>
        <v>13.493303571428575</v>
      </c>
      <c r="AB35" s="107">
        <f>O35*(1+Assumptions!$D$73)</f>
        <v>12.953571428571431</v>
      </c>
      <c r="AC35" s="107">
        <f>P35*(1+Assumptions!$D$73)</f>
        <v>11.491071428571429</v>
      </c>
      <c r="AD35" s="107">
        <f>Q35*(1+Assumptions!$D$73)</f>
        <v>10.794642857142858</v>
      </c>
      <c r="AE35" s="107">
        <f>R35*(1+Assumptions!$D$73)</f>
        <v>9.4017857142857135</v>
      </c>
      <c r="AF35" s="107">
        <f>S35*(1+Assumptions!$D$73)</f>
        <v>8.6357142857142861</v>
      </c>
      <c r="AG35" s="289">
        <f t="shared" si="12"/>
        <v>127.35066964285716</v>
      </c>
      <c r="AH35" s="301">
        <f>U35*(1+Assumptions!$E$73)</f>
        <v>7.4483035714285721</v>
      </c>
      <c r="AI35" s="107">
        <f>V35*(1+Assumptions!$E$73)</f>
        <v>7.9188281249999992</v>
      </c>
      <c r="AJ35" s="107">
        <f>W35*(1+Assumptions!$E$73)</f>
        <v>11.172455357142857</v>
      </c>
      <c r="AK35" s="107">
        <f>X35*(1+Assumptions!$E$73)</f>
        <v>13.214732142857143</v>
      </c>
      <c r="AL35" s="107">
        <f>Y35*(1+Assumptions!$E$73)</f>
        <v>14.896607142857144</v>
      </c>
      <c r="AM35" s="107">
        <f>Z35*(1+Assumptions!$E$73)</f>
        <v>15.016741071428569</v>
      </c>
      <c r="AN35" s="107">
        <f>AA35*(1+Assumptions!$E$73)</f>
        <v>15.517299107142859</v>
      </c>
      <c r="AO35" s="107">
        <f>AB35*(1+Assumptions!$E$73)</f>
        <v>14.896607142857144</v>
      </c>
      <c r="AP35" s="107">
        <f>AC35*(1+Assumptions!$E$73)</f>
        <v>13.214732142857143</v>
      </c>
      <c r="AQ35" s="107">
        <f>AD35*(1+Assumptions!$E$73)</f>
        <v>12.413839285714285</v>
      </c>
      <c r="AR35" s="107">
        <f>AE35*(1+Assumptions!$E$73)</f>
        <v>10.812053571428569</v>
      </c>
      <c r="AS35" s="107">
        <f>AF35*(1+Assumptions!$E$73)</f>
        <v>9.9310714285714283</v>
      </c>
      <c r="AT35" s="289">
        <f t="shared" si="13"/>
        <v>146.45327008928575</v>
      </c>
      <c r="AU35" s="301">
        <f>AH35*(1+Assumptions!$F$73)</f>
        <v>8.1931339285714309</v>
      </c>
      <c r="AV35" s="107">
        <f>AI35*(1+Assumptions!$F$73)</f>
        <v>8.7107109375</v>
      </c>
      <c r="AW35" s="107">
        <f>AJ35*(1+Assumptions!$F$73)</f>
        <v>12.289700892857143</v>
      </c>
      <c r="AX35" s="107">
        <f>AK35*(1+Assumptions!$F$73)</f>
        <v>14.536205357142858</v>
      </c>
      <c r="AY35" s="107">
        <f>AL35*(1+Assumptions!$F$73)</f>
        <v>16.386267857142862</v>
      </c>
      <c r="AZ35" s="107">
        <f>AM35*(1+Assumptions!$F$73)</f>
        <v>16.518415178571427</v>
      </c>
      <c r="BA35" s="107">
        <f>AN35*(1+Assumptions!$F$73)</f>
        <v>17.069029017857147</v>
      </c>
      <c r="BB35" s="107">
        <f>AO35*(1+Assumptions!$F$73)</f>
        <v>16.386267857142862</v>
      </c>
      <c r="BC35" s="107">
        <f>AP35*(1+Assumptions!$F$73)</f>
        <v>14.536205357142858</v>
      </c>
      <c r="BD35" s="107">
        <f>AQ35*(1+Assumptions!$F$73)</f>
        <v>13.655223214285716</v>
      </c>
      <c r="BE35" s="107">
        <f>AR35*(1+Assumptions!$F$73)</f>
        <v>11.893258928571427</v>
      </c>
      <c r="BF35" s="107">
        <f>AS35*(1+Assumptions!$F$73)</f>
        <v>10.924178571428572</v>
      </c>
      <c r="BG35" s="289">
        <f t="shared" si="14"/>
        <v>161.09859709821433</v>
      </c>
      <c r="BH35" s="301">
        <f>AU35*(1+Assumptions!$G$73)</f>
        <v>9.0124473214285743</v>
      </c>
      <c r="BI35" s="107">
        <f>AV35*(1+Assumptions!$G$73)</f>
        <v>9.5817820312500004</v>
      </c>
      <c r="BJ35" s="107">
        <f>AW35*(1+Assumptions!$G$73)</f>
        <v>13.518670982142858</v>
      </c>
      <c r="BK35" s="107">
        <f>AX35*(1+Assumptions!$G$73)</f>
        <v>15.989825892857146</v>
      </c>
      <c r="BL35" s="107">
        <f>AY35*(1+Assumptions!$G$73)</f>
        <v>18.024894642857149</v>
      </c>
      <c r="BM35" s="107">
        <f>AZ35*(1+Assumptions!$G$73)</f>
        <v>18.17025669642857</v>
      </c>
      <c r="BN35" s="107">
        <f>BA35*(1+Assumptions!$G$73)</f>
        <v>18.775931919642865</v>
      </c>
      <c r="BO35" s="107">
        <f>BB35*(1+Assumptions!$G$73)</f>
        <v>18.024894642857149</v>
      </c>
      <c r="BP35" s="107">
        <f>BC35*(1+Assumptions!$G$73)</f>
        <v>15.989825892857146</v>
      </c>
      <c r="BQ35" s="107">
        <f>BD35*(1+Assumptions!$G$73)</f>
        <v>15.020745535714289</v>
      </c>
      <c r="BR35" s="107">
        <f>BE35*(1+Assumptions!$G$73)</f>
        <v>13.08258482142857</v>
      </c>
      <c r="BS35" s="107">
        <f>BF35*(1+Assumptions!$G$73)</f>
        <v>12.016596428571429</v>
      </c>
      <c r="BT35" s="289">
        <f t="shared" si="15"/>
        <v>177.20845680803578</v>
      </c>
      <c r="BU35" s="102">
        <f t="shared" si="17"/>
        <v>713.99152935267864</v>
      </c>
    </row>
    <row r="36" spans="1:73">
      <c r="A36" s="92"/>
      <c r="B36" s="277">
        <v>16.989999999999998</v>
      </c>
      <c r="C36" s="108"/>
      <c r="D36" s="281">
        <f t="shared" si="16"/>
        <v>1053.3799999999999</v>
      </c>
      <c r="E36" s="279">
        <v>0.05</v>
      </c>
      <c r="F36" s="92" t="str">
        <f t="shared" si="11"/>
        <v>Seasonal #1</v>
      </c>
      <c r="G36" s="92"/>
      <c r="H36" s="107">
        <f>'Year 1 Traffic'!B$26*'Beer Revenue'!$E36</f>
        <v>5.1814285714285724</v>
      </c>
      <c r="I36" s="107">
        <f>'Year 1 Traffic'!C$26*'Beer Revenue'!$E36</f>
        <v>5.50875</v>
      </c>
      <c r="J36" s="107">
        <f>'Year 1 Traffic'!D$26*'Beer Revenue'!$E36</f>
        <v>7.7721428571428577</v>
      </c>
      <c r="K36" s="107">
        <f>'Year 1 Traffic'!E$26*'Beer Revenue'!$E36</f>
        <v>9.1928571428571431</v>
      </c>
      <c r="L36" s="107">
        <f>'Year 1 Traffic'!F$26*'Beer Revenue'!$E36</f>
        <v>10.362857142857145</v>
      </c>
      <c r="M36" s="107">
        <f>'Year 1 Traffic'!G$26*'Beer Revenue'!$E36</f>
        <v>10.446428571428571</v>
      </c>
      <c r="N36" s="107">
        <f>'Year 1 Traffic'!H$26*'Beer Revenue'!$E36</f>
        <v>10.794642857142859</v>
      </c>
      <c r="O36" s="107">
        <f>'Year 1 Traffic'!I$26*'Beer Revenue'!$E36</f>
        <v>10.362857142857145</v>
      </c>
      <c r="P36" s="107">
        <f>'Year 1 Traffic'!J$26*'Beer Revenue'!$E36</f>
        <v>9.1928571428571431</v>
      </c>
      <c r="Q36" s="107">
        <f>'Year 1 Traffic'!K$26*'Beer Revenue'!$E36</f>
        <v>8.6357142857142861</v>
      </c>
      <c r="R36" s="107">
        <f>'Year 1 Traffic'!L$26*'Beer Revenue'!$E36</f>
        <v>7.5214285714285714</v>
      </c>
      <c r="S36" s="107">
        <f>'Year 1 Traffic'!M$26*'Beer Revenue'!$E36</f>
        <v>6.9085714285714293</v>
      </c>
      <c r="T36" s="289">
        <f t="shared" si="4"/>
        <v>101.88053571428573</v>
      </c>
      <c r="U36" s="301">
        <f>H36*(1+Assumptions!$D$73)</f>
        <v>6.4767857142857155</v>
      </c>
      <c r="V36" s="107">
        <f>I36*(1+Assumptions!$D$73)</f>
        <v>6.8859374999999998</v>
      </c>
      <c r="W36" s="107">
        <f>J36*(1+Assumptions!$D$73)</f>
        <v>9.7151785714285719</v>
      </c>
      <c r="X36" s="107">
        <f>K36*(1+Assumptions!$D$73)</f>
        <v>11.491071428571429</v>
      </c>
      <c r="Y36" s="107">
        <f>L36*(1+Assumptions!$D$73)</f>
        <v>12.953571428571431</v>
      </c>
      <c r="Z36" s="107">
        <f>M36*(1+Assumptions!$D$73)</f>
        <v>13.058035714285714</v>
      </c>
      <c r="AA36" s="107">
        <f>N36*(1+Assumptions!$D$73)</f>
        <v>13.493303571428575</v>
      </c>
      <c r="AB36" s="107">
        <f>O36*(1+Assumptions!$D$73)</f>
        <v>12.953571428571431</v>
      </c>
      <c r="AC36" s="107">
        <f>P36*(1+Assumptions!$D$73)</f>
        <v>11.491071428571429</v>
      </c>
      <c r="AD36" s="107">
        <f>Q36*(1+Assumptions!$D$73)</f>
        <v>10.794642857142858</v>
      </c>
      <c r="AE36" s="107">
        <f>R36*(1+Assumptions!$D$73)</f>
        <v>9.4017857142857135</v>
      </c>
      <c r="AF36" s="107">
        <f>S36*(1+Assumptions!$D$73)</f>
        <v>8.6357142857142861</v>
      </c>
      <c r="AG36" s="289">
        <f t="shared" si="12"/>
        <v>127.35066964285716</v>
      </c>
      <c r="AH36" s="301">
        <f>U36*(1+Assumptions!$E$73)</f>
        <v>7.4483035714285721</v>
      </c>
      <c r="AI36" s="107">
        <f>V36*(1+Assumptions!$E$73)</f>
        <v>7.9188281249999992</v>
      </c>
      <c r="AJ36" s="107">
        <f>W36*(1+Assumptions!$E$73)</f>
        <v>11.172455357142857</v>
      </c>
      <c r="AK36" s="107">
        <f>X36*(1+Assumptions!$E$73)</f>
        <v>13.214732142857143</v>
      </c>
      <c r="AL36" s="107">
        <f>Y36*(1+Assumptions!$E$73)</f>
        <v>14.896607142857144</v>
      </c>
      <c r="AM36" s="107">
        <f>Z36*(1+Assumptions!$E$73)</f>
        <v>15.016741071428569</v>
      </c>
      <c r="AN36" s="107">
        <f>AA36*(1+Assumptions!$E$73)</f>
        <v>15.517299107142859</v>
      </c>
      <c r="AO36" s="107">
        <f>AB36*(1+Assumptions!$E$73)</f>
        <v>14.896607142857144</v>
      </c>
      <c r="AP36" s="107">
        <f>AC36*(1+Assumptions!$E$73)</f>
        <v>13.214732142857143</v>
      </c>
      <c r="AQ36" s="107">
        <f>AD36*(1+Assumptions!$E$73)</f>
        <v>12.413839285714285</v>
      </c>
      <c r="AR36" s="107">
        <f>AE36*(1+Assumptions!$E$73)</f>
        <v>10.812053571428569</v>
      </c>
      <c r="AS36" s="107">
        <f>AF36*(1+Assumptions!$E$73)</f>
        <v>9.9310714285714283</v>
      </c>
      <c r="AT36" s="289">
        <f t="shared" si="13"/>
        <v>146.45327008928575</v>
      </c>
      <c r="AU36" s="301">
        <f>AH36*(1+Assumptions!$F$73)</f>
        <v>8.1931339285714309</v>
      </c>
      <c r="AV36" s="107">
        <f>AI36*(1+Assumptions!$F$73)</f>
        <v>8.7107109375</v>
      </c>
      <c r="AW36" s="107">
        <f>AJ36*(1+Assumptions!$F$73)</f>
        <v>12.289700892857143</v>
      </c>
      <c r="AX36" s="107">
        <f>AK36*(1+Assumptions!$F$73)</f>
        <v>14.536205357142858</v>
      </c>
      <c r="AY36" s="107">
        <f>AL36*(1+Assumptions!$F$73)</f>
        <v>16.386267857142862</v>
      </c>
      <c r="AZ36" s="107">
        <f>AM36*(1+Assumptions!$F$73)</f>
        <v>16.518415178571427</v>
      </c>
      <c r="BA36" s="107">
        <f>AN36*(1+Assumptions!$F$73)</f>
        <v>17.069029017857147</v>
      </c>
      <c r="BB36" s="107">
        <f>AO36*(1+Assumptions!$F$73)</f>
        <v>16.386267857142862</v>
      </c>
      <c r="BC36" s="107">
        <f>AP36*(1+Assumptions!$F$73)</f>
        <v>14.536205357142858</v>
      </c>
      <c r="BD36" s="107">
        <f>AQ36*(1+Assumptions!$F$73)</f>
        <v>13.655223214285716</v>
      </c>
      <c r="BE36" s="107">
        <f>AR36*(1+Assumptions!$F$73)</f>
        <v>11.893258928571427</v>
      </c>
      <c r="BF36" s="107">
        <f>AS36*(1+Assumptions!$F$73)</f>
        <v>10.924178571428572</v>
      </c>
      <c r="BG36" s="289">
        <f t="shared" si="14"/>
        <v>161.09859709821433</v>
      </c>
      <c r="BH36" s="301">
        <f>AU36*(1+Assumptions!$G$73)</f>
        <v>9.0124473214285743</v>
      </c>
      <c r="BI36" s="107">
        <f>AV36*(1+Assumptions!$G$73)</f>
        <v>9.5817820312500004</v>
      </c>
      <c r="BJ36" s="107">
        <f>AW36*(1+Assumptions!$G$73)</f>
        <v>13.518670982142858</v>
      </c>
      <c r="BK36" s="107">
        <f>AX36*(1+Assumptions!$G$73)</f>
        <v>15.989825892857146</v>
      </c>
      <c r="BL36" s="107">
        <f>AY36*(1+Assumptions!$G$73)</f>
        <v>18.024894642857149</v>
      </c>
      <c r="BM36" s="107">
        <f>AZ36*(1+Assumptions!$G$73)</f>
        <v>18.17025669642857</v>
      </c>
      <c r="BN36" s="107">
        <f>BA36*(1+Assumptions!$G$73)</f>
        <v>18.775931919642865</v>
      </c>
      <c r="BO36" s="107">
        <f>BB36*(1+Assumptions!$G$73)</f>
        <v>18.024894642857149</v>
      </c>
      <c r="BP36" s="107">
        <f>BC36*(1+Assumptions!$G$73)</f>
        <v>15.989825892857146</v>
      </c>
      <c r="BQ36" s="107">
        <f>BD36*(1+Assumptions!$G$73)</f>
        <v>15.020745535714289</v>
      </c>
      <c r="BR36" s="107">
        <f>BE36*(1+Assumptions!$G$73)</f>
        <v>13.08258482142857</v>
      </c>
      <c r="BS36" s="107">
        <f>BF36*(1+Assumptions!$G$73)</f>
        <v>12.016596428571429</v>
      </c>
      <c r="BT36" s="289">
        <f t="shared" si="15"/>
        <v>177.20845680803578</v>
      </c>
      <c r="BU36" s="102">
        <f t="shared" si="17"/>
        <v>713.99152935267864</v>
      </c>
    </row>
    <row r="37" spans="1:73">
      <c r="A37" s="92"/>
      <c r="B37" s="277">
        <v>16.989999999999998</v>
      </c>
      <c r="C37" s="108"/>
      <c r="D37" s="281">
        <f t="shared" si="16"/>
        <v>1053.3799999999999</v>
      </c>
      <c r="E37" s="279">
        <v>0.05</v>
      </c>
      <c r="F37" s="92" t="str">
        <f t="shared" si="11"/>
        <v>Seasonal #2</v>
      </c>
      <c r="G37" s="92"/>
      <c r="H37" s="107">
        <f>'Year 1 Traffic'!B$26*'Beer Revenue'!$E37</f>
        <v>5.1814285714285724</v>
      </c>
      <c r="I37" s="107">
        <f>'Year 1 Traffic'!C$26*'Beer Revenue'!$E37</f>
        <v>5.50875</v>
      </c>
      <c r="J37" s="107">
        <f>'Year 1 Traffic'!D$26*'Beer Revenue'!$E37</f>
        <v>7.7721428571428577</v>
      </c>
      <c r="K37" s="107">
        <f>'Year 1 Traffic'!E$26*'Beer Revenue'!$E37</f>
        <v>9.1928571428571431</v>
      </c>
      <c r="L37" s="107">
        <f>'Year 1 Traffic'!F$26*'Beer Revenue'!$E37</f>
        <v>10.362857142857145</v>
      </c>
      <c r="M37" s="107">
        <f>'Year 1 Traffic'!G$26*'Beer Revenue'!$E37</f>
        <v>10.446428571428571</v>
      </c>
      <c r="N37" s="107">
        <f>'Year 1 Traffic'!H$26*'Beer Revenue'!$E37</f>
        <v>10.794642857142859</v>
      </c>
      <c r="O37" s="107">
        <f>'Year 1 Traffic'!I$26*'Beer Revenue'!$E37</f>
        <v>10.362857142857145</v>
      </c>
      <c r="P37" s="107">
        <f>'Year 1 Traffic'!J$26*'Beer Revenue'!$E37</f>
        <v>9.1928571428571431</v>
      </c>
      <c r="Q37" s="107">
        <f>'Year 1 Traffic'!K$26*'Beer Revenue'!$E37</f>
        <v>8.6357142857142861</v>
      </c>
      <c r="R37" s="107">
        <f>'Year 1 Traffic'!L$26*'Beer Revenue'!$E37</f>
        <v>7.5214285714285714</v>
      </c>
      <c r="S37" s="107">
        <f>'Year 1 Traffic'!M$26*'Beer Revenue'!$E37</f>
        <v>6.9085714285714293</v>
      </c>
      <c r="T37" s="289">
        <f t="shared" si="4"/>
        <v>101.88053571428573</v>
      </c>
      <c r="U37" s="301">
        <f>H37*(1+Assumptions!$D$73)</f>
        <v>6.4767857142857155</v>
      </c>
      <c r="V37" s="107">
        <f>I37*(1+Assumptions!$D$73)</f>
        <v>6.8859374999999998</v>
      </c>
      <c r="W37" s="107">
        <f>J37*(1+Assumptions!$D$73)</f>
        <v>9.7151785714285719</v>
      </c>
      <c r="X37" s="107">
        <f>K37*(1+Assumptions!$D$73)</f>
        <v>11.491071428571429</v>
      </c>
      <c r="Y37" s="107">
        <f>L37*(1+Assumptions!$D$73)</f>
        <v>12.953571428571431</v>
      </c>
      <c r="Z37" s="107">
        <f>M37*(1+Assumptions!$D$73)</f>
        <v>13.058035714285714</v>
      </c>
      <c r="AA37" s="107">
        <f>N37*(1+Assumptions!$D$73)</f>
        <v>13.493303571428575</v>
      </c>
      <c r="AB37" s="107">
        <f>O37*(1+Assumptions!$D$73)</f>
        <v>12.953571428571431</v>
      </c>
      <c r="AC37" s="107">
        <f>P37*(1+Assumptions!$D$73)</f>
        <v>11.491071428571429</v>
      </c>
      <c r="AD37" s="107">
        <f>Q37*(1+Assumptions!$D$73)</f>
        <v>10.794642857142858</v>
      </c>
      <c r="AE37" s="107">
        <f>R37*(1+Assumptions!$D$73)</f>
        <v>9.4017857142857135</v>
      </c>
      <c r="AF37" s="107">
        <f>S37*(1+Assumptions!$D$73)</f>
        <v>8.6357142857142861</v>
      </c>
      <c r="AG37" s="289">
        <f t="shared" si="12"/>
        <v>127.35066964285716</v>
      </c>
      <c r="AH37" s="301">
        <f>U37*(1+Assumptions!$E$73)</f>
        <v>7.4483035714285721</v>
      </c>
      <c r="AI37" s="107">
        <f>V37*(1+Assumptions!$E$73)</f>
        <v>7.9188281249999992</v>
      </c>
      <c r="AJ37" s="107">
        <f>W37*(1+Assumptions!$E$73)</f>
        <v>11.172455357142857</v>
      </c>
      <c r="AK37" s="107">
        <f>X37*(1+Assumptions!$E$73)</f>
        <v>13.214732142857143</v>
      </c>
      <c r="AL37" s="107">
        <f>Y37*(1+Assumptions!$E$73)</f>
        <v>14.896607142857144</v>
      </c>
      <c r="AM37" s="107">
        <f>Z37*(1+Assumptions!$E$73)</f>
        <v>15.016741071428569</v>
      </c>
      <c r="AN37" s="107">
        <f>AA37*(1+Assumptions!$E$73)</f>
        <v>15.517299107142859</v>
      </c>
      <c r="AO37" s="107">
        <f>AB37*(1+Assumptions!$E$73)</f>
        <v>14.896607142857144</v>
      </c>
      <c r="AP37" s="107">
        <f>AC37*(1+Assumptions!$E$73)</f>
        <v>13.214732142857143</v>
      </c>
      <c r="AQ37" s="107">
        <f>AD37*(1+Assumptions!$E$73)</f>
        <v>12.413839285714285</v>
      </c>
      <c r="AR37" s="107">
        <f>AE37*(1+Assumptions!$E$73)</f>
        <v>10.812053571428569</v>
      </c>
      <c r="AS37" s="107">
        <f>AF37*(1+Assumptions!$E$73)</f>
        <v>9.9310714285714283</v>
      </c>
      <c r="AT37" s="289">
        <f t="shared" si="13"/>
        <v>146.45327008928575</v>
      </c>
      <c r="AU37" s="301">
        <f>AH37*(1+Assumptions!$F$73)</f>
        <v>8.1931339285714309</v>
      </c>
      <c r="AV37" s="107">
        <f>AI37*(1+Assumptions!$F$73)</f>
        <v>8.7107109375</v>
      </c>
      <c r="AW37" s="107">
        <f>AJ37*(1+Assumptions!$F$73)</f>
        <v>12.289700892857143</v>
      </c>
      <c r="AX37" s="107">
        <f>AK37*(1+Assumptions!$F$73)</f>
        <v>14.536205357142858</v>
      </c>
      <c r="AY37" s="107">
        <f>AL37*(1+Assumptions!$F$73)</f>
        <v>16.386267857142862</v>
      </c>
      <c r="AZ37" s="107">
        <f>AM37*(1+Assumptions!$F$73)</f>
        <v>16.518415178571427</v>
      </c>
      <c r="BA37" s="107">
        <f>AN37*(1+Assumptions!$F$73)</f>
        <v>17.069029017857147</v>
      </c>
      <c r="BB37" s="107">
        <f>AO37*(1+Assumptions!$F$73)</f>
        <v>16.386267857142862</v>
      </c>
      <c r="BC37" s="107">
        <f>AP37*(1+Assumptions!$F$73)</f>
        <v>14.536205357142858</v>
      </c>
      <c r="BD37" s="107">
        <f>AQ37*(1+Assumptions!$F$73)</f>
        <v>13.655223214285716</v>
      </c>
      <c r="BE37" s="107">
        <f>AR37*(1+Assumptions!$F$73)</f>
        <v>11.893258928571427</v>
      </c>
      <c r="BF37" s="107">
        <f>AS37*(1+Assumptions!$F$73)</f>
        <v>10.924178571428572</v>
      </c>
      <c r="BG37" s="289">
        <f t="shared" si="14"/>
        <v>161.09859709821433</v>
      </c>
      <c r="BH37" s="301">
        <f>AU37*(1+Assumptions!$G$73)</f>
        <v>9.0124473214285743</v>
      </c>
      <c r="BI37" s="107">
        <f>AV37*(1+Assumptions!$G$73)</f>
        <v>9.5817820312500004</v>
      </c>
      <c r="BJ37" s="107">
        <f>AW37*(1+Assumptions!$G$73)</f>
        <v>13.518670982142858</v>
      </c>
      <c r="BK37" s="107">
        <f>AX37*(1+Assumptions!$G$73)</f>
        <v>15.989825892857146</v>
      </c>
      <c r="BL37" s="107">
        <f>AY37*(1+Assumptions!$G$73)</f>
        <v>18.024894642857149</v>
      </c>
      <c r="BM37" s="107">
        <f>AZ37*(1+Assumptions!$G$73)</f>
        <v>18.17025669642857</v>
      </c>
      <c r="BN37" s="107">
        <f>BA37*(1+Assumptions!$G$73)</f>
        <v>18.775931919642865</v>
      </c>
      <c r="BO37" s="107">
        <f>BB37*(1+Assumptions!$G$73)</f>
        <v>18.024894642857149</v>
      </c>
      <c r="BP37" s="107">
        <f>BC37*(1+Assumptions!$G$73)</f>
        <v>15.989825892857146</v>
      </c>
      <c r="BQ37" s="107">
        <f>BD37*(1+Assumptions!$G$73)</f>
        <v>15.020745535714289</v>
      </c>
      <c r="BR37" s="107">
        <f>BE37*(1+Assumptions!$G$73)</f>
        <v>13.08258482142857</v>
      </c>
      <c r="BS37" s="107">
        <f>BF37*(1+Assumptions!$G$73)</f>
        <v>12.016596428571429</v>
      </c>
      <c r="BT37" s="289">
        <f t="shared" si="15"/>
        <v>177.20845680803578</v>
      </c>
      <c r="BU37" s="102">
        <f t="shared" si="17"/>
        <v>713.99152935267864</v>
      </c>
    </row>
    <row r="38" spans="1:73">
      <c r="A38" s="92"/>
      <c r="B38" s="277">
        <v>16.989999999999998</v>
      </c>
      <c r="C38" s="108"/>
      <c r="D38" s="281">
        <f t="shared" si="16"/>
        <v>1053.3799999999999</v>
      </c>
      <c r="E38" s="279">
        <v>0.1</v>
      </c>
      <c r="F38" s="92" t="str">
        <f t="shared" si="11"/>
        <v>Rotating IPA #1</v>
      </c>
      <c r="G38" s="92"/>
      <c r="H38" s="107">
        <f>'Year 1 Traffic'!B$26*'Beer Revenue'!$E38</f>
        <v>10.362857142857145</v>
      </c>
      <c r="I38" s="107">
        <f>'Year 1 Traffic'!C$26*'Beer Revenue'!$E38</f>
        <v>11.0175</v>
      </c>
      <c r="J38" s="107">
        <f>'Year 1 Traffic'!D$26*'Beer Revenue'!$E38</f>
        <v>15.544285714285715</v>
      </c>
      <c r="K38" s="107">
        <f>'Year 1 Traffic'!E$26*'Beer Revenue'!$E38</f>
        <v>18.385714285714286</v>
      </c>
      <c r="L38" s="107">
        <f>'Year 1 Traffic'!F$26*'Beer Revenue'!$E38</f>
        <v>20.72571428571429</v>
      </c>
      <c r="M38" s="107">
        <f>'Year 1 Traffic'!G$26*'Beer Revenue'!$E38</f>
        <v>20.892857142857142</v>
      </c>
      <c r="N38" s="107">
        <f>'Year 1 Traffic'!H$26*'Beer Revenue'!$E38</f>
        <v>21.589285714285719</v>
      </c>
      <c r="O38" s="107">
        <f>'Year 1 Traffic'!I$26*'Beer Revenue'!$E38</f>
        <v>20.72571428571429</v>
      </c>
      <c r="P38" s="107">
        <f>'Year 1 Traffic'!J$26*'Beer Revenue'!$E38</f>
        <v>18.385714285714286</v>
      </c>
      <c r="Q38" s="107">
        <f>'Year 1 Traffic'!K$26*'Beer Revenue'!$E38</f>
        <v>17.271428571428572</v>
      </c>
      <c r="R38" s="107">
        <f>'Year 1 Traffic'!L$26*'Beer Revenue'!$E38</f>
        <v>15.042857142857143</v>
      </c>
      <c r="S38" s="107">
        <f>'Year 1 Traffic'!M$26*'Beer Revenue'!$E38</f>
        <v>13.817142857142859</v>
      </c>
      <c r="T38" s="289">
        <f t="shared" si="4"/>
        <v>203.76107142857146</v>
      </c>
      <c r="U38" s="301">
        <f>H38*(1+Assumptions!$D$73)</f>
        <v>12.953571428571431</v>
      </c>
      <c r="V38" s="107">
        <f>I38*(1+Assumptions!$D$73)</f>
        <v>13.771875</v>
      </c>
      <c r="W38" s="107">
        <f>J38*(1+Assumptions!$D$73)</f>
        <v>19.430357142857144</v>
      </c>
      <c r="X38" s="107">
        <f>K38*(1+Assumptions!$D$73)</f>
        <v>22.982142857142858</v>
      </c>
      <c r="Y38" s="107">
        <f>L38*(1+Assumptions!$D$73)</f>
        <v>25.907142857142862</v>
      </c>
      <c r="Z38" s="107">
        <f>M38*(1+Assumptions!$D$73)</f>
        <v>26.116071428571427</v>
      </c>
      <c r="AA38" s="107">
        <f>N38*(1+Assumptions!$D$73)</f>
        <v>26.986607142857149</v>
      </c>
      <c r="AB38" s="107">
        <f>O38*(1+Assumptions!$D$73)</f>
        <v>25.907142857142862</v>
      </c>
      <c r="AC38" s="107">
        <f>P38*(1+Assumptions!$D$73)</f>
        <v>22.982142857142858</v>
      </c>
      <c r="AD38" s="107">
        <f>Q38*(1+Assumptions!$D$73)</f>
        <v>21.589285714285715</v>
      </c>
      <c r="AE38" s="107">
        <f>R38*(1+Assumptions!$D$73)</f>
        <v>18.803571428571427</v>
      </c>
      <c r="AF38" s="107">
        <f>S38*(1+Assumptions!$D$73)</f>
        <v>17.271428571428572</v>
      </c>
      <c r="AG38" s="289">
        <f t="shared" si="12"/>
        <v>254.70133928571431</v>
      </c>
      <c r="AH38" s="301">
        <f>U38*(1+Assumptions!$E$73)</f>
        <v>14.896607142857144</v>
      </c>
      <c r="AI38" s="107">
        <f>V38*(1+Assumptions!$E$73)</f>
        <v>15.837656249999998</v>
      </c>
      <c r="AJ38" s="107">
        <f>W38*(1+Assumptions!$E$73)</f>
        <v>22.344910714285714</v>
      </c>
      <c r="AK38" s="107">
        <f>X38*(1+Assumptions!$E$73)</f>
        <v>26.429464285714285</v>
      </c>
      <c r="AL38" s="107">
        <f>Y38*(1+Assumptions!$E$73)</f>
        <v>29.793214285714289</v>
      </c>
      <c r="AM38" s="107">
        <f>Z38*(1+Assumptions!$E$73)</f>
        <v>30.033482142857139</v>
      </c>
      <c r="AN38" s="107">
        <f>AA38*(1+Assumptions!$E$73)</f>
        <v>31.034598214285719</v>
      </c>
      <c r="AO38" s="107">
        <f>AB38*(1+Assumptions!$E$73)</f>
        <v>29.793214285714289</v>
      </c>
      <c r="AP38" s="107">
        <f>AC38*(1+Assumptions!$E$73)</f>
        <v>26.429464285714285</v>
      </c>
      <c r="AQ38" s="107">
        <f>AD38*(1+Assumptions!$E$73)</f>
        <v>24.827678571428571</v>
      </c>
      <c r="AR38" s="107">
        <f>AE38*(1+Assumptions!$E$73)</f>
        <v>21.624107142857138</v>
      </c>
      <c r="AS38" s="107">
        <f>AF38*(1+Assumptions!$E$73)</f>
        <v>19.862142857142857</v>
      </c>
      <c r="AT38" s="289">
        <f t="shared" si="13"/>
        <v>292.9065401785715</v>
      </c>
      <c r="AU38" s="301">
        <f>AH38*(1+Assumptions!$F$73)</f>
        <v>16.386267857142862</v>
      </c>
      <c r="AV38" s="107">
        <f>AI38*(1+Assumptions!$F$73)</f>
        <v>17.421421875</v>
      </c>
      <c r="AW38" s="107">
        <f>AJ38*(1+Assumptions!$F$73)</f>
        <v>24.579401785714285</v>
      </c>
      <c r="AX38" s="107">
        <f>AK38*(1+Assumptions!$F$73)</f>
        <v>29.072410714285716</v>
      </c>
      <c r="AY38" s="107">
        <f>AL38*(1+Assumptions!$F$73)</f>
        <v>32.772535714285723</v>
      </c>
      <c r="AZ38" s="107">
        <f>AM38*(1+Assumptions!$F$73)</f>
        <v>33.036830357142854</v>
      </c>
      <c r="BA38" s="107">
        <f>AN38*(1+Assumptions!$F$73)</f>
        <v>34.138058035714295</v>
      </c>
      <c r="BB38" s="107">
        <f>AO38*(1+Assumptions!$F$73)</f>
        <v>32.772535714285723</v>
      </c>
      <c r="BC38" s="107">
        <f>AP38*(1+Assumptions!$F$73)</f>
        <v>29.072410714285716</v>
      </c>
      <c r="BD38" s="107">
        <f>AQ38*(1+Assumptions!$F$73)</f>
        <v>27.310446428571431</v>
      </c>
      <c r="BE38" s="107">
        <f>AR38*(1+Assumptions!$F$73)</f>
        <v>23.786517857142854</v>
      </c>
      <c r="BF38" s="107">
        <f>AS38*(1+Assumptions!$F$73)</f>
        <v>21.848357142857143</v>
      </c>
      <c r="BG38" s="289">
        <f t="shared" si="14"/>
        <v>322.19719419642865</v>
      </c>
      <c r="BH38" s="301">
        <f>AU38*(1+Assumptions!$G$73)</f>
        <v>18.024894642857149</v>
      </c>
      <c r="BI38" s="107">
        <f>AV38*(1+Assumptions!$G$73)</f>
        <v>19.163564062500001</v>
      </c>
      <c r="BJ38" s="107">
        <f>AW38*(1+Assumptions!$G$73)</f>
        <v>27.037341964285716</v>
      </c>
      <c r="BK38" s="107">
        <f>AX38*(1+Assumptions!$G$73)</f>
        <v>31.979651785714292</v>
      </c>
      <c r="BL38" s="107">
        <f>AY38*(1+Assumptions!$G$73)</f>
        <v>36.049789285714297</v>
      </c>
      <c r="BM38" s="107">
        <f>AZ38*(1+Assumptions!$G$73)</f>
        <v>36.34051339285714</v>
      </c>
      <c r="BN38" s="107">
        <f>BA38*(1+Assumptions!$G$73)</f>
        <v>37.55186383928573</v>
      </c>
      <c r="BO38" s="107">
        <f>BB38*(1+Assumptions!$G$73)</f>
        <v>36.049789285714297</v>
      </c>
      <c r="BP38" s="107">
        <f>BC38*(1+Assumptions!$G$73)</f>
        <v>31.979651785714292</v>
      </c>
      <c r="BQ38" s="107">
        <f>BD38*(1+Assumptions!$G$73)</f>
        <v>30.041491071428577</v>
      </c>
      <c r="BR38" s="107">
        <f>BE38*(1+Assumptions!$G$73)</f>
        <v>26.165169642857141</v>
      </c>
      <c r="BS38" s="107">
        <f>BF38*(1+Assumptions!$G$73)</f>
        <v>24.033192857142858</v>
      </c>
      <c r="BT38" s="289">
        <f t="shared" si="15"/>
        <v>354.41691361607155</v>
      </c>
      <c r="BU38" s="102">
        <f t="shared" si="17"/>
        <v>1427.9830587053573</v>
      </c>
    </row>
    <row r="39" spans="1:73">
      <c r="A39" s="92"/>
      <c r="B39" s="277">
        <v>16.989999999999998</v>
      </c>
      <c r="C39" s="108"/>
      <c r="D39" s="281">
        <f t="shared" si="16"/>
        <v>1053.3799999999999</v>
      </c>
      <c r="E39" s="279">
        <v>0.05</v>
      </c>
      <c r="F39" s="92" t="str">
        <f t="shared" si="11"/>
        <v>Rotating IPA #2</v>
      </c>
      <c r="G39" s="92"/>
      <c r="H39" s="107">
        <f>'Year 1 Traffic'!B$26*'Beer Revenue'!$E39</f>
        <v>5.1814285714285724</v>
      </c>
      <c r="I39" s="107">
        <f>'Year 1 Traffic'!C$26*'Beer Revenue'!$E39</f>
        <v>5.50875</v>
      </c>
      <c r="J39" s="107">
        <f>'Year 1 Traffic'!D$26*'Beer Revenue'!$E39</f>
        <v>7.7721428571428577</v>
      </c>
      <c r="K39" s="107">
        <f>'Year 1 Traffic'!E$26*'Beer Revenue'!$E39</f>
        <v>9.1928571428571431</v>
      </c>
      <c r="L39" s="107">
        <f>'Year 1 Traffic'!F$26*'Beer Revenue'!$E39</f>
        <v>10.362857142857145</v>
      </c>
      <c r="M39" s="107">
        <f>'Year 1 Traffic'!G$26*'Beer Revenue'!$E39</f>
        <v>10.446428571428571</v>
      </c>
      <c r="N39" s="107">
        <f>'Year 1 Traffic'!H$26*'Beer Revenue'!$E39</f>
        <v>10.794642857142859</v>
      </c>
      <c r="O39" s="107">
        <f>'Year 1 Traffic'!I$26*'Beer Revenue'!$E39</f>
        <v>10.362857142857145</v>
      </c>
      <c r="P39" s="107">
        <f>'Year 1 Traffic'!J$26*'Beer Revenue'!$E39</f>
        <v>9.1928571428571431</v>
      </c>
      <c r="Q39" s="107">
        <f>'Year 1 Traffic'!K$26*'Beer Revenue'!$E39</f>
        <v>8.6357142857142861</v>
      </c>
      <c r="R39" s="107">
        <f>'Year 1 Traffic'!L$26*'Beer Revenue'!$E39</f>
        <v>7.5214285714285714</v>
      </c>
      <c r="S39" s="107">
        <f>'Year 1 Traffic'!M$26*'Beer Revenue'!$E39</f>
        <v>6.9085714285714293</v>
      </c>
      <c r="T39" s="289">
        <f t="shared" si="4"/>
        <v>101.88053571428573</v>
      </c>
      <c r="U39" s="301">
        <f>H39*(1+Assumptions!$D$73)</f>
        <v>6.4767857142857155</v>
      </c>
      <c r="V39" s="107">
        <f>I39*(1+Assumptions!$D$73)</f>
        <v>6.8859374999999998</v>
      </c>
      <c r="W39" s="107">
        <f>J39*(1+Assumptions!$D$73)</f>
        <v>9.7151785714285719</v>
      </c>
      <c r="X39" s="107">
        <f>K39*(1+Assumptions!$D$73)</f>
        <v>11.491071428571429</v>
      </c>
      <c r="Y39" s="107">
        <f>L39*(1+Assumptions!$D$73)</f>
        <v>12.953571428571431</v>
      </c>
      <c r="Z39" s="107">
        <f>M39*(1+Assumptions!$D$73)</f>
        <v>13.058035714285714</v>
      </c>
      <c r="AA39" s="107">
        <f>N39*(1+Assumptions!$D$73)</f>
        <v>13.493303571428575</v>
      </c>
      <c r="AB39" s="107">
        <f>O39*(1+Assumptions!$D$73)</f>
        <v>12.953571428571431</v>
      </c>
      <c r="AC39" s="107">
        <f>P39*(1+Assumptions!$D$73)</f>
        <v>11.491071428571429</v>
      </c>
      <c r="AD39" s="107">
        <f>Q39*(1+Assumptions!$D$73)</f>
        <v>10.794642857142858</v>
      </c>
      <c r="AE39" s="107">
        <f>R39*(1+Assumptions!$D$73)</f>
        <v>9.4017857142857135</v>
      </c>
      <c r="AF39" s="107">
        <f>S39*(1+Assumptions!$D$73)</f>
        <v>8.6357142857142861</v>
      </c>
      <c r="AG39" s="289">
        <f t="shared" si="12"/>
        <v>127.35066964285716</v>
      </c>
      <c r="AH39" s="301">
        <f>U39*(1+Assumptions!$E$73)</f>
        <v>7.4483035714285721</v>
      </c>
      <c r="AI39" s="107">
        <f>V39*(1+Assumptions!$E$73)</f>
        <v>7.9188281249999992</v>
      </c>
      <c r="AJ39" s="107">
        <f>W39*(1+Assumptions!$E$73)</f>
        <v>11.172455357142857</v>
      </c>
      <c r="AK39" s="107">
        <f>X39*(1+Assumptions!$E$73)</f>
        <v>13.214732142857143</v>
      </c>
      <c r="AL39" s="107">
        <f>Y39*(1+Assumptions!$E$73)</f>
        <v>14.896607142857144</v>
      </c>
      <c r="AM39" s="107">
        <f>Z39*(1+Assumptions!$E$73)</f>
        <v>15.016741071428569</v>
      </c>
      <c r="AN39" s="107">
        <f>AA39*(1+Assumptions!$E$73)</f>
        <v>15.517299107142859</v>
      </c>
      <c r="AO39" s="107">
        <f>AB39*(1+Assumptions!$E$73)</f>
        <v>14.896607142857144</v>
      </c>
      <c r="AP39" s="107">
        <f>AC39*(1+Assumptions!$E$73)</f>
        <v>13.214732142857143</v>
      </c>
      <c r="AQ39" s="107">
        <f>AD39*(1+Assumptions!$E$73)</f>
        <v>12.413839285714285</v>
      </c>
      <c r="AR39" s="107">
        <f>AE39*(1+Assumptions!$E$73)</f>
        <v>10.812053571428569</v>
      </c>
      <c r="AS39" s="107">
        <f>AF39*(1+Assumptions!$E$73)</f>
        <v>9.9310714285714283</v>
      </c>
      <c r="AT39" s="289">
        <f t="shared" si="13"/>
        <v>146.45327008928575</v>
      </c>
      <c r="AU39" s="301">
        <f>AH39*(1+Assumptions!$F$73)</f>
        <v>8.1931339285714309</v>
      </c>
      <c r="AV39" s="107">
        <f>AI39*(1+Assumptions!$F$73)</f>
        <v>8.7107109375</v>
      </c>
      <c r="AW39" s="107">
        <f>AJ39*(1+Assumptions!$F$73)</f>
        <v>12.289700892857143</v>
      </c>
      <c r="AX39" s="107">
        <f>AK39*(1+Assumptions!$F$73)</f>
        <v>14.536205357142858</v>
      </c>
      <c r="AY39" s="107">
        <f>AL39*(1+Assumptions!$F$73)</f>
        <v>16.386267857142862</v>
      </c>
      <c r="AZ39" s="107">
        <f>AM39*(1+Assumptions!$F$73)</f>
        <v>16.518415178571427</v>
      </c>
      <c r="BA39" s="107">
        <f>AN39*(1+Assumptions!$F$73)</f>
        <v>17.069029017857147</v>
      </c>
      <c r="BB39" s="107">
        <f>AO39*(1+Assumptions!$F$73)</f>
        <v>16.386267857142862</v>
      </c>
      <c r="BC39" s="107">
        <f>AP39*(1+Assumptions!$F$73)</f>
        <v>14.536205357142858</v>
      </c>
      <c r="BD39" s="107">
        <f>AQ39*(1+Assumptions!$F$73)</f>
        <v>13.655223214285716</v>
      </c>
      <c r="BE39" s="107">
        <f>AR39*(1+Assumptions!$F$73)</f>
        <v>11.893258928571427</v>
      </c>
      <c r="BF39" s="107">
        <f>AS39*(1+Assumptions!$F$73)</f>
        <v>10.924178571428572</v>
      </c>
      <c r="BG39" s="289">
        <f t="shared" si="14"/>
        <v>161.09859709821433</v>
      </c>
      <c r="BH39" s="301">
        <f>AU39*(1+Assumptions!$G$73)</f>
        <v>9.0124473214285743</v>
      </c>
      <c r="BI39" s="107">
        <f>AV39*(1+Assumptions!$G$73)</f>
        <v>9.5817820312500004</v>
      </c>
      <c r="BJ39" s="107">
        <f>AW39*(1+Assumptions!$G$73)</f>
        <v>13.518670982142858</v>
      </c>
      <c r="BK39" s="107">
        <f>AX39*(1+Assumptions!$G$73)</f>
        <v>15.989825892857146</v>
      </c>
      <c r="BL39" s="107">
        <f>AY39*(1+Assumptions!$G$73)</f>
        <v>18.024894642857149</v>
      </c>
      <c r="BM39" s="107">
        <f>AZ39*(1+Assumptions!$G$73)</f>
        <v>18.17025669642857</v>
      </c>
      <c r="BN39" s="107">
        <f>BA39*(1+Assumptions!$G$73)</f>
        <v>18.775931919642865</v>
      </c>
      <c r="BO39" s="107">
        <f>BB39*(1+Assumptions!$G$73)</f>
        <v>18.024894642857149</v>
      </c>
      <c r="BP39" s="107">
        <f>BC39*(1+Assumptions!$G$73)</f>
        <v>15.989825892857146</v>
      </c>
      <c r="BQ39" s="107">
        <f>BD39*(1+Assumptions!$G$73)</f>
        <v>15.020745535714289</v>
      </c>
      <c r="BR39" s="107">
        <f>BE39*(1+Assumptions!$G$73)</f>
        <v>13.08258482142857</v>
      </c>
      <c r="BS39" s="107">
        <f>BF39*(1+Assumptions!$G$73)</f>
        <v>12.016596428571429</v>
      </c>
      <c r="BT39" s="289">
        <f t="shared" si="15"/>
        <v>177.20845680803578</v>
      </c>
      <c r="BU39" s="102">
        <f t="shared" si="17"/>
        <v>713.99152935267864</v>
      </c>
    </row>
    <row r="40" spans="1:73">
      <c r="A40" s="92"/>
      <c r="B40" s="277">
        <v>19.989999999999998</v>
      </c>
      <c r="C40" s="108"/>
      <c r="D40" s="281">
        <f t="shared" si="16"/>
        <v>1239.3799999999999</v>
      </c>
      <c r="E40" s="279">
        <v>0</v>
      </c>
      <c r="F40" s="92" t="str">
        <f t="shared" si="11"/>
        <v>Special release</v>
      </c>
      <c r="G40" s="92"/>
      <c r="H40" s="107">
        <f>'Year 1 Traffic'!B$26*'Beer Revenue'!$E40</f>
        <v>0</v>
      </c>
      <c r="I40" s="107">
        <f>'Year 1 Traffic'!C$26*'Beer Revenue'!$E40</f>
        <v>0</v>
      </c>
      <c r="J40" s="107">
        <f>'Year 1 Traffic'!D$26*'Beer Revenue'!$E40</f>
        <v>0</v>
      </c>
      <c r="K40" s="107">
        <f>'Year 1 Traffic'!E$26*'Beer Revenue'!$E40</f>
        <v>0</v>
      </c>
      <c r="L40" s="107">
        <f>'Year 1 Traffic'!F$26*'Beer Revenue'!$E40</f>
        <v>0</v>
      </c>
      <c r="M40" s="107">
        <f>'Year 1 Traffic'!G$26*'Beer Revenue'!$E40</f>
        <v>0</v>
      </c>
      <c r="N40" s="107">
        <f>'Year 1 Traffic'!H$26*'Beer Revenue'!$E40</f>
        <v>0</v>
      </c>
      <c r="O40" s="107">
        <f>'Year 1 Traffic'!I$26*'Beer Revenue'!$E40</f>
        <v>0</v>
      </c>
      <c r="P40" s="107">
        <f>'Year 1 Traffic'!J$26*'Beer Revenue'!$E40</f>
        <v>0</v>
      </c>
      <c r="Q40" s="107">
        <f>'Year 1 Traffic'!K$26*'Beer Revenue'!$E40</f>
        <v>0</v>
      </c>
      <c r="R40" s="107">
        <f>'Year 1 Traffic'!L$26*'Beer Revenue'!$E40</f>
        <v>0</v>
      </c>
      <c r="S40" s="107">
        <f>'Year 1 Traffic'!M$26*'Beer Revenue'!$E40</f>
        <v>0</v>
      </c>
      <c r="T40" s="289">
        <f t="shared" si="4"/>
        <v>0</v>
      </c>
      <c r="U40" s="301">
        <f>H40*(1+Assumptions!$D$73)</f>
        <v>0</v>
      </c>
      <c r="V40" s="107">
        <f>I40*(1+Assumptions!$D$73)</f>
        <v>0</v>
      </c>
      <c r="W40" s="107">
        <f>J40*(1+Assumptions!$D$73)</f>
        <v>0</v>
      </c>
      <c r="X40" s="107">
        <f>K40*(1+Assumptions!$D$73)</f>
        <v>0</v>
      </c>
      <c r="Y40" s="107">
        <f>L40*(1+Assumptions!$D$73)</f>
        <v>0</v>
      </c>
      <c r="Z40" s="107">
        <f>M40*(1+Assumptions!$D$73)</f>
        <v>0</v>
      </c>
      <c r="AA40" s="107">
        <f>N40*(1+Assumptions!$D$73)</f>
        <v>0</v>
      </c>
      <c r="AB40" s="107">
        <f>O40*(1+Assumptions!$D$73)</f>
        <v>0</v>
      </c>
      <c r="AC40" s="107">
        <f>P40*(1+Assumptions!$D$73)</f>
        <v>0</v>
      </c>
      <c r="AD40" s="107">
        <f>Q40*(1+Assumptions!$D$73)</f>
        <v>0</v>
      </c>
      <c r="AE40" s="107">
        <f>R40*(1+Assumptions!$D$73)</f>
        <v>0</v>
      </c>
      <c r="AF40" s="107">
        <f>S40*(1+Assumptions!$D$73)</f>
        <v>0</v>
      </c>
      <c r="AG40" s="289">
        <f t="shared" si="12"/>
        <v>0</v>
      </c>
      <c r="AH40" s="301">
        <f>U40*(1+Assumptions!$E$73)</f>
        <v>0</v>
      </c>
      <c r="AI40" s="107">
        <f>V40*(1+Assumptions!$E$73)</f>
        <v>0</v>
      </c>
      <c r="AJ40" s="107">
        <f>W40*(1+Assumptions!$E$73)</f>
        <v>0</v>
      </c>
      <c r="AK40" s="107">
        <f>X40*(1+Assumptions!$E$73)</f>
        <v>0</v>
      </c>
      <c r="AL40" s="107">
        <f>Y40*(1+Assumptions!$E$73)</f>
        <v>0</v>
      </c>
      <c r="AM40" s="107">
        <f>Z40*(1+Assumptions!$E$73)</f>
        <v>0</v>
      </c>
      <c r="AN40" s="107">
        <f>AA40*(1+Assumptions!$E$73)</f>
        <v>0</v>
      </c>
      <c r="AO40" s="107">
        <f>AB40*(1+Assumptions!$E$73)</f>
        <v>0</v>
      </c>
      <c r="AP40" s="107">
        <f>AC40*(1+Assumptions!$E$73)</f>
        <v>0</v>
      </c>
      <c r="AQ40" s="107">
        <f>AD40*(1+Assumptions!$E$73)</f>
        <v>0</v>
      </c>
      <c r="AR40" s="107">
        <f>AE40*(1+Assumptions!$E$73)</f>
        <v>0</v>
      </c>
      <c r="AS40" s="107">
        <f>AF40*(1+Assumptions!$E$73)</f>
        <v>0</v>
      </c>
      <c r="AT40" s="289">
        <f t="shared" si="13"/>
        <v>0</v>
      </c>
      <c r="AU40" s="301">
        <f>AH40*(1+Assumptions!$F$73)</f>
        <v>0</v>
      </c>
      <c r="AV40" s="107">
        <f>AI40*(1+Assumptions!$F$73)</f>
        <v>0</v>
      </c>
      <c r="AW40" s="107">
        <f>AJ40*(1+Assumptions!$F$73)</f>
        <v>0</v>
      </c>
      <c r="AX40" s="107">
        <f>AK40*(1+Assumptions!$F$73)</f>
        <v>0</v>
      </c>
      <c r="AY40" s="107">
        <f>AL40*(1+Assumptions!$F$73)</f>
        <v>0</v>
      </c>
      <c r="AZ40" s="107">
        <f>AM40*(1+Assumptions!$F$73)</f>
        <v>0</v>
      </c>
      <c r="BA40" s="107">
        <f>AN40*(1+Assumptions!$F$73)</f>
        <v>0</v>
      </c>
      <c r="BB40" s="107">
        <f>AO40*(1+Assumptions!$F$73)</f>
        <v>0</v>
      </c>
      <c r="BC40" s="107">
        <f>AP40*(1+Assumptions!$F$73)</f>
        <v>0</v>
      </c>
      <c r="BD40" s="107">
        <f>AQ40*(1+Assumptions!$F$73)</f>
        <v>0</v>
      </c>
      <c r="BE40" s="107">
        <f>AR40*(1+Assumptions!$F$73)</f>
        <v>0</v>
      </c>
      <c r="BF40" s="107">
        <f>AS40*(1+Assumptions!$F$73)</f>
        <v>0</v>
      </c>
      <c r="BG40" s="289">
        <f t="shared" si="14"/>
        <v>0</v>
      </c>
      <c r="BH40" s="301">
        <f>AU40*(1+Assumptions!$G$73)</f>
        <v>0</v>
      </c>
      <c r="BI40" s="107">
        <f>AV40*(1+Assumptions!$G$73)</f>
        <v>0</v>
      </c>
      <c r="BJ40" s="107">
        <f>AW40*(1+Assumptions!$G$73)</f>
        <v>0</v>
      </c>
      <c r="BK40" s="107">
        <f>AX40*(1+Assumptions!$G$73)</f>
        <v>0</v>
      </c>
      <c r="BL40" s="107">
        <f>AY40*(1+Assumptions!$G$73)</f>
        <v>0</v>
      </c>
      <c r="BM40" s="107">
        <f>AZ40*(1+Assumptions!$G$73)</f>
        <v>0</v>
      </c>
      <c r="BN40" s="107">
        <f>BA40*(1+Assumptions!$G$73)</f>
        <v>0</v>
      </c>
      <c r="BO40" s="107">
        <f>BB40*(1+Assumptions!$G$73)</f>
        <v>0</v>
      </c>
      <c r="BP40" s="107">
        <f>BC40*(1+Assumptions!$G$73)</f>
        <v>0</v>
      </c>
      <c r="BQ40" s="107">
        <f>BD40*(1+Assumptions!$G$73)</f>
        <v>0</v>
      </c>
      <c r="BR40" s="107">
        <f>BE40*(1+Assumptions!$G$73)</f>
        <v>0</v>
      </c>
      <c r="BS40" s="107">
        <f>BF40*(1+Assumptions!$G$73)</f>
        <v>0</v>
      </c>
      <c r="BT40" s="289">
        <f t="shared" si="15"/>
        <v>0</v>
      </c>
      <c r="BU40" s="102">
        <f t="shared" si="17"/>
        <v>0</v>
      </c>
    </row>
    <row r="41" spans="1:73">
      <c r="A41" s="92"/>
      <c r="B41" s="277"/>
      <c r="C41" s="108"/>
      <c r="D41" s="281">
        <f>B41/4/16*128*31</f>
        <v>0</v>
      </c>
      <c r="E41" s="279"/>
      <c r="F41" s="92">
        <f t="shared" si="11"/>
        <v>0</v>
      </c>
      <c r="G41" s="92"/>
      <c r="H41" s="107">
        <f>'Year 1 Traffic'!B$26*'Beer Revenue'!$E41</f>
        <v>0</v>
      </c>
      <c r="I41" s="107">
        <f>'Year 1 Traffic'!C$26*'Beer Revenue'!$E41</f>
        <v>0</v>
      </c>
      <c r="J41" s="107">
        <f>'Year 1 Traffic'!D$26*'Beer Revenue'!$E41</f>
        <v>0</v>
      </c>
      <c r="K41" s="107">
        <f>'Year 1 Traffic'!E$26*'Beer Revenue'!$E41</f>
        <v>0</v>
      </c>
      <c r="L41" s="107">
        <f>'Year 1 Traffic'!F$26*'Beer Revenue'!$E41</f>
        <v>0</v>
      </c>
      <c r="M41" s="107">
        <f>'Year 1 Traffic'!G$26*'Beer Revenue'!$E41</f>
        <v>0</v>
      </c>
      <c r="N41" s="107">
        <f>'Year 1 Traffic'!H$26*'Beer Revenue'!$E41</f>
        <v>0</v>
      </c>
      <c r="O41" s="107">
        <f>'Year 1 Traffic'!I$26*'Beer Revenue'!$E41</f>
        <v>0</v>
      </c>
      <c r="P41" s="107">
        <f>'Year 1 Traffic'!J$26*'Beer Revenue'!$E41</f>
        <v>0</v>
      </c>
      <c r="Q41" s="107">
        <f>'Year 1 Traffic'!K$26*'Beer Revenue'!$E41</f>
        <v>0</v>
      </c>
      <c r="R41" s="107">
        <f>'Year 1 Traffic'!L$26*'Beer Revenue'!$E41</f>
        <v>0</v>
      </c>
      <c r="S41" s="107">
        <f>'Year 1 Traffic'!M$26*'Beer Revenue'!$E41</f>
        <v>0</v>
      </c>
      <c r="T41" s="289">
        <f>SUM(H41:S41)</f>
        <v>0</v>
      </c>
      <c r="U41" s="301">
        <f>H41*(1+Assumptions!$D$73)</f>
        <v>0</v>
      </c>
      <c r="V41" s="107">
        <f>I41*(1+Assumptions!$D$73)</f>
        <v>0</v>
      </c>
      <c r="W41" s="107">
        <f>J41*(1+Assumptions!$D$73)</f>
        <v>0</v>
      </c>
      <c r="X41" s="107">
        <f>K41*(1+Assumptions!$D$73)</f>
        <v>0</v>
      </c>
      <c r="Y41" s="107">
        <f>L41*(1+Assumptions!$D$73)</f>
        <v>0</v>
      </c>
      <c r="Z41" s="107">
        <f>M41*(1+Assumptions!$D$73)</f>
        <v>0</v>
      </c>
      <c r="AA41" s="107">
        <f>N41*(1+Assumptions!$D$73)</f>
        <v>0</v>
      </c>
      <c r="AB41" s="107">
        <f>O41*(1+Assumptions!$D$73)</f>
        <v>0</v>
      </c>
      <c r="AC41" s="107">
        <f>P41*(1+Assumptions!$D$73)</f>
        <v>0</v>
      </c>
      <c r="AD41" s="107">
        <f>Q41*(1+Assumptions!$D$73)</f>
        <v>0</v>
      </c>
      <c r="AE41" s="107">
        <f>R41*(1+Assumptions!$D$73)</f>
        <v>0</v>
      </c>
      <c r="AF41" s="107">
        <f>S41*(1+Assumptions!$D$73)</f>
        <v>0</v>
      </c>
      <c r="AG41" s="289">
        <f>SUM(U41:AF41)</f>
        <v>0</v>
      </c>
      <c r="AH41" s="301">
        <f>U41*(1+Assumptions!$E$73)</f>
        <v>0</v>
      </c>
      <c r="AI41" s="107">
        <f>V41*(1+Assumptions!$E$73)</f>
        <v>0</v>
      </c>
      <c r="AJ41" s="107">
        <f>W41*(1+Assumptions!$E$73)</f>
        <v>0</v>
      </c>
      <c r="AK41" s="107">
        <f>X41*(1+Assumptions!$E$73)</f>
        <v>0</v>
      </c>
      <c r="AL41" s="107">
        <f>Y41*(1+Assumptions!$E$73)</f>
        <v>0</v>
      </c>
      <c r="AM41" s="107">
        <f>Z41*(1+Assumptions!$E$73)</f>
        <v>0</v>
      </c>
      <c r="AN41" s="107">
        <f>AA41*(1+Assumptions!$E$73)</f>
        <v>0</v>
      </c>
      <c r="AO41" s="107">
        <f>AB41*(1+Assumptions!$E$73)</f>
        <v>0</v>
      </c>
      <c r="AP41" s="107">
        <f>AC41*(1+Assumptions!$E$73)</f>
        <v>0</v>
      </c>
      <c r="AQ41" s="107">
        <f>AD41*(1+Assumptions!$E$73)</f>
        <v>0</v>
      </c>
      <c r="AR41" s="107">
        <f>AE41*(1+Assumptions!$E$73)</f>
        <v>0</v>
      </c>
      <c r="AS41" s="107">
        <f>AF41*(1+Assumptions!$E$73)</f>
        <v>0</v>
      </c>
      <c r="AT41" s="289">
        <f t="shared" si="13"/>
        <v>0</v>
      </c>
      <c r="AU41" s="301">
        <f>AH41*(1+Assumptions!$F$73)</f>
        <v>0</v>
      </c>
      <c r="AV41" s="107">
        <f>AI41*(1+Assumptions!$F$73)</f>
        <v>0</v>
      </c>
      <c r="AW41" s="107">
        <f>AJ41*(1+Assumptions!$F$73)</f>
        <v>0</v>
      </c>
      <c r="AX41" s="107">
        <f>AK41*(1+Assumptions!$F$73)</f>
        <v>0</v>
      </c>
      <c r="AY41" s="107">
        <f>AL41*(1+Assumptions!$F$73)</f>
        <v>0</v>
      </c>
      <c r="AZ41" s="107">
        <f>AM41*(1+Assumptions!$F$73)</f>
        <v>0</v>
      </c>
      <c r="BA41" s="107">
        <f>AN41*(1+Assumptions!$F$73)</f>
        <v>0</v>
      </c>
      <c r="BB41" s="107">
        <f>AO41*(1+Assumptions!$F$73)</f>
        <v>0</v>
      </c>
      <c r="BC41" s="107">
        <f>AP41*(1+Assumptions!$F$73)</f>
        <v>0</v>
      </c>
      <c r="BD41" s="107">
        <f>AQ41*(1+Assumptions!$F$73)</f>
        <v>0</v>
      </c>
      <c r="BE41" s="107">
        <f>AR41*(1+Assumptions!$F$73)</f>
        <v>0</v>
      </c>
      <c r="BF41" s="107">
        <f>AS41*(1+Assumptions!$F$73)</f>
        <v>0</v>
      </c>
      <c r="BG41" s="289">
        <f t="shared" si="14"/>
        <v>0</v>
      </c>
      <c r="BH41" s="301">
        <f>AU41*(1+Assumptions!$G$73)</f>
        <v>0</v>
      </c>
      <c r="BI41" s="107">
        <f>AV41*(1+Assumptions!$G$73)</f>
        <v>0</v>
      </c>
      <c r="BJ41" s="107">
        <f>AW41*(1+Assumptions!$G$73)</f>
        <v>0</v>
      </c>
      <c r="BK41" s="107">
        <f>AX41*(1+Assumptions!$G$73)</f>
        <v>0</v>
      </c>
      <c r="BL41" s="107">
        <f>AY41*(1+Assumptions!$G$73)</f>
        <v>0</v>
      </c>
      <c r="BM41" s="107">
        <f>AZ41*(1+Assumptions!$G$73)</f>
        <v>0</v>
      </c>
      <c r="BN41" s="107">
        <f>BA41*(1+Assumptions!$G$73)</f>
        <v>0</v>
      </c>
      <c r="BO41" s="107">
        <f>BB41*(1+Assumptions!$G$73)</f>
        <v>0</v>
      </c>
      <c r="BP41" s="107">
        <f>BC41*(1+Assumptions!$G$73)</f>
        <v>0</v>
      </c>
      <c r="BQ41" s="107">
        <f>BD41*(1+Assumptions!$G$73)</f>
        <v>0</v>
      </c>
      <c r="BR41" s="107">
        <f>BE41*(1+Assumptions!$G$73)</f>
        <v>0</v>
      </c>
      <c r="BS41" s="107">
        <f>BF41*(1+Assumptions!$G$73)</f>
        <v>0</v>
      </c>
      <c r="BT41" s="289">
        <f t="shared" si="15"/>
        <v>0</v>
      </c>
      <c r="BU41" s="102">
        <f>T41+AG41+AT41+BG41+BT41</f>
        <v>0</v>
      </c>
    </row>
    <row r="42" spans="1:73">
      <c r="A42" s="92"/>
      <c r="B42" s="277"/>
      <c r="C42" s="108"/>
      <c r="D42" s="281">
        <f>B42/4/16*128*31</f>
        <v>0</v>
      </c>
      <c r="E42" s="279"/>
      <c r="F42" s="92">
        <f t="shared" si="11"/>
        <v>0</v>
      </c>
      <c r="G42" s="92"/>
      <c r="H42" s="107">
        <f>'Year 1 Traffic'!B$26*'Beer Revenue'!$E42</f>
        <v>0</v>
      </c>
      <c r="I42" s="107">
        <f>'Year 1 Traffic'!C$26*'Beer Revenue'!$E42</f>
        <v>0</v>
      </c>
      <c r="J42" s="107">
        <f>'Year 1 Traffic'!D$26*'Beer Revenue'!$E42</f>
        <v>0</v>
      </c>
      <c r="K42" s="107">
        <f>'Year 1 Traffic'!E$26*'Beer Revenue'!$E42</f>
        <v>0</v>
      </c>
      <c r="L42" s="107">
        <f>'Year 1 Traffic'!F$26*'Beer Revenue'!$E42</f>
        <v>0</v>
      </c>
      <c r="M42" s="107">
        <f>'Year 1 Traffic'!G$26*'Beer Revenue'!$E42</f>
        <v>0</v>
      </c>
      <c r="N42" s="107">
        <f>'Year 1 Traffic'!H$26*'Beer Revenue'!$E42</f>
        <v>0</v>
      </c>
      <c r="O42" s="107">
        <f>'Year 1 Traffic'!I$26*'Beer Revenue'!$E42</f>
        <v>0</v>
      </c>
      <c r="P42" s="107">
        <f>'Year 1 Traffic'!J$26*'Beer Revenue'!$E42</f>
        <v>0</v>
      </c>
      <c r="Q42" s="107">
        <f>'Year 1 Traffic'!K$26*'Beer Revenue'!$E42</f>
        <v>0</v>
      </c>
      <c r="R42" s="107">
        <f>'Year 1 Traffic'!L$26*'Beer Revenue'!$E42</f>
        <v>0</v>
      </c>
      <c r="S42" s="107">
        <f>'Year 1 Traffic'!M$26*'Beer Revenue'!$E42</f>
        <v>0</v>
      </c>
      <c r="T42" s="289">
        <f>SUM(H42:S42)</f>
        <v>0</v>
      </c>
      <c r="U42" s="301">
        <f>H42*(1+Assumptions!$D$73)</f>
        <v>0</v>
      </c>
      <c r="V42" s="107">
        <f>I42*(1+Assumptions!$D$73)</f>
        <v>0</v>
      </c>
      <c r="W42" s="107">
        <f>J42*(1+Assumptions!$D$73)</f>
        <v>0</v>
      </c>
      <c r="X42" s="107">
        <f>K42*(1+Assumptions!$D$73)</f>
        <v>0</v>
      </c>
      <c r="Y42" s="107">
        <f>L42*(1+Assumptions!$D$73)</f>
        <v>0</v>
      </c>
      <c r="Z42" s="107">
        <f>M42*(1+Assumptions!$D$73)</f>
        <v>0</v>
      </c>
      <c r="AA42" s="107">
        <f>N42*(1+Assumptions!$D$73)</f>
        <v>0</v>
      </c>
      <c r="AB42" s="107">
        <f>O42*(1+Assumptions!$D$73)</f>
        <v>0</v>
      </c>
      <c r="AC42" s="107">
        <f>P42*(1+Assumptions!$D$73)</f>
        <v>0</v>
      </c>
      <c r="AD42" s="107">
        <f>Q42*(1+Assumptions!$D$73)</f>
        <v>0</v>
      </c>
      <c r="AE42" s="107">
        <f>R42*(1+Assumptions!$D$73)</f>
        <v>0</v>
      </c>
      <c r="AF42" s="107">
        <f>S42*(1+Assumptions!$D$73)</f>
        <v>0</v>
      </c>
      <c r="AG42" s="289">
        <f>SUM(U42:AF42)</f>
        <v>0</v>
      </c>
      <c r="AH42" s="301">
        <f>U42*(1+Assumptions!$E$73)</f>
        <v>0</v>
      </c>
      <c r="AI42" s="107">
        <f>V42*(1+Assumptions!$E$73)</f>
        <v>0</v>
      </c>
      <c r="AJ42" s="107">
        <f>W42*(1+Assumptions!$E$73)</f>
        <v>0</v>
      </c>
      <c r="AK42" s="107">
        <f>X42*(1+Assumptions!$E$73)</f>
        <v>0</v>
      </c>
      <c r="AL42" s="107">
        <f>Y42*(1+Assumptions!$E$73)</f>
        <v>0</v>
      </c>
      <c r="AM42" s="107">
        <f>Z42*(1+Assumptions!$E$73)</f>
        <v>0</v>
      </c>
      <c r="AN42" s="107">
        <f>AA42*(1+Assumptions!$E$73)</f>
        <v>0</v>
      </c>
      <c r="AO42" s="107">
        <f>AB42*(1+Assumptions!$E$73)</f>
        <v>0</v>
      </c>
      <c r="AP42" s="107">
        <f>AC42*(1+Assumptions!$E$73)</f>
        <v>0</v>
      </c>
      <c r="AQ42" s="107">
        <f>AD42*(1+Assumptions!$E$73)</f>
        <v>0</v>
      </c>
      <c r="AR42" s="107">
        <f>AE42*(1+Assumptions!$E$73)</f>
        <v>0</v>
      </c>
      <c r="AS42" s="107">
        <f>AF42*(1+Assumptions!$E$73)</f>
        <v>0</v>
      </c>
      <c r="AT42" s="289">
        <f t="shared" si="13"/>
        <v>0</v>
      </c>
      <c r="AU42" s="301">
        <f>AH42*(1+Assumptions!$F$73)</f>
        <v>0</v>
      </c>
      <c r="AV42" s="107">
        <f>AI42*(1+Assumptions!$F$73)</f>
        <v>0</v>
      </c>
      <c r="AW42" s="107">
        <f>AJ42*(1+Assumptions!$F$73)</f>
        <v>0</v>
      </c>
      <c r="AX42" s="107">
        <f>AK42*(1+Assumptions!$F$73)</f>
        <v>0</v>
      </c>
      <c r="AY42" s="107">
        <f>AL42*(1+Assumptions!$F$73)</f>
        <v>0</v>
      </c>
      <c r="AZ42" s="107">
        <f>AM42*(1+Assumptions!$F$73)</f>
        <v>0</v>
      </c>
      <c r="BA42" s="107">
        <f>AN42*(1+Assumptions!$F$73)</f>
        <v>0</v>
      </c>
      <c r="BB42" s="107">
        <f>AO42*(1+Assumptions!$F$73)</f>
        <v>0</v>
      </c>
      <c r="BC42" s="107">
        <f>AP42*(1+Assumptions!$F$73)</f>
        <v>0</v>
      </c>
      <c r="BD42" s="107">
        <f>AQ42*(1+Assumptions!$F$73)</f>
        <v>0</v>
      </c>
      <c r="BE42" s="107">
        <f>AR42*(1+Assumptions!$F$73)</f>
        <v>0</v>
      </c>
      <c r="BF42" s="107">
        <f>AS42*(1+Assumptions!$F$73)</f>
        <v>0</v>
      </c>
      <c r="BG42" s="289">
        <f t="shared" si="14"/>
        <v>0</v>
      </c>
      <c r="BH42" s="301">
        <f>AU42*(1+Assumptions!$G$73)</f>
        <v>0</v>
      </c>
      <c r="BI42" s="107">
        <f>AV42*(1+Assumptions!$G$73)</f>
        <v>0</v>
      </c>
      <c r="BJ42" s="107">
        <f>AW42*(1+Assumptions!$G$73)</f>
        <v>0</v>
      </c>
      <c r="BK42" s="107">
        <f>AX42*(1+Assumptions!$G$73)</f>
        <v>0</v>
      </c>
      <c r="BL42" s="107">
        <f>AY42*(1+Assumptions!$G$73)</f>
        <v>0</v>
      </c>
      <c r="BM42" s="107">
        <f>AZ42*(1+Assumptions!$G$73)</f>
        <v>0</v>
      </c>
      <c r="BN42" s="107">
        <f>BA42*(1+Assumptions!$G$73)</f>
        <v>0</v>
      </c>
      <c r="BO42" s="107">
        <f>BB42*(1+Assumptions!$G$73)</f>
        <v>0</v>
      </c>
      <c r="BP42" s="107">
        <f>BC42*(1+Assumptions!$G$73)</f>
        <v>0</v>
      </c>
      <c r="BQ42" s="107">
        <f>BD42*(1+Assumptions!$G$73)</f>
        <v>0</v>
      </c>
      <c r="BR42" s="107">
        <f>BE42*(1+Assumptions!$G$73)</f>
        <v>0</v>
      </c>
      <c r="BS42" s="107">
        <f>BF42*(1+Assumptions!$G$73)</f>
        <v>0</v>
      </c>
      <c r="BT42" s="289">
        <f t="shared" si="15"/>
        <v>0</v>
      </c>
      <c r="BU42" s="102">
        <f>T42+AG42+AT42+BG42+BT42</f>
        <v>0</v>
      </c>
    </row>
    <row r="43" spans="1:73">
      <c r="A43" s="92"/>
      <c r="B43" s="277"/>
      <c r="C43" s="108"/>
      <c r="D43" s="281">
        <f>B43/4/16*128*31</f>
        <v>0</v>
      </c>
      <c r="E43" s="279"/>
      <c r="F43" s="92">
        <f t="shared" si="11"/>
        <v>0</v>
      </c>
      <c r="G43" s="92"/>
      <c r="H43" s="107">
        <f>'Year 1 Traffic'!B$26*'Beer Revenue'!$E43</f>
        <v>0</v>
      </c>
      <c r="I43" s="107">
        <f>'Year 1 Traffic'!C$26*'Beer Revenue'!$E43</f>
        <v>0</v>
      </c>
      <c r="J43" s="107">
        <f>'Year 1 Traffic'!D$26*'Beer Revenue'!$E43</f>
        <v>0</v>
      </c>
      <c r="K43" s="107">
        <f>'Year 1 Traffic'!E$26*'Beer Revenue'!$E43</f>
        <v>0</v>
      </c>
      <c r="L43" s="107">
        <f>'Year 1 Traffic'!F$26*'Beer Revenue'!$E43</f>
        <v>0</v>
      </c>
      <c r="M43" s="107">
        <f>'Year 1 Traffic'!G$26*'Beer Revenue'!$E43</f>
        <v>0</v>
      </c>
      <c r="N43" s="107">
        <f>'Year 1 Traffic'!H$26*'Beer Revenue'!$E43</f>
        <v>0</v>
      </c>
      <c r="O43" s="107">
        <f>'Year 1 Traffic'!I$26*'Beer Revenue'!$E43</f>
        <v>0</v>
      </c>
      <c r="P43" s="107">
        <f>'Year 1 Traffic'!J$26*'Beer Revenue'!$E43</f>
        <v>0</v>
      </c>
      <c r="Q43" s="107">
        <f>'Year 1 Traffic'!K$26*'Beer Revenue'!$E43</f>
        <v>0</v>
      </c>
      <c r="R43" s="107">
        <f>'Year 1 Traffic'!L$26*'Beer Revenue'!$E43</f>
        <v>0</v>
      </c>
      <c r="S43" s="107">
        <f>'Year 1 Traffic'!M$26*'Beer Revenue'!$E43</f>
        <v>0</v>
      </c>
      <c r="T43" s="289">
        <f>SUM(H43:S43)</f>
        <v>0</v>
      </c>
      <c r="U43" s="301">
        <f>H43*(1+Assumptions!$D$73)</f>
        <v>0</v>
      </c>
      <c r="V43" s="107">
        <f>I43*(1+Assumptions!$D$73)</f>
        <v>0</v>
      </c>
      <c r="W43" s="107">
        <f>J43*(1+Assumptions!$D$73)</f>
        <v>0</v>
      </c>
      <c r="X43" s="107">
        <f>K43*(1+Assumptions!$D$73)</f>
        <v>0</v>
      </c>
      <c r="Y43" s="107">
        <f>L43*(1+Assumptions!$D$73)</f>
        <v>0</v>
      </c>
      <c r="Z43" s="107">
        <f>M43*(1+Assumptions!$D$73)</f>
        <v>0</v>
      </c>
      <c r="AA43" s="107">
        <f>N43*(1+Assumptions!$D$73)</f>
        <v>0</v>
      </c>
      <c r="AB43" s="107">
        <f>O43*(1+Assumptions!$D$73)</f>
        <v>0</v>
      </c>
      <c r="AC43" s="107">
        <f>P43*(1+Assumptions!$D$73)</f>
        <v>0</v>
      </c>
      <c r="AD43" s="107">
        <f>Q43*(1+Assumptions!$D$73)</f>
        <v>0</v>
      </c>
      <c r="AE43" s="107">
        <f>R43*(1+Assumptions!$D$73)</f>
        <v>0</v>
      </c>
      <c r="AF43" s="107">
        <f>S43*(1+Assumptions!$D$73)</f>
        <v>0</v>
      </c>
      <c r="AG43" s="289">
        <f>SUM(U43:AF43)</f>
        <v>0</v>
      </c>
      <c r="AH43" s="301">
        <f>U43*(1+Assumptions!$E$73)</f>
        <v>0</v>
      </c>
      <c r="AI43" s="107">
        <f>V43*(1+Assumptions!$E$73)</f>
        <v>0</v>
      </c>
      <c r="AJ43" s="107">
        <f>W43*(1+Assumptions!$E$73)</f>
        <v>0</v>
      </c>
      <c r="AK43" s="107">
        <f>X43*(1+Assumptions!$E$73)</f>
        <v>0</v>
      </c>
      <c r="AL43" s="107">
        <f>Y43*(1+Assumptions!$E$73)</f>
        <v>0</v>
      </c>
      <c r="AM43" s="107">
        <f>Z43*(1+Assumptions!$E$73)</f>
        <v>0</v>
      </c>
      <c r="AN43" s="107">
        <f>AA43*(1+Assumptions!$E$73)</f>
        <v>0</v>
      </c>
      <c r="AO43" s="107">
        <f>AB43*(1+Assumptions!$E$73)</f>
        <v>0</v>
      </c>
      <c r="AP43" s="107">
        <f>AC43*(1+Assumptions!$E$73)</f>
        <v>0</v>
      </c>
      <c r="AQ43" s="107">
        <f>AD43*(1+Assumptions!$E$73)</f>
        <v>0</v>
      </c>
      <c r="AR43" s="107">
        <f>AE43*(1+Assumptions!$E$73)</f>
        <v>0</v>
      </c>
      <c r="AS43" s="107">
        <f>AF43*(1+Assumptions!$E$73)</f>
        <v>0</v>
      </c>
      <c r="AT43" s="289">
        <f t="shared" si="13"/>
        <v>0</v>
      </c>
      <c r="AU43" s="301">
        <f>AH43*(1+Assumptions!$F$73)</f>
        <v>0</v>
      </c>
      <c r="AV43" s="107">
        <f>AI43*(1+Assumptions!$F$73)</f>
        <v>0</v>
      </c>
      <c r="AW43" s="107">
        <f>AJ43*(1+Assumptions!$F$73)</f>
        <v>0</v>
      </c>
      <c r="AX43" s="107">
        <f>AK43*(1+Assumptions!$F$73)</f>
        <v>0</v>
      </c>
      <c r="AY43" s="107">
        <f>AL43*(1+Assumptions!$F$73)</f>
        <v>0</v>
      </c>
      <c r="AZ43" s="107">
        <f>AM43*(1+Assumptions!$F$73)</f>
        <v>0</v>
      </c>
      <c r="BA43" s="107">
        <f>AN43*(1+Assumptions!$F$73)</f>
        <v>0</v>
      </c>
      <c r="BB43" s="107">
        <f>AO43*(1+Assumptions!$F$73)</f>
        <v>0</v>
      </c>
      <c r="BC43" s="107">
        <f>AP43*(1+Assumptions!$F$73)</f>
        <v>0</v>
      </c>
      <c r="BD43" s="107">
        <f>AQ43*(1+Assumptions!$F$73)</f>
        <v>0</v>
      </c>
      <c r="BE43" s="107">
        <f>AR43*(1+Assumptions!$F$73)</f>
        <v>0</v>
      </c>
      <c r="BF43" s="107">
        <f>AS43*(1+Assumptions!$F$73)</f>
        <v>0</v>
      </c>
      <c r="BG43" s="289">
        <f t="shared" si="14"/>
        <v>0</v>
      </c>
      <c r="BH43" s="301">
        <f>AU43*(1+Assumptions!$G$73)</f>
        <v>0</v>
      </c>
      <c r="BI43" s="107">
        <f>AV43*(1+Assumptions!$G$73)</f>
        <v>0</v>
      </c>
      <c r="BJ43" s="107">
        <f>AW43*(1+Assumptions!$G$73)</f>
        <v>0</v>
      </c>
      <c r="BK43" s="107">
        <f>AX43*(1+Assumptions!$G$73)</f>
        <v>0</v>
      </c>
      <c r="BL43" s="107">
        <f>AY43*(1+Assumptions!$G$73)</f>
        <v>0</v>
      </c>
      <c r="BM43" s="107">
        <f>AZ43*(1+Assumptions!$G$73)</f>
        <v>0</v>
      </c>
      <c r="BN43" s="107">
        <f>BA43*(1+Assumptions!$G$73)</f>
        <v>0</v>
      </c>
      <c r="BO43" s="107">
        <f>BB43*(1+Assumptions!$G$73)</f>
        <v>0</v>
      </c>
      <c r="BP43" s="107">
        <f>BC43*(1+Assumptions!$G$73)</f>
        <v>0</v>
      </c>
      <c r="BQ43" s="107">
        <f>BD43*(1+Assumptions!$G$73)</f>
        <v>0</v>
      </c>
      <c r="BR43" s="107">
        <f>BE43*(1+Assumptions!$G$73)</f>
        <v>0</v>
      </c>
      <c r="BS43" s="107">
        <f>BF43*(1+Assumptions!$G$73)</f>
        <v>0</v>
      </c>
      <c r="BT43" s="289">
        <f t="shared" si="15"/>
        <v>0</v>
      </c>
      <c r="BU43" s="102">
        <f>T43+AG43+AT43+BG43+BT43</f>
        <v>0</v>
      </c>
    </row>
    <row r="44" spans="1:73">
      <c r="A44" s="92"/>
      <c r="B44" s="108"/>
      <c r="C44" s="108"/>
      <c r="D44" s="108"/>
      <c r="E44" s="276">
        <f>SUM(E31:E43)</f>
        <v>1</v>
      </c>
      <c r="F44" s="92"/>
      <c r="G44" s="92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289"/>
      <c r="U44" s="301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291"/>
      <c r="AH44" s="301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291"/>
      <c r="AU44" s="301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291"/>
      <c r="BH44" s="301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2"/>
      <c r="BU44" s="102"/>
    </row>
    <row r="45" spans="1:73">
      <c r="A45" s="92"/>
      <c r="B45" s="108"/>
      <c r="C45" s="108"/>
      <c r="D45" s="108"/>
      <c r="E45" s="108"/>
      <c r="F45" s="92"/>
      <c r="G45" s="92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289"/>
      <c r="U45" s="301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291"/>
      <c r="AH45" s="301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291"/>
      <c r="AU45" s="301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291"/>
      <c r="BH45" s="301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2"/>
      <c r="BU45" s="102"/>
    </row>
    <row r="46" spans="1:73">
      <c r="A46" s="92"/>
      <c r="B46" s="105"/>
      <c r="C46" s="108"/>
      <c r="D46" s="108"/>
      <c r="E46" s="92"/>
      <c r="F46" s="92"/>
      <c r="G46" s="92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289"/>
      <c r="U46" s="301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291"/>
      <c r="AH46" s="301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291"/>
      <c r="AU46" s="301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291"/>
      <c r="BH46" s="301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2"/>
      <c r="BU46" s="102"/>
    </row>
    <row r="47" spans="1:73" ht="15.75" customHeight="1">
      <c r="A47" s="92"/>
      <c r="B47" s="92"/>
      <c r="C47" s="92"/>
      <c r="D47" s="92"/>
      <c r="E47" s="92"/>
      <c r="F47" s="92"/>
      <c r="G47" s="92"/>
      <c r="H47" s="110"/>
      <c r="I47" s="110"/>
      <c r="J47" s="110"/>
      <c r="K47" s="110"/>
      <c r="L47" s="110"/>
      <c r="M47" s="110"/>
      <c r="N47" s="110"/>
      <c r="O47" s="110"/>
      <c r="P47" s="110"/>
      <c r="Q47" s="110"/>
      <c r="R47" s="110"/>
      <c r="S47" s="110"/>
      <c r="T47" s="111"/>
      <c r="U47" s="302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302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302"/>
      <c r="AV47" s="110"/>
      <c r="AW47" s="110"/>
      <c r="AX47" s="110"/>
      <c r="AY47" s="110"/>
      <c r="AZ47" s="110"/>
      <c r="BA47" s="110"/>
      <c r="BB47" s="110"/>
      <c r="BC47" s="110"/>
      <c r="BD47" s="110"/>
      <c r="BE47" s="110"/>
      <c r="BF47" s="110"/>
      <c r="BG47" s="110"/>
      <c r="BH47" s="302"/>
      <c r="BI47" s="110"/>
      <c r="BJ47" s="110"/>
      <c r="BK47" s="110"/>
      <c r="BL47" s="110"/>
      <c r="BM47" s="110"/>
      <c r="BN47" s="110"/>
      <c r="BO47" s="110"/>
      <c r="BP47" s="110"/>
      <c r="BQ47" s="110"/>
      <c r="BR47" s="110"/>
      <c r="BS47" s="110"/>
      <c r="BT47" s="110"/>
      <c r="BU47" s="110"/>
    </row>
    <row r="48" spans="1:73" ht="15.75" customHeight="1">
      <c r="A48" s="109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286"/>
      <c r="U48" s="295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305"/>
      <c r="AH48" s="295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305"/>
      <c r="AU48" s="295"/>
      <c r="AV48" s="92"/>
      <c r="AW48" s="92"/>
      <c r="AX48" s="92"/>
      <c r="AY48" s="92"/>
      <c r="AZ48" s="92"/>
      <c r="BA48" s="92"/>
      <c r="BB48" s="92"/>
      <c r="BC48" s="92"/>
      <c r="BD48" s="92"/>
      <c r="BE48" s="92"/>
      <c r="BF48" s="92"/>
      <c r="BG48" s="305"/>
      <c r="BH48" s="295"/>
      <c r="BI48" s="92"/>
      <c r="BJ48" s="92"/>
      <c r="BK48" s="92"/>
      <c r="BL48" s="92"/>
      <c r="BM48" s="92"/>
      <c r="BN48" s="92"/>
      <c r="BO48" s="92"/>
      <c r="BP48" s="92"/>
      <c r="BQ48" s="92"/>
      <c r="BR48" s="92"/>
      <c r="BS48" s="92"/>
      <c r="BT48" s="92"/>
      <c r="BU48" s="92"/>
    </row>
    <row r="49" spans="1:73" ht="15.75" customHeight="1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86"/>
      <c r="U49" s="295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305"/>
      <c r="AH49" s="295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305"/>
      <c r="AU49" s="295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305"/>
      <c r="BH49" s="295"/>
      <c r="BI49" s="92"/>
      <c r="BJ49" s="92"/>
      <c r="BK49" s="92"/>
      <c r="BL49" s="92"/>
      <c r="BM49" s="92"/>
      <c r="BN49" s="92"/>
      <c r="BO49" s="92"/>
      <c r="BP49" s="92"/>
      <c r="BQ49" s="92"/>
      <c r="BR49" s="92"/>
      <c r="BS49" s="92"/>
      <c r="BT49" s="92"/>
      <c r="BU49" s="92"/>
    </row>
    <row r="50" spans="1:73" ht="15.75" customHeight="1">
      <c r="A50" s="92"/>
      <c r="B50" s="92"/>
      <c r="C50" s="91" t="s">
        <v>537</v>
      </c>
      <c r="D50" s="91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286"/>
      <c r="U50" s="295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305"/>
      <c r="AH50" s="295"/>
      <c r="AI50" s="92"/>
      <c r="AJ50" s="92"/>
      <c r="AK50" s="92"/>
      <c r="AL50" s="92"/>
      <c r="AM50" s="92"/>
      <c r="AN50" s="92"/>
      <c r="AO50" s="92"/>
      <c r="AP50" s="92"/>
      <c r="AQ50" s="92"/>
      <c r="AR50" s="92"/>
      <c r="AS50" s="92"/>
      <c r="AT50" s="305"/>
      <c r="AU50" s="295"/>
      <c r="AV50" s="92"/>
      <c r="AW50" s="92"/>
      <c r="AX50" s="92"/>
      <c r="AY50" s="92"/>
      <c r="AZ50" s="92"/>
      <c r="BA50" s="92"/>
      <c r="BB50" s="92"/>
      <c r="BC50" s="92"/>
      <c r="BD50" s="92"/>
      <c r="BE50" s="92"/>
      <c r="BF50" s="92"/>
      <c r="BG50" s="305"/>
      <c r="BH50" s="295"/>
      <c r="BI50" s="92"/>
      <c r="BJ50" s="92"/>
      <c r="BK50" s="92"/>
      <c r="BL50" s="92"/>
      <c r="BM50" s="92"/>
      <c r="BN50" s="92"/>
      <c r="BO50" s="92"/>
      <c r="BP50" s="92"/>
      <c r="BQ50" s="92"/>
      <c r="BR50" s="92"/>
      <c r="BS50" s="92"/>
      <c r="BT50" s="92"/>
      <c r="BU50" s="92"/>
    </row>
    <row r="51" spans="1:73" ht="15.75" customHeight="1">
      <c r="A51" s="92"/>
      <c r="B51" s="92"/>
      <c r="C51" s="104"/>
      <c r="D51" s="104"/>
      <c r="E51" s="256" t="s">
        <v>458</v>
      </c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286"/>
      <c r="U51" s="295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305"/>
      <c r="AH51" s="295"/>
      <c r="AI51" s="92"/>
      <c r="AJ51" s="92"/>
      <c r="AK51" s="92"/>
      <c r="AL51" s="92"/>
      <c r="AM51" s="92"/>
      <c r="AN51" s="92"/>
      <c r="AO51" s="92"/>
      <c r="AP51" s="92"/>
      <c r="AQ51" s="92"/>
      <c r="AR51" s="92"/>
      <c r="AS51" s="92"/>
      <c r="AT51" s="305"/>
      <c r="AU51" s="295"/>
      <c r="AV51" s="92"/>
      <c r="AW51" s="92"/>
      <c r="AX51" s="92"/>
      <c r="AY51" s="92"/>
      <c r="AZ51" s="92"/>
      <c r="BA51" s="92"/>
      <c r="BB51" s="92"/>
      <c r="BC51" s="92"/>
      <c r="BD51" s="92"/>
      <c r="BE51" s="92"/>
      <c r="BF51" s="92"/>
      <c r="BG51" s="305"/>
      <c r="BH51" s="295"/>
      <c r="BI51" s="92"/>
      <c r="BJ51" s="92"/>
      <c r="BK51" s="92"/>
      <c r="BL51" s="92"/>
      <c r="BM51" s="92"/>
      <c r="BN51" s="92"/>
      <c r="BO51" s="92"/>
      <c r="BP51" s="92"/>
      <c r="BQ51" s="92"/>
      <c r="BR51" s="92"/>
      <c r="BS51" s="92"/>
      <c r="BT51" s="92"/>
      <c r="BU51" s="92"/>
    </row>
    <row r="52" spans="1:73" ht="15.75" customHeight="1">
      <c r="A52" s="92"/>
      <c r="B52" s="92"/>
      <c r="C52" s="106"/>
      <c r="D52" s="106"/>
      <c r="E52" s="92"/>
      <c r="F52" s="92" t="str">
        <f t="shared" ref="F52:F64" si="18">F15</f>
        <v>Core 1 - Lager</v>
      </c>
      <c r="G52" s="92"/>
      <c r="H52" s="112">
        <f t="shared" ref="H52:S52" si="19">$B15*H15</f>
        <v>4106.7471428571425</v>
      </c>
      <c r="I52" s="112">
        <f t="shared" si="19"/>
        <v>4366.1787499999991</v>
      </c>
      <c r="J52" s="112">
        <f t="shared" si="19"/>
        <v>6160.1207142857138</v>
      </c>
      <c r="K52" s="112">
        <f t="shared" si="19"/>
        <v>7286.1642857142861</v>
      </c>
      <c r="L52" s="112">
        <f t="shared" si="19"/>
        <v>8213.4942857142851</v>
      </c>
      <c r="M52" s="112">
        <f t="shared" si="19"/>
        <v>8279.7321428571413</v>
      </c>
      <c r="N52" s="112">
        <f t="shared" si="19"/>
        <v>8555.7232142857138</v>
      </c>
      <c r="O52" s="112">
        <f t="shared" si="19"/>
        <v>8213.4942857142851</v>
      </c>
      <c r="P52" s="112">
        <f t="shared" si="19"/>
        <v>7286.1642857142861</v>
      </c>
      <c r="Q52" s="112">
        <f t="shared" si="19"/>
        <v>6844.5785714285721</v>
      </c>
      <c r="R52" s="112">
        <f t="shared" si="19"/>
        <v>5961.4071428571424</v>
      </c>
      <c r="S52" s="112">
        <f t="shared" si="19"/>
        <v>5475.6628571428573</v>
      </c>
      <c r="T52" s="292">
        <f t="shared" ref="T52:T77" si="20">SUM(H52:S52)</f>
        <v>80749.46767857144</v>
      </c>
      <c r="U52" s="308">
        <f>$B15*U15*(1+Assumptions!$D$74)</f>
        <v>5338.771285714286</v>
      </c>
      <c r="V52" s="112">
        <f>$B15*V15*(1+Assumptions!$D$74)</f>
        <v>5676.0323749999989</v>
      </c>
      <c r="W52" s="112">
        <f>$B15*W15*(1+Assumptions!$D$74)</f>
        <v>8008.1569285714277</v>
      </c>
      <c r="X52" s="112">
        <f>$B15*X15*(1+Assumptions!$D$74)</f>
        <v>9472.0135714285716</v>
      </c>
      <c r="Y52" s="112">
        <f>$B15*Y15*(1+Assumptions!$D$74)</f>
        <v>10677.542571428572</v>
      </c>
      <c r="Z52" s="112">
        <f>$B15*Z15*(1+Assumptions!$D$74)</f>
        <v>10763.651785714284</v>
      </c>
      <c r="AA52" s="112">
        <f>$B15*AA15*(1+Assumptions!$D$74)</f>
        <v>11122.440178571427</v>
      </c>
      <c r="AB52" s="112">
        <f>$B15*AB15*(1+Assumptions!$D$74)</f>
        <v>10677.542571428572</v>
      </c>
      <c r="AC52" s="112">
        <f>$B15*AC15*(1+Assumptions!$D$74)</f>
        <v>9472.0135714285716</v>
      </c>
      <c r="AD52" s="112">
        <f>$B15*AD15*(1+Assumptions!$D$74)</f>
        <v>8897.9521428571443</v>
      </c>
      <c r="AE52" s="112">
        <f>$B15*AE15*(1+Assumptions!$D$74)</f>
        <v>7749.8292857142851</v>
      </c>
      <c r="AF52" s="112">
        <f>$B15*AF15*(1+Assumptions!$D$74)</f>
        <v>7118.3617142857156</v>
      </c>
      <c r="AG52" s="292">
        <f>SUM(U52:AF52)</f>
        <v>104974.30798214285</v>
      </c>
      <c r="AH52" s="309">
        <f>$B15*AH15*(1+Assumptions!$E$74)</f>
        <v>6080.5524883928565</v>
      </c>
      <c r="AI52" s="310">
        <f>$B15*AI15*(1+Assumptions!$E$74)</f>
        <v>6464.6734117187498</v>
      </c>
      <c r="AJ52" s="310">
        <f>$B15*AJ15*(1+Assumptions!$E$74)</f>
        <v>9120.8287325892852</v>
      </c>
      <c r="AK52" s="310">
        <f>$B15*AK15*(1+Assumptions!$E$74)</f>
        <v>10788.076995535714</v>
      </c>
      <c r="AL52" s="310">
        <f>$B15*AL15*(1+Assumptions!$E$74)</f>
        <v>12161.104976785713</v>
      </c>
      <c r="AM52" s="310">
        <f>$B15*AM15*(1+Assumptions!$E$74)</f>
        <v>12259.178404017854</v>
      </c>
      <c r="AN52" s="310">
        <f>$B15*AN15*(1+Assumptions!$E$74)</f>
        <v>12667.817684151783</v>
      </c>
      <c r="AO52" s="310">
        <f>$B15*AO15*(1+Assumptions!$E$74)</f>
        <v>12161.104976785713</v>
      </c>
      <c r="AP52" s="310">
        <f>$B15*AP15*(1+Assumptions!$E$74)</f>
        <v>10788.076995535714</v>
      </c>
      <c r="AQ52" s="310">
        <f>$B15*AQ15*(1+Assumptions!$E$74)</f>
        <v>10134.25414732143</v>
      </c>
      <c r="AR52" s="310">
        <f>$B15*AR15*(1+Assumptions!$E$74)</f>
        <v>8826.6084508928561</v>
      </c>
      <c r="AS52" s="310">
        <f>$B15*AS15*(1+Assumptions!$E$74)</f>
        <v>8107.4033178571426</v>
      </c>
      <c r="AT52" s="290">
        <f>SUM(AH52:AS52)</f>
        <v>119559.68058158481</v>
      </c>
      <c r="AU52" s="309">
        <f>$B15*AU15*(1+Assumptions!$F$74)</f>
        <v>6688.6077372321424</v>
      </c>
      <c r="AV52" s="310">
        <f>$B15*AV15*(1+Assumptions!$F$74)</f>
        <v>7111.1407528906248</v>
      </c>
      <c r="AW52" s="310">
        <f>$B15*AW15*(1+Assumptions!$F$74)</f>
        <v>10032.911605848214</v>
      </c>
      <c r="AX52" s="310">
        <f>$B15*AX15*(1+Assumptions!$F$74)</f>
        <v>11866.884695089286</v>
      </c>
      <c r="AY52" s="310">
        <f>$B15*AY15*(1+Assumptions!$F$74)</f>
        <v>13377.215474464285</v>
      </c>
      <c r="AZ52" s="310">
        <f>$B15*AZ15*(1+Assumptions!$F$74)</f>
        <v>13485.096244419641</v>
      </c>
      <c r="BA52" s="310">
        <f>$B15*BA15*(1+Assumptions!$F$74)</f>
        <v>13934.599452566963</v>
      </c>
      <c r="BB52" s="310">
        <f>$B15*BB15*(1+Assumptions!$F$74)</f>
        <v>13377.215474464285</v>
      </c>
      <c r="BC52" s="310">
        <f>$B15*BC15*(1+Assumptions!$F$74)</f>
        <v>11866.884695089286</v>
      </c>
      <c r="BD52" s="310">
        <f>$B15*BD15*(1+Assumptions!$F$74)</f>
        <v>11147.679562053572</v>
      </c>
      <c r="BE52" s="310">
        <f>$B15*BE15*(1+Assumptions!$F$74)</f>
        <v>9709.2692959821434</v>
      </c>
      <c r="BF52" s="310">
        <f>$B15*BF15*(1+Assumptions!$F$74)</f>
        <v>8918.143649642856</v>
      </c>
      <c r="BG52" s="290">
        <f>SUM(AU52:BF52)</f>
        <v>131515.6486397433</v>
      </c>
      <c r="BH52" s="309">
        <f>$B15*BH15*(1+Assumptions!$G$74)</f>
        <v>7357.4685109553575</v>
      </c>
      <c r="BI52" s="102">
        <f>$B15*BI15*(1+Assumptions!$G$74)</f>
        <v>7822.254828179688</v>
      </c>
      <c r="BJ52" s="102">
        <f>$B15*BJ15*(1+Assumptions!$G$74)</f>
        <v>11036.202766433036</v>
      </c>
      <c r="BK52" s="102">
        <f>$B15*BK15*(1+Assumptions!$G$74)</f>
        <v>13053.573164598216</v>
      </c>
      <c r="BL52" s="102">
        <f>$B15*BL15*(1+Assumptions!$G$74)</f>
        <v>14714.937021910715</v>
      </c>
      <c r="BM52" s="102">
        <f>$B15*BM15*(1+Assumptions!$G$74)</f>
        <v>14833.605868861607</v>
      </c>
      <c r="BN52" s="102">
        <f>$B15*BN15*(1+Assumptions!$G$74)</f>
        <v>15328.059397823661</v>
      </c>
      <c r="BO52" s="102">
        <f>$B15*BO15*(1+Assumptions!$G$74)</f>
        <v>14714.937021910715</v>
      </c>
      <c r="BP52" s="102">
        <f>$B15*BP15*(1+Assumptions!$G$74)</f>
        <v>13053.573164598216</v>
      </c>
      <c r="BQ52" s="102">
        <f>$B15*BQ15*(1+Assumptions!$G$74)</f>
        <v>12262.447518258929</v>
      </c>
      <c r="BR52" s="102">
        <f>$B15*BR15*(1+Assumptions!$G$74)</f>
        <v>10680.196225580357</v>
      </c>
      <c r="BS52" s="102">
        <f>$B15*BS15*(1+Assumptions!$G$74)</f>
        <v>9809.9580146071439</v>
      </c>
      <c r="BT52" s="103">
        <f>SUM(BH52:BS52)</f>
        <v>144667.21350371762</v>
      </c>
      <c r="BU52" s="103">
        <f>T52+AG52+AT52+BG52+BT52</f>
        <v>581466.31838576007</v>
      </c>
    </row>
    <row r="53" spans="1:73" ht="15.75" customHeight="1">
      <c r="A53" s="92"/>
      <c r="B53" s="92"/>
      <c r="C53" s="106"/>
      <c r="D53" s="106"/>
      <c r="E53" s="92"/>
      <c r="F53" s="92" t="str">
        <f t="shared" si="18"/>
        <v>Core 2 - Hoppy Pale</v>
      </c>
      <c r="G53" s="92"/>
      <c r="H53" s="112">
        <f t="shared" ref="H53:S53" si="21">$B16*H16</f>
        <v>8008.1569285714286</v>
      </c>
      <c r="I53" s="112">
        <f t="shared" si="21"/>
        <v>8514.0485624999983</v>
      </c>
      <c r="J53" s="112">
        <f t="shared" si="21"/>
        <v>12012.235392857141</v>
      </c>
      <c r="K53" s="112">
        <f t="shared" si="21"/>
        <v>14208.020357142856</v>
      </c>
      <c r="L53" s="112">
        <f t="shared" si="21"/>
        <v>16016.313857142857</v>
      </c>
      <c r="M53" s="112">
        <f t="shared" si="21"/>
        <v>16145.477678571424</v>
      </c>
      <c r="N53" s="112">
        <f t="shared" si="21"/>
        <v>16683.66026785714</v>
      </c>
      <c r="O53" s="112">
        <f t="shared" si="21"/>
        <v>16016.313857142857</v>
      </c>
      <c r="P53" s="112">
        <f t="shared" si="21"/>
        <v>14208.020357142856</v>
      </c>
      <c r="Q53" s="112">
        <f t="shared" si="21"/>
        <v>13346.928214285714</v>
      </c>
      <c r="R53" s="112">
        <f t="shared" si="21"/>
        <v>11624.743928571428</v>
      </c>
      <c r="S53" s="112">
        <f t="shared" si="21"/>
        <v>10677.542571428572</v>
      </c>
      <c r="T53" s="292">
        <f t="shared" si="20"/>
        <v>157461.46197321429</v>
      </c>
      <c r="U53" s="308">
        <f>$B16*U16*(1+Assumptions!$D$74)</f>
        <v>10410.604007142858</v>
      </c>
      <c r="V53" s="112">
        <f>$B16*V16*(1+Assumptions!$D$74)</f>
        <v>11068.263131249998</v>
      </c>
      <c r="W53" s="112">
        <f>$B16*W16*(1+Assumptions!$D$74)</f>
        <v>15615.906010714285</v>
      </c>
      <c r="X53" s="112">
        <f>$B16*X16*(1+Assumptions!$D$74)</f>
        <v>18470.426464285712</v>
      </c>
      <c r="Y53" s="112">
        <f>$B16*Y16*(1+Assumptions!$D$74)</f>
        <v>20821.208014285716</v>
      </c>
      <c r="Z53" s="112">
        <f>$B16*Z16*(1+Assumptions!$D$74)</f>
        <v>20989.120982142849</v>
      </c>
      <c r="AA53" s="112">
        <f>$B16*AA16*(1+Assumptions!$D$74)</f>
        <v>21688.75834821428</v>
      </c>
      <c r="AB53" s="112">
        <f>$B16*AB16*(1+Assumptions!$D$74)</f>
        <v>20821.208014285716</v>
      </c>
      <c r="AC53" s="112">
        <f>$B16*AC16*(1+Assumptions!$D$74)</f>
        <v>18470.426464285712</v>
      </c>
      <c r="AD53" s="112">
        <f>$B16*AD16*(1+Assumptions!$D$74)</f>
        <v>17351.00667857143</v>
      </c>
      <c r="AE53" s="112">
        <f>$B16*AE16*(1+Assumptions!$D$74)</f>
        <v>15112.167107142859</v>
      </c>
      <c r="AF53" s="112">
        <f>$B16*AF16*(1+Assumptions!$D$74)</f>
        <v>13880.805342857142</v>
      </c>
      <c r="AG53" s="292">
        <f t="shared" ref="AG53:AG65" si="22">SUM(U53:AF53)</f>
        <v>204699.90056517854</v>
      </c>
      <c r="AH53" s="309">
        <f>$B16*AH16*(1+Assumptions!$E$74)</f>
        <v>11857.077352366072</v>
      </c>
      <c r="AI53" s="310">
        <f>$B16*AI16*(1+Assumptions!$E$74)</f>
        <v>12606.113152851558</v>
      </c>
      <c r="AJ53" s="310">
        <f>$B16*AJ16*(1+Assumptions!$E$74)</f>
        <v>17785.616028549102</v>
      </c>
      <c r="AK53" s="310">
        <f>$B16*AK16*(1+Assumptions!$E$74)</f>
        <v>21036.75014129464</v>
      </c>
      <c r="AL53" s="310">
        <f>$B16*AL16*(1+Assumptions!$E$74)</f>
        <v>23714.154704732144</v>
      </c>
      <c r="AM53" s="310">
        <f>$B16*AM16*(1+Assumptions!$E$74)</f>
        <v>23905.397887834813</v>
      </c>
      <c r="AN53" s="310">
        <f>$B16*AN16*(1+Assumptions!$E$74)</f>
        <v>24702.244484095976</v>
      </c>
      <c r="AO53" s="310">
        <f>$B16*AO16*(1+Assumptions!$E$74)</f>
        <v>23714.154704732144</v>
      </c>
      <c r="AP53" s="310">
        <f>$B16*AP16*(1+Assumptions!$E$74)</f>
        <v>21036.75014129464</v>
      </c>
      <c r="AQ53" s="310">
        <f>$B16*AQ16*(1+Assumptions!$E$74)</f>
        <v>19761.795587276785</v>
      </c>
      <c r="AR53" s="310">
        <f>$B16*AR16*(1+Assumptions!$E$74)</f>
        <v>17211.886479241071</v>
      </c>
      <c r="AS53" s="310">
        <f>$B16*AS16*(1+Assumptions!$E$74)</f>
        <v>15809.436469821429</v>
      </c>
      <c r="AT53" s="290">
        <f t="shared" ref="AT53:AT65" si="23">SUM(AH53:AS53)</f>
        <v>233141.37713409041</v>
      </c>
      <c r="AU53" s="309">
        <f>$B16*AU16*(1+Assumptions!$F$74)</f>
        <v>13042.785087602679</v>
      </c>
      <c r="AV53" s="310">
        <f>$B16*AV16*(1+Assumptions!$F$74)</f>
        <v>13866.724468136717</v>
      </c>
      <c r="AW53" s="310">
        <f>$B16*AW16*(1+Assumptions!$F$74)</f>
        <v>19564.177631404018</v>
      </c>
      <c r="AX53" s="310">
        <f>$B16*AX16*(1+Assumptions!$F$74)</f>
        <v>23140.425155424109</v>
      </c>
      <c r="AY53" s="310">
        <f>$B16*AY16*(1+Assumptions!$F$74)</f>
        <v>26085.570175205357</v>
      </c>
      <c r="AZ53" s="310">
        <f>$B16*AZ16*(1+Assumptions!$F$74)</f>
        <v>26295.937676618294</v>
      </c>
      <c r="BA53" s="310">
        <f>$B16*BA16*(1+Assumptions!$F$74)</f>
        <v>27172.468932505573</v>
      </c>
      <c r="BB53" s="310">
        <f>$B16*BB16*(1+Assumptions!$F$74)</f>
        <v>26085.570175205357</v>
      </c>
      <c r="BC53" s="310">
        <f>$B16*BC16*(1+Assumptions!$F$74)</f>
        <v>23140.425155424109</v>
      </c>
      <c r="BD53" s="310">
        <f>$B16*BD16*(1+Assumptions!$F$74)</f>
        <v>21737.975146004464</v>
      </c>
      <c r="BE53" s="310">
        <f>$B16*BE16*(1+Assumptions!$F$74)</f>
        <v>18933.075127165182</v>
      </c>
      <c r="BF53" s="310">
        <f>$B16*BF16*(1+Assumptions!$F$74)</f>
        <v>17390.380116803572</v>
      </c>
      <c r="BG53" s="290">
        <f t="shared" ref="BG53:BG65" si="24">SUM(AU53:BF53)</f>
        <v>256455.51484749943</v>
      </c>
      <c r="BH53" s="309">
        <f>$B16*BH16*(1+Assumptions!$G$74)</f>
        <v>14347.063596362947</v>
      </c>
      <c r="BI53" s="102">
        <f>$B16*BI16*(1+Assumptions!$G$74)</f>
        <v>15253.396914950386</v>
      </c>
      <c r="BJ53" s="102">
        <f>$B16*BJ16*(1+Assumptions!$G$74)</f>
        <v>21520.59539454442</v>
      </c>
      <c r="BK53" s="102">
        <f>$B16*BK16*(1+Assumptions!$G$74)</f>
        <v>25454.467670966518</v>
      </c>
      <c r="BL53" s="102">
        <f>$B16*BL16*(1+Assumptions!$G$74)</f>
        <v>28694.127192725893</v>
      </c>
      <c r="BM53" s="102">
        <f>$B16*BM16*(1+Assumptions!$G$74)</f>
        <v>28925.531444280125</v>
      </c>
      <c r="BN53" s="102">
        <f>$B16*BN16*(1+Assumptions!$G$74)</f>
        <v>29889.715825756131</v>
      </c>
      <c r="BO53" s="102">
        <f>$B16*BO16*(1+Assumptions!$G$74)</f>
        <v>28694.127192725893</v>
      </c>
      <c r="BP53" s="102">
        <f>$B16*BP16*(1+Assumptions!$G$74)</f>
        <v>25454.467670966518</v>
      </c>
      <c r="BQ53" s="102">
        <f>$B16*BQ16*(1+Assumptions!$G$74)</f>
        <v>23911.772660604911</v>
      </c>
      <c r="BR53" s="102">
        <f>$B16*BR16*(1+Assumptions!$G$74)</f>
        <v>20826.3826398817</v>
      </c>
      <c r="BS53" s="102">
        <f>$B16*BS16*(1+Assumptions!$G$74)</f>
        <v>19129.418128483925</v>
      </c>
      <c r="BT53" s="103">
        <f t="shared" ref="BT53:BT65" si="25">SUM(BH53:BS53)</f>
        <v>282101.06633224938</v>
      </c>
      <c r="BU53" s="103"/>
    </row>
    <row r="54" spans="1:73" ht="15.75" customHeight="1">
      <c r="A54" s="92"/>
      <c r="B54" s="92"/>
      <c r="C54" s="106"/>
      <c r="D54" s="106"/>
      <c r="E54" s="92"/>
      <c r="F54" s="92" t="str">
        <f t="shared" si="18"/>
        <v>Core 3 - Red Ale</v>
      </c>
      <c r="G54" s="92"/>
      <c r="H54" s="112">
        <f t="shared" ref="H54:S54" si="26">$B17*H17</f>
        <v>2464.0482857142856</v>
      </c>
      <c r="I54" s="112">
        <f t="shared" si="26"/>
        <v>2619.7072499999995</v>
      </c>
      <c r="J54" s="112">
        <f t="shared" si="26"/>
        <v>3696.0724285714286</v>
      </c>
      <c r="K54" s="112">
        <f t="shared" si="26"/>
        <v>4371.698571428572</v>
      </c>
      <c r="L54" s="112">
        <f t="shared" si="26"/>
        <v>4928.0965714285712</v>
      </c>
      <c r="M54" s="112">
        <f t="shared" si="26"/>
        <v>4967.8392857142853</v>
      </c>
      <c r="N54" s="112">
        <f t="shared" si="26"/>
        <v>5133.4339285714286</v>
      </c>
      <c r="O54" s="112">
        <f t="shared" si="26"/>
        <v>4928.0965714285712</v>
      </c>
      <c r="P54" s="112">
        <f t="shared" si="26"/>
        <v>4371.698571428572</v>
      </c>
      <c r="Q54" s="112">
        <f t="shared" si="26"/>
        <v>4106.7471428571425</v>
      </c>
      <c r="R54" s="112">
        <f t="shared" si="26"/>
        <v>3576.8442857142854</v>
      </c>
      <c r="S54" s="112">
        <f t="shared" si="26"/>
        <v>3285.3977142857148</v>
      </c>
      <c r="T54" s="292">
        <f t="shared" si="20"/>
        <v>48449.680607142858</v>
      </c>
      <c r="U54" s="308">
        <f>$B17*U17*(1+Assumptions!$D$74)</f>
        <v>3203.2627714285713</v>
      </c>
      <c r="V54" s="112">
        <f>$B17*V17*(1+Assumptions!$D$74)</f>
        <v>3405.6194249999994</v>
      </c>
      <c r="W54" s="112">
        <f>$B17*W17*(1+Assumptions!$D$74)</f>
        <v>4804.8941571428568</v>
      </c>
      <c r="X54" s="112">
        <f>$B17*X17*(1+Assumptions!$D$74)</f>
        <v>5683.2081428571428</v>
      </c>
      <c r="Y54" s="112">
        <f>$B17*Y17*(1+Assumptions!$D$74)</f>
        <v>6406.5255428571427</v>
      </c>
      <c r="Z54" s="112">
        <f>$B17*Z17*(1+Assumptions!$D$74)</f>
        <v>6458.1910714285705</v>
      </c>
      <c r="AA54" s="112">
        <f>$B17*AA17*(1+Assumptions!$D$74)</f>
        <v>6673.4641071428568</v>
      </c>
      <c r="AB54" s="112">
        <f>$B17*AB17*(1+Assumptions!$D$74)</f>
        <v>6406.5255428571427</v>
      </c>
      <c r="AC54" s="112">
        <f>$B17*AC17*(1+Assumptions!$D$74)</f>
        <v>5683.2081428571428</v>
      </c>
      <c r="AD54" s="112">
        <f>$B17*AD17*(1+Assumptions!$D$74)</f>
        <v>5338.771285714286</v>
      </c>
      <c r="AE54" s="112">
        <f>$B17*AE17*(1+Assumptions!$D$74)</f>
        <v>4649.8975714285716</v>
      </c>
      <c r="AF54" s="112">
        <f>$B17*AF17*(1+Assumptions!$D$74)</f>
        <v>4271.0170285714285</v>
      </c>
      <c r="AG54" s="292">
        <f t="shared" si="22"/>
        <v>62984.584789285698</v>
      </c>
      <c r="AH54" s="309">
        <f>$B17*AH17*(1+Assumptions!$E$74)</f>
        <v>3648.3314930357142</v>
      </c>
      <c r="AI54" s="310">
        <f>$B17*AI17*(1+Assumptions!$E$74)</f>
        <v>3878.8040470312494</v>
      </c>
      <c r="AJ54" s="310">
        <f>$B17*AJ17*(1+Assumptions!$E$74)</f>
        <v>5472.4972395535715</v>
      </c>
      <c r="AK54" s="310">
        <f>$B17*AK17*(1+Assumptions!$E$74)</f>
        <v>6472.8461973214271</v>
      </c>
      <c r="AL54" s="310">
        <f>$B17*AL17*(1+Assumptions!$E$74)</f>
        <v>7296.6629860714283</v>
      </c>
      <c r="AM54" s="310">
        <f>$B17*AM17*(1+Assumptions!$E$74)</f>
        <v>7355.5070424107134</v>
      </c>
      <c r="AN54" s="310">
        <f>$B17*AN17*(1+Assumptions!$E$74)</f>
        <v>7600.6906104910704</v>
      </c>
      <c r="AO54" s="310">
        <f>$B17*AO17*(1+Assumptions!$E$74)</f>
        <v>7296.6629860714283</v>
      </c>
      <c r="AP54" s="310">
        <f>$B17*AP17*(1+Assumptions!$E$74)</f>
        <v>6472.8461973214271</v>
      </c>
      <c r="AQ54" s="310">
        <f>$B17*AQ17*(1+Assumptions!$E$74)</f>
        <v>6080.5524883928574</v>
      </c>
      <c r="AR54" s="310">
        <f>$B17*AR17*(1+Assumptions!$E$74)</f>
        <v>5295.9650705357135</v>
      </c>
      <c r="AS54" s="310">
        <f>$B17*AS17*(1+Assumptions!$E$74)</f>
        <v>4864.4419907142856</v>
      </c>
      <c r="AT54" s="290">
        <f t="shared" si="23"/>
        <v>71735.808348950901</v>
      </c>
      <c r="AU54" s="309">
        <f>$B17*AU17*(1+Assumptions!$F$74)</f>
        <v>4013.1646423392854</v>
      </c>
      <c r="AV54" s="310">
        <f>$B17*AV17*(1+Assumptions!$F$74)</f>
        <v>4266.6844517343752</v>
      </c>
      <c r="AW54" s="310">
        <f>$B17*AW17*(1+Assumptions!$F$74)</f>
        <v>6019.7469635089283</v>
      </c>
      <c r="AX54" s="310">
        <f>$B17*AX17*(1+Assumptions!$F$74)</f>
        <v>7120.1308170535713</v>
      </c>
      <c r="AY54" s="310">
        <f>$B17*AY17*(1+Assumptions!$F$74)</f>
        <v>8026.3292846785707</v>
      </c>
      <c r="AZ54" s="310">
        <f>$B17*AZ17*(1+Assumptions!$F$74)</f>
        <v>8091.0577466517852</v>
      </c>
      <c r="BA54" s="310">
        <f>$B17*BA17*(1+Assumptions!$F$74)</f>
        <v>8360.7596715401778</v>
      </c>
      <c r="BB54" s="310">
        <f>$B17*BB17*(1+Assumptions!$F$74)</f>
        <v>8026.3292846785707</v>
      </c>
      <c r="BC54" s="310">
        <f>$B17*BC17*(1+Assumptions!$F$74)</f>
        <v>7120.1308170535713</v>
      </c>
      <c r="BD54" s="310">
        <f>$B17*BD17*(1+Assumptions!$F$74)</f>
        <v>6688.6077372321433</v>
      </c>
      <c r="BE54" s="310">
        <f>$B17*BE17*(1+Assumptions!$F$74)</f>
        <v>5825.5615775892857</v>
      </c>
      <c r="BF54" s="310">
        <f>$B17*BF17*(1+Assumptions!$F$74)</f>
        <v>5350.8861897857141</v>
      </c>
      <c r="BG54" s="290">
        <f t="shared" si="24"/>
        <v>78909.389183845968</v>
      </c>
      <c r="BH54" s="309">
        <f>$B17*BH17*(1+Assumptions!$G$74)</f>
        <v>4414.4811065732147</v>
      </c>
      <c r="BI54" s="102">
        <f>$B17*BI17*(1+Assumptions!$G$74)</f>
        <v>4693.3528969078125</v>
      </c>
      <c r="BJ54" s="102">
        <f>$B17*BJ17*(1+Assumptions!$G$74)</f>
        <v>6621.7216598598216</v>
      </c>
      <c r="BK54" s="102">
        <f>$B17*BK17*(1+Assumptions!$G$74)</f>
        <v>7832.143898758929</v>
      </c>
      <c r="BL54" s="102">
        <f>$B17*BL17*(1+Assumptions!$G$74)</f>
        <v>8828.9622131464293</v>
      </c>
      <c r="BM54" s="102">
        <f>$B17*BM17*(1+Assumptions!$G$74)</f>
        <v>8900.1635213169648</v>
      </c>
      <c r="BN54" s="102">
        <f>$B17*BN17*(1+Assumptions!$G$74)</f>
        <v>9196.8356386941978</v>
      </c>
      <c r="BO54" s="102">
        <f>$B17*BO17*(1+Assumptions!$G$74)</f>
        <v>8828.9622131464293</v>
      </c>
      <c r="BP54" s="102">
        <f>$B17*BP17*(1+Assumptions!$G$74)</f>
        <v>7832.143898758929</v>
      </c>
      <c r="BQ54" s="102">
        <f>$B17*BQ17*(1+Assumptions!$G$74)</f>
        <v>7357.4685109553584</v>
      </c>
      <c r="BR54" s="102">
        <f>$B17*BR17*(1+Assumptions!$G$74)</f>
        <v>6408.1177353482153</v>
      </c>
      <c r="BS54" s="102">
        <f>$B17*BS17*(1+Assumptions!$G$74)</f>
        <v>5885.9748087642856</v>
      </c>
      <c r="BT54" s="103">
        <f t="shared" si="25"/>
        <v>86800.328102230575</v>
      </c>
      <c r="BU54" s="103"/>
    </row>
    <row r="55" spans="1:73" ht="15.75" customHeight="1">
      <c r="A55" s="92"/>
      <c r="B55" s="92"/>
      <c r="C55" s="106"/>
      <c r="D55" s="106"/>
      <c r="E55" s="92"/>
      <c r="F55" s="92" t="str">
        <f t="shared" si="18"/>
        <v>Core 4 - Dark (Porter?)</v>
      </c>
      <c r="G55" s="92"/>
      <c r="H55" s="112">
        <f t="shared" ref="H55:S55" si="27">$B18*H18</f>
        <v>1232.0241428571428</v>
      </c>
      <c r="I55" s="112">
        <f t="shared" si="27"/>
        <v>1309.8536249999997</v>
      </c>
      <c r="J55" s="112">
        <f t="shared" si="27"/>
        <v>1848.0362142857143</v>
      </c>
      <c r="K55" s="112">
        <f t="shared" si="27"/>
        <v>2185.849285714286</v>
      </c>
      <c r="L55" s="112">
        <f t="shared" si="27"/>
        <v>2464.0482857142856</v>
      </c>
      <c r="M55" s="112">
        <f t="shared" si="27"/>
        <v>2483.9196428571427</v>
      </c>
      <c r="N55" s="112">
        <f t="shared" si="27"/>
        <v>2566.7169642857143</v>
      </c>
      <c r="O55" s="112">
        <f t="shared" si="27"/>
        <v>2464.0482857142856</v>
      </c>
      <c r="P55" s="112">
        <f t="shared" si="27"/>
        <v>2185.849285714286</v>
      </c>
      <c r="Q55" s="112">
        <f t="shared" si="27"/>
        <v>2053.3735714285713</v>
      </c>
      <c r="R55" s="112">
        <f t="shared" si="27"/>
        <v>1788.4221428571427</v>
      </c>
      <c r="S55" s="112">
        <f t="shared" si="27"/>
        <v>1642.6988571428574</v>
      </c>
      <c r="T55" s="292">
        <f t="shared" si="20"/>
        <v>24224.840303571429</v>
      </c>
      <c r="U55" s="308">
        <f>$B18*U18*(1+Assumptions!$D$74)</f>
        <v>1601.6313857142857</v>
      </c>
      <c r="V55" s="112">
        <f>$B18*V18*(1+Assumptions!$D$74)</f>
        <v>1702.8097124999997</v>
      </c>
      <c r="W55" s="112">
        <f>$B18*W18*(1+Assumptions!$D$74)</f>
        <v>2402.4470785714284</v>
      </c>
      <c r="X55" s="112">
        <f>$B18*X18*(1+Assumptions!$D$74)</f>
        <v>2841.6040714285714</v>
      </c>
      <c r="Y55" s="112">
        <f>$B18*Y18*(1+Assumptions!$D$74)</f>
        <v>3203.2627714285713</v>
      </c>
      <c r="Z55" s="112">
        <f>$B18*Z18*(1+Assumptions!$D$74)</f>
        <v>3229.0955357142852</v>
      </c>
      <c r="AA55" s="112">
        <f>$B18*AA18*(1+Assumptions!$D$74)</f>
        <v>3336.7320535714284</v>
      </c>
      <c r="AB55" s="112">
        <f>$B18*AB18*(1+Assumptions!$D$74)</f>
        <v>3203.2627714285713</v>
      </c>
      <c r="AC55" s="112">
        <f>$B18*AC18*(1+Assumptions!$D$74)</f>
        <v>2841.6040714285714</v>
      </c>
      <c r="AD55" s="112">
        <f>$B18*AD18*(1+Assumptions!$D$74)</f>
        <v>2669.385642857143</v>
      </c>
      <c r="AE55" s="112">
        <f>$B18*AE18*(1+Assumptions!$D$74)</f>
        <v>2324.9487857142858</v>
      </c>
      <c r="AF55" s="112">
        <f>$B18*AF18*(1+Assumptions!$D$74)</f>
        <v>2135.5085142857142</v>
      </c>
      <c r="AG55" s="292">
        <f t="shared" si="22"/>
        <v>31492.292394642849</v>
      </c>
      <c r="AH55" s="309">
        <f>$B18*AH18*(1+Assumptions!$E$74)</f>
        <v>1824.1657465178571</v>
      </c>
      <c r="AI55" s="310">
        <f>$B18*AI18*(1+Assumptions!$E$74)</f>
        <v>1939.4020235156247</v>
      </c>
      <c r="AJ55" s="310">
        <f>$B18*AJ18*(1+Assumptions!$E$74)</f>
        <v>2736.2486197767857</v>
      </c>
      <c r="AK55" s="310">
        <f>$B18*AK18*(1+Assumptions!$E$74)</f>
        <v>3236.4230986607135</v>
      </c>
      <c r="AL55" s="310">
        <f>$B18*AL18*(1+Assumptions!$E$74)</f>
        <v>3648.3314930357142</v>
      </c>
      <c r="AM55" s="310">
        <f>$B18*AM18*(1+Assumptions!$E$74)</f>
        <v>3677.7535212053567</v>
      </c>
      <c r="AN55" s="310">
        <f>$B18*AN18*(1+Assumptions!$E$74)</f>
        <v>3800.3453052455352</v>
      </c>
      <c r="AO55" s="310">
        <f>$B18*AO18*(1+Assumptions!$E$74)</f>
        <v>3648.3314930357142</v>
      </c>
      <c r="AP55" s="310">
        <f>$B18*AP18*(1+Assumptions!$E$74)</f>
        <v>3236.4230986607135</v>
      </c>
      <c r="AQ55" s="310">
        <f>$B18*AQ18*(1+Assumptions!$E$74)</f>
        <v>3040.2762441964287</v>
      </c>
      <c r="AR55" s="310">
        <f>$B18*AR18*(1+Assumptions!$E$74)</f>
        <v>2647.9825352678567</v>
      </c>
      <c r="AS55" s="310">
        <f>$B18*AS18*(1+Assumptions!$E$74)</f>
        <v>2432.2209953571428</v>
      </c>
      <c r="AT55" s="290">
        <f t="shared" si="23"/>
        <v>35867.90417447545</v>
      </c>
      <c r="AU55" s="309">
        <f>$B18*AU18*(1+Assumptions!$F$74)</f>
        <v>2006.5823211696427</v>
      </c>
      <c r="AV55" s="310">
        <f>$B18*AV18*(1+Assumptions!$F$74)</f>
        <v>2133.3422258671876</v>
      </c>
      <c r="AW55" s="310">
        <f>$B18*AW18*(1+Assumptions!$F$74)</f>
        <v>3009.8734817544641</v>
      </c>
      <c r="AX55" s="310">
        <f>$B18*AX18*(1+Assumptions!$F$74)</f>
        <v>3560.0654085267856</v>
      </c>
      <c r="AY55" s="310">
        <f>$B18*AY18*(1+Assumptions!$F$74)</f>
        <v>4013.1646423392854</v>
      </c>
      <c r="AZ55" s="310">
        <f>$B18*AZ18*(1+Assumptions!$F$74)</f>
        <v>4045.5288733258926</v>
      </c>
      <c r="BA55" s="310">
        <f>$B18*BA18*(1+Assumptions!$F$74)</f>
        <v>4180.3798357700889</v>
      </c>
      <c r="BB55" s="310">
        <f>$B18*BB18*(1+Assumptions!$F$74)</f>
        <v>4013.1646423392854</v>
      </c>
      <c r="BC55" s="310">
        <f>$B18*BC18*(1+Assumptions!$F$74)</f>
        <v>3560.0654085267856</v>
      </c>
      <c r="BD55" s="310">
        <f>$B18*BD18*(1+Assumptions!$F$74)</f>
        <v>3344.3038686160717</v>
      </c>
      <c r="BE55" s="310">
        <f>$B18*BE18*(1+Assumptions!$F$74)</f>
        <v>2912.7807887946428</v>
      </c>
      <c r="BF55" s="310">
        <f>$B18*BF18*(1+Assumptions!$F$74)</f>
        <v>2675.4430948928571</v>
      </c>
      <c r="BG55" s="290">
        <f t="shared" si="24"/>
        <v>39454.694591922984</v>
      </c>
      <c r="BH55" s="309">
        <f>$B18*BH18*(1+Assumptions!$G$74)</f>
        <v>2207.2405532866073</v>
      </c>
      <c r="BI55" s="102">
        <f>$B18*BI18*(1+Assumptions!$G$74)</f>
        <v>2346.6764484539062</v>
      </c>
      <c r="BJ55" s="102">
        <f>$B18*BJ18*(1+Assumptions!$G$74)</f>
        <v>3310.8608299299108</v>
      </c>
      <c r="BK55" s="102">
        <f>$B18*BK18*(1+Assumptions!$G$74)</f>
        <v>3916.0719493794645</v>
      </c>
      <c r="BL55" s="102">
        <f>$B18*BL18*(1+Assumptions!$G$74)</f>
        <v>4414.4811065732147</v>
      </c>
      <c r="BM55" s="102">
        <f>$B18*BM18*(1+Assumptions!$G$74)</f>
        <v>4450.0817606584824</v>
      </c>
      <c r="BN55" s="102">
        <f>$B18*BN18*(1+Assumptions!$G$74)</f>
        <v>4598.4178193470989</v>
      </c>
      <c r="BO55" s="102">
        <f>$B18*BO18*(1+Assumptions!$G$74)</f>
        <v>4414.4811065732147</v>
      </c>
      <c r="BP55" s="102">
        <f>$B18*BP18*(1+Assumptions!$G$74)</f>
        <v>3916.0719493794645</v>
      </c>
      <c r="BQ55" s="102">
        <f>$B18*BQ18*(1+Assumptions!$G$74)</f>
        <v>3678.7342554776792</v>
      </c>
      <c r="BR55" s="102">
        <f>$B18*BR18*(1+Assumptions!$G$74)</f>
        <v>3204.0588676741077</v>
      </c>
      <c r="BS55" s="102">
        <f>$B18*BS18*(1+Assumptions!$G$74)</f>
        <v>2942.9874043821428</v>
      </c>
      <c r="BT55" s="103">
        <f t="shared" si="25"/>
        <v>43400.164051115287</v>
      </c>
      <c r="BU55" s="103"/>
    </row>
    <row r="56" spans="1:73" ht="15.75" customHeight="1">
      <c r="A56" s="92"/>
      <c r="B56" s="92"/>
      <c r="C56" s="106"/>
      <c r="D56" s="106"/>
      <c r="E56" s="92"/>
      <c r="F56" s="92" t="str">
        <f t="shared" si="18"/>
        <v>Rotating Sour</v>
      </c>
      <c r="G56" s="92"/>
      <c r="H56" s="112">
        <f t="shared" ref="H56:S56" si="28">$B19*H19</f>
        <v>1232.0241428571428</v>
      </c>
      <c r="I56" s="112">
        <f t="shared" si="28"/>
        <v>1309.8536249999997</v>
      </c>
      <c r="J56" s="112">
        <f t="shared" si="28"/>
        <v>1848.0362142857143</v>
      </c>
      <c r="K56" s="112">
        <f t="shared" si="28"/>
        <v>2185.849285714286</v>
      </c>
      <c r="L56" s="112">
        <f t="shared" si="28"/>
        <v>2464.0482857142856</v>
      </c>
      <c r="M56" s="112">
        <f t="shared" si="28"/>
        <v>2483.9196428571427</v>
      </c>
      <c r="N56" s="112">
        <f t="shared" si="28"/>
        <v>2566.7169642857143</v>
      </c>
      <c r="O56" s="112">
        <f t="shared" si="28"/>
        <v>2464.0482857142856</v>
      </c>
      <c r="P56" s="112">
        <f t="shared" si="28"/>
        <v>2185.849285714286</v>
      </c>
      <c r="Q56" s="112">
        <f t="shared" si="28"/>
        <v>2053.3735714285713</v>
      </c>
      <c r="R56" s="112">
        <f t="shared" si="28"/>
        <v>1788.4221428571427</v>
      </c>
      <c r="S56" s="112">
        <f t="shared" si="28"/>
        <v>1642.6988571428574</v>
      </c>
      <c r="T56" s="292">
        <f t="shared" si="20"/>
        <v>24224.840303571429</v>
      </c>
      <c r="U56" s="308">
        <f>$B19*U19*(1+Assumptions!$D$74)</f>
        <v>1601.6313857142857</v>
      </c>
      <c r="V56" s="112">
        <f>$B19*V19*(1+Assumptions!$D$74)</f>
        <v>1702.8097124999997</v>
      </c>
      <c r="W56" s="112">
        <f>$B19*W19*(1+Assumptions!$D$74)</f>
        <v>2402.4470785714284</v>
      </c>
      <c r="X56" s="112">
        <f>$B19*X19*(1+Assumptions!$D$74)</f>
        <v>2841.6040714285714</v>
      </c>
      <c r="Y56" s="112">
        <f>$B19*Y19*(1+Assumptions!$D$74)</f>
        <v>3203.2627714285713</v>
      </c>
      <c r="Z56" s="112">
        <f>$B19*Z19*(1+Assumptions!$D$74)</f>
        <v>3229.0955357142852</v>
      </c>
      <c r="AA56" s="112">
        <f>$B19*AA19*(1+Assumptions!$D$74)</f>
        <v>3336.7320535714284</v>
      </c>
      <c r="AB56" s="112">
        <f>$B19*AB19*(1+Assumptions!$D$74)</f>
        <v>3203.2627714285713</v>
      </c>
      <c r="AC56" s="112">
        <f>$B19*AC19*(1+Assumptions!$D$74)</f>
        <v>2841.6040714285714</v>
      </c>
      <c r="AD56" s="112">
        <f>$B19*AD19*(1+Assumptions!$D$74)</f>
        <v>2669.385642857143</v>
      </c>
      <c r="AE56" s="112">
        <f>$B19*AE19*(1+Assumptions!$D$74)</f>
        <v>2324.9487857142858</v>
      </c>
      <c r="AF56" s="112">
        <f>$B19*AF19*(1+Assumptions!$D$74)</f>
        <v>2135.5085142857142</v>
      </c>
      <c r="AG56" s="292">
        <f t="shared" si="22"/>
        <v>31492.292394642849</v>
      </c>
      <c r="AH56" s="309">
        <f>$B19*AH19*(1+Assumptions!$E$74)</f>
        <v>1824.1657465178571</v>
      </c>
      <c r="AI56" s="310">
        <f>$B19*AI19*(1+Assumptions!$E$74)</f>
        <v>1939.4020235156247</v>
      </c>
      <c r="AJ56" s="310">
        <f>$B19*AJ19*(1+Assumptions!$E$74)</f>
        <v>2736.2486197767857</v>
      </c>
      <c r="AK56" s="310">
        <f>$B19*AK19*(1+Assumptions!$E$74)</f>
        <v>3236.4230986607135</v>
      </c>
      <c r="AL56" s="310">
        <f>$B19*AL19*(1+Assumptions!$E$74)</f>
        <v>3648.3314930357142</v>
      </c>
      <c r="AM56" s="310">
        <f>$B19*AM19*(1+Assumptions!$E$74)</f>
        <v>3677.7535212053567</v>
      </c>
      <c r="AN56" s="310">
        <f>$B19*AN19*(1+Assumptions!$E$74)</f>
        <v>3800.3453052455352</v>
      </c>
      <c r="AO56" s="310">
        <f>$B19*AO19*(1+Assumptions!$E$74)</f>
        <v>3648.3314930357142</v>
      </c>
      <c r="AP56" s="310">
        <f>$B19*AP19*(1+Assumptions!$E$74)</f>
        <v>3236.4230986607135</v>
      </c>
      <c r="AQ56" s="310">
        <f>$B19*AQ19*(1+Assumptions!$E$74)</f>
        <v>3040.2762441964287</v>
      </c>
      <c r="AR56" s="310">
        <f>$B19*AR19*(1+Assumptions!$E$74)</f>
        <v>2647.9825352678567</v>
      </c>
      <c r="AS56" s="310">
        <f>$B19*AS19*(1+Assumptions!$E$74)</f>
        <v>2432.2209953571428</v>
      </c>
      <c r="AT56" s="290">
        <f t="shared" si="23"/>
        <v>35867.90417447545</v>
      </c>
      <c r="AU56" s="309">
        <f>$B19*AU19*(1+Assumptions!$F$74)</f>
        <v>2006.5823211696427</v>
      </c>
      <c r="AV56" s="310">
        <f>$B19*AV19*(1+Assumptions!$F$74)</f>
        <v>2133.3422258671876</v>
      </c>
      <c r="AW56" s="310">
        <f>$B19*AW19*(1+Assumptions!$F$74)</f>
        <v>3009.8734817544641</v>
      </c>
      <c r="AX56" s="310">
        <f>$B19*AX19*(1+Assumptions!$F$74)</f>
        <v>3560.0654085267856</v>
      </c>
      <c r="AY56" s="310">
        <f>$B19*AY19*(1+Assumptions!$F$74)</f>
        <v>4013.1646423392854</v>
      </c>
      <c r="AZ56" s="310">
        <f>$B19*AZ19*(1+Assumptions!$F$74)</f>
        <v>4045.5288733258926</v>
      </c>
      <c r="BA56" s="310">
        <f>$B19*BA19*(1+Assumptions!$F$74)</f>
        <v>4180.3798357700889</v>
      </c>
      <c r="BB56" s="310">
        <f>$B19*BB19*(1+Assumptions!$F$74)</f>
        <v>4013.1646423392854</v>
      </c>
      <c r="BC56" s="310">
        <f>$B19*BC19*(1+Assumptions!$F$74)</f>
        <v>3560.0654085267856</v>
      </c>
      <c r="BD56" s="310">
        <f>$B19*BD19*(1+Assumptions!$F$74)</f>
        <v>3344.3038686160717</v>
      </c>
      <c r="BE56" s="310">
        <f>$B19*BE19*(1+Assumptions!$F$74)</f>
        <v>2912.7807887946428</v>
      </c>
      <c r="BF56" s="310">
        <f>$B19*BF19*(1+Assumptions!$F$74)</f>
        <v>2675.4430948928571</v>
      </c>
      <c r="BG56" s="290">
        <f t="shared" si="24"/>
        <v>39454.694591922984</v>
      </c>
      <c r="BH56" s="309">
        <f>$B19*BH19*(1+Assumptions!$G$74)</f>
        <v>2207.2405532866073</v>
      </c>
      <c r="BI56" s="102">
        <f>$B19*BI19*(1+Assumptions!$G$74)</f>
        <v>2346.6764484539062</v>
      </c>
      <c r="BJ56" s="102">
        <f>$B19*BJ19*(1+Assumptions!$G$74)</f>
        <v>3310.8608299299108</v>
      </c>
      <c r="BK56" s="102">
        <f>$B19*BK19*(1+Assumptions!$G$74)</f>
        <v>3916.0719493794645</v>
      </c>
      <c r="BL56" s="102">
        <f>$B19*BL19*(1+Assumptions!$G$74)</f>
        <v>4414.4811065732147</v>
      </c>
      <c r="BM56" s="102">
        <f>$B19*BM19*(1+Assumptions!$G$74)</f>
        <v>4450.0817606584824</v>
      </c>
      <c r="BN56" s="102">
        <f>$B19*BN19*(1+Assumptions!$G$74)</f>
        <v>4598.4178193470989</v>
      </c>
      <c r="BO56" s="102">
        <f>$B19*BO19*(1+Assumptions!$G$74)</f>
        <v>4414.4811065732147</v>
      </c>
      <c r="BP56" s="102">
        <f>$B19*BP19*(1+Assumptions!$G$74)</f>
        <v>3916.0719493794645</v>
      </c>
      <c r="BQ56" s="102">
        <f>$B19*BQ19*(1+Assumptions!$G$74)</f>
        <v>3678.7342554776792</v>
      </c>
      <c r="BR56" s="102">
        <f>$B19*BR19*(1+Assumptions!$G$74)</f>
        <v>3204.0588676741077</v>
      </c>
      <c r="BS56" s="102">
        <f>$B19*BS19*(1+Assumptions!$G$74)</f>
        <v>2942.9874043821428</v>
      </c>
      <c r="BT56" s="103">
        <f t="shared" si="25"/>
        <v>43400.164051115287</v>
      </c>
      <c r="BU56" s="103"/>
    </row>
    <row r="57" spans="1:73" ht="15.75" customHeight="1">
      <c r="A57" s="92"/>
      <c r="B57" s="92"/>
      <c r="C57" s="106"/>
      <c r="D57" s="106"/>
      <c r="E57" s="92"/>
      <c r="F57" s="92" t="str">
        <f t="shared" si="18"/>
        <v>Seasonal #1</v>
      </c>
      <c r="G57" s="92"/>
      <c r="H57" s="112">
        <f t="shared" ref="H57:S57" si="29">$B20*H20</f>
        <v>2874.723</v>
      </c>
      <c r="I57" s="112">
        <f t="shared" si="29"/>
        <v>3056.3251249999994</v>
      </c>
      <c r="J57" s="112">
        <f t="shared" si="29"/>
        <v>4312.0844999999999</v>
      </c>
      <c r="K57" s="112">
        <f t="shared" si="29"/>
        <v>5100.3150000000005</v>
      </c>
      <c r="L57" s="112">
        <f t="shared" si="29"/>
        <v>5749.4459999999999</v>
      </c>
      <c r="M57" s="112">
        <f t="shared" si="29"/>
        <v>5795.8125</v>
      </c>
      <c r="N57" s="112">
        <f t="shared" si="29"/>
        <v>5989.0062499999995</v>
      </c>
      <c r="O57" s="112">
        <f t="shared" si="29"/>
        <v>5749.4459999999999</v>
      </c>
      <c r="P57" s="112">
        <f t="shared" si="29"/>
        <v>5100.3150000000005</v>
      </c>
      <c r="Q57" s="112">
        <f t="shared" si="29"/>
        <v>4791.2049999999999</v>
      </c>
      <c r="R57" s="112">
        <f t="shared" si="29"/>
        <v>4172.9849999999997</v>
      </c>
      <c r="S57" s="112">
        <f t="shared" si="29"/>
        <v>3832.9640000000004</v>
      </c>
      <c r="T57" s="292">
        <f t="shared" si="20"/>
        <v>56524.627375000004</v>
      </c>
      <c r="U57" s="308">
        <f>$B20*U20*(1+Assumptions!$D$74)</f>
        <v>3737.1398999999997</v>
      </c>
      <c r="V57" s="112">
        <f>$B20*V20*(1+Assumptions!$D$74)</f>
        <v>3973.2226624999994</v>
      </c>
      <c r="W57" s="112">
        <f>$B20*W20*(1+Assumptions!$D$74)</f>
        <v>5605.7098499999993</v>
      </c>
      <c r="X57" s="112">
        <f>$B20*X20*(1+Assumptions!$D$74)</f>
        <v>6630.4095000000007</v>
      </c>
      <c r="Y57" s="112">
        <f>$B20*Y20*(1+Assumptions!$D$74)</f>
        <v>7474.2797999999993</v>
      </c>
      <c r="Z57" s="112">
        <f>$B20*Z20*(1+Assumptions!$D$74)</f>
        <v>7534.5562499999987</v>
      </c>
      <c r="AA57" s="112">
        <f>$B20*AA20*(1+Assumptions!$D$74)</f>
        <v>7785.7081250000001</v>
      </c>
      <c r="AB57" s="112">
        <f>$B20*AB20*(1+Assumptions!$D$74)</f>
        <v>7474.2797999999993</v>
      </c>
      <c r="AC57" s="112">
        <f>$B20*AC20*(1+Assumptions!$D$74)</f>
        <v>6630.4095000000007</v>
      </c>
      <c r="AD57" s="112">
        <f>$B20*AD20*(1+Assumptions!$D$74)</f>
        <v>6228.5665000000008</v>
      </c>
      <c r="AE57" s="112">
        <f>$B20*AE20*(1+Assumptions!$D$74)</f>
        <v>5424.8805000000002</v>
      </c>
      <c r="AF57" s="112">
        <f>$B20*AF20*(1+Assumptions!$D$74)</f>
        <v>4982.8532000000005</v>
      </c>
      <c r="AG57" s="292">
        <f t="shared" si="22"/>
        <v>73482.015587499991</v>
      </c>
      <c r="AH57" s="309">
        <f>$B20*AH20*(1+Assumptions!$E$74)</f>
        <v>4256.3867418749996</v>
      </c>
      <c r="AI57" s="310">
        <f>$B20*AI20*(1+Assumptions!$E$74)</f>
        <v>4525.2713882031239</v>
      </c>
      <c r="AJ57" s="310">
        <f>$B20*AJ20*(1+Assumptions!$E$74)</f>
        <v>6384.5801128124995</v>
      </c>
      <c r="AK57" s="310">
        <f>$B20*AK20*(1+Assumptions!$E$74)</f>
        <v>7551.6538968749992</v>
      </c>
      <c r="AL57" s="310">
        <f>$B20*AL20*(1+Assumptions!$E$74)</f>
        <v>8512.7734837499993</v>
      </c>
      <c r="AM57" s="310">
        <f>$B20*AM20*(1+Assumptions!$E$74)</f>
        <v>8581.4248828124983</v>
      </c>
      <c r="AN57" s="310">
        <f>$B20*AN20*(1+Assumptions!$E$74)</f>
        <v>8867.47237890625</v>
      </c>
      <c r="AO57" s="310">
        <f>$B20*AO20*(1+Assumptions!$E$74)</f>
        <v>8512.7734837499993</v>
      </c>
      <c r="AP57" s="310">
        <f>$B20*AP20*(1+Assumptions!$E$74)</f>
        <v>7551.6538968749992</v>
      </c>
      <c r="AQ57" s="310">
        <f>$B20*AQ20*(1+Assumptions!$E$74)</f>
        <v>7093.977903125</v>
      </c>
      <c r="AR57" s="310">
        <f>$B20*AR20*(1+Assumptions!$E$74)</f>
        <v>6178.6259156249989</v>
      </c>
      <c r="AS57" s="310">
        <f>$B20*AS20*(1+Assumptions!$E$74)</f>
        <v>5675.1823224999998</v>
      </c>
      <c r="AT57" s="290">
        <f t="shared" si="23"/>
        <v>83691.77640710937</v>
      </c>
      <c r="AU57" s="309">
        <f>$B20*AU20*(1+Assumptions!$F$74)</f>
        <v>4682.0254160625</v>
      </c>
      <c r="AV57" s="310">
        <f>$B20*AV20*(1+Assumptions!$F$74)</f>
        <v>4977.7985270234367</v>
      </c>
      <c r="AW57" s="310">
        <f>$B20*AW20*(1+Assumptions!$F$74)</f>
        <v>7023.0381240937504</v>
      </c>
      <c r="AX57" s="310">
        <f>$B20*AX20*(1+Assumptions!$F$74)</f>
        <v>8306.8192865625006</v>
      </c>
      <c r="AY57" s="310">
        <f>$B20*AY20*(1+Assumptions!$F$74)</f>
        <v>9364.0508321249999</v>
      </c>
      <c r="AZ57" s="310">
        <f>$B20*AZ20*(1+Assumptions!$F$74)</f>
        <v>9439.5673710937499</v>
      </c>
      <c r="BA57" s="310">
        <f>$B20*BA20*(1+Assumptions!$F$74)</f>
        <v>9754.2196167968759</v>
      </c>
      <c r="BB57" s="310">
        <f>$B20*BB20*(1+Assumptions!$F$74)</f>
        <v>9364.0508321249999</v>
      </c>
      <c r="BC57" s="310">
        <f>$B20*BC20*(1+Assumptions!$F$74)</f>
        <v>8306.8192865625006</v>
      </c>
      <c r="BD57" s="310">
        <f>$B20*BD20*(1+Assumptions!$F$74)</f>
        <v>7803.3756934375015</v>
      </c>
      <c r="BE57" s="310">
        <f>$B20*BE20*(1+Assumptions!$F$74)</f>
        <v>6796.4885071875005</v>
      </c>
      <c r="BF57" s="310">
        <f>$B20*BF20*(1+Assumptions!$F$74)</f>
        <v>6242.7005547500003</v>
      </c>
      <c r="BG57" s="290">
        <f t="shared" si="24"/>
        <v>92060.954047820313</v>
      </c>
      <c r="BH57" s="309">
        <f>$B20*BH20*(1+Assumptions!$G$74)</f>
        <v>5150.2279576687497</v>
      </c>
      <c r="BI57" s="102">
        <f>$B20*BI20*(1+Assumptions!$G$74)</f>
        <v>5475.5783797257818</v>
      </c>
      <c r="BJ57" s="102">
        <f>$B20*BJ20*(1+Assumptions!$G$74)</f>
        <v>7725.341936503125</v>
      </c>
      <c r="BK57" s="102">
        <f>$B20*BK20*(1+Assumptions!$G$74)</f>
        <v>9137.5012152187501</v>
      </c>
      <c r="BL57" s="102">
        <f>$B20*BL20*(1+Assumptions!$G$74)</f>
        <v>10300.455915337499</v>
      </c>
      <c r="BM57" s="102">
        <f>$B20*BM20*(1+Assumptions!$G$74)</f>
        <v>10383.524108203126</v>
      </c>
      <c r="BN57" s="102">
        <f>$B20*BN20*(1+Assumptions!$G$74)</f>
        <v>10729.641578476563</v>
      </c>
      <c r="BO57" s="102">
        <f>$B20*BO20*(1+Assumptions!$G$74)</f>
        <v>10300.455915337499</v>
      </c>
      <c r="BP57" s="102">
        <f>$B20*BP20*(1+Assumptions!$G$74)</f>
        <v>9137.5012152187501</v>
      </c>
      <c r="BQ57" s="102">
        <f>$B20*BQ20*(1+Assumptions!$G$74)</f>
        <v>8583.7132627812516</v>
      </c>
      <c r="BR57" s="102">
        <f>$B20*BR20*(1+Assumptions!$G$74)</f>
        <v>7476.1373579062511</v>
      </c>
      <c r="BS57" s="102">
        <f>$B20*BS20*(1+Assumptions!$G$74)</f>
        <v>6866.9706102250002</v>
      </c>
      <c r="BT57" s="103">
        <f t="shared" si="25"/>
        <v>101267.04945260235</v>
      </c>
      <c r="BU57" s="103"/>
    </row>
    <row r="58" spans="1:73" ht="15.75" customHeight="1">
      <c r="A58" s="92"/>
      <c r="B58" s="92"/>
      <c r="C58" s="106"/>
      <c r="D58" s="106"/>
      <c r="E58" s="92"/>
      <c r="F58" s="92" t="str">
        <f t="shared" si="18"/>
        <v>Seasonal #2</v>
      </c>
      <c r="G58" s="92"/>
      <c r="H58" s="112">
        <f t="shared" ref="H58:S58" si="30">$B21*H21</f>
        <v>1437.3615</v>
      </c>
      <c r="I58" s="112">
        <f t="shared" si="30"/>
        <v>1528.1625624999997</v>
      </c>
      <c r="J58" s="112">
        <f t="shared" si="30"/>
        <v>2156.04225</v>
      </c>
      <c r="K58" s="112">
        <f t="shared" si="30"/>
        <v>2550.1575000000003</v>
      </c>
      <c r="L58" s="112">
        <f t="shared" si="30"/>
        <v>2874.723</v>
      </c>
      <c r="M58" s="112">
        <f t="shared" si="30"/>
        <v>2897.90625</v>
      </c>
      <c r="N58" s="112">
        <f t="shared" si="30"/>
        <v>2994.5031249999997</v>
      </c>
      <c r="O58" s="112">
        <f t="shared" si="30"/>
        <v>2874.723</v>
      </c>
      <c r="P58" s="112">
        <f t="shared" si="30"/>
        <v>2550.1575000000003</v>
      </c>
      <c r="Q58" s="112">
        <f t="shared" si="30"/>
        <v>2395.6025</v>
      </c>
      <c r="R58" s="112">
        <f t="shared" si="30"/>
        <v>2086.4924999999998</v>
      </c>
      <c r="S58" s="112">
        <f t="shared" si="30"/>
        <v>1916.4820000000002</v>
      </c>
      <c r="T58" s="292">
        <f t="shared" si="20"/>
        <v>28262.313687500002</v>
      </c>
      <c r="U58" s="308">
        <f>$B21*U21*(1+Assumptions!$D$74)</f>
        <v>1868.5699499999998</v>
      </c>
      <c r="V58" s="112">
        <f>$B21*V21*(1+Assumptions!$D$74)</f>
        <v>1986.6113312499997</v>
      </c>
      <c r="W58" s="112">
        <f>$B21*W21*(1+Assumptions!$D$74)</f>
        <v>2802.8549249999996</v>
      </c>
      <c r="X58" s="112">
        <f>$B21*X21*(1+Assumptions!$D$74)</f>
        <v>3315.2047500000003</v>
      </c>
      <c r="Y58" s="112">
        <f>$B21*Y21*(1+Assumptions!$D$74)</f>
        <v>3737.1398999999997</v>
      </c>
      <c r="Z58" s="112">
        <f>$B21*Z21*(1+Assumptions!$D$74)</f>
        <v>3767.2781249999994</v>
      </c>
      <c r="AA58" s="112">
        <f>$B21*AA21*(1+Assumptions!$D$74)</f>
        <v>3892.8540625000001</v>
      </c>
      <c r="AB58" s="112">
        <f>$B21*AB21*(1+Assumptions!$D$74)</f>
        <v>3737.1398999999997</v>
      </c>
      <c r="AC58" s="112">
        <f>$B21*AC21*(1+Assumptions!$D$74)</f>
        <v>3315.2047500000003</v>
      </c>
      <c r="AD58" s="112">
        <f>$B21*AD21*(1+Assumptions!$D$74)</f>
        <v>3114.2832500000004</v>
      </c>
      <c r="AE58" s="112">
        <f>$B21*AE21*(1+Assumptions!$D$74)</f>
        <v>2712.4402500000001</v>
      </c>
      <c r="AF58" s="112">
        <f>$B21*AF21*(1+Assumptions!$D$74)</f>
        <v>2491.4266000000002</v>
      </c>
      <c r="AG58" s="292">
        <f t="shared" si="22"/>
        <v>36741.007793749995</v>
      </c>
      <c r="AH58" s="309">
        <f>$B21*AH21*(1+Assumptions!$E$74)</f>
        <v>2128.1933709374998</v>
      </c>
      <c r="AI58" s="310">
        <f>$B21*AI21*(1+Assumptions!$E$74)</f>
        <v>2262.635694101562</v>
      </c>
      <c r="AJ58" s="310">
        <f>$B21*AJ21*(1+Assumptions!$E$74)</f>
        <v>3192.2900564062497</v>
      </c>
      <c r="AK58" s="310">
        <f>$B21*AK21*(1+Assumptions!$E$74)</f>
        <v>3775.8269484374996</v>
      </c>
      <c r="AL58" s="310">
        <f>$B21*AL21*(1+Assumptions!$E$74)</f>
        <v>4256.3867418749996</v>
      </c>
      <c r="AM58" s="310">
        <f>$B21*AM21*(1+Assumptions!$E$74)</f>
        <v>4290.7124414062491</v>
      </c>
      <c r="AN58" s="310">
        <f>$B21*AN21*(1+Assumptions!$E$74)</f>
        <v>4433.736189453125</v>
      </c>
      <c r="AO58" s="310">
        <f>$B21*AO21*(1+Assumptions!$E$74)</f>
        <v>4256.3867418749996</v>
      </c>
      <c r="AP58" s="310">
        <f>$B21*AP21*(1+Assumptions!$E$74)</f>
        <v>3775.8269484374996</v>
      </c>
      <c r="AQ58" s="310">
        <f>$B21*AQ21*(1+Assumptions!$E$74)</f>
        <v>3546.9889515625</v>
      </c>
      <c r="AR58" s="310">
        <f>$B21*AR21*(1+Assumptions!$E$74)</f>
        <v>3089.3129578124995</v>
      </c>
      <c r="AS58" s="310">
        <f>$B21*AS21*(1+Assumptions!$E$74)</f>
        <v>2837.5911612499999</v>
      </c>
      <c r="AT58" s="290">
        <f t="shared" si="23"/>
        <v>41845.888203554685</v>
      </c>
      <c r="AU58" s="309">
        <f>$B21*AU21*(1+Assumptions!$F$74)</f>
        <v>2341.01270803125</v>
      </c>
      <c r="AV58" s="310">
        <f>$B21*AV21*(1+Assumptions!$F$74)</f>
        <v>2488.8992635117183</v>
      </c>
      <c r="AW58" s="310">
        <f>$B21*AW21*(1+Assumptions!$F$74)</f>
        <v>3511.5190620468752</v>
      </c>
      <c r="AX58" s="310">
        <f>$B21*AX21*(1+Assumptions!$F$74)</f>
        <v>4153.4096432812503</v>
      </c>
      <c r="AY58" s="310">
        <f>$B21*AY21*(1+Assumptions!$F$74)</f>
        <v>4682.0254160625</v>
      </c>
      <c r="AZ58" s="310">
        <f>$B21*AZ21*(1+Assumptions!$F$74)</f>
        <v>4719.7836855468749</v>
      </c>
      <c r="BA58" s="310">
        <f>$B21*BA21*(1+Assumptions!$F$74)</f>
        <v>4877.109808398438</v>
      </c>
      <c r="BB58" s="310">
        <f>$B21*BB21*(1+Assumptions!$F$74)</f>
        <v>4682.0254160625</v>
      </c>
      <c r="BC58" s="310">
        <f>$B21*BC21*(1+Assumptions!$F$74)</f>
        <v>4153.4096432812503</v>
      </c>
      <c r="BD58" s="310">
        <f>$B21*BD21*(1+Assumptions!$F$74)</f>
        <v>3901.6878467187507</v>
      </c>
      <c r="BE58" s="310">
        <f>$B21*BE21*(1+Assumptions!$F$74)</f>
        <v>3398.2442535937503</v>
      </c>
      <c r="BF58" s="310">
        <f>$B21*BF21*(1+Assumptions!$F$74)</f>
        <v>3121.3502773750001</v>
      </c>
      <c r="BG58" s="290">
        <f t="shared" si="24"/>
        <v>46030.477023910156</v>
      </c>
      <c r="BH58" s="309">
        <f>$B21*BH21*(1+Assumptions!$G$74)</f>
        <v>2575.1139788343748</v>
      </c>
      <c r="BI58" s="102">
        <f>$B21*BI21*(1+Assumptions!$G$74)</f>
        <v>2737.7891898628909</v>
      </c>
      <c r="BJ58" s="102">
        <f>$B21*BJ21*(1+Assumptions!$G$74)</f>
        <v>3862.6709682515625</v>
      </c>
      <c r="BK58" s="102">
        <f>$B21*BK21*(1+Assumptions!$G$74)</f>
        <v>4568.750607609375</v>
      </c>
      <c r="BL58" s="102">
        <f>$B21*BL21*(1+Assumptions!$G$74)</f>
        <v>5150.2279576687497</v>
      </c>
      <c r="BM58" s="102">
        <f>$B21*BM21*(1+Assumptions!$G$74)</f>
        <v>5191.7620541015631</v>
      </c>
      <c r="BN58" s="102">
        <f>$B21*BN21*(1+Assumptions!$G$74)</f>
        <v>5364.8207892382816</v>
      </c>
      <c r="BO58" s="102">
        <f>$B21*BO21*(1+Assumptions!$G$74)</f>
        <v>5150.2279576687497</v>
      </c>
      <c r="BP58" s="102">
        <f>$B21*BP21*(1+Assumptions!$G$74)</f>
        <v>4568.750607609375</v>
      </c>
      <c r="BQ58" s="102">
        <f>$B21*BQ21*(1+Assumptions!$G$74)</f>
        <v>4291.8566313906258</v>
      </c>
      <c r="BR58" s="102">
        <f>$B21*BR21*(1+Assumptions!$G$74)</f>
        <v>3738.0686789531255</v>
      </c>
      <c r="BS58" s="102">
        <f>$B21*BS21*(1+Assumptions!$G$74)</f>
        <v>3433.4853051125001</v>
      </c>
      <c r="BT58" s="103">
        <f t="shared" si="25"/>
        <v>50633.524726301177</v>
      </c>
      <c r="BU58" s="103"/>
    </row>
    <row r="59" spans="1:73" ht="15.75" customHeight="1">
      <c r="A59" s="92"/>
      <c r="B59" s="92"/>
      <c r="C59" s="106"/>
      <c r="D59" s="106"/>
      <c r="E59" s="92"/>
      <c r="F59" s="92" t="str">
        <f t="shared" si="18"/>
        <v>Rotating IPA #1</v>
      </c>
      <c r="G59" s="92"/>
      <c r="H59" s="112">
        <f t="shared" ref="H59:S59" si="31">$B22*H22</f>
        <v>1437.3615</v>
      </c>
      <c r="I59" s="112">
        <f t="shared" si="31"/>
        <v>1528.1625624999997</v>
      </c>
      <c r="J59" s="112">
        <f t="shared" si="31"/>
        <v>2156.04225</v>
      </c>
      <c r="K59" s="112">
        <f t="shared" si="31"/>
        <v>2550.1575000000003</v>
      </c>
      <c r="L59" s="112">
        <f t="shared" si="31"/>
        <v>2874.723</v>
      </c>
      <c r="M59" s="112">
        <f t="shared" si="31"/>
        <v>2897.90625</v>
      </c>
      <c r="N59" s="112">
        <f t="shared" si="31"/>
        <v>2994.5031249999997</v>
      </c>
      <c r="O59" s="112">
        <f t="shared" si="31"/>
        <v>2874.723</v>
      </c>
      <c r="P59" s="112">
        <f t="shared" si="31"/>
        <v>2550.1575000000003</v>
      </c>
      <c r="Q59" s="112">
        <f t="shared" si="31"/>
        <v>2395.6025</v>
      </c>
      <c r="R59" s="112">
        <f t="shared" si="31"/>
        <v>2086.4924999999998</v>
      </c>
      <c r="S59" s="112">
        <f t="shared" si="31"/>
        <v>1916.4820000000002</v>
      </c>
      <c r="T59" s="292">
        <f t="shared" si="20"/>
        <v>28262.313687500002</v>
      </c>
      <c r="U59" s="308">
        <f>$B22*U22*(1+Assumptions!$D$74)</f>
        <v>1868.5699499999998</v>
      </c>
      <c r="V59" s="112">
        <f>$B22*V22*(1+Assumptions!$D$74)</f>
        <v>1986.6113312499997</v>
      </c>
      <c r="W59" s="112">
        <f>$B22*W22*(1+Assumptions!$D$74)</f>
        <v>2802.8549249999996</v>
      </c>
      <c r="X59" s="112">
        <f>$B22*X22*(1+Assumptions!$D$74)</f>
        <v>3315.2047500000003</v>
      </c>
      <c r="Y59" s="112">
        <f>$B22*Y22*(1+Assumptions!$D$74)</f>
        <v>3737.1398999999997</v>
      </c>
      <c r="Z59" s="112">
        <f>$B22*Z22*(1+Assumptions!$D$74)</f>
        <v>3767.2781249999994</v>
      </c>
      <c r="AA59" s="112">
        <f>$B22*AA22*(1+Assumptions!$D$74)</f>
        <v>3892.8540625000001</v>
      </c>
      <c r="AB59" s="112">
        <f>$B22*AB22*(1+Assumptions!$D$74)</f>
        <v>3737.1398999999997</v>
      </c>
      <c r="AC59" s="112">
        <f>$B22*AC22*(1+Assumptions!$D$74)</f>
        <v>3315.2047500000003</v>
      </c>
      <c r="AD59" s="112">
        <f>$B22*AD22*(1+Assumptions!$D$74)</f>
        <v>3114.2832500000004</v>
      </c>
      <c r="AE59" s="112">
        <f>$B22*AE22*(1+Assumptions!$D$74)</f>
        <v>2712.4402500000001</v>
      </c>
      <c r="AF59" s="112">
        <f>$B22*AF22*(1+Assumptions!$D$74)</f>
        <v>2491.4266000000002</v>
      </c>
      <c r="AG59" s="292">
        <f t="shared" si="22"/>
        <v>36741.007793749995</v>
      </c>
      <c r="AH59" s="309">
        <f>$B22*AH22*(1+Assumptions!$E$74)</f>
        <v>2128.1933709374998</v>
      </c>
      <c r="AI59" s="310">
        <f>$B22*AI22*(1+Assumptions!$E$74)</f>
        <v>2262.635694101562</v>
      </c>
      <c r="AJ59" s="310">
        <f>$B22*AJ22*(1+Assumptions!$E$74)</f>
        <v>3192.2900564062497</v>
      </c>
      <c r="AK59" s="310">
        <f>$B22*AK22*(1+Assumptions!$E$74)</f>
        <v>3775.8269484374996</v>
      </c>
      <c r="AL59" s="310">
        <f>$B22*AL22*(1+Assumptions!$E$74)</f>
        <v>4256.3867418749996</v>
      </c>
      <c r="AM59" s="310">
        <f>$B22*AM22*(1+Assumptions!$E$74)</f>
        <v>4290.7124414062491</v>
      </c>
      <c r="AN59" s="310">
        <f>$B22*AN22*(1+Assumptions!$E$74)</f>
        <v>4433.736189453125</v>
      </c>
      <c r="AO59" s="310">
        <f>$B22*AO22*(1+Assumptions!$E$74)</f>
        <v>4256.3867418749996</v>
      </c>
      <c r="AP59" s="310">
        <f>$B22*AP22*(1+Assumptions!$E$74)</f>
        <v>3775.8269484374996</v>
      </c>
      <c r="AQ59" s="310">
        <f>$B22*AQ22*(1+Assumptions!$E$74)</f>
        <v>3546.9889515625</v>
      </c>
      <c r="AR59" s="310">
        <f>$B22*AR22*(1+Assumptions!$E$74)</f>
        <v>3089.3129578124995</v>
      </c>
      <c r="AS59" s="310">
        <f>$B22*AS22*(1+Assumptions!$E$74)</f>
        <v>2837.5911612499999</v>
      </c>
      <c r="AT59" s="290">
        <f t="shared" si="23"/>
        <v>41845.888203554685</v>
      </c>
      <c r="AU59" s="309">
        <f>$B22*AU22*(1+Assumptions!$F$74)</f>
        <v>2341.01270803125</v>
      </c>
      <c r="AV59" s="310">
        <f>$B22*AV22*(1+Assumptions!$F$74)</f>
        <v>2488.8992635117183</v>
      </c>
      <c r="AW59" s="310">
        <f>$B22*AW22*(1+Assumptions!$F$74)</f>
        <v>3511.5190620468752</v>
      </c>
      <c r="AX59" s="310">
        <f>$B22*AX22*(1+Assumptions!$F$74)</f>
        <v>4153.4096432812503</v>
      </c>
      <c r="AY59" s="310">
        <f>$B22*AY22*(1+Assumptions!$F$74)</f>
        <v>4682.0254160625</v>
      </c>
      <c r="AZ59" s="310">
        <f>$B22*AZ22*(1+Assumptions!$F$74)</f>
        <v>4719.7836855468749</v>
      </c>
      <c r="BA59" s="310">
        <f>$B22*BA22*(1+Assumptions!$F$74)</f>
        <v>4877.109808398438</v>
      </c>
      <c r="BB59" s="310">
        <f>$B22*BB22*(1+Assumptions!$F$74)</f>
        <v>4682.0254160625</v>
      </c>
      <c r="BC59" s="310">
        <f>$B22*BC22*(1+Assumptions!$F$74)</f>
        <v>4153.4096432812503</v>
      </c>
      <c r="BD59" s="310">
        <f>$B22*BD22*(1+Assumptions!$F$74)</f>
        <v>3901.6878467187507</v>
      </c>
      <c r="BE59" s="310">
        <f>$B22*BE22*(1+Assumptions!$F$74)</f>
        <v>3398.2442535937503</v>
      </c>
      <c r="BF59" s="310">
        <f>$B22*BF22*(1+Assumptions!$F$74)</f>
        <v>3121.3502773750001</v>
      </c>
      <c r="BG59" s="290">
        <f t="shared" si="24"/>
        <v>46030.477023910156</v>
      </c>
      <c r="BH59" s="309">
        <f>$B22*BH22*(1+Assumptions!$G$74)</f>
        <v>2575.1139788343748</v>
      </c>
      <c r="BI59" s="102">
        <f>$B22*BI22*(1+Assumptions!$G$74)</f>
        <v>2737.7891898628909</v>
      </c>
      <c r="BJ59" s="102">
        <f>$B22*BJ22*(1+Assumptions!$G$74)</f>
        <v>3862.6709682515625</v>
      </c>
      <c r="BK59" s="102">
        <f>$B22*BK22*(1+Assumptions!$G$74)</f>
        <v>4568.750607609375</v>
      </c>
      <c r="BL59" s="102">
        <f>$B22*BL22*(1+Assumptions!$G$74)</f>
        <v>5150.2279576687497</v>
      </c>
      <c r="BM59" s="102">
        <f>$B22*BM22*(1+Assumptions!$G$74)</f>
        <v>5191.7620541015631</v>
      </c>
      <c r="BN59" s="102">
        <f>$B22*BN22*(1+Assumptions!$G$74)</f>
        <v>5364.8207892382816</v>
      </c>
      <c r="BO59" s="102">
        <f>$B22*BO22*(1+Assumptions!$G$74)</f>
        <v>5150.2279576687497</v>
      </c>
      <c r="BP59" s="102">
        <f>$B22*BP22*(1+Assumptions!$G$74)</f>
        <v>4568.750607609375</v>
      </c>
      <c r="BQ59" s="102">
        <f>$B22*BQ22*(1+Assumptions!$G$74)</f>
        <v>4291.8566313906258</v>
      </c>
      <c r="BR59" s="102">
        <f>$B22*BR22*(1+Assumptions!$G$74)</f>
        <v>3738.0686789531255</v>
      </c>
      <c r="BS59" s="102">
        <f>$B22*BS22*(1+Assumptions!$G$74)</f>
        <v>3433.4853051125001</v>
      </c>
      <c r="BT59" s="103">
        <f t="shared" si="25"/>
        <v>50633.524726301177</v>
      </c>
      <c r="BU59" s="103"/>
    </row>
    <row r="60" spans="1:73" ht="15.75" customHeight="1">
      <c r="A60" s="92"/>
      <c r="B60" s="92"/>
      <c r="C60" s="106"/>
      <c r="D60" s="106"/>
      <c r="E60" s="92"/>
      <c r="F60" s="92" t="str">
        <f t="shared" si="18"/>
        <v>Rotating IPA #2</v>
      </c>
      <c r="G60" s="92"/>
      <c r="H60" s="112">
        <f t="shared" ref="H60:S60" si="32">$B23*H23</f>
        <v>2156.04225</v>
      </c>
      <c r="I60" s="112">
        <f t="shared" si="32"/>
        <v>2292.2438437499995</v>
      </c>
      <c r="J60" s="112">
        <f t="shared" si="32"/>
        <v>3234.0633749999997</v>
      </c>
      <c r="K60" s="112">
        <f t="shared" si="32"/>
        <v>3825.2362499999999</v>
      </c>
      <c r="L60" s="112">
        <f t="shared" si="32"/>
        <v>4312.0844999999999</v>
      </c>
      <c r="M60" s="112">
        <f t="shared" si="32"/>
        <v>4346.8593749999991</v>
      </c>
      <c r="N60" s="112">
        <f t="shared" si="32"/>
        <v>4491.7546874999989</v>
      </c>
      <c r="O60" s="112">
        <f t="shared" si="32"/>
        <v>4312.0844999999999</v>
      </c>
      <c r="P60" s="112">
        <f t="shared" si="32"/>
        <v>3825.2362499999999</v>
      </c>
      <c r="Q60" s="112">
        <f t="shared" si="32"/>
        <v>3593.4037499999995</v>
      </c>
      <c r="R60" s="112">
        <f t="shared" si="32"/>
        <v>3129.7387499999995</v>
      </c>
      <c r="S60" s="112">
        <f t="shared" si="32"/>
        <v>2874.723</v>
      </c>
      <c r="T60" s="292">
        <f t="shared" si="20"/>
        <v>42393.470531249986</v>
      </c>
      <c r="U60" s="308">
        <f>$B23*U23*(1+Assumptions!$D$74)</f>
        <v>2802.8549249999996</v>
      </c>
      <c r="V60" s="112">
        <f>$B23*V23*(1+Assumptions!$D$74)</f>
        <v>2979.9169968749993</v>
      </c>
      <c r="W60" s="112">
        <f>$B23*W23*(1+Assumptions!$D$74)</f>
        <v>4204.2823875000004</v>
      </c>
      <c r="X60" s="112">
        <f>$B23*X23*(1+Assumptions!$D$74)</f>
        <v>4972.8071249999994</v>
      </c>
      <c r="Y60" s="112">
        <f>$B23*Y23*(1+Assumptions!$D$74)</f>
        <v>5605.7098499999993</v>
      </c>
      <c r="Z60" s="112">
        <f>$B23*Z23*(1+Assumptions!$D$74)</f>
        <v>5650.9171874999984</v>
      </c>
      <c r="AA60" s="112">
        <f>$B23*AA23*(1+Assumptions!$D$74)</f>
        <v>5839.2810937499989</v>
      </c>
      <c r="AB60" s="112">
        <f>$B23*AB23*(1+Assumptions!$D$74)</f>
        <v>5605.7098499999993</v>
      </c>
      <c r="AC60" s="112">
        <f>$B23*AC23*(1+Assumptions!$D$74)</f>
        <v>4972.8071249999994</v>
      </c>
      <c r="AD60" s="112">
        <f>$B23*AD23*(1+Assumptions!$D$74)</f>
        <v>4671.4248749999997</v>
      </c>
      <c r="AE60" s="112">
        <f>$B23*AE23*(1+Assumptions!$D$74)</f>
        <v>4068.6603750000004</v>
      </c>
      <c r="AF60" s="112">
        <f>$B23*AF23*(1+Assumptions!$D$74)</f>
        <v>3737.1398999999997</v>
      </c>
      <c r="AG60" s="292">
        <f t="shared" si="22"/>
        <v>55111.511690624997</v>
      </c>
      <c r="AH60" s="309">
        <f>$B23*AH23*(1+Assumptions!$E$74)</f>
        <v>3192.2900564062497</v>
      </c>
      <c r="AI60" s="310">
        <f>$B23*AI23*(1+Assumptions!$E$74)</f>
        <v>3393.953541152343</v>
      </c>
      <c r="AJ60" s="310">
        <f>$B23*AJ23*(1+Assumptions!$E$74)</f>
        <v>4788.4350846093739</v>
      </c>
      <c r="AK60" s="310">
        <f>$B23*AK23*(1+Assumptions!$E$74)</f>
        <v>5663.7404226562494</v>
      </c>
      <c r="AL60" s="310">
        <f>$B23*AL23*(1+Assumptions!$E$74)</f>
        <v>6384.5801128124995</v>
      </c>
      <c r="AM60" s="310">
        <f>$B23*AM23*(1+Assumptions!$E$74)</f>
        <v>6436.0686621093728</v>
      </c>
      <c r="AN60" s="310">
        <f>$B23*AN23*(1+Assumptions!$E$74)</f>
        <v>6650.6042841796852</v>
      </c>
      <c r="AO60" s="310">
        <f>$B23*AO23*(1+Assumptions!$E$74)</f>
        <v>6384.5801128124995</v>
      </c>
      <c r="AP60" s="310">
        <f>$B23*AP23*(1+Assumptions!$E$74)</f>
        <v>5663.7404226562494</v>
      </c>
      <c r="AQ60" s="310">
        <f>$B23*AQ23*(1+Assumptions!$E$74)</f>
        <v>5320.4834273437491</v>
      </c>
      <c r="AR60" s="310">
        <f>$B23*AR23*(1+Assumptions!$E$74)</f>
        <v>4633.9694367187494</v>
      </c>
      <c r="AS60" s="310">
        <f>$B23*AS23*(1+Assumptions!$E$74)</f>
        <v>4256.3867418749996</v>
      </c>
      <c r="AT60" s="290">
        <f t="shared" si="23"/>
        <v>62768.832305332027</v>
      </c>
      <c r="AU60" s="309">
        <f>$B23*AU23*(1+Assumptions!$F$74)</f>
        <v>3511.5190620468752</v>
      </c>
      <c r="AV60" s="310">
        <f>$B23*AV23*(1+Assumptions!$F$74)</f>
        <v>3733.3488952675775</v>
      </c>
      <c r="AW60" s="310">
        <f>$B23*AW23*(1+Assumptions!$F$74)</f>
        <v>5267.2785930703121</v>
      </c>
      <c r="AX60" s="310">
        <f>$B23*AX23*(1+Assumptions!$F$74)</f>
        <v>6230.114464921875</v>
      </c>
      <c r="AY60" s="310">
        <f>$B23*AY23*(1+Assumptions!$F$74)</f>
        <v>7023.0381240937504</v>
      </c>
      <c r="AZ60" s="310">
        <f>$B23*AZ23*(1+Assumptions!$F$74)</f>
        <v>7079.6755283203101</v>
      </c>
      <c r="BA60" s="310">
        <f>$B23*BA23*(1+Assumptions!$F$74)</f>
        <v>7315.6647125976542</v>
      </c>
      <c r="BB60" s="310">
        <f>$B23*BB23*(1+Assumptions!$F$74)</f>
        <v>7023.0381240937504</v>
      </c>
      <c r="BC60" s="310">
        <f>$B23*BC23*(1+Assumptions!$F$74)</f>
        <v>6230.114464921875</v>
      </c>
      <c r="BD60" s="310">
        <f>$B23*BD23*(1+Assumptions!$F$74)</f>
        <v>5852.5317700781252</v>
      </c>
      <c r="BE60" s="310">
        <f>$B23*BE23*(1+Assumptions!$F$74)</f>
        <v>5097.3663803906265</v>
      </c>
      <c r="BF60" s="310">
        <f>$B23*BF23*(1+Assumptions!$F$74)</f>
        <v>4682.0254160625</v>
      </c>
      <c r="BG60" s="290">
        <f t="shared" si="24"/>
        <v>69045.715535865224</v>
      </c>
      <c r="BH60" s="309">
        <f>$B23*BH23*(1+Assumptions!$G$74)</f>
        <v>3862.6709682515625</v>
      </c>
      <c r="BI60" s="102">
        <f>$B23*BI23*(1+Assumptions!$G$74)</f>
        <v>4106.6837847943352</v>
      </c>
      <c r="BJ60" s="102">
        <f>$B23*BJ23*(1+Assumptions!$G$74)</f>
        <v>5794.0064523773435</v>
      </c>
      <c r="BK60" s="102">
        <f>$B23*BK23*(1+Assumptions!$G$74)</f>
        <v>6853.1259114140621</v>
      </c>
      <c r="BL60" s="102">
        <f>$B23*BL23*(1+Assumptions!$G$74)</f>
        <v>7725.341936503125</v>
      </c>
      <c r="BM60" s="102">
        <f>$B23*BM23*(1+Assumptions!$G$74)</f>
        <v>7787.6430811523423</v>
      </c>
      <c r="BN60" s="102">
        <f>$B23*BN23*(1+Assumptions!$G$74)</f>
        <v>8047.2311838574196</v>
      </c>
      <c r="BO60" s="102">
        <f>$B23*BO23*(1+Assumptions!$G$74)</f>
        <v>7725.341936503125</v>
      </c>
      <c r="BP60" s="102">
        <f>$B23*BP23*(1+Assumptions!$G$74)</f>
        <v>6853.1259114140621</v>
      </c>
      <c r="BQ60" s="102">
        <f>$B23*BQ23*(1+Assumptions!$G$74)</f>
        <v>6437.7849470859392</v>
      </c>
      <c r="BR60" s="102">
        <f>$B23*BR23*(1+Assumptions!$G$74)</f>
        <v>5607.1030184296887</v>
      </c>
      <c r="BS60" s="102">
        <f>$B23*BS23*(1+Assumptions!$G$74)</f>
        <v>5150.2279576687497</v>
      </c>
      <c r="BT60" s="103">
        <f t="shared" si="25"/>
        <v>75950.28708945174</v>
      </c>
      <c r="BU60" s="103"/>
    </row>
    <row r="61" spans="1:73" ht="15.75" customHeight="1">
      <c r="A61" s="92"/>
      <c r="B61" s="92"/>
      <c r="C61" s="106"/>
      <c r="D61" s="106"/>
      <c r="E61" s="92"/>
      <c r="F61" s="92" t="str">
        <f t="shared" si="18"/>
        <v>Special release</v>
      </c>
      <c r="G61" s="92"/>
      <c r="H61" s="112">
        <f t="shared" ref="H61:S61" si="33">$B24*H24</f>
        <v>924.01810714285716</v>
      </c>
      <c r="I61" s="112">
        <f t="shared" si="33"/>
        <v>982.3902187499998</v>
      </c>
      <c r="J61" s="112">
        <f t="shared" si="33"/>
        <v>1386.0271607142856</v>
      </c>
      <c r="K61" s="112">
        <f t="shared" si="33"/>
        <v>1639.3869642857144</v>
      </c>
      <c r="L61" s="112">
        <f t="shared" si="33"/>
        <v>1848.0362142857143</v>
      </c>
      <c r="M61" s="112">
        <f t="shared" si="33"/>
        <v>1862.9397321428569</v>
      </c>
      <c r="N61" s="112">
        <f t="shared" si="33"/>
        <v>1925.0377232142857</v>
      </c>
      <c r="O61" s="112">
        <f t="shared" si="33"/>
        <v>1848.0362142857143</v>
      </c>
      <c r="P61" s="112">
        <f t="shared" si="33"/>
        <v>1639.3869642857144</v>
      </c>
      <c r="Q61" s="112">
        <f t="shared" si="33"/>
        <v>1540.0301785714287</v>
      </c>
      <c r="R61" s="112">
        <f t="shared" si="33"/>
        <v>1341.316607142857</v>
      </c>
      <c r="S61" s="112">
        <f t="shared" si="33"/>
        <v>1232.024142857143</v>
      </c>
      <c r="T61" s="292">
        <f t="shared" si="20"/>
        <v>18168.630227678572</v>
      </c>
      <c r="U61" s="308">
        <f>$B24*U24*(1+Assumptions!$D$74)</f>
        <v>1201.2235392857142</v>
      </c>
      <c r="V61" s="112">
        <f>$B24*V24*(1+Assumptions!$D$74)</f>
        <v>1277.1072843749998</v>
      </c>
      <c r="W61" s="112">
        <f>$B24*W24*(1+Assumptions!$D$74)</f>
        <v>1801.8353089285715</v>
      </c>
      <c r="X61" s="112">
        <f>$B24*X24*(1+Assumptions!$D$74)</f>
        <v>2131.2030535714284</v>
      </c>
      <c r="Y61" s="112">
        <f>$B24*Y24*(1+Assumptions!$D$74)</f>
        <v>2402.4470785714284</v>
      </c>
      <c r="Z61" s="112">
        <f>$B24*Z24*(1+Assumptions!$D$74)</f>
        <v>2421.821651785714</v>
      </c>
      <c r="AA61" s="112">
        <f>$B24*AA24*(1+Assumptions!$D$74)</f>
        <v>2502.5490401785714</v>
      </c>
      <c r="AB61" s="112">
        <f>$B24*AB24*(1+Assumptions!$D$74)</f>
        <v>2402.4470785714284</v>
      </c>
      <c r="AC61" s="112">
        <f>$B24*AC24*(1+Assumptions!$D$74)</f>
        <v>2131.2030535714284</v>
      </c>
      <c r="AD61" s="112">
        <f>$B24*AD24*(1+Assumptions!$D$74)</f>
        <v>2002.0392321428574</v>
      </c>
      <c r="AE61" s="112">
        <f>$B24*AE24*(1+Assumptions!$D$74)</f>
        <v>1743.7115892857141</v>
      </c>
      <c r="AF61" s="112">
        <f>$B24*AF24*(1+Assumptions!$D$74)</f>
        <v>1601.6313857142859</v>
      </c>
      <c r="AG61" s="292">
        <f t="shared" si="22"/>
        <v>23619.219295982144</v>
      </c>
      <c r="AH61" s="309">
        <f>$B24*AH24*(1+Assumptions!$E$74)</f>
        <v>1368.1243098883929</v>
      </c>
      <c r="AI61" s="310">
        <f>$B24*AI24*(1+Assumptions!$E$74)</f>
        <v>1454.5515176367185</v>
      </c>
      <c r="AJ61" s="310">
        <f>$B24*AJ24*(1+Assumptions!$E$74)</f>
        <v>2052.1864648325891</v>
      </c>
      <c r="AK61" s="310">
        <f>$B24*AK24*(1+Assumptions!$E$74)</f>
        <v>2427.3173239955354</v>
      </c>
      <c r="AL61" s="310">
        <f>$B24*AL24*(1+Assumptions!$E$74)</f>
        <v>2736.2486197767857</v>
      </c>
      <c r="AM61" s="310">
        <f>$B24*AM24*(1+Assumptions!$E$74)</f>
        <v>2758.315140904017</v>
      </c>
      <c r="AN61" s="310">
        <f>$B24*AN24*(1+Assumptions!$E$74)</f>
        <v>2850.2589789341509</v>
      </c>
      <c r="AO61" s="310">
        <f>$B24*AO24*(1+Assumptions!$E$74)</f>
        <v>2736.2486197767857</v>
      </c>
      <c r="AP61" s="310">
        <f>$B24*AP24*(1+Assumptions!$E$74)</f>
        <v>2427.3173239955354</v>
      </c>
      <c r="AQ61" s="310">
        <f>$B24*AQ24*(1+Assumptions!$E$74)</f>
        <v>2280.2071831473218</v>
      </c>
      <c r="AR61" s="310">
        <f>$B24*AR24*(1+Assumptions!$E$74)</f>
        <v>1985.9869014508927</v>
      </c>
      <c r="AS61" s="310">
        <f>$B24*AS24*(1+Assumptions!$E$74)</f>
        <v>1824.1657465178571</v>
      </c>
      <c r="AT61" s="290">
        <f t="shared" si="23"/>
        <v>26900.928130856581</v>
      </c>
      <c r="AU61" s="309">
        <f>$B24*AU24*(1+Assumptions!$F$74)</f>
        <v>1504.9367408772321</v>
      </c>
      <c r="AV61" s="310">
        <f>$B24*AV24*(1+Assumptions!$F$74)</f>
        <v>1600.0066694003906</v>
      </c>
      <c r="AW61" s="310">
        <f>$B24*AW24*(1+Assumptions!$F$74)</f>
        <v>2257.405111315848</v>
      </c>
      <c r="AX61" s="310">
        <f>$B24*AX24*(1+Assumptions!$F$74)</f>
        <v>2670.0490563950889</v>
      </c>
      <c r="AY61" s="310">
        <f>$B24*AY24*(1+Assumptions!$F$74)</f>
        <v>3009.8734817544641</v>
      </c>
      <c r="AZ61" s="310">
        <f>$B24*AZ24*(1+Assumptions!$F$74)</f>
        <v>3034.1466549944194</v>
      </c>
      <c r="BA61" s="310">
        <f>$B24*BA24*(1+Assumptions!$F$74)</f>
        <v>3135.2848768275667</v>
      </c>
      <c r="BB61" s="310">
        <f>$B24*BB24*(1+Assumptions!$F$74)</f>
        <v>3009.8734817544641</v>
      </c>
      <c r="BC61" s="310">
        <f>$B24*BC24*(1+Assumptions!$F$74)</f>
        <v>2670.0490563950889</v>
      </c>
      <c r="BD61" s="310">
        <f>$B24*BD24*(1+Assumptions!$F$74)</f>
        <v>2508.227901462054</v>
      </c>
      <c r="BE61" s="310">
        <f>$B24*BE24*(1+Assumptions!$F$74)</f>
        <v>2184.5855915959824</v>
      </c>
      <c r="BF61" s="310">
        <f>$B24*BF24*(1+Assumptions!$F$74)</f>
        <v>2006.5823211696429</v>
      </c>
      <c r="BG61" s="290">
        <f t="shared" si="24"/>
        <v>29591.020943942243</v>
      </c>
      <c r="BH61" s="309">
        <f>$B24*BH24*(1+Assumptions!$G$74)</f>
        <v>1655.4304149649554</v>
      </c>
      <c r="BI61" s="102">
        <f>$B24*BI24*(1+Assumptions!$G$74)</f>
        <v>1760.0073363404299</v>
      </c>
      <c r="BJ61" s="102">
        <f>$B24*BJ24*(1+Assumptions!$G$74)</f>
        <v>2483.1456224474332</v>
      </c>
      <c r="BK61" s="102">
        <f>$B24*BK24*(1+Assumptions!$G$74)</f>
        <v>2937.0539620345985</v>
      </c>
      <c r="BL61" s="102">
        <f>$B24*BL24*(1+Assumptions!$G$74)</f>
        <v>3310.8608299299108</v>
      </c>
      <c r="BM61" s="102">
        <f>$B24*BM24*(1+Assumptions!$G$74)</f>
        <v>3337.5613204938618</v>
      </c>
      <c r="BN61" s="102">
        <f>$B24*BN24*(1+Assumptions!$G$74)</f>
        <v>3448.8133645103239</v>
      </c>
      <c r="BO61" s="102">
        <f>$B24*BO24*(1+Assumptions!$G$74)</f>
        <v>3310.8608299299108</v>
      </c>
      <c r="BP61" s="102">
        <f>$B24*BP24*(1+Assumptions!$G$74)</f>
        <v>2937.0539620345985</v>
      </c>
      <c r="BQ61" s="102">
        <f>$B24*BQ24*(1+Assumptions!$G$74)</f>
        <v>2759.0506916082591</v>
      </c>
      <c r="BR61" s="102">
        <f>$B24*BR24*(1+Assumptions!$G$74)</f>
        <v>2403.0441507555806</v>
      </c>
      <c r="BS61" s="102">
        <f>$B24*BS24*(1+Assumptions!$G$74)</f>
        <v>2207.2405532866073</v>
      </c>
      <c r="BT61" s="103">
        <f t="shared" si="25"/>
        <v>32550.123038336471</v>
      </c>
      <c r="BU61" s="103"/>
    </row>
    <row r="62" spans="1:73" ht="15.75" customHeight="1">
      <c r="A62" s="92"/>
      <c r="B62" s="92"/>
      <c r="C62" s="106"/>
      <c r="D62" s="106"/>
      <c r="E62" s="92"/>
      <c r="F62" s="92">
        <f t="shared" si="18"/>
        <v>0</v>
      </c>
      <c r="G62" s="92"/>
      <c r="H62" s="112">
        <f t="shared" ref="H62:S62" si="34">$B25*H25</f>
        <v>0</v>
      </c>
      <c r="I62" s="112">
        <f t="shared" si="34"/>
        <v>0</v>
      </c>
      <c r="J62" s="112">
        <f t="shared" si="34"/>
        <v>0</v>
      </c>
      <c r="K62" s="112">
        <f t="shared" si="34"/>
        <v>0</v>
      </c>
      <c r="L62" s="112">
        <f t="shared" si="34"/>
        <v>0</v>
      </c>
      <c r="M62" s="112">
        <f t="shared" si="34"/>
        <v>0</v>
      </c>
      <c r="N62" s="112">
        <f t="shared" si="34"/>
        <v>0</v>
      </c>
      <c r="O62" s="112">
        <f t="shared" si="34"/>
        <v>0</v>
      </c>
      <c r="P62" s="112">
        <f t="shared" si="34"/>
        <v>0</v>
      </c>
      <c r="Q62" s="112">
        <f t="shared" si="34"/>
        <v>0</v>
      </c>
      <c r="R62" s="112">
        <f t="shared" si="34"/>
        <v>0</v>
      </c>
      <c r="S62" s="112">
        <f t="shared" si="34"/>
        <v>0</v>
      </c>
      <c r="T62" s="292">
        <f>SUM(H62:S62)</f>
        <v>0</v>
      </c>
      <c r="U62" s="308">
        <f>$B25*U25*(1+Assumptions!$D$74)</f>
        <v>0</v>
      </c>
      <c r="V62" s="112">
        <f>$B25*V25*(1+Assumptions!$D$74)</f>
        <v>0</v>
      </c>
      <c r="W62" s="112">
        <f>$B25*W25*(1+Assumptions!$D$74)</f>
        <v>0</v>
      </c>
      <c r="X62" s="112">
        <f>$B25*X25*(1+Assumptions!$D$74)</f>
        <v>0</v>
      </c>
      <c r="Y62" s="112">
        <f>$B25*Y25*(1+Assumptions!$D$74)</f>
        <v>0</v>
      </c>
      <c r="Z62" s="112">
        <f>$B25*Z25*(1+Assumptions!$D$74)</f>
        <v>0</v>
      </c>
      <c r="AA62" s="112">
        <f>$B25*AA25*(1+Assumptions!$D$74)</f>
        <v>0</v>
      </c>
      <c r="AB62" s="112">
        <f>$B25*AB25*(1+Assumptions!$D$74)</f>
        <v>0</v>
      </c>
      <c r="AC62" s="112">
        <f>$B25*AC25*(1+Assumptions!$D$74)</f>
        <v>0</v>
      </c>
      <c r="AD62" s="112">
        <f>$B25*AD25*(1+Assumptions!$D$74)</f>
        <v>0</v>
      </c>
      <c r="AE62" s="112">
        <f>$B25*AE25*(1+Assumptions!$D$74)</f>
        <v>0</v>
      </c>
      <c r="AF62" s="112">
        <f>$B25*AF25*(1+Assumptions!$D$74)</f>
        <v>0</v>
      </c>
      <c r="AG62" s="292">
        <f t="shared" si="22"/>
        <v>0</v>
      </c>
      <c r="AH62" s="309">
        <f>$B25*AH25*(1+Assumptions!$E$74)</f>
        <v>0</v>
      </c>
      <c r="AI62" s="310">
        <f>$B25*AI25*(1+Assumptions!$E$74)</f>
        <v>0</v>
      </c>
      <c r="AJ62" s="310">
        <f>$B25*AJ25*(1+Assumptions!$E$74)</f>
        <v>0</v>
      </c>
      <c r="AK62" s="310">
        <f>$B25*AK25*(1+Assumptions!$E$74)</f>
        <v>0</v>
      </c>
      <c r="AL62" s="310">
        <f>$B25*AL25*(1+Assumptions!$E$74)</f>
        <v>0</v>
      </c>
      <c r="AM62" s="310">
        <f>$B25*AM25*(1+Assumptions!$E$74)</f>
        <v>0</v>
      </c>
      <c r="AN62" s="310">
        <f>$B25*AN25*(1+Assumptions!$E$74)</f>
        <v>0</v>
      </c>
      <c r="AO62" s="310">
        <f>$B25*AO25*(1+Assumptions!$E$74)</f>
        <v>0</v>
      </c>
      <c r="AP62" s="310">
        <f>$B25*AP25*(1+Assumptions!$E$74)</f>
        <v>0</v>
      </c>
      <c r="AQ62" s="310">
        <f>$B25*AQ25*(1+Assumptions!$E$74)</f>
        <v>0</v>
      </c>
      <c r="AR62" s="310">
        <f>$B25*AR25*(1+Assumptions!$E$74)</f>
        <v>0</v>
      </c>
      <c r="AS62" s="310">
        <f>$B25*AS25*(1+Assumptions!$E$74)</f>
        <v>0</v>
      </c>
      <c r="AT62" s="290">
        <f t="shared" si="23"/>
        <v>0</v>
      </c>
      <c r="AU62" s="309">
        <f>$B25*AU25*(1+Assumptions!$F$74)</f>
        <v>0</v>
      </c>
      <c r="AV62" s="310">
        <f>$B25*AV25*(1+Assumptions!$F$74)</f>
        <v>0</v>
      </c>
      <c r="AW62" s="310">
        <f>$B25*AW25*(1+Assumptions!$F$74)</f>
        <v>0</v>
      </c>
      <c r="AX62" s="310">
        <f>$B25*AX25*(1+Assumptions!$F$74)</f>
        <v>0</v>
      </c>
      <c r="AY62" s="310">
        <f>$B25*AY25*(1+Assumptions!$F$74)</f>
        <v>0</v>
      </c>
      <c r="AZ62" s="310">
        <f>$B25*AZ25*(1+Assumptions!$F$74)</f>
        <v>0</v>
      </c>
      <c r="BA62" s="310">
        <f>$B25*BA25*(1+Assumptions!$F$74)</f>
        <v>0</v>
      </c>
      <c r="BB62" s="310">
        <f>$B25*BB25*(1+Assumptions!$F$74)</f>
        <v>0</v>
      </c>
      <c r="BC62" s="310">
        <f>$B25*BC25*(1+Assumptions!$F$74)</f>
        <v>0</v>
      </c>
      <c r="BD62" s="310">
        <f>$B25*BD25*(1+Assumptions!$F$74)</f>
        <v>0</v>
      </c>
      <c r="BE62" s="310">
        <f>$B25*BE25*(1+Assumptions!$F$74)</f>
        <v>0</v>
      </c>
      <c r="BF62" s="310">
        <f>$B25*BF25*(1+Assumptions!$F$74)</f>
        <v>0</v>
      </c>
      <c r="BG62" s="290">
        <f t="shared" si="24"/>
        <v>0</v>
      </c>
      <c r="BH62" s="309">
        <f>$B25*BH25*(1+Assumptions!$G$74)</f>
        <v>0</v>
      </c>
      <c r="BI62" s="102">
        <f>$B25*BI25*(1+Assumptions!$G$74)</f>
        <v>0</v>
      </c>
      <c r="BJ62" s="102">
        <f>$B25*BJ25*(1+Assumptions!$G$74)</f>
        <v>0</v>
      </c>
      <c r="BK62" s="102">
        <f>$B25*BK25*(1+Assumptions!$G$74)</f>
        <v>0</v>
      </c>
      <c r="BL62" s="102">
        <f>$B25*BL25*(1+Assumptions!$G$74)</f>
        <v>0</v>
      </c>
      <c r="BM62" s="102">
        <f>$B25*BM25*(1+Assumptions!$G$74)</f>
        <v>0</v>
      </c>
      <c r="BN62" s="102">
        <f>$B25*BN25*(1+Assumptions!$G$74)</f>
        <v>0</v>
      </c>
      <c r="BO62" s="102">
        <f>$B25*BO25*(1+Assumptions!$G$74)</f>
        <v>0</v>
      </c>
      <c r="BP62" s="102">
        <f>$B25*BP25*(1+Assumptions!$G$74)</f>
        <v>0</v>
      </c>
      <c r="BQ62" s="102">
        <f>$B25*BQ25*(1+Assumptions!$G$74)</f>
        <v>0</v>
      </c>
      <c r="BR62" s="102">
        <f>$B25*BR25*(1+Assumptions!$G$74)</f>
        <v>0</v>
      </c>
      <c r="BS62" s="102">
        <f>$B25*BS25*(1+Assumptions!$G$74)</f>
        <v>0</v>
      </c>
      <c r="BT62" s="103">
        <f t="shared" si="25"/>
        <v>0</v>
      </c>
      <c r="BU62" s="103"/>
    </row>
    <row r="63" spans="1:73" ht="15.75" customHeight="1">
      <c r="A63" s="92"/>
      <c r="B63" s="92"/>
      <c r="C63" s="106"/>
      <c r="D63" s="106"/>
      <c r="E63" s="92"/>
      <c r="F63" s="92">
        <f t="shared" si="18"/>
        <v>0</v>
      </c>
      <c r="G63" s="92"/>
      <c r="H63" s="112">
        <f t="shared" ref="H63:S63" si="35">$B26*H26</f>
        <v>0</v>
      </c>
      <c r="I63" s="112">
        <f t="shared" si="35"/>
        <v>0</v>
      </c>
      <c r="J63" s="112">
        <f t="shared" si="35"/>
        <v>0</v>
      </c>
      <c r="K63" s="112">
        <f t="shared" si="35"/>
        <v>0</v>
      </c>
      <c r="L63" s="112">
        <f t="shared" si="35"/>
        <v>0</v>
      </c>
      <c r="M63" s="112">
        <f t="shared" si="35"/>
        <v>0</v>
      </c>
      <c r="N63" s="112">
        <f t="shared" si="35"/>
        <v>0</v>
      </c>
      <c r="O63" s="112">
        <f t="shared" si="35"/>
        <v>0</v>
      </c>
      <c r="P63" s="112">
        <f t="shared" si="35"/>
        <v>0</v>
      </c>
      <c r="Q63" s="112">
        <f t="shared" si="35"/>
        <v>0</v>
      </c>
      <c r="R63" s="112">
        <f t="shared" si="35"/>
        <v>0</v>
      </c>
      <c r="S63" s="112">
        <f t="shared" si="35"/>
        <v>0</v>
      </c>
      <c r="T63" s="292">
        <f>SUM(H63:S63)</f>
        <v>0</v>
      </c>
      <c r="U63" s="308">
        <f>$B26*U26*(1+Assumptions!$D$74)</f>
        <v>0</v>
      </c>
      <c r="V63" s="112">
        <f>$B26*V26*(1+Assumptions!$D$74)</f>
        <v>0</v>
      </c>
      <c r="W63" s="112">
        <f>$B26*W26*(1+Assumptions!$D$74)</f>
        <v>0</v>
      </c>
      <c r="X63" s="112">
        <f>$B26*X26*(1+Assumptions!$D$74)</f>
        <v>0</v>
      </c>
      <c r="Y63" s="112">
        <f>$B26*Y26*(1+Assumptions!$D$74)</f>
        <v>0</v>
      </c>
      <c r="Z63" s="112">
        <f>$B26*Z26*(1+Assumptions!$D$74)</f>
        <v>0</v>
      </c>
      <c r="AA63" s="112">
        <f>$B26*AA26*(1+Assumptions!$D$74)</f>
        <v>0</v>
      </c>
      <c r="AB63" s="112">
        <f>$B26*AB26*(1+Assumptions!$D$74)</f>
        <v>0</v>
      </c>
      <c r="AC63" s="112">
        <f>$B26*AC26*(1+Assumptions!$D$74)</f>
        <v>0</v>
      </c>
      <c r="AD63" s="112">
        <f>$B26*AD26*(1+Assumptions!$D$74)</f>
        <v>0</v>
      </c>
      <c r="AE63" s="112">
        <f>$B26*AE26*(1+Assumptions!$D$74)</f>
        <v>0</v>
      </c>
      <c r="AF63" s="112">
        <f>$B26*AF26*(1+Assumptions!$D$74)</f>
        <v>0</v>
      </c>
      <c r="AG63" s="292">
        <f t="shared" si="22"/>
        <v>0</v>
      </c>
      <c r="AH63" s="309">
        <f>$B26*AH26*(1+Assumptions!$E$74)</f>
        <v>0</v>
      </c>
      <c r="AI63" s="310">
        <f>$B26*AI26*(1+Assumptions!$E$74)</f>
        <v>0</v>
      </c>
      <c r="AJ63" s="310">
        <f>$B26*AJ26*(1+Assumptions!$E$74)</f>
        <v>0</v>
      </c>
      <c r="AK63" s="310">
        <f>$B26*AK26*(1+Assumptions!$E$74)</f>
        <v>0</v>
      </c>
      <c r="AL63" s="310">
        <f>$B26*AL26*(1+Assumptions!$E$74)</f>
        <v>0</v>
      </c>
      <c r="AM63" s="310">
        <f>$B26*AM26*(1+Assumptions!$E$74)</f>
        <v>0</v>
      </c>
      <c r="AN63" s="310">
        <f>$B26*AN26*(1+Assumptions!$E$74)</f>
        <v>0</v>
      </c>
      <c r="AO63" s="310">
        <f>$B26*AO26*(1+Assumptions!$E$74)</f>
        <v>0</v>
      </c>
      <c r="AP63" s="310">
        <f>$B26*AP26*(1+Assumptions!$E$74)</f>
        <v>0</v>
      </c>
      <c r="AQ63" s="310">
        <f>$B26*AQ26*(1+Assumptions!$E$74)</f>
        <v>0</v>
      </c>
      <c r="AR63" s="310">
        <f>$B26*AR26*(1+Assumptions!$E$74)</f>
        <v>0</v>
      </c>
      <c r="AS63" s="310">
        <f>$B26*AS26*(1+Assumptions!$E$74)</f>
        <v>0</v>
      </c>
      <c r="AT63" s="290">
        <f t="shared" si="23"/>
        <v>0</v>
      </c>
      <c r="AU63" s="309">
        <f>$B26*AU26*(1+Assumptions!$F$74)</f>
        <v>0</v>
      </c>
      <c r="AV63" s="310">
        <f>$B26*AV26*(1+Assumptions!$F$74)</f>
        <v>0</v>
      </c>
      <c r="AW63" s="310">
        <f>$B26*AW26*(1+Assumptions!$F$74)</f>
        <v>0</v>
      </c>
      <c r="AX63" s="310">
        <f>$B26*AX26*(1+Assumptions!$F$74)</f>
        <v>0</v>
      </c>
      <c r="AY63" s="310">
        <f>$B26*AY26*(1+Assumptions!$F$74)</f>
        <v>0</v>
      </c>
      <c r="AZ63" s="310">
        <f>$B26*AZ26*(1+Assumptions!$F$74)</f>
        <v>0</v>
      </c>
      <c r="BA63" s="310">
        <f>$B26*BA26*(1+Assumptions!$F$74)</f>
        <v>0</v>
      </c>
      <c r="BB63" s="310">
        <f>$B26*BB26*(1+Assumptions!$F$74)</f>
        <v>0</v>
      </c>
      <c r="BC63" s="310">
        <f>$B26*BC26*(1+Assumptions!$F$74)</f>
        <v>0</v>
      </c>
      <c r="BD63" s="310">
        <f>$B26*BD26*(1+Assumptions!$F$74)</f>
        <v>0</v>
      </c>
      <c r="BE63" s="310">
        <f>$B26*BE26*(1+Assumptions!$F$74)</f>
        <v>0</v>
      </c>
      <c r="BF63" s="310">
        <f>$B26*BF26*(1+Assumptions!$F$74)</f>
        <v>0</v>
      </c>
      <c r="BG63" s="290">
        <f t="shared" si="24"/>
        <v>0</v>
      </c>
      <c r="BH63" s="309">
        <f>$B26*BH26*(1+Assumptions!$G$74)</f>
        <v>0</v>
      </c>
      <c r="BI63" s="102">
        <f>$B26*BI26*(1+Assumptions!$G$74)</f>
        <v>0</v>
      </c>
      <c r="BJ63" s="102">
        <f>$B26*BJ26*(1+Assumptions!$G$74)</f>
        <v>0</v>
      </c>
      <c r="BK63" s="102">
        <f>$B26*BK26*(1+Assumptions!$G$74)</f>
        <v>0</v>
      </c>
      <c r="BL63" s="102">
        <f>$B26*BL26*(1+Assumptions!$G$74)</f>
        <v>0</v>
      </c>
      <c r="BM63" s="102">
        <f>$B26*BM26*(1+Assumptions!$G$74)</f>
        <v>0</v>
      </c>
      <c r="BN63" s="102">
        <f>$B26*BN26*(1+Assumptions!$G$74)</f>
        <v>0</v>
      </c>
      <c r="BO63" s="102">
        <f>$B26*BO26*(1+Assumptions!$G$74)</f>
        <v>0</v>
      </c>
      <c r="BP63" s="102">
        <f>$B26*BP26*(1+Assumptions!$G$74)</f>
        <v>0</v>
      </c>
      <c r="BQ63" s="102">
        <f>$B26*BQ26*(1+Assumptions!$G$74)</f>
        <v>0</v>
      </c>
      <c r="BR63" s="102">
        <f>$B26*BR26*(1+Assumptions!$G$74)</f>
        <v>0</v>
      </c>
      <c r="BS63" s="102">
        <f>$B26*BS26*(1+Assumptions!$G$74)</f>
        <v>0</v>
      </c>
      <c r="BT63" s="103">
        <f t="shared" si="25"/>
        <v>0</v>
      </c>
      <c r="BU63" s="103"/>
    </row>
    <row r="64" spans="1:73" ht="15.75" customHeight="1">
      <c r="A64" s="92"/>
      <c r="B64" s="92"/>
      <c r="C64" s="106"/>
      <c r="D64" s="106"/>
      <c r="E64" s="92"/>
      <c r="F64" s="92">
        <f t="shared" si="18"/>
        <v>0</v>
      </c>
      <c r="G64" s="92"/>
      <c r="H64" s="112">
        <f t="shared" ref="H64:S64" si="36">$B27*H27</f>
        <v>0</v>
      </c>
      <c r="I64" s="112">
        <f t="shared" si="36"/>
        <v>0</v>
      </c>
      <c r="J64" s="112">
        <f t="shared" si="36"/>
        <v>0</v>
      </c>
      <c r="K64" s="112">
        <f t="shared" si="36"/>
        <v>0</v>
      </c>
      <c r="L64" s="112">
        <f t="shared" si="36"/>
        <v>0</v>
      </c>
      <c r="M64" s="112">
        <f t="shared" si="36"/>
        <v>0</v>
      </c>
      <c r="N64" s="112">
        <f t="shared" si="36"/>
        <v>0</v>
      </c>
      <c r="O64" s="112">
        <f t="shared" si="36"/>
        <v>0</v>
      </c>
      <c r="P64" s="112">
        <f t="shared" si="36"/>
        <v>0</v>
      </c>
      <c r="Q64" s="112">
        <f t="shared" si="36"/>
        <v>0</v>
      </c>
      <c r="R64" s="112">
        <f t="shared" si="36"/>
        <v>0</v>
      </c>
      <c r="S64" s="112">
        <f t="shared" si="36"/>
        <v>0</v>
      </c>
      <c r="T64" s="292">
        <f>SUM(H64:S64)</f>
        <v>0</v>
      </c>
      <c r="U64" s="308">
        <f>$B27*U27*(1+Assumptions!$D$74)</f>
        <v>0</v>
      </c>
      <c r="V64" s="112">
        <f>$B27*V27*(1+Assumptions!$D$74)</f>
        <v>0</v>
      </c>
      <c r="W64" s="112">
        <f>$B27*W27*(1+Assumptions!$D$74)</f>
        <v>0</v>
      </c>
      <c r="X64" s="112">
        <f>$B27*X27*(1+Assumptions!$D$74)</f>
        <v>0</v>
      </c>
      <c r="Y64" s="112">
        <f>$B27*Y27*(1+Assumptions!$D$74)</f>
        <v>0</v>
      </c>
      <c r="Z64" s="112">
        <f>$B27*Z27*(1+Assumptions!$D$74)</f>
        <v>0</v>
      </c>
      <c r="AA64" s="112">
        <f>$B27*AA27*(1+Assumptions!$D$74)</f>
        <v>0</v>
      </c>
      <c r="AB64" s="112">
        <f>$B27*AB27*(1+Assumptions!$D$74)</f>
        <v>0</v>
      </c>
      <c r="AC64" s="112">
        <f>$B27*AC27*(1+Assumptions!$D$74)</f>
        <v>0</v>
      </c>
      <c r="AD64" s="112">
        <f>$B27*AD27*(1+Assumptions!$D$74)</f>
        <v>0</v>
      </c>
      <c r="AE64" s="112">
        <f>$B27*AE27*(1+Assumptions!$D$74)</f>
        <v>0</v>
      </c>
      <c r="AF64" s="112">
        <f>$B27*AF27*(1+Assumptions!$D$74)</f>
        <v>0</v>
      </c>
      <c r="AG64" s="292">
        <f t="shared" si="22"/>
        <v>0</v>
      </c>
      <c r="AH64" s="309">
        <f>$B27*AH27*(1+Assumptions!$E$74)</f>
        <v>0</v>
      </c>
      <c r="AI64" s="310">
        <f>$B27*AI27*(1+Assumptions!$E$74)</f>
        <v>0</v>
      </c>
      <c r="AJ64" s="310">
        <f>$B27*AJ27*(1+Assumptions!$E$74)</f>
        <v>0</v>
      </c>
      <c r="AK64" s="310">
        <f>$B27*AK27*(1+Assumptions!$E$74)</f>
        <v>0</v>
      </c>
      <c r="AL64" s="310">
        <f>$B27*AL27*(1+Assumptions!$E$74)</f>
        <v>0</v>
      </c>
      <c r="AM64" s="310">
        <f>$B27*AM27*(1+Assumptions!$E$74)</f>
        <v>0</v>
      </c>
      <c r="AN64" s="310">
        <f>$B27*AN27*(1+Assumptions!$E$74)</f>
        <v>0</v>
      </c>
      <c r="AO64" s="310">
        <f>$B27*AO27*(1+Assumptions!$E$74)</f>
        <v>0</v>
      </c>
      <c r="AP64" s="310">
        <f>$B27*AP27*(1+Assumptions!$E$74)</f>
        <v>0</v>
      </c>
      <c r="AQ64" s="310">
        <f>$B27*AQ27*(1+Assumptions!$E$74)</f>
        <v>0</v>
      </c>
      <c r="AR64" s="310">
        <f>$B27*AR27*(1+Assumptions!$E$74)</f>
        <v>0</v>
      </c>
      <c r="AS64" s="310">
        <f>$B27*AS27*(1+Assumptions!$E$74)</f>
        <v>0</v>
      </c>
      <c r="AT64" s="290">
        <f t="shared" si="23"/>
        <v>0</v>
      </c>
      <c r="AU64" s="309">
        <f>$B27*AU27*(1+Assumptions!$F$74)</f>
        <v>0</v>
      </c>
      <c r="AV64" s="310">
        <f>$B27*AV27*(1+Assumptions!$F$74)</f>
        <v>0</v>
      </c>
      <c r="AW64" s="310">
        <f>$B27*AW27*(1+Assumptions!$F$74)</f>
        <v>0</v>
      </c>
      <c r="AX64" s="310">
        <f>$B27*AX27*(1+Assumptions!$F$74)</f>
        <v>0</v>
      </c>
      <c r="AY64" s="310">
        <f>$B27*AY27*(1+Assumptions!$F$74)</f>
        <v>0</v>
      </c>
      <c r="AZ64" s="310">
        <f>$B27*AZ27*(1+Assumptions!$F$74)</f>
        <v>0</v>
      </c>
      <c r="BA64" s="310">
        <f>$B27*BA27*(1+Assumptions!$F$74)</f>
        <v>0</v>
      </c>
      <c r="BB64" s="310">
        <f>$B27*BB27*(1+Assumptions!$F$74)</f>
        <v>0</v>
      </c>
      <c r="BC64" s="310">
        <f>$B27*BC27*(1+Assumptions!$F$74)</f>
        <v>0</v>
      </c>
      <c r="BD64" s="310">
        <f>$B27*BD27*(1+Assumptions!$F$74)</f>
        <v>0</v>
      </c>
      <c r="BE64" s="310">
        <f>$B27*BE27*(1+Assumptions!$F$74)</f>
        <v>0</v>
      </c>
      <c r="BF64" s="310">
        <f>$B27*BF27*(1+Assumptions!$F$74)</f>
        <v>0</v>
      </c>
      <c r="BG64" s="290">
        <f t="shared" si="24"/>
        <v>0</v>
      </c>
      <c r="BH64" s="309">
        <f>$B27*BH27*(1+Assumptions!$G$74)</f>
        <v>0</v>
      </c>
      <c r="BI64" s="102">
        <f>$B27*BI27*(1+Assumptions!$G$74)</f>
        <v>0</v>
      </c>
      <c r="BJ64" s="102">
        <f>$B27*BJ27*(1+Assumptions!$G$74)</f>
        <v>0</v>
      </c>
      <c r="BK64" s="102">
        <f>$B27*BK27*(1+Assumptions!$G$74)</f>
        <v>0</v>
      </c>
      <c r="BL64" s="102">
        <f>$B27*BL27*(1+Assumptions!$G$74)</f>
        <v>0</v>
      </c>
      <c r="BM64" s="102">
        <f>$B27*BM27*(1+Assumptions!$G$74)</f>
        <v>0</v>
      </c>
      <c r="BN64" s="102">
        <f>$B27*BN27*(1+Assumptions!$G$74)</f>
        <v>0</v>
      </c>
      <c r="BO64" s="102">
        <f>$B27*BO27*(1+Assumptions!$G$74)</f>
        <v>0</v>
      </c>
      <c r="BP64" s="102">
        <f>$B27*BP27*(1+Assumptions!$G$74)</f>
        <v>0</v>
      </c>
      <c r="BQ64" s="102">
        <f>$B27*BQ27*(1+Assumptions!$G$74)</f>
        <v>0</v>
      </c>
      <c r="BR64" s="102">
        <f>$B27*BR27*(1+Assumptions!$G$74)</f>
        <v>0</v>
      </c>
      <c r="BS64" s="102">
        <f>$B27*BS27*(1+Assumptions!$G$74)</f>
        <v>0</v>
      </c>
      <c r="BT64" s="103">
        <f t="shared" si="25"/>
        <v>0</v>
      </c>
      <c r="BU64" s="103"/>
    </row>
    <row r="65" spans="1:73" ht="15.75" customHeight="1">
      <c r="A65" s="92"/>
      <c r="B65" s="92"/>
      <c r="C65" s="106"/>
      <c r="D65" s="106"/>
      <c r="E65" s="92"/>
      <c r="F65" s="92"/>
      <c r="G65" s="92" t="s">
        <v>357</v>
      </c>
      <c r="H65" s="112">
        <f>SUM(H52:H61)</f>
        <v>25872.506999999994</v>
      </c>
      <c r="I65" s="112">
        <f t="shared" ref="I65:S65" si="37">SUM(I52:I61)</f>
        <v>27506.926124999994</v>
      </c>
      <c r="J65" s="112">
        <f t="shared" si="37"/>
        <v>38808.760499999997</v>
      </c>
      <c r="K65" s="112">
        <f t="shared" si="37"/>
        <v>45902.835000000006</v>
      </c>
      <c r="L65" s="112">
        <f t="shared" si="37"/>
        <v>51745.013999999988</v>
      </c>
      <c r="M65" s="112">
        <f t="shared" si="37"/>
        <v>52162.312499999993</v>
      </c>
      <c r="N65" s="112">
        <f t="shared" si="37"/>
        <v>53901.056249999994</v>
      </c>
      <c r="O65" s="112">
        <f t="shared" si="37"/>
        <v>51745.013999999988</v>
      </c>
      <c r="P65" s="112">
        <f t="shared" si="37"/>
        <v>45902.835000000006</v>
      </c>
      <c r="Q65" s="112">
        <f t="shared" si="37"/>
        <v>43120.845000000001</v>
      </c>
      <c r="R65" s="112">
        <f t="shared" si="37"/>
        <v>37556.864999999998</v>
      </c>
      <c r="S65" s="112">
        <f t="shared" si="37"/>
        <v>34496.676000000007</v>
      </c>
      <c r="T65" s="292">
        <f>SUM(H65:S65)</f>
        <v>508721.64637499989</v>
      </c>
      <c r="U65" s="308">
        <f>SUM(U52:U61)</f>
        <v>33634.259099999996</v>
      </c>
      <c r="V65" s="112">
        <f t="shared" ref="V65:AF65" si="38">SUM(V52:V61)</f>
        <v>35759.003962499992</v>
      </c>
      <c r="W65" s="112">
        <f t="shared" si="38"/>
        <v>50451.388650000001</v>
      </c>
      <c r="X65" s="112">
        <f t="shared" si="38"/>
        <v>59673.685499999992</v>
      </c>
      <c r="Y65" s="112">
        <f t="shared" si="38"/>
        <v>67268.518199999991</v>
      </c>
      <c r="Z65" s="112">
        <f t="shared" si="38"/>
        <v>67811.006249999977</v>
      </c>
      <c r="AA65" s="112">
        <f t="shared" si="38"/>
        <v>70071.373124999998</v>
      </c>
      <c r="AB65" s="112">
        <f t="shared" si="38"/>
        <v>67268.518199999991</v>
      </c>
      <c r="AC65" s="112">
        <f t="shared" si="38"/>
        <v>59673.685499999992</v>
      </c>
      <c r="AD65" s="112">
        <f t="shared" si="38"/>
        <v>56057.098500000007</v>
      </c>
      <c r="AE65" s="112">
        <f t="shared" si="38"/>
        <v>48823.924499999994</v>
      </c>
      <c r="AF65" s="112">
        <f t="shared" si="38"/>
        <v>44845.678800000002</v>
      </c>
      <c r="AG65" s="292">
        <f t="shared" si="22"/>
        <v>661338.14028749987</v>
      </c>
      <c r="AH65" s="308">
        <f>SUM(AH52:AH61)</f>
        <v>38307.480676875006</v>
      </c>
      <c r="AI65" s="112">
        <f t="shared" ref="AI65:AS65" si="39">SUM(AI52:AI61)</f>
        <v>40727.442493828115</v>
      </c>
      <c r="AJ65" s="112">
        <f t="shared" si="39"/>
        <v>57461.221015312498</v>
      </c>
      <c r="AK65" s="112">
        <f t="shared" si="39"/>
        <v>67964.885071874989</v>
      </c>
      <c r="AL65" s="112">
        <f t="shared" si="39"/>
        <v>76614.961353750012</v>
      </c>
      <c r="AM65" s="112">
        <f t="shared" si="39"/>
        <v>77232.82394531247</v>
      </c>
      <c r="AN65" s="112">
        <f t="shared" si="39"/>
        <v>79807.251410156226</v>
      </c>
      <c r="AO65" s="112">
        <f t="shared" si="39"/>
        <v>76614.961353750012</v>
      </c>
      <c r="AP65" s="112">
        <f t="shared" si="39"/>
        <v>67964.885071874989</v>
      </c>
      <c r="AQ65" s="112">
        <f t="shared" si="39"/>
        <v>63845.801128125007</v>
      </c>
      <c r="AR65" s="112">
        <f t="shared" si="39"/>
        <v>55607.633240625008</v>
      </c>
      <c r="AS65" s="112">
        <f t="shared" si="39"/>
        <v>51076.640902499996</v>
      </c>
      <c r="AT65" s="292">
        <f t="shared" si="23"/>
        <v>753225.98766398442</v>
      </c>
      <c r="AU65" s="308">
        <f>SUM(AU52:AU61)</f>
        <v>42138.228744562504</v>
      </c>
      <c r="AV65" s="112">
        <f t="shared" ref="AV65:BF65" si="40">SUM(AV52:AV61)</f>
        <v>44800.186743210936</v>
      </c>
      <c r="AW65" s="112">
        <f t="shared" si="40"/>
        <v>63207.343116843746</v>
      </c>
      <c r="AX65" s="112">
        <f t="shared" si="40"/>
        <v>74761.373579062507</v>
      </c>
      <c r="AY65" s="112">
        <f t="shared" si="40"/>
        <v>84276.457489125009</v>
      </c>
      <c r="AZ65" s="112">
        <f t="shared" si="40"/>
        <v>84956.106339843725</v>
      </c>
      <c r="BA65" s="112">
        <f t="shared" si="40"/>
        <v>87787.976551171872</v>
      </c>
      <c r="BB65" s="112">
        <f t="shared" si="40"/>
        <v>84276.457489125009</v>
      </c>
      <c r="BC65" s="112">
        <f t="shared" si="40"/>
        <v>74761.373579062507</v>
      </c>
      <c r="BD65" s="112">
        <f t="shared" si="40"/>
        <v>70230.38124093751</v>
      </c>
      <c r="BE65" s="112">
        <f t="shared" si="40"/>
        <v>61168.396564687508</v>
      </c>
      <c r="BF65" s="112">
        <f t="shared" si="40"/>
        <v>56184.304992749996</v>
      </c>
      <c r="BG65" s="292">
        <f t="shared" si="24"/>
        <v>828548.58643038268</v>
      </c>
      <c r="BH65" s="308">
        <f>SUM(BH52:BH61)</f>
        <v>46352.051619018741</v>
      </c>
      <c r="BI65" s="112">
        <f t="shared" ref="BI65:BS65" si="41">SUM(BI52:BI61)</f>
        <v>49280.205417532015</v>
      </c>
      <c r="BJ65" s="112">
        <f t="shared" si="41"/>
        <v>69528.077428528137</v>
      </c>
      <c r="BK65" s="112">
        <f t="shared" si="41"/>
        <v>82237.510936968742</v>
      </c>
      <c r="BL65" s="112">
        <f t="shared" si="41"/>
        <v>92704.103238037482</v>
      </c>
      <c r="BM65" s="112">
        <f t="shared" si="41"/>
        <v>93451.716973828123</v>
      </c>
      <c r="BN65" s="112">
        <f t="shared" si="41"/>
        <v>96566.774206289061</v>
      </c>
      <c r="BO65" s="112">
        <f t="shared" si="41"/>
        <v>92704.103238037482</v>
      </c>
      <c r="BP65" s="112">
        <f t="shared" si="41"/>
        <v>82237.510936968742</v>
      </c>
      <c r="BQ65" s="112">
        <f t="shared" si="41"/>
        <v>77253.419365031252</v>
      </c>
      <c r="BR65" s="112">
        <f t="shared" si="41"/>
        <v>67285.236221156258</v>
      </c>
      <c r="BS65" s="112">
        <f t="shared" si="41"/>
        <v>61802.735492025</v>
      </c>
      <c r="BT65" s="292">
        <f t="shared" si="25"/>
        <v>911403.44507342111</v>
      </c>
      <c r="BU65" s="103"/>
    </row>
    <row r="66" spans="1:73" ht="15.75" customHeight="1">
      <c r="A66" s="92"/>
      <c r="B66" s="92"/>
      <c r="C66" s="106"/>
      <c r="D66" s="106"/>
      <c r="E66" s="92"/>
      <c r="F66" s="92"/>
      <c r="G66" s="9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292"/>
      <c r="U66" s="308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292"/>
      <c r="AH66" s="299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289"/>
      <c r="AU66" s="299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289"/>
      <c r="BH66" s="299"/>
      <c r="BI66" s="102"/>
      <c r="BJ66" s="102"/>
      <c r="BK66" s="102"/>
      <c r="BL66" s="102"/>
      <c r="BM66" s="102"/>
      <c r="BN66" s="102"/>
      <c r="BO66" s="102"/>
      <c r="BP66" s="102"/>
      <c r="BQ66" s="102"/>
      <c r="BR66" s="102"/>
      <c r="BS66" s="102"/>
      <c r="BT66" s="103"/>
      <c r="BU66" s="103"/>
    </row>
    <row r="67" spans="1:73" ht="15.75" customHeight="1">
      <c r="A67" s="92"/>
      <c r="B67" s="92"/>
      <c r="C67" s="106"/>
      <c r="D67" s="106"/>
      <c r="E67" s="256" t="s">
        <v>519</v>
      </c>
      <c r="F67" s="92"/>
      <c r="G67" s="9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292"/>
      <c r="U67" s="299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289"/>
      <c r="AH67" s="299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289"/>
      <c r="AU67" s="299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  <c r="BF67" s="102"/>
      <c r="BG67" s="289"/>
      <c r="BH67" s="299"/>
      <c r="BI67" s="102"/>
      <c r="BJ67" s="102"/>
      <c r="BK67" s="102"/>
      <c r="BL67" s="102"/>
      <c r="BM67" s="102"/>
      <c r="BN67" s="102"/>
      <c r="BO67" s="102"/>
      <c r="BP67" s="102"/>
      <c r="BQ67" s="102"/>
      <c r="BR67" s="102"/>
      <c r="BS67" s="102"/>
      <c r="BT67" s="103"/>
      <c r="BU67" s="103"/>
    </row>
    <row r="68" spans="1:73" ht="15.75" customHeight="1">
      <c r="A68" s="92"/>
      <c r="B68" s="92"/>
      <c r="C68" s="106"/>
      <c r="D68" s="106"/>
      <c r="E68" s="92"/>
      <c r="F68" s="92" t="str">
        <f t="shared" ref="F68:F80" si="42">F31</f>
        <v>Core 1 - Lager</v>
      </c>
      <c r="G68" s="92"/>
      <c r="H68" s="112">
        <f t="shared" ref="H68:S68" si="43">$B31*H31</f>
        <v>269.2270285714286</v>
      </c>
      <c r="I68" s="112">
        <f t="shared" si="43"/>
        <v>286.23464999999999</v>
      </c>
      <c r="J68" s="112">
        <f t="shared" si="43"/>
        <v>403.84054285714291</v>
      </c>
      <c r="K68" s="112">
        <f t="shared" si="43"/>
        <v>477.66085714285714</v>
      </c>
      <c r="L68" s="112">
        <f t="shared" si="43"/>
        <v>538.45405714285721</v>
      </c>
      <c r="M68" s="112">
        <f t="shared" si="43"/>
        <v>542.79642857142858</v>
      </c>
      <c r="N68" s="112">
        <f t="shared" si="43"/>
        <v>560.88964285714303</v>
      </c>
      <c r="O68" s="112">
        <f t="shared" si="43"/>
        <v>538.45405714285721</v>
      </c>
      <c r="P68" s="112">
        <f t="shared" si="43"/>
        <v>477.66085714285714</v>
      </c>
      <c r="Q68" s="112">
        <f t="shared" si="43"/>
        <v>448.71171428571432</v>
      </c>
      <c r="R68" s="112">
        <f t="shared" si="43"/>
        <v>390.81342857142857</v>
      </c>
      <c r="S68" s="112">
        <f t="shared" si="43"/>
        <v>358.96937142857149</v>
      </c>
      <c r="T68" s="292">
        <f t="shared" si="20"/>
        <v>5293.7126357142861</v>
      </c>
      <c r="U68" s="309">
        <f>$B31*U31*(1+Assumptions!$D$74)</f>
        <v>349.99513714285723</v>
      </c>
      <c r="V68" s="310">
        <f>$B31*V31*(1+Assumptions!$D$74)</f>
        <v>372.10504500000002</v>
      </c>
      <c r="W68" s="310">
        <f>$B31*W31*(1+Assumptions!$D$74)</f>
        <v>524.99270571428576</v>
      </c>
      <c r="X68" s="310">
        <f>$B31*X31*(1+Assumptions!$D$74)</f>
        <v>620.95911428571435</v>
      </c>
      <c r="Y68" s="310">
        <f>$B31*Y31*(1+Assumptions!$D$74)</f>
        <v>699.99027428571446</v>
      </c>
      <c r="Z68" s="310">
        <f>$B31*Z31*(1+Assumptions!$D$74)</f>
        <v>705.63535714285706</v>
      </c>
      <c r="AA68" s="310">
        <f>$B31*AA31*(1+Assumptions!$D$74)</f>
        <v>729.15653571428595</v>
      </c>
      <c r="AB68" s="310">
        <f>$B31*AB31*(1+Assumptions!$D$74)</f>
        <v>699.99027428571446</v>
      </c>
      <c r="AC68" s="310">
        <f>$B31*AC31*(1+Assumptions!$D$74)</f>
        <v>620.95911428571435</v>
      </c>
      <c r="AD68" s="310">
        <f>$B31*AD31*(1+Assumptions!$D$74)</f>
        <v>583.32522857142862</v>
      </c>
      <c r="AE68" s="310">
        <f>$B31*AE31*(1+Assumptions!$D$74)</f>
        <v>508.05745714285712</v>
      </c>
      <c r="AF68" s="310">
        <f>$B31*AF31*(1+Assumptions!$D$74)</f>
        <v>466.6601828571429</v>
      </c>
      <c r="AG68" s="292">
        <f>SUM(U68:AF68)</f>
        <v>6881.8264264285726</v>
      </c>
      <c r="AH68" s="309">
        <f>$B31*AH31*(1+Assumptions!$E$74)</f>
        <v>398.62426917857152</v>
      </c>
      <c r="AI68" s="310">
        <f>$B31*AI31*(1+Assumptions!$E$74)</f>
        <v>423.80617865624998</v>
      </c>
      <c r="AJ68" s="310">
        <f>$B31*AJ31*(1+Assumptions!$E$74)</f>
        <v>597.93640376785709</v>
      </c>
      <c r="AK68" s="310">
        <f>$B31*AK31*(1+Assumptions!$E$74)</f>
        <v>707.2366066071429</v>
      </c>
      <c r="AL68" s="310">
        <f>$B31*AL31*(1+Assumptions!$E$74)</f>
        <v>797.24853835714305</v>
      </c>
      <c r="AM68" s="310">
        <f>$B31*AM31*(1+Assumptions!$E$74)</f>
        <v>803.67796205357138</v>
      </c>
      <c r="AN68" s="310">
        <f>$B31*AN31*(1+Assumptions!$E$74)</f>
        <v>830.46722745535726</v>
      </c>
      <c r="AO68" s="310">
        <f>$B31*AO31*(1+Assumptions!$E$74)</f>
        <v>797.24853835714305</v>
      </c>
      <c r="AP68" s="310">
        <f>$B31*AP31*(1+Assumptions!$E$74)</f>
        <v>707.2366066071429</v>
      </c>
      <c r="AQ68" s="310">
        <f>$B31*AQ31*(1+Assumptions!$E$74)</f>
        <v>664.37378196428574</v>
      </c>
      <c r="AR68" s="310">
        <f>$B31*AR31*(1+Assumptions!$E$74)</f>
        <v>578.6481326785713</v>
      </c>
      <c r="AS68" s="310">
        <f>$B31*AS31*(1+Assumptions!$E$74)</f>
        <v>531.49902557142855</v>
      </c>
      <c r="AT68" s="290">
        <f>SUM(AH68:AS68)</f>
        <v>7838.0032712544644</v>
      </c>
      <c r="AU68" s="309">
        <f>$B31*AU31*(1+Assumptions!$F$74)</f>
        <v>438.48669609642872</v>
      </c>
      <c r="AV68" s="310">
        <f>$B31*AV31*(1+Assumptions!$F$74)</f>
        <v>466.18679652187501</v>
      </c>
      <c r="AW68" s="310">
        <f>$B31*AW31*(1+Assumptions!$F$74)</f>
        <v>657.73004414464287</v>
      </c>
      <c r="AX68" s="310">
        <f>$B31*AX31*(1+Assumptions!$F$74)</f>
        <v>777.96026726785726</v>
      </c>
      <c r="AY68" s="310">
        <f>$B31*AY31*(1+Assumptions!$F$74)</f>
        <v>876.97339219285743</v>
      </c>
      <c r="AZ68" s="310">
        <f>$B31*AZ31*(1+Assumptions!$F$74)</f>
        <v>884.04575825892846</v>
      </c>
      <c r="BA68" s="310">
        <f>$B31*BA31*(1+Assumptions!$F$74)</f>
        <v>913.51395020089308</v>
      </c>
      <c r="BB68" s="310">
        <f>$B31*BB31*(1+Assumptions!$F$74)</f>
        <v>876.97339219285743</v>
      </c>
      <c r="BC68" s="310">
        <f>$B31*BC31*(1+Assumptions!$F$74)</f>
        <v>777.96026726785726</v>
      </c>
      <c r="BD68" s="310">
        <f>$B31*BD31*(1+Assumptions!$F$74)</f>
        <v>730.81116016071439</v>
      </c>
      <c r="BE68" s="310">
        <f>$B31*BE31*(1+Assumptions!$F$74)</f>
        <v>636.51294594642854</v>
      </c>
      <c r="BF68" s="310">
        <f>$B31*BF31*(1+Assumptions!$F$74)</f>
        <v>584.64892812857147</v>
      </c>
      <c r="BG68" s="290">
        <f>SUM(AU68:BF68)</f>
        <v>8621.8035983799127</v>
      </c>
      <c r="BH68" s="309">
        <f>$B31*BH31*(1+Assumptions!$G$74)</f>
        <v>482.33536570607163</v>
      </c>
      <c r="BI68" s="102">
        <f>$B31*BI31*(1+Assumptions!$G$74)</f>
        <v>512.80547617406251</v>
      </c>
      <c r="BJ68" s="102">
        <f>$B31*BJ31*(1+Assumptions!$G$74)</f>
        <v>723.50304855910713</v>
      </c>
      <c r="BK68" s="102">
        <f>$B31*BK31*(1+Assumptions!$G$74)</f>
        <v>855.75629399464299</v>
      </c>
      <c r="BL68" s="102">
        <f>$B31*BL31*(1+Assumptions!$G$74)</f>
        <v>964.67073141214325</v>
      </c>
      <c r="BM68" s="102">
        <f>$B31*BM31*(1+Assumptions!$G$74)</f>
        <v>972.45033408482141</v>
      </c>
      <c r="BN68" s="102">
        <f>$B31*BN31*(1+Assumptions!$G$74)</f>
        <v>1004.8653452209826</v>
      </c>
      <c r="BO68" s="102">
        <f>$B31*BO31*(1+Assumptions!$G$74)</f>
        <v>964.67073141214325</v>
      </c>
      <c r="BP68" s="102">
        <f>$B31*BP31*(1+Assumptions!$G$74)</f>
        <v>855.75629399464299</v>
      </c>
      <c r="BQ68" s="102">
        <f>$B31*BQ31*(1+Assumptions!$G$74)</f>
        <v>803.89227617678591</v>
      </c>
      <c r="BR68" s="102">
        <f>$B31*BR31*(1+Assumptions!$G$74)</f>
        <v>700.16424054107142</v>
      </c>
      <c r="BS68" s="102">
        <f>$B31*BS31*(1+Assumptions!$G$74)</f>
        <v>643.11382094142868</v>
      </c>
      <c r="BT68" s="103">
        <f>SUM(BH68:BS68)</f>
        <v>9483.9839582179047</v>
      </c>
      <c r="BU68" s="103"/>
    </row>
    <row r="69" spans="1:73" ht="15.75" customHeight="1">
      <c r="A69" s="92"/>
      <c r="B69" s="92"/>
      <c r="C69" s="106"/>
      <c r="D69" s="106"/>
      <c r="E69" s="92"/>
      <c r="F69" s="92" t="str">
        <f t="shared" si="42"/>
        <v>Core 2 - Hoppy Pale</v>
      </c>
      <c r="G69" s="92"/>
      <c r="H69" s="112">
        <f t="shared" ref="H69:S69" si="44">$B32*H32</f>
        <v>528.1948285714285</v>
      </c>
      <c r="I69" s="112">
        <f t="shared" si="44"/>
        <v>561.56197499999985</v>
      </c>
      <c r="J69" s="112">
        <f t="shared" si="44"/>
        <v>792.2922428571427</v>
      </c>
      <c r="K69" s="112">
        <f t="shared" si="44"/>
        <v>937.11985714285709</v>
      </c>
      <c r="L69" s="112">
        <f t="shared" si="44"/>
        <v>1056.389657142857</v>
      </c>
      <c r="M69" s="112">
        <f t="shared" si="44"/>
        <v>1064.9089285714283</v>
      </c>
      <c r="N69" s="112">
        <f t="shared" si="44"/>
        <v>1100.4058928571428</v>
      </c>
      <c r="O69" s="112">
        <f t="shared" si="44"/>
        <v>1056.389657142857</v>
      </c>
      <c r="P69" s="112">
        <f t="shared" si="44"/>
        <v>937.11985714285709</v>
      </c>
      <c r="Q69" s="112">
        <f t="shared" si="44"/>
        <v>880.32471428571421</v>
      </c>
      <c r="R69" s="112">
        <f t="shared" si="44"/>
        <v>766.73442857142845</v>
      </c>
      <c r="S69" s="112">
        <f t="shared" si="44"/>
        <v>704.25977142857141</v>
      </c>
      <c r="T69" s="292">
        <f t="shared" si="20"/>
        <v>10385.701810714283</v>
      </c>
      <c r="U69" s="309">
        <f>$B32*U32*(1+Assumptions!$D$74)</f>
        <v>686.65327714285706</v>
      </c>
      <c r="V69" s="310">
        <f>$B32*V32*(1+Assumptions!$D$74)</f>
        <v>730.03056749999985</v>
      </c>
      <c r="W69" s="310">
        <f>$B32*W32*(1+Assumptions!$D$74)</f>
        <v>1029.9799157142857</v>
      </c>
      <c r="X69" s="310">
        <f>$B32*X32*(1+Assumptions!$D$74)</f>
        <v>1218.2558142857142</v>
      </c>
      <c r="Y69" s="310">
        <f>$B32*Y32*(1+Assumptions!$D$74)</f>
        <v>1373.3065542857141</v>
      </c>
      <c r="Z69" s="310">
        <f>$B32*Z32*(1+Assumptions!$D$74)</f>
        <v>1384.3816071428571</v>
      </c>
      <c r="AA69" s="310">
        <f>$B32*AA32*(1+Assumptions!$D$74)</f>
        <v>1430.527660714286</v>
      </c>
      <c r="AB69" s="310">
        <f>$B32*AB32*(1+Assumptions!$D$74)</f>
        <v>1373.3065542857141</v>
      </c>
      <c r="AC69" s="310">
        <f>$B32*AC32*(1+Assumptions!$D$74)</f>
        <v>1218.2558142857142</v>
      </c>
      <c r="AD69" s="310">
        <f>$B32*AD32*(1+Assumptions!$D$74)</f>
        <v>1144.4221285714284</v>
      </c>
      <c r="AE69" s="310">
        <f>$B32*AE32*(1+Assumptions!$D$74)</f>
        <v>996.75475714285699</v>
      </c>
      <c r="AF69" s="310">
        <f>$B32*AF32*(1+Assumptions!$D$74)</f>
        <v>915.53770285714279</v>
      </c>
      <c r="AG69" s="292">
        <f t="shared" ref="AG69:AG81" si="45">SUM(U69:AF69)</f>
        <v>13501.41235392857</v>
      </c>
      <c r="AH69" s="309">
        <f>$B32*AH32*(1+Assumptions!$E$74)</f>
        <v>782.05846805357123</v>
      </c>
      <c r="AI69" s="310">
        <f>$B32*AI32*(1+Assumptions!$E$74)</f>
        <v>831.46269923437478</v>
      </c>
      <c r="AJ69" s="310">
        <f>$B32*AJ32*(1+Assumptions!$E$74)</f>
        <v>1173.0877020803571</v>
      </c>
      <c r="AK69" s="310">
        <f>$B32*AK32*(1+Assumptions!$E$74)</f>
        <v>1387.5230884821426</v>
      </c>
      <c r="AL69" s="310">
        <f>$B32*AL32*(1+Assumptions!$E$74)</f>
        <v>1564.1169361071425</v>
      </c>
      <c r="AM69" s="310">
        <f>$B32*AM32*(1+Assumptions!$E$74)</f>
        <v>1576.7307823660713</v>
      </c>
      <c r="AN69" s="310">
        <f>$B32*AN32*(1+Assumptions!$E$74)</f>
        <v>1629.2884751116073</v>
      </c>
      <c r="AO69" s="310">
        <f>$B32*AO32*(1+Assumptions!$E$74)</f>
        <v>1564.1169361071425</v>
      </c>
      <c r="AP69" s="310">
        <f>$B32*AP32*(1+Assumptions!$E$74)</f>
        <v>1387.5230884821426</v>
      </c>
      <c r="AQ69" s="310">
        <f>$B32*AQ32*(1+Assumptions!$E$74)</f>
        <v>1303.4307800892855</v>
      </c>
      <c r="AR69" s="310">
        <f>$B32*AR32*(1+Assumptions!$E$74)</f>
        <v>1135.2461633035714</v>
      </c>
      <c r="AS69" s="310">
        <f>$B32*AS32*(1+Assumptions!$E$74)</f>
        <v>1042.7446240714285</v>
      </c>
      <c r="AT69" s="290">
        <f t="shared" ref="AT69:AT81" si="46">SUM(AH69:AS69)</f>
        <v>15377.329743488839</v>
      </c>
      <c r="AU69" s="309">
        <f>$B32*AU32*(1+Assumptions!$F$74)</f>
        <v>860.26431485892829</v>
      </c>
      <c r="AV69" s="310">
        <f>$B32*AV32*(1+Assumptions!$F$74)</f>
        <v>914.60896915781234</v>
      </c>
      <c r="AW69" s="310">
        <f>$B32*AW32*(1+Assumptions!$F$74)</f>
        <v>1290.3964722883927</v>
      </c>
      <c r="AX69" s="310">
        <f>$B32*AX32*(1+Assumptions!$F$74)</f>
        <v>1526.275397330357</v>
      </c>
      <c r="AY69" s="310">
        <f>$B32*AY32*(1+Assumptions!$F$74)</f>
        <v>1720.5286297178566</v>
      </c>
      <c r="AZ69" s="310">
        <f>$B32*AZ32*(1+Assumptions!$F$74)</f>
        <v>1734.4038606026784</v>
      </c>
      <c r="BA69" s="310">
        <f>$B32*BA32*(1+Assumptions!$F$74)</f>
        <v>1792.2173226227678</v>
      </c>
      <c r="BB69" s="310">
        <f>$B32*BB32*(1+Assumptions!$F$74)</f>
        <v>1720.5286297178566</v>
      </c>
      <c r="BC69" s="310">
        <f>$B32*BC32*(1+Assumptions!$F$74)</f>
        <v>1526.275397330357</v>
      </c>
      <c r="BD69" s="310">
        <f>$B32*BD32*(1+Assumptions!$F$74)</f>
        <v>1433.7738580982143</v>
      </c>
      <c r="BE69" s="310">
        <f>$B32*BE32*(1+Assumptions!$F$74)</f>
        <v>1248.7707796339284</v>
      </c>
      <c r="BF69" s="310">
        <f>$B32*BF32*(1+Assumptions!$F$74)</f>
        <v>1147.0190864785716</v>
      </c>
      <c r="BG69" s="290">
        <f t="shared" ref="BG69:BG81" si="47">SUM(AU69:BF69)</f>
        <v>16915.062717837722</v>
      </c>
      <c r="BH69" s="309">
        <f>$B32*BH32*(1+Assumptions!$G$74)</f>
        <v>946.29074634482129</v>
      </c>
      <c r="BI69" s="102">
        <f>$B32*BI32*(1+Assumptions!$G$74)</f>
        <v>1006.0698660735936</v>
      </c>
      <c r="BJ69" s="102">
        <f>$B32*BJ32*(1+Assumptions!$G$74)</f>
        <v>1419.4361195172323</v>
      </c>
      <c r="BK69" s="102">
        <f>$B32*BK32*(1+Assumptions!$G$74)</f>
        <v>1678.9029370633928</v>
      </c>
      <c r="BL69" s="102">
        <f>$B32*BL32*(1+Assumptions!$G$74)</f>
        <v>1892.5814926896426</v>
      </c>
      <c r="BM69" s="102">
        <f>$B32*BM32*(1+Assumptions!$G$74)</f>
        <v>1907.8442466629465</v>
      </c>
      <c r="BN69" s="102">
        <f>$B32*BN32*(1+Assumptions!$G$74)</f>
        <v>1971.4390548850449</v>
      </c>
      <c r="BO69" s="102">
        <f>$B32*BO32*(1+Assumptions!$G$74)</f>
        <v>1892.5814926896426</v>
      </c>
      <c r="BP69" s="102">
        <f>$B32*BP32*(1+Assumptions!$G$74)</f>
        <v>1678.9029370633928</v>
      </c>
      <c r="BQ69" s="102">
        <f>$B32*BQ32*(1+Assumptions!$G$74)</f>
        <v>1577.1512439080359</v>
      </c>
      <c r="BR69" s="102">
        <f>$B32*BR32*(1+Assumptions!$G$74)</f>
        <v>1373.6478575973217</v>
      </c>
      <c r="BS69" s="102">
        <f>$B32*BS32*(1+Assumptions!$G$74)</f>
        <v>1261.7209951264285</v>
      </c>
      <c r="BT69" s="103">
        <f t="shared" ref="BT69:BT81" si="48">SUM(BH69:BS69)</f>
        <v>18606.568989621497</v>
      </c>
      <c r="BU69" s="103"/>
    </row>
    <row r="70" spans="1:73" ht="15.75" customHeight="1">
      <c r="A70" s="92"/>
      <c r="B70" s="92"/>
      <c r="C70" s="106"/>
      <c r="D70" s="106"/>
      <c r="E70" s="92"/>
      <c r="F70" s="92" t="str">
        <f t="shared" si="42"/>
        <v>Core 3 - Red Ale</v>
      </c>
      <c r="G70" s="92"/>
      <c r="H70" s="112">
        <f t="shared" ref="H70:S70" si="49">$B33*H33</f>
        <v>134.6135142857143</v>
      </c>
      <c r="I70" s="112">
        <f t="shared" si="49"/>
        <v>143.11732499999999</v>
      </c>
      <c r="J70" s="112">
        <f t="shared" si="49"/>
        <v>201.92027142857145</v>
      </c>
      <c r="K70" s="112">
        <f t="shared" si="49"/>
        <v>238.83042857142857</v>
      </c>
      <c r="L70" s="112">
        <f t="shared" si="49"/>
        <v>269.2270285714286</v>
      </c>
      <c r="M70" s="112">
        <f t="shared" si="49"/>
        <v>271.39821428571429</v>
      </c>
      <c r="N70" s="112">
        <f t="shared" si="49"/>
        <v>280.44482142857152</v>
      </c>
      <c r="O70" s="112">
        <f t="shared" si="49"/>
        <v>269.2270285714286</v>
      </c>
      <c r="P70" s="112">
        <f t="shared" si="49"/>
        <v>238.83042857142857</v>
      </c>
      <c r="Q70" s="112">
        <f t="shared" si="49"/>
        <v>224.35585714285716</v>
      </c>
      <c r="R70" s="112">
        <f t="shared" si="49"/>
        <v>195.40671428571429</v>
      </c>
      <c r="S70" s="112">
        <f t="shared" si="49"/>
        <v>179.48468571428575</v>
      </c>
      <c r="T70" s="292">
        <f t="shared" si="20"/>
        <v>2646.856317857143</v>
      </c>
      <c r="U70" s="309">
        <f>$B33*U33*(1+Assumptions!$D$74)</f>
        <v>174.99756857142862</v>
      </c>
      <c r="V70" s="310">
        <f>$B33*V33*(1+Assumptions!$D$74)</f>
        <v>186.05252250000001</v>
      </c>
      <c r="W70" s="310">
        <f>$B33*W33*(1+Assumptions!$D$74)</f>
        <v>262.49635285714288</v>
      </c>
      <c r="X70" s="310">
        <f>$B33*X33*(1+Assumptions!$D$74)</f>
        <v>310.47955714285717</v>
      </c>
      <c r="Y70" s="310">
        <f>$B33*Y33*(1+Assumptions!$D$74)</f>
        <v>349.99513714285723</v>
      </c>
      <c r="Z70" s="310">
        <f>$B33*Z33*(1+Assumptions!$D$74)</f>
        <v>352.81767857142853</v>
      </c>
      <c r="AA70" s="310">
        <f>$B33*AA33*(1+Assumptions!$D$74)</f>
        <v>364.57826785714298</v>
      </c>
      <c r="AB70" s="310">
        <f>$B33*AB33*(1+Assumptions!$D$74)</f>
        <v>349.99513714285723</v>
      </c>
      <c r="AC70" s="310">
        <f>$B33*AC33*(1+Assumptions!$D$74)</f>
        <v>310.47955714285717</v>
      </c>
      <c r="AD70" s="310">
        <f>$B33*AD33*(1+Assumptions!$D$74)</f>
        <v>291.66261428571431</v>
      </c>
      <c r="AE70" s="310">
        <f>$B33*AE33*(1+Assumptions!$D$74)</f>
        <v>254.02872857142856</v>
      </c>
      <c r="AF70" s="310">
        <f>$B33*AF33*(1+Assumptions!$D$74)</f>
        <v>233.33009142857145</v>
      </c>
      <c r="AG70" s="292">
        <f t="shared" si="45"/>
        <v>3440.9132132142863</v>
      </c>
      <c r="AH70" s="309">
        <f>$B33*AH33*(1+Assumptions!$E$74)</f>
        <v>199.31213458928576</v>
      </c>
      <c r="AI70" s="310">
        <f>$B33*AI33*(1+Assumptions!$E$74)</f>
        <v>211.90308932812499</v>
      </c>
      <c r="AJ70" s="310">
        <f>$B33*AJ33*(1+Assumptions!$E$74)</f>
        <v>298.96820188392854</v>
      </c>
      <c r="AK70" s="310">
        <f>$B33*AK33*(1+Assumptions!$E$74)</f>
        <v>353.61830330357145</v>
      </c>
      <c r="AL70" s="310">
        <f>$B33*AL33*(1+Assumptions!$E$74)</f>
        <v>398.62426917857152</v>
      </c>
      <c r="AM70" s="310">
        <f>$B33*AM33*(1+Assumptions!$E$74)</f>
        <v>401.83898102678569</v>
      </c>
      <c r="AN70" s="310">
        <f>$B33*AN33*(1+Assumptions!$E$74)</f>
        <v>415.23361372767863</v>
      </c>
      <c r="AO70" s="310">
        <f>$B33*AO33*(1+Assumptions!$E$74)</f>
        <v>398.62426917857152</v>
      </c>
      <c r="AP70" s="310">
        <f>$B33*AP33*(1+Assumptions!$E$74)</f>
        <v>353.61830330357145</v>
      </c>
      <c r="AQ70" s="310">
        <f>$B33*AQ33*(1+Assumptions!$E$74)</f>
        <v>332.18689098214287</v>
      </c>
      <c r="AR70" s="310">
        <f>$B33*AR33*(1+Assumptions!$E$74)</f>
        <v>289.32406633928565</v>
      </c>
      <c r="AS70" s="310">
        <f>$B33*AS33*(1+Assumptions!$E$74)</f>
        <v>265.74951278571427</v>
      </c>
      <c r="AT70" s="290">
        <f t="shared" si="46"/>
        <v>3919.0016356272322</v>
      </c>
      <c r="AU70" s="309">
        <f>$B33*AU33*(1+Assumptions!$F$74)</f>
        <v>219.24334804821436</v>
      </c>
      <c r="AV70" s="310">
        <f>$B33*AV33*(1+Assumptions!$F$74)</f>
        <v>233.09339826093751</v>
      </c>
      <c r="AW70" s="310">
        <f>$B33*AW33*(1+Assumptions!$F$74)</f>
        <v>328.86502207232144</v>
      </c>
      <c r="AX70" s="310">
        <f>$B33*AX33*(1+Assumptions!$F$74)</f>
        <v>388.98013363392863</v>
      </c>
      <c r="AY70" s="310">
        <f>$B33*AY33*(1+Assumptions!$F$74)</f>
        <v>438.48669609642872</v>
      </c>
      <c r="AZ70" s="310">
        <f>$B33*AZ33*(1+Assumptions!$F$74)</f>
        <v>442.02287912946423</v>
      </c>
      <c r="BA70" s="310">
        <f>$B33*BA33*(1+Assumptions!$F$74)</f>
        <v>456.75697510044654</v>
      </c>
      <c r="BB70" s="310">
        <f>$B33*BB33*(1+Assumptions!$F$74)</f>
        <v>438.48669609642872</v>
      </c>
      <c r="BC70" s="310">
        <f>$B33*BC33*(1+Assumptions!$F$74)</f>
        <v>388.98013363392863</v>
      </c>
      <c r="BD70" s="310">
        <f>$B33*BD33*(1+Assumptions!$F$74)</f>
        <v>365.4055800803572</v>
      </c>
      <c r="BE70" s="310">
        <f>$B33*BE33*(1+Assumptions!$F$74)</f>
        <v>318.25647297321427</v>
      </c>
      <c r="BF70" s="310">
        <f>$B33*BF33*(1+Assumptions!$F$74)</f>
        <v>292.32446406428573</v>
      </c>
      <c r="BG70" s="290">
        <f t="shared" si="47"/>
        <v>4310.9017991899564</v>
      </c>
      <c r="BH70" s="309">
        <f>$B33*BH33*(1+Assumptions!$G$74)</f>
        <v>241.16768285303581</v>
      </c>
      <c r="BI70" s="102">
        <f>$B33*BI33*(1+Assumptions!$G$74)</f>
        <v>256.40273808703125</v>
      </c>
      <c r="BJ70" s="102">
        <f>$B33*BJ33*(1+Assumptions!$G$74)</f>
        <v>361.75152427955356</v>
      </c>
      <c r="BK70" s="102">
        <f>$B33*BK33*(1+Assumptions!$G$74)</f>
        <v>427.87814699732149</v>
      </c>
      <c r="BL70" s="102">
        <f>$B33*BL33*(1+Assumptions!$G$74)</f>
        <v>482.33536570607163</v>
      </c>
      <c r="BM70" s="102">
        <f>$B33*BM33*(1+Assumptions!$G$74)</f>
        <v>486.2251670424107</v>
      </c>
      <c r="BN70" s="102">
        <f>$B33*BN33*(1+Assumptions!$G$74)</f>
        <v>502.4326726104913</v>
      </c>
      <c r="BO70" s="102">
        <f>$B33*BO33*(1+Assumptions!$G$74)</f>
        <v>482.33536570607163</v>
      </c>
      <c r="BP70" s="102">
        <f>$B33*BP33*(1+Assumptions!$G$74)</f>
        <v>427.87814699732149</v>
      </c>
      <c r="BQ70" s="102">
        <f>$B33*BQ33*(1+Assumptions!$G$74)</f>
        <v>401.94613808839296</v>
      </c>
      <c r="BR70" s="102">
        <f>$B33*BR33*(1+Assumptions!$G$74)</f>
        <v>350.08212027053571</v>
      </c>
      <c r="BS70" s="102">
        <f>$B33*BS33*(1+Assumptions!$G$74)</f>
        <v>321.55691047071434</v>
      </c>
      <c r="BT70" s="103">
        <f t="shared" si="48"/>
        <v>4741.9919791089524</v>
      </c>
      <c r="BU70" s="103"/>
    </row>
    <row r="71" spans="1:73" ht="15.75" customHeight="1">
      <c r="A71" s="92"/>
      <c r="B71" s="92"/>
      <c r="C71" s="106"/>
      <c r="D71" s="106"/>
      <c r="E71" s="92"/>
      <c r="F71" s="92" t="str">
        <f t="shared" si="42"/>
        <v>Core 4 - Dark (Porter?)</v>
      </c>
      <c r="G71" s="92"/>
      <c r="H71" s="112">
        <f t="shared" ref="H71:S71" si="50">$B34*H34</f>
        <v>176.06494285714288</v>
      </c>
      <c r="I71" s="112">
        <f t="shared" si="50"/>
        <v>187.18732499999999</v>
      </c>
      <c r="J71" s="112">
        <f t="shared" si="50"/>
        <v>264.09741428571431</v>
      </c>
      <c r="K71" s="112">
        <f t="shared" si="50"/>
        <v>312.37328571428571</v>
      </c>
      <c r="L71" s="112">
        <f t="shared" si="50"/>
        <v>352.12988571428576</v>
      </c>
      <c r="M71" s="112">
        <f t="shared" si="50"/>
        <v>354.96964285714284</v>
      </c>
      <c r="N71" s="112">
        <f t="shared" si="50"/>
        <v>366.80196428571435</v>
      </c>
      <c r="O71" s="112">
        <f t="shared" si="50"/>
        <v>352.12988571428576</v>
      </c>
      <c r="P71" s="112">
        <f t="shared" si="50"/>
        <v>312.37328571428571</v>
      </c>
      <c r="Q71" s="112">
        <f t="shared" si="50"/>
        <v>293.44157142857142</v>
      </c>
      <c r="R71" s="112">
        <f t="shared" si="50"/>
        <v>255.57814285714284</v>
      </c>
      <c r="S71" s="112">
        <f t="shared" si="50"/>
        <v>234.75325714285714</v>
      </c>
      <c r="T71" s="292">
        <f t="shared" si="20"/>
        <v>3461.9006035714292</v>
      </c>
      <c r="U71" s="309">
        <f>$B34*U34*(1+Assumptions!$D$74)</f>
        <v>228.88442571428573</v>
      </c>
      <c r="V71" s="310">
        <f>$B34*V34*(1+Assumptions!$D$74)</f>
        <v>243.34352249999998</v>
      </c>
      <c r="W71" s="310">
        <f>$B34*W34*(1+Assumptions!$D$74)</f>
        <v>343.32663857142859</v>
      </c>
      <c r="X71" s="310">
        <f>$B34*X34*(1+Assumptions!$D$74)</f>
        <v>406.08527142857145</v>
      </c>
      <c r="Y71" s="310">
        <f>$B34*Y34*(1+Assumptions!$D$74)</f>
        <v>457.76885142857145</v>
      </c>
      <c r="Z71" s="310">
        <f>$B34*Z34*(1+Assumptions!$D$74)</f>
        <v>461.46053571428564</v>
      </c>
      <c r="AA71" s="310">
        <f>$B34*AA34*(1+Assumptions!$D$74)</f>
        <v>476.84255357142865</v>
      </c>
      <c r="AB71" s="310">
        <f>$B34*AB34*(1+Assumptions!$D$74)</f>
        <v>457.76885142857145</v>
      </c>
      <c r="AC71" s="310">
        <f>$B34*AC34*(1+Assumptions!$D$74)</f>
        <v>406.08527142857145</v>
      </c>
      <c r="AD71" s="310">
        <f>$B34*AD34*(1+Assumptions!$D$74)</f>
        <v>381.47404285714288</v>
      </c>
      <c r="AE71" s="310">
        <f>$B34*AE34*(1+Assumptions!$D$74)</f>
        <v>332.25158571428568</v>
      </c>
      <c r="AF71" s="310">
        <f>$B34*AF34*(1+Assumptions!$D$74)</f>
        <v>305.1792342857143</v>
      </c>
      <c r="AG71" s="292">
        <f t="shared" si="45"/>
        <v>4500.4707846428564</v>
      </c>
      <c r="AH71" s="309">
        <f>$B34*AH34*(1+Assumptions!$E$74)</f>
        <v>260.68615601785717</v>
      </c>
      <c r="AI71" s="310">
        <f>$B34*AI34*(1+Assumptions!$E$74)</f>
        <v>277.15423307812495</v>
      </c>
      <c r="AJ71" s="310">
        <f>$B34*AJ34*(1+Assumptions!$E$74)</f>
        <v>391.02923402678567</v>
      </c>
      <c r="AK71" s="310">
        <f>$B34*AK34*(1+Assumptions!$E$74)</f>
        <v>462.50769616071426</v>
      </c>
      <c r="AL71" s="310">
        <f>$B34*AL34*(1+Assumptions!$E$74)</f>
        <v>521.37231203571434</v>
      </c>
      <c r="AM71" s="310">
        <f>$B34*AM34*(1+Assumptions!$E$74)</f>
        <v>525.57692745535701</v>
      </c>
      <c r="AN71" s="310">
        <f>$B34*AN34*(1+Assumptions!$E$74)</f>
        <v>543.0961583705357</v>
      </c>
      <c r="AO71" s="310">
        <f>$B34*AO34*(1+Assumptions!$E$74)</f>
        <v>521.37231203571434</v>
      </c>
      <c r="AP71" s="310">
        <f>$B34*AP34*(1+Assumptions!$E$74)</f>
        <v>462.50769616071426</v>
      </c>
      <c r="AQ71" s="310">
        <f>$B34*AQ34*(1+Assumptions!$E$74)</f>
        <v>434.47692669642856</v>
      </c>
      <c r="AR71" s="310">
        <f>$B34*AR34*(1+Assumptions!$E$74)</f>
        <v>378.41538776785706</v>
      </c>
      <c r="AS71" s="310">
        <f>$B34*AS34*(1+Assumptions!$E$74)</f>
        <v>347.58154135714284</v>
      </c>
      <c r="AT71" s="290">
        <f t="shared" si="46"/>
        <v>5125.776581162947</v>
      </c>
      <c r="AU71" s="309">
        <f>$B34*AU34*(1+Assumptions!$F$74)</f>
        <v>286.75477161964295</v>
      </c>
      <c r="AV71" s="310">
        <f>$B34*AV34*(1+Assumptions!$F$74)</f>
        <v>304.8696563859375</v>
      </c>
      <c r="AW71" s="310">
        <f>$B34*AW34*(1+Assumptions!$F$74)</f>
        <v>430.13215742946426</v>
      </c>
      <c r="AX71" s="310">
        <f>$B34*AX34*(1+Assumptions!$F$74)</f>
        <v>508.75846577678573</v>
      </c>
      <c r="AY71" s="310">
        <f>$B34*AY34*(1+Assumptions!$F$74)</f>
        <v>573.5095432392859</v>
      </c>
      <c r="AZ71" s="310">
        <f>$B34*AZ34*(1+Assumptions!$F$74)</f>
        <v>578.13462020089275</v>
      </c>
      <c r="BA71" s="310">
        <f>$B34*BA34*(1+Assumptions!$F$74)</f>
        <v>597.40577420758939</v>
      </c>
      <c r="BB71" s="310">
        <f>$B34*BB34*(1+Assumptions!$F$74)</f>
        <v>573.5095432392859</v>
      </c>
      <c r="BC71" s="310">
        <f>$B34*BC34*(1+Assumptions!$F$74)</f>
        <v>508.75846577678573</v>
      </c>
      <c r="BD71" s="310">
        <f>$B34*BD34*(1+Assumptions!$F$74)</f>
        <v>477.92461936607145</v>
      </c>
      <c r="BE71" s="310">
        <f>$B34*BE34*(1+Assumptions!$F$74)</f>
        <v>416.25692654464279</v>
      </c>
      <c r="BF71" s="310">
        <f>$B34*BF34*(1+Assumptions!$F$74)</f>
        <v>382.33969549285712</v>
      </c>
      <c r="BG71" s="290">
        <f t="shared" si="47"/>
        <v>5638.3542392792406</v>
      </c>
      <c r="BH71" s="309">
        <f>$B34*BH34*(1+Assumptions!$G$74)</f>
        <v>315.43024878160719</v>
      </c>
      <c r="BI71" s="102">
        <f>$B34*BI34*(1+Assumptions!$G$74)</f>
        <v>335.35662202453125</v>
      </c>
      <c r="BJ71" s="102">
        <f>$B34*BJ34*(1+Assumptions!$G$74)</f>
        <v>473.1453731724107</v>
      </c>
      <c r="BK71" s="102">
        <f>$B34*BK34*(1+Assumptions!$G$74)</f>
        <v>559.63431235446444</v>
      </c>
      <c r="BL71" s="102">
        <f>$B34*BL34*(1+Assumptions!$G$74)</f>
        <v>630.86049756321438</v>
      </c>
      <c r="BM71" s="102">
        <f>$B34*BM34*(1+Assumptions!$G$74)</f>
        <v>635.94808222098209</v>
      </c>
      <c r="BN71" s="102">
        <f>$B34*BN34*(1+Assumptions!$G$74)</f>
        <v>657.14635162834838</v>
      </c>
      <c r="BO71" s="102">
        <f>$B34*BO34*(1+Assumptions!$G$74)</f>
        <v>630.86049756321438</v>
      </c>
      <c r="BP71" s="102">
        <f>$B34*BP34*(1+Assumptions!$G$74)</f>
        <v>559.63431235446444</v>
      </c>
      <c r="BQ71" s="102">
        <f>$B34*BQ34*(1+Assumptions!$G$74)</f>
        <v>525.71708130267871</v>
      </c>
      <c r="BR71" s="102">
        <f>$B34*BR34*(1+Assumptions!$G$74)</f>
        <v>457.88261919910707</v>
      </c>
      <c r="BS71" s="102">
        <f>$B34*BS34*(1+Assumptions!$G$74)</f>
        <v>420.57366504214281</v>
      </c>
      <c r="BT71" s="103">
        <f t="shared" si="48"/>
        <v>6202.1896632071666</v>
      </c>
      <c r="BU71" s="103"/>
    </row>
    <row r="72" spans="1:73" ht="15.75" customHeight="1">
      <c r="A72" s="92"/>
      <c r="B72" s="92"/>
      <c r="C72" s="106"/>
      <c r="D72" s="106"/>
      <c r="E72" s="92"/>
      <c r="F72" s="92" t="str">
        <f t="shared" si="42"/>
        <v>Rotating Sour</v>
      </c>
      <c r="G72" s="92"/>
      <c r="H72" s="112">
        <f t="shared" ref="H72:S72" si="51">$B35*H35</f>
        <v>67.306757142857151</v>
      </c>
      <c r="I72" s="112">
        <f t="shared" si="51"/>
        <v>71.558662499999997</v>
      </c>
      <c r="J72" s="112">
        <f t="shared" si="51"/>
        <v>100.96013571428573</v>
      </c>
      <c r="K72" s="112">
        <f t="shared" si="51"/>
        <v>119.41521428571428</v>
      </c>
      <c r="L72" s="112">
        <f t="shared" si="51"/>
        <v>134.6135142857143</v>
      </c>
      <c r="M72" s="112">
        <f t="shared" si="51"/>
        <v>135.69910714285714</v>
      </c>
      <c r="N72" s="112">
        <f t="shared" si="51"/>
        <v>140.22241071428576</v>
      </c>
      <c r="O72" s="112">
        <f t="shared" si="51"/>
        <v>134.6135142857143</v>
      </c>
      <c r="P72" s="112">
        <f t="shared" si="51"/>
        <v>119.41521428571428</v>
      </c>
      <c r="Q72" s="112">
        <f t="shared" si="51"/>
        <v>112.17792857142858</v>
      </c>
      <c r="R72" s="112">
        <f t="shared" si="51"/>
        <v>97.703357142857143</v>
      </c>
      <c r="S72" s="112">
        <f t="shared" si="51"/>
        <v>89.742342857142873</v>
      </c>
      <c r="T72" s="292">
        <f t="shared" si="20"/>
        <v>1323.4281589285715</v>
      </c>
      <c r="U72" s="309">
        <f>$B35*U35*(1+Assumptions!$D$74)</f>
        <v>87.498784285714308</v>
      </c>
      <c r="V72" s="310">
        <f>$B35*V35*(1+Assumptions!$D$74)</f>
        <v>93.026261250000005</v>
      </c>
      <c r="W72" s="310">
        <f>$B35*W35*(1+Assumptions!$D$74)</f>
        <v>131.24817642857144</v>
      </c>
      <c r="X72" s="310">
        <f>$B35*X35*(1+Assumptions!$D$74)</f>
        <v>155.23977857142859</v>
      </c>
      <c r="Y72" s="310">
        <f>$B35*Y35*(1+Assumptions!$D$74)</f>
        <v>174.99756857142862</v>
      </c>
      <c r="Z72" s="310">
        <f>$B35*Z35*(1+Assumptions!$D$74)</f>
        <v>176.40883928571427</v>
      </c>
      <c r="AA72" s="310">
        <f>$B35*AA35*(1+Assumptions!$D$74)</f>
        <v>182.28913392857149</v>
      </c>
      <c r="AB72" s="310">
        <f>$B35*AB35*(1+Assumptions!$D$74)</f>
        <v>174.99756857142862</v>
      </c>
      <c r="AC72" s="310">
        <f>$B35*AC35*(1+Assumptions!$D$74)</f>
        <v>155.23977857142859</v>
      </c>
      <c r="AD72" s="310">
        <f>$B35*AD35*(1+Assumptions!$D$74)</f>
        <v>145.83130714285716</v>
      </c>
      <c r="AE72" s="310">
        <f>$B35*AE35*(1+Assumptions!$D$74)</f>
        <v>127.01436428571428</v>
      </c>
      <c r="AF72" s="310">
        <f>$B35*AF35*(1+Assumptions!$D$74)</f>
        <v>116.66504571428572</v>
      </c>
      <c r="AG72" s="292">
        <f t="shared" si="45"/>
        <v>1720.4566066071432</v>
      </c>
      <c r="AH72" s="309">
        <f>$B35*AH35*(1+Assumptions!$E$74)</f>
        <v>99.656067294642881</v>
      </c>
      <c r="AI72" s="310">
        <f>$B35*AI35*(1+Assumptions!$E$74)</f>
        <v>105.9515446640625</v>
      </c>
      <c r="AJ72" s="310">
        <f>$B35*AJ35*(1+Assumptions!$E$74)</f>
        <v>149.48410094196427</v>
      </c>
      <c r="AK72" s="310">
        <f>$B35*AK35*(1+Assumptions!$E$74)</f>
        <v>176.80915165178573</v>
      </c>
      <c r="AL72" s="310">
        <f>$B35*AL35*(1+Assumptions!$E$74)</f>
        <v>199.31213458928576</v>
      </c>
      <c r="AM72" s="310">
        <f>$B35*AM35*(1+Assumptions!$E$74)</f>
        <v>200.91949051339284</v>
      </c>
      <c r="AN72" s="310">
        <f>$B35*AN35*(1+Assumptions!$E$74)</f>
        <v>207.61680686383932</v>
      </c>
      <c r="AO72" s="310">
        <f>$B35*AO35*(1+Assumptions!$E$74)</f>
        <v>199.31213458928576</v>
      </c>
      <c r="AP72" s="310">
        <f>$B35*AP35*(1+Assumptions!$E$74)</f>
        <v>176.80915165178573</v>
      </c>
      <c r="AQ72" s="310">
        <f>$B35*AQ35*(1+Assumptions!$E$74)</f>
        <v>166.09344549107144</v>
      </c>
      <c r="AR72" s="310">
        <f>$B35*AR35*(1+Assumptions!$E$74)</f>
        <v>144.66203316964283</v>
      </c>
      <c r="AS72" s="310">
        <f>$B35*AS35*(1+Assumptions!$E$74)</f>
        <v>132.87475639285714</v>
      </c>
      <c r="AT72" s="290">
        <f t="shared" si="46"/>
        <v>1959.5008178136161</v>
      </c>
      <c r="AU72" s="309">
        <f>$B35*AU35*(1+Assumptions!$F$74)</f>
        <v>109.62167402410718</v>
      </c>
      <c r="AV72" s="310">
        <f>$B35*AV35*(1+Assumptions!$F$74)</f>
        <v>116.54669913046875</v>
      </c>
      <c r="AW72" s="310">
        <f>$B35*AW35*(1+Assumptions!$F$74)</f>
        <v>164.43251103616072</v>
      </c>
      <c r="AX72" s="310">
        <f>$B35*AX35*(1+Assumptions!$F$74)</f>
        <v>194.49006681696432</v>
      </c>
      <c r="AY72" s="310">
        <f>$B35*AY35*(1+Assumptions!$F$74)</f>
        <v>219.24334804821436</v>
      </c>
      <c r="AZ72" s="310">
        <f>$B35*AZ35*(1+Assumptions!$F$74)</f>
        <v>221.01143956473211</v>
      </c>
      <c r="BA72" s="310">
        <f>$B35*BA35*(1+Assumptions!$F$74)</f>
        <v>228.37848755022327</v>
      </c>
      <c r="BB72" s="310">
        <f>$B35*BB35*(1+Assumptions!$F$74)</f>
        <v>219.24334804821436</v>
      </c>
      <c r="BC72" s="310">
        <f>$B35*BC35*(1+Assumptions!$F$74)</f>
        <v>194.49006681696432</v>
      </c>
      <c r="BD72" s="310">
        <f>$B35*BD35*(1+Assumptions!$F$74)</f>
        <v>182.7027900401786</v>
      </c>
      <c r="BE72" s="310">
        <f>$B35*BE35*(1+Assumptions!$F$74)</f>
        <v>159.12823648660714</v>
      </c>
      <c r="BF72" s="310">
        <f>$B35*BF35*(1+Assumptions!$F$74)</f>
        <v>146.16223203214287</v>
      </c>
      <c r="BG72" s="290">
        <f t="shared" si="47"/>
        <v>2155.4508995949782</v>
      </c>
      <c r="BH72" s="309">
        <f>$B35*BH35*(1+Assumptions!$G$74)</f>
        <v>120.58384142651791</v>
      </c>
      <c r="BI72" s="102">
        <f>$B35*BI35*(1+Assumptions!$G$74)</f>
        <v>128.20136904351563</v>
      </c>
      <c r="BJ72" s="102">
        <f>$B35*BJ35*(1+Assumptions!$G$74)</f>
        <v>180.87576213977678</v>
      </c>
      <c r="BK72" s="102">
        <f>$B35*BK35*(1+Assumptions!$G$74)</f>
        <v>213.93907349866075</v>
      </c>
      <c r="BL72" s="102">
        <f>$B35*BL35*(1+Assumptions!$G$74)</f>
        <v>241.16768285303581</v>
      </c>
      <c r="BM72" s="102">
        <f>$B35*BM35*(1+Assumptions!$G$74)</f>
        <v>243.11258352120535</v>
      </c>
      <c r="BN72" s="102">
        <f>$B35*BN35*(1+Assumptions!$G$74)</f>
        <v>251.21633630524565</v>
      </c>
      <c r="BO72" s="102">
        <f>$B35*BO35*(1+Assumptions!$G$74)</f>
        <v>241.16768285303581</v>
      </c>
      <c r="BP72" s="102">
        <f>$B35*BP35*(1+Assumptions!$G$74)</f>
        <v>213.93907349866075</v>
      </c>
      <c r="BQ72" s="102">
        <f>$B35*BQ35*(1+Assumptions!$G$74)</f>
        <v>200.97306904419648</v>
      </c>
      <c r="BR72" s="102">
        <f>$B35*BR35*(1+Assumptions!$G$74)</f>
        <v>175.04106013526786</v>
      </c>
      <c r="BS72" s="102">
        <f>$B35*BS35*(1+Assumptions!$G$74)</f>
        <v>160.77845523535717</v>
      </c>
      <c r="BT72" s="103">
        <f t="shared" si="48"/>
        <v>2370.9959895544762</v>
      </c>
      <c r="BU72" s="103"/>
    </row>
    <row r="73" spans="1:73" ht="15.75" customHeight="1">
      <c r="A73" s="92"/>
      <c r="B73" s="92"/>
      <c r="C73" s="106"/>
      <c r="D73" s="106"/>
      <c r="E73" s="92"/>
      <c r="F73" s="92" t="str">
        <f t="shared" si="42"/>
        <v>Seasonal #1</v>
      </c>
      <c r="G73" s="92"/>
      <c r="H73" s="112">
        <f t="shared" ref="H73:S73" si="52">$B36*H36</f>
        <v>88.032471428571441</v>
      </c>
      <c r="I73" s="112">
        <f t="shared" si="52"/>
        <v>93.593662499999994</v>
      </c>
      <c r="J73" s="112">
        <f t="shared" si="52"/>
        <v>132.04870714285715</v>
      </c>
      <c r="K73" s="112">
        <f t="shared" si="52"/>
        <v>156.18664285714286</v>
      </c>
      <c r="L73" s="112">
        <f t="shared" si="52"/>
        <v>176.06494285714288</v>
      </c>
      <c r="M73" s="112">
        <f t="shared" si="52"/>
        <v>177.48482142857142</v>
      </c>
      <c r="N73" s="112">
        <f t="shared" si="52"/>
        <v>183.40098214285717</v>
      </c>
      <c r="O73" s="112">
        <f t="shared" si="52"/>
        <v>176.06494285714288</v>
      </c>
      <c r="P73" s="112">
        <f t="shared" si="52"/>
        <v>156.18664285714286</v>
      </c>
      <c r="Q73" s="112">
        <f t="shared" si="52"/>
        <v>146.72078571428571</v>
      </c>
      <c r="R73" s="112">
        <f t="shared" si="52"/>
        <v>127.78907142857142</v>
      </c>
      <c r="S73" s="112">
        <f t="shared" si="52"/>
        <v>117.37662857142857</v>
      </c>
      <c r="T73" s="292">
        <f t="shared" si="20"/>
        <v>1730.9503017857146</v>
      </c>
      <c r="U73" s="309">
        <f>$B36*U36*(1+Assumptions!$D$74)</f>
        <v>114.44221285714286</v>
      </c>
      <c r="V73" s="310">
        <f>$B36*V36*(1+Assumptions!$D$74)</f>
        <v>121.67176124999999</v>
      </c>
      <c r="W73" s="310">
        <f>$B36*W36*(1+Assumptions!$D$74)</f>
        <v>171.66331928571429</v>
      </c>
      <c r="X73" s="310">
        <f>$B36*X36*(1+Assumptions!$D$74)</f>
        <v>203.04263571428572</v>
      </c>
      <c r="Y73" s="310">
        <f>$B36*Y36*(1+Assumptions!$D$74)</f>
        <v>228.88442571428573</v>
      </c>
      <c r="Z73" s="310">
        <f>$B36*Z36*(1+Assumptions!$D$74)</f>
        <v>230.73026785714282</v>
      </c>
      <c r="AA73" s="310">
        <f>$B36*AA36*(1+Assumptions!$D$74)</f>
        <v>238.42127678571433</v>
      </c>
      <c r="AB73" s="310">
        <f>$B36*AB36*(1+Assumptions!$D$74)</f>
        <v>228.88442571428573</v>
      </c>
      <c r="AC73" s="310">
        <f>$B36*AC36*(1+Assumptions!$D$74)</f>
        <v>203.04263571428572</v>
      </c>
      <c r="AD73" s="310">
        <f>$B36*AD36*(1+Assumptions!$D$74)</f>
        <v>190.73702142857144</v>
      </c>
      <c r="AE73" s="310">
        <f>$B36*AE36*(1+Assumptions!$D$74)</f>
        <v>166.12579285714284</v>
      </c>
      <c r="AF73" s="310">
        <f>$B36*AF36*(1+Assumptions!$D$74)</f>
        <v>152.58961714285715</v>
      </c>
      <c r="AG73" s="292">
        <f t="shared" si="45"/>
        <v>2250.2353923214282</v>
      </c>
      <c r="AH73" s="309">
        <f>$B36*AH36*(1+Assumptions!$E$74)</f>
        <v>130.34307800892859</v>
      </c>
      <c r="AI73" s="310">
        <f>$B36*AI36*(1+Assumptions!$E$74)</f>
        <v>138.57711653906247</v>
      </c>
      <c r="AJ73" s="310">
        <f>$B36*AJ36*(1+Assumptions!$E$74)</f>
        <v>195.51461701339284</v>
      </c>
      <c r="AK73" s="310">
        <f>$B36*AK36*(1+Assumptions!$E$74)</f>
        <v>231.25384808035713</v>
      </c>
      <c r="AL73" s="310">
        <f>$B36*AL36*(1+Assumptions!$E$74)</f>
        <v>260.68615601785717</v>
      </c>
      <c r="AM73" s="310">
        <f>$B36*AM36*(1+Assumptions!$E$74)</f>
        <v>262.7884637276785</v>
      </c>
      <c r="AN73" s="310">
        <f>$B36*AN36*(1+Assumptions!$E$74)</f>
        <v>271.54807918526785</v>
      </c>
      <c r="AO73" s="310">
        <f>$B36*AO36*(1+Assumptions!$E$74)</f>
        <v>260.68615601785717</v>
      </c>
      <c r="AP73" s="310">
        <f>$B36*AP36*(1+Assumptions!$E$74)</f>
        <v>231.25384808035713</v>
      </c>
      <c r="AQ73" s="310">
        <f>$B36*AQ36*(1+Assumptions!$E$74)</f>
        <v>217.23846334821428</v>
      </c>
      <c r="AR73" s="310">
        <f>$B36*AR36*(1+Assumptions!$E$74)</f>
        <v>189.20769388392853</v>
      </c>
      <c r="AS73" s="310">
        <f>$B36*AS36*(1+Assumptions!$E$74)</f>
        <v>173.79077067857142</v>
      </c>
      <c r="AT73" s="290">
        <f t="shared" si="46"/>
        <v>2562.8882905814735</v>
      </c>
      <c r="AU73" s="309">
        <f>$B36*AU36*(1+Assumptions!$F$74)</f>
        <v>143.37738580982148</v>
      </c>
      <c r="AV73" s="310">
        <f>$B36*AV36*(1+Assumptions!$F$74)</f>
        <v>152.43482819296875</v>
      </c>
      <c r="AW73" s="310">
        <f>$B36*AW36*(1+Assumptions!$F$74)</f>
        <v>215.06607871473213</v>
      </c>
      <c r="AX73" s="310">
        <f>$B36*AX36*(1+Assumptions!$F$74)</f>
        <v>254.37923288839286</v>
      </c>
      <c r="AY73" s="310">
        <f>$B36*AY36*(1+Assumptions!$F$74)</f>
        <v>286.75477161964295</v>
      </c>
      <c r="AZ73" s="310">
        <f>$B36*AZ36*(1+Assumptions!$F$74)</f>
        <v>289.06731010044638</v>
      </c>
      <c r="BA73" s="310">
        <f>$B36*BA36*(1+Assumptions!$F$74)</f>
        <v>298.70288710379469</v>
      </c>
      <c r="BB73" s="310">
        <f>$B36*BB36*(1+Assumptions!$F$74)</f>
        <v>286.75477161964295</v>
      </c>
      <c r="BC73" s="310">
        <f>$B36*BC36*(1+Assumptions!$F$74)</f>
        <v>254.37923288839286</v>
      </c>
      <c r="BD73" s="310">
        <f>$B36*BD36*(1+Assumptions!$F$74)</f>
        <v>238.96230968303573</v>
      </c>
      <c r="BE73" s="310">
        <f>$B36*BE36*(1+Assumptions!$F$74)</f>
        <v>208.1284632723214</v>
      </c>
      <c r="BF73" s="310">
        <f>$B36*BF36*(1+Assumptions!$F$74)</f>
        <v>191.16984774642856</v>
      </c>
      <c r="BG73" s="290">
        <f t="shared" si="47"/>
        <v>2819.1771196396203</v>
      </c>
      <c r="BH73" s="309">
        <f>$B36*BH36*(1+Assumptions!$G$74)</f>
        <v>157.7151243908036</v>
      </c>
      <c r="BI73" s="102">
        <f>$B36*BI36*(1+Assumptions!$G$74)</f>
        <v>167.67831101226562</v>
      </c>
      <c r="BJ73" s="102">
        <f>$B36*BJ36*(1+Assumptions!$G$74)</f>
        <v>236.57268658620535</v>
      </c>
      <c r="BK73" s="102">
        <f>$B36*BK36*(1+Assumptions!$G$74)</f>
        <v>279.81715617723222</v>
      </c>
      <c r="BL73" s="102">
        <f>$B36*BL36*(1+Assumptions!$G$74)</f>
        <v>315.43024878160719</v>
      </c>
      <c r="BM73" s="102">
        <f>$B36*BM36*(1+Assumptions!$G$74)</f>
        <v>317.97404111049104</v>
      </c>
      <c r="BN73" s="102">
        <f>$B36*BN36*(1+Assumptions!$G$74)</f>
        <v>328.57317581417419</v>
      </c>
      <c r="BO73" s="102">
        <f>$B36*BO36*(1+Assumptions!$G$74)</f>
        <v>315.43024878160719</v>
      </c>
      <c r="BP73" s="102">
        <f>$B36*BP36*(1+Assumptions!$G$74)</f>
        <v>279.81715617723222</v>
      </c>
      <c r="BQ73" s="102">
        <f>$B36*BQ36*(1+Assumptions!$G$74)</f>
        <v>262.85854065133935</v>
      </c>
      <c r="BR73" s="102">
        <f>$B36*BR36*(1+Assumptions!$G$74)</f>
        <v>228.94130959955353</v>
      </c>
      <c r="BS73" s="102">
        <f>$B36*BS36*(1+Assumptions!$G$74)</f>
        <v>210.2868325210714</v>
      </c>
      <c r="BT73" s="103">
        <f t="shared" si="48"/>
        <v>3101.0948316035833</v>
      </c>
      <c r="BU73" s="103"/>
    </row>
    <row r="74" spans="1:73" ht="15.75" customHeight="1">
      <c r="A74" s="92"/>
      <c r="B74" s="92"/>
      <c r="C74" s="106"/>
      <c r="D74" s="106"/>
      <c r="E74" s="92"/>
      <c r="F74" s="92" t="str">
        <f t="shared" si="42"/>
        <v>Seasonal #2</v>
      </c>
      <c r="G74" s="92"/>
      <c r="H74" s="112">
        <f t="shared" ref="H74:S74" si="53">$B37*H37</f>
        <v>88.032471428571441</v>
      </c>
      <c r="I74" s="112">
        <f t="shared" si="53"/>
        <v>93.593662499999994</v>
      </c>
      <c r="J74" s="112">
        <f t="shared" si="53"/>
        <v>132.04870714285715</v>
      </c>
      <c r="K74" s="112">
        <f t="shared" si="53"/>
        <v>156.18664285714286</v>
      </c>
      <c r="L74" s="112">
        <f t="shared" si="53"/>
        <v>176.06494285714288</v>
      </c>
      <c r="M74" s="112">
        <f t="shared" si="53"/>
        <v>177.48482142857142</v>
      </c>
      <c r="N74" s="112">
        <f t="shared" si="53"/>
        <v>183.40098214285717</v>
      </c>
      <c r="O74" s="112">
        <f t="shared" si="53"/>
        <v>176.06494285714288</v>
      </c>
      <c r="P74" s="112">
        <f t="shared" si="53"/>
        <v>156.18664285714286</v>
      </c>
      <c r="Q74" s="112">
        <f t="shared" si="53"/>
        <v>146.72078571428571</v>
      </c>
      <c r="R74" s="112">
        <f t="shared" si="53"/>
        <v>127.78907142857142</v>
      </c>
      <c r="S74" s="112">
        <f t="shared" si="53"/>
        <v>117.37662857142857</v>
      </c>
      <c r="T74" s="292">
        <f t="shared" si="20"/>
        <v>1730.9503017857146</v>
      </c>
      <c r="U74" s="309">
        <f>$B37*U37*(1+Assumptions!$D$74)</f>
        <v>114.44221285714286</v>
      </c>
      <c r="V74" s="310">
        <f>$B37*V37*(1+Assumptions!$D$74)</f>
        <v>121.67176124999999</v>
      </c>
      <c r="W74" s="310">
        <f>$B37*W37*(1+Assumptions!$D$74)</f>
        <v>171.66331928571429</v>
      </c>
      <c r="X74" s="310">
        <f>$B37*X37*(1+Assumptions!$D$74)</f>
        <v>203.04263571428572</v>
      </c>
      <c r="Y74" s="310">
        <f>$B37*Y37*(1+Assumptions!$D$74)</f>
        <v>228.88442571428573</v>
      </c>
      <c r="Z74" s="310">
        <f>$B37*Z37*(1+Assumptions!$D$74)</f>
        <v>230.73026785714282</v>
      </c>
      <c r="AA74" s="310">
        <f>$B37*AA37*(1+Assumptions!$D$74)</f>
        <v>238.42127678571433</v>
      </c>
      <c r="AB74" s="310">
        <f>$B37*AB37*(1+Assumptions!$D$74)</f>
        <v>228.88442571428573</v>
      </c>
      <c r="AC74" s="310">
        <f>$B37*AC37*(1+Assumptions!$D$74)</f>
        <v>203.04263571428572</v>
      </c>
      <c r="AD74" s="310">
        <f>$B37*AD37*(1+Assumptions!$D$74)</f>
        <v>190.73702142857144</v>
      </c>
      <c r="AE74" s="310">
        <f>$B37*AE37*(1+Assumptions!$D$74)</f>
        <v>166.12579285714284</v>
      </c>
      <c r="AF74" s="310">
        <f>$B37*AF37*(1+Assumptions!$D$74)</f>
        <v>152.58961714285715</v>
      </c>
      <c r="AG74" s="292">
        <f t="shared" si="45"/>
        <v>2250.2353923214282</v>
      </c>
      <c r="AH74" s="309">
        <f>$B37*AH37*(1+Assumptions!$E$74)</f>
        <v>130.34307800892859</v>
      </c>
      <c r="AI74" s="310">
        <f>$B37*AI37*(1+Assumptions!$E$74)</f>
        <v>138.57711653906247</v>
      </c>
      <c r="AJ74" s="310">
        <f>$B37*AJ37*(1+Assumptions!$E$74)</f>
        <v>195.51461701339284</v>
      </c>
      <c r="AK74" s="310">
        <f>$B37*AK37*(1+Assumptions!$E$74)</f>
        <v>231.25384808035713</v>
      </c>
      <c r="AL74" s="310">
        <f>$B37*AL37*(1+Assumptions!$E$74)</f>
        <v>260.68615601785717</v>
      </c>
      <c r="AM74" s="310">
        <f>$B37*AM37*(1+Assumptions!$E$74)</f>
        <v>262.7884637276785</v>
      </c>
      <c r="AN74" s="310">
        <f>$B37*AN37*(1+Assumptions!$E$74)</f>
        <v>271.54807918526785</v>
      </c>
      <c r="AO74" s="310">
        <f>$B37*AO37*(1+Assumptions!$E$74)</f>
        <v>260.68615601785717</v>
      </c>
      <c r="AP74" s="310">
        <f>$B37*AP37*(1+Assumptions!$E$74)</f>
        <v>231.25384808035713</v>
      </c>
      <c r="AQ74" s="310">
        <f>$B37*AQ37*(1+Assumptions!$E$74)</f>
        <v>217.23846334821428</v>
      </c>
      <c r="AR74" s="310">
        <f>$B37*AR37*(1+Assumptions!$E$74)</f>
        <v>189.20769388392853</v>
      </c>
      <c r="AS74" s="310">
        <f>$B37*AS37*(1+Assumptions!$E$74)</f>
        <v>173.79077067857142</v>
      </c>
      <c r="AT74" s="290">
        <f t="shared" si="46"/>
        <v>2562.8882905814735</v>
      </c>
      <c r="AU74" s="309">
        <f>$B37*AU37*(1+Assumptions!$F$74)</f>
        <v>143.37738580982148</v>
      </c>
      <c r="AV74" s="310">
        <f>$B37*AV37*(1+Assumptions!$F$74)</f>
        <v>152.43482819296875</v>
      </c>
      <c r="AW74" s="310">
        <f>$B37*AW37*(1+Assumptions!$F$74)</f>
        <v>215.06607871473213</v>
      </c>
      <c r="AX74" s="310">
        <f>$B37*AX37*(1+Assumptions!$F$74)</f>
        <v>254.37923288839286</v>
      </c>
      <c r="AY74" s="310">
        <f>$B37*AY37*(1+Assumptions!$F$74)</f>
        <v>286.75477161964295</v>
      </c>
      <c r="AZ74" s="310">
        <f>$B37*AZ37*(1+Assumptions!$F$74)</f>
        <v>289.06731010044638</v>
      </c>
      <c r="BA74" s="310">
        <f>$B37*BA37*(1+Assumptions!$F$74)</f>
        <v>298.70288710379469</v>
      </c>
      <c r="BB74" s="310">
        <f>$B37*BB37*(1+Assumptions!$F$74)</f>
        <v>286.75477161964295</v>
      </c>
      <c r="BC74" s="310">
        <f>$B37*BC37*(1+Assumptions!$F$74)</f>
        <v>254.37923288839286</v>
      </c>
      <c r="BD74" s="310">
        <f>$B37*BD37*(1+Assumptions!$F$74)</f>
        <v>238.96230968303573</v>
      </c>
      <c r="BE74" s="310">
        <f>$B37*BE37*(1+Assumptions!$F$74)</f>
        <v>208.1284632723214</v>
      </c>
      <c r="BF74" s="310">
        <f>$B37*BF37*(1+Assumptions!$F$74)</f>
        <v>191.16984774642856</v>
      </c>
      <c r="BG74" s="290">
        <f t="shared" si="47"/>
        <v>2819.1771196396203</v>
      </c>
      <c r="BH74" s="309">
        <f>$B37*BH37*(1+Assumptions!$G$74)</f>
        <v>157.7151243908036</v>
      </c>
      <c r="BI74" s="102">
        <f>$B37*BI37*(1+Assumptions!$G$74)</f>
        <v>167.67831101226562</v>
      </c>
      <c r="BJ74" s="102">
        <f>$B37*BJ37*(1+Assumptions!$G$74)</f>
        <v>236.57268658620535</v>
      </c>
      <c r="BK74" s="102">
        <f>$B37*BK37*(1+Assumptions!$G$74)</f>
        <v>279.81715617723222</v>
      </c>
      <c r="BL74" s="102">
        <f>$B37*BL37*(1+Assumptions!$G$74)</f>
        <v>315.43024878160719</v>
      </c>
      <c r="BM74" s="102">
        <f>$B37*BM37*(1+Assumptions!$G$74)</f>
        <v>317.97404111049104</v>
      </c>
      <c r="BN74" s="102">
        <f>$B37*BN37*(1+Assumptions!$G$74)</f>
        <v>328.57317581417419</v>
      </c>
      <c r="BO74" s="102">
        <f>$B37*BO37*(1+Assumptions!$G$74)</f>
        <v>315.43024878160719</v>
      </c>
      <c r="BP74" s="102">
        <f>$B37*BP37*(1+Assumptions!$G$74)</f>
        <v>279.81715617723222</v>
      </c>
      <c r="BQ74" s="102">
        <f>$B37*BQ37*(1+Assumptions!$G$74)</f>
        <v>262.85854065133935</v>
      </c>
      <c r="BR74" s="102">
        <f>$B37*BR37*(1+Assumptions!$G$74)</f>
        <v>228.94130959955353</v>
      </c>
      <c r="BS74" s="102">
        <f>$B37*BS37*(1+Assumptions!$G$74)</f>
        <v>210.2868325210714</v>
      </c>
      <c r="BT74" s="103">
        <f t="shared" si="48"/>
        <v>3101.0948316035833</v>
      </c>
      <c r="BU74" s="103"/>
    </row>
    <row r="75" spans="1:73" ht="15.75" customHeight="1">
      <c r="A75" s="92"/>
      <c r="B75" s="92"/>
      <c r="C75" s="106"/>
      <c r="D75" s="106"/>
      <c r="E75" s="92"/>
      <c r="F75" s="92" t="str">
        <f t="shared" si="42"/>
        <v>Rotating IPA #1</v>
      </c>
      <c r="G75" s="92"/>
      <c r="H75" s="112">
        <f t="shared" ref="H75:S75" si="54">$B38*H38</f>
        <v>176.06494285714288</v>
      </c>
      <c r="I75" s="112">
        <f t="shared" si="54"/>
        <v>187.18732499999999</v>
      </c>
      <c r="J75" s="112">
        <f t="shared" si="54"/>
        <v>264.09741428571431</v>
      </c>
      <c r="K75" s="112">
        <f t="shared" si="54"/>
        <v>312.37328571428571</v>
      </c>
      <c r="L75" s="112">
        <f t="shared" si="54"/>
        <v>352.12988571428576</v>
      </c>
      <c r="M75" s="112">
        <f t="shared" si="54"/>
        <v>354.96964285714284</v>
      </c>
      <c r="N75" s="112">
        <f t="shared" si="54"/>
        <v>366.80196428571435</v>
      </c>
      <c r="O75" s="112">
        <f t="shared" si="54"/>
        <v>352.12988571428576</v>
      </c>
      <c r="P75" s="112">
        <f t="shared" si="54"/>
        <v>312.37328571428571</v>
      </c>
      <c r="Q75" s="112">
        <f t="shared" si="54"/>
        <v>293.44157142857142</v>
      </c>
      <c r="R75" s="112">
        <f t="shared" si="54"/>
        <v>255.57814285714284</v>
      </c>
      <c r="S75" s="112">
        <f t="shared" si="54"/>
        <v>234.75325714285714</v>
      </c>
      <c r="T75" s="292">
        <f t="shared" si="20"/>
        <v>3461.9006035714292</v>
      </c>
      <c r="U75" s="309">
        <f>$B38*U38*(1+Assumptions!$D$74)</f>
        <v>228.88442571428573</v>
      </c>
      <c r="V75" s="310">
        <f>$B38*V38*(1+Assumptions!$D$74)</f>
        <v>243.34352249999998</v>
      </c>
      <c r="W75" s="310">
        <f>$B38*W38*(1+Assumptions!$D$74)</f>
        <v>343.32663857142859</v>
      </c>
      <c r="X75" s="310">
        <f>$B38*X38*(1+Assumptions!$D$74)</f>
        <v>406.08527142857145</v>
      </c>
      <c r="Y75" s="310">
        <f>$B38*Y38*(1+Assumptions!$D$74)</f>
        <v>457.76885142857145</v>
      </c>
      <c r="Z75" s="310">
        <f>$B38*Z38*(1+Assumptions!$D$74)</f>
        <v>461.46053571428564</v>
      </c>
      <c r="AA75" s="310">
        <f>$B38*AA38*(1+Assumptions!$D$74)</f>
        <v>476.84255357142865</v>
      </c>
      <c r="AB75" s="310">
        <f>$B38*AB38*(1+Assumptions!$D$74)</f>
        <v>457.76885142857145</v>
      </c>
      <c r="AC75" s="310">
        <f>$B38*AC38*(1+Assumptions!$D$74)</f>
        <v>406.08527142857145</v>
      </c>
      <c r="AD75" s="310">
        <f>$B38*AD38*(1+Assumptions!$D$74)</f>
        <v>381.47404285714288</v>
      </c>
      <c r="AE75" s="310">
        <f>$B38*AE38*(1+Assumptions!$D$74)</f>
        <v>332.25158571428568</v>
      </c>
      <c r="AF75" s="310">
        <f>$B38*AF38*(1+Assumptions!$D$74)</f>
        <v>305.1792342857143</v>
      </c>
      <c r="AG75" s="292">
        <f t="shared" si="45"/>
        <v>4500.4707846428564</v>
      </c>
      <c r="AH75" s="309">
        <f>$B38*AH38*(1+Assumptions!$E$74)</f>
        <v>260.68615601785717</v>
      </c>
      <c r="AI75" s="310">
        <f>$B38*AI38*(1+Assumptions!$E$74)</f>
        <v>277.15423307812495</v>
      </c>
      <c r="AJ75" s="310">
        <f>$B38*AJ38*(1+Assumptions!$E$74)</f>
        <v>391.02923402678567</v>
      </c>
      <c r="AK75" s="310">
        <f>$B38*AK38*(1+Assumptions!$E$74)</f>
        <v>462.50769616071426</v>
      </c>
      <c r="AL75" s="310">
        <f>$B38*AL38*(1+Assumptions!$E$74)</f>
        <v>521.37231203571434</v>
      </c>
      <c r="AM75" s="310">
        <f>$B38*AM38*(1+Assumptions!$E$74)</f>
        <v>525.57692745535701</v>
      </c>
      <c r="AN75" s="310">
        <f>$B38*AN38*(1+Assumptions!$E$74)</f>
        <v>543.0961583705357</v>
      </c>
      <c r="AO75" s="310">
        <f>$B38*AO38*(1+Assumptions!$E$74)</f>
        <v>521.37231203571434</v>
      </c>
      <c r="AP75" s="310">
        <f>$B38*AP38*(1+Assumptions!$E$74)</f>
        <v>462.50769616071426</v>
      </c>
      <c r="AQ75" s="310">
        <f>$B38*AQ38*(1+Assumptions!$E$74)</f>
        <v>434.47692669642856</v>
      </c>
      <c r="AR75" s="310">
        <f>$B38*AR38*(1+Assumptions!$E$74)</f>
        <v>378.41538776785706</v>
      </c>
      <c r="AS75" s="310">
        <f>$B38*AS38*(1+Assumptions!$E$74)</f>
        <v>347.58154135714284</v>
      </c>
      <c r="AT75" s="290">
        <f t="shared" si="46"/>
        <v>5125.776581162947</v>
      </c>
      <c r="AU75" s="309">
        <f>$B38*AU38*(1+Assumptions!$F$74)</f>
        <v>286.75477161964295</v>
      </c>
      <c r="AV75" s="310">
        <f>$B38*AV38*(1+Assumptions!$F$74)</f>
        <v>304.8696563859375</v>
      </c>
      <c r="AW75" s="310">
        <f>$B38*AW38*(1+Assumptions!$F$74)</f>
        <v>430.13215742946426</v>
      </c>
      <c r="AX75" s="310">
        <f>$B38*AX38*(1+Assumptions!$F$74)</f>
        <v>508.75846577678573</v>
      </c>
      <c r="AY75" s="310">
        <f>$B38*AY38*(1+Assumptions!$F$74)</f>
        <v>573.5095432392859</v>
      </c>
      <c r="AZ75" s="310">
        <f>$B38*AZ38*(1+Assumptions!$F$74)</f>
        <v>578.13462020089275</v>
      </c>
      <c r="BA75" s="310">
        <f>$B38*BA38*(1+Assumptions!$F$74)</f>
        <v>597.40577420758939</v>
      </c>
      <c r="BB75" s="310">
        <f>$B38*BB38*(1+Assumptions!$F$74)</f>
        <v>573.5095432392859</v>
      </c>
      <c r="BC75" s="310">
        <f>$B38*BC38*(1+Assumptions!$F$74)</f>
        <v>508.75846577678573</v>
      </c>
      <c r="BD75" s="310">
        <f>$B38*BD38*(1+Assumptions!$F$74)</f>
        <v>477.92461936607145</v>
      </c>
      <c r="BE75" s="310">
        <f>$B38*BE38*(1+Assumptions!$F$74)</f>
        <v>416.25692654464279</v>
      </c>
      <c r="BF75" s="310">
        <f>$B38*BF38*(1+Assumptions!$F$74)</f>
        <v>382.33969549285712</v>
      </c>
      <c r="BG75" s="290">
        <f t="shared" si="47"/>
        <v>5638.3542392792406</v>
      </c>
      <c r="BH75" s="309">
        <f>$B38*BH38*(1+Assumptions!$G$74)</f>
        <v>315.43024878160719</v>
      </c>
      <c r="BI75" s="102">
        <f>$B38*BI38*(1+Assumptions!$G$74)</f>
        <v>335.35662202453125</v>
      </c>
      <c r="BJ75" s="102">
        <f>$B38*BJ38*(1+Assumptions!$G$74)</f>
        <v>473.1453731724107</v>
      </c>
      <c r="BK75" s="102">
        <f>$B38*BK38*(1+Assumptions!$G$74)</f>
        <v>559.63431235446444</v>
      </c>
      <c r="BL75" s="102">
        <f>$B38*BL38*(1+Assumptions!$G$74)</f>
        <v>630.86049756321438</v>
      </c>
      <c r="BM75" s="102">
        <f>$B38*BM38*(1+Assumptions!$G$74)</f>
        <v>635.94808222098209</v>
      </c>
      <c r="BN75" s="102">
        <f>$B38*BN38*(1+Assumptions!$G$74)</f>
        <v>657.14635162834838</v>
      </c>
      <c r="BO75" s="102">
        <f>$B38*BO38*(1+Assumptions!$G$74)</f>
        <v>630.86049756321438</v>
      </c>
      <c r="BP75" s="102">
        <f>$B38*BP38*(1+Assumptions!$G$74)</f>
        <v>559.63431235446444</v>
      </c>
      <c r="BQ75" s="102">
        <f>$B38*BQ38*(1+Assumptions!$G$74)</f>
        <v>525.71708130267871</v>
      </c>
      <c r="BR75" s="102">
        <f>$B38*BR38*(1+Assumptions!$G$74)</f>
        <v>457.88261919910707</v>
      </c>
      <c r="BS75" s="102">
        <f>$B38*BS38*(1+Assumptions!$G$74)</f>
        <v>420.57366504214281</v>
      </c>
      <c r="BT75" s="103">
        <f t="shared" si="48"/>
        <v>6202.1896632071666</v>
      </c>
      <c r="BU75" s="103"/>
    </row>
    <row r="76" spans="1:73" ht="15.75" customHeight="1">
      <c r="A76" s="92"/>
      <c r="B76" s="92"/>
      <c r="C76" s="106"/>
      <c r="D76" s="106"/>
      <c r="E76" s="92"/>
      <c r="F76" s="92" t="str">
        <f t="shared" si="42"/>
        <v>Rotating IPA #2</v>
      </c>
      <c r="G76" s="92"/>
      <c r="H76" s="112">
        <f t="shared" ref="H76:S76" si="55">$B39*H39</f>
        <v>88.032471428571441</v>
      </c>
      <c r="I76" s="112">
        <f t="shared" si="55"/>
        <v>93.593662499999994</v>
      </c>
      <c r="J76" s="112">
        <f t="shared" si="55"/>
        <v>132.04870714285715</v>
      </c>
      <c r="K76" s="112">
        <f t="shared" si="55"/>
        <v>156.18664285714286</v>
      </c>
      <c r="L76" s="112">
        <f t="shared" si="55"/>
        <v>176.06494285714288</v>
      </c>
      <c r="M76" s="112">
        <f t="shared" si="55"/>
        <v>177.48482142857142</v>
      </c>
      <c r="N76" s="112">
        <f t="shared" si="55"/>
        <v>183.40098214285717</v>
      </c>
      <c r="O76" s="112">
        <f t="shared" si="55"/>
        <v>176.06494285714288</v>
      </c>
      <c r="P76" s="112">
        <f t="shared" si="55"/>
        <v>156.18664285714286</v>
      </c>
      <c r="Q76" s="112">
        <f t="shared" si="55"/>
        <v>146.72078571428571</v>
      </c>
      <c r="R76" s="112">
        <f t="shared" si="55"/>
        <v>127.78907142857142</v>
      </c>
      <c r="S76" s="112">
        <f t="shared" si="55"/>
        <v>117.37662857142857</v>
      </c>
      <c r="T76" s="292">
        <f t="shared" si="20"/>
        <v>1730.9503017857146</v>
      </c>
      <c r="U76" s="309">
        <f>$B39*U39*(1+Assumptions!$D$74)</f>
        <v>114.44221285714286</v>
      </c>
      <c r="V76" s="310">
        <f>$B39*V39*(1+Assumptions!$D$74)</f>
        <v>121.67176124999999</v>
      </c>
      <c r="W76" s="310">
        <f>$B39*W39*(1+Assumptions!$D$74)</f>
        <v>171.66331928571429</v>
      </c>
      <c r="X76" s="310">
        <f>$B39*X39*(1+Assumptions!$D$74)</f>
        <v>203.04263571428572</v>
      </c>
      <c r="Y76" s="310">
        <f>$B39*Y39*(1+Assumptions!$D$74)</f>
        <v>228.88442571428573</v>
      </c>
      <c r="Z76" s="310">
        <f>$B39*Z39*(1+Assumptions!$D$74)</f>
        <v>230.73026785714282</v>
      </c>
      <c r="AA76" s="310">
        <f>$B39*AA39*(1+Assumptions!$D$74)</f>
        <v>238.42127678571433</v>
      </c>
      <c r="AB76" s="310">
        <f>$B39*AB39*(1+Assumptions!$D$74)</f>
        <v>228.88442571428573</v>
      </c>
      <c r="AC76" s="310">
        <f>$B39*AC39*(1+Assumptions!$D$74)</f>
        <v>203.04263571428572</v>
      </c>
      <c r="AD76" s="310">
        <f>$B39*AD39*(1+Assumptions!$D$74)</f>
        <v>190.73702142857144</v>
      </c>
      <c r="AE76" s="310">
        <f>$B39*AE39*(1+Assumptions!$D$74)</f>
        <v>166.12579285714284</v>
      </c>
      <c r="AF76" s="310">
        <f>$B39*AF39*(1+Assumptions!$D$74)</f>
        <v>152.58961714285715</v>
      </c>
      <c r="AG76" s="292">
        <f t="shared" si="45"/>
        <v>2250.2353923214282</v>
      </c>
      <c r="AH76" s="309">
        <f>$B39*AH39*(1+Assumptions!$E$74)</f>
        <v>130.34307800892859</v>
      </c>
      <c r="AI76" s="310">
        <f>$B39*AI39*(1+Assumptions!$E$74)</f>
        <v>138.57711653906247</v>
      </c>
      <c r="AJ76" s="310">
        <f>$B39*AJ39*(1+Assumptions!$E$74)</f>
        <v>195.51461701339284</v>
      </c>
      <c r="AK76" s="310">
        <f>$B39*AK39*(1+Assumptions!$E$74)</f>
        <v>231.25384808035713</v>
      </c>
      <c r="AL76" s="310">
        <f>$B39*AL39*(1+Assumptions!$E$74)</f>
        <v>260.68615601785717</v>
      </c>
      <c r="AM76" s="310">
        <f>$B39*AM39*(1+Assumptions!$E$74)</f>
        <v>262.7884637276785</v>
      </c>
      <c r="AN76" s="310">
        <f>$B39*AN39*(1+Assumptions!$E$74)</f>
        <v>271.54807918526785</v>
      </c>
      <c r="AO76" s="310">
        <f>$B39*AO39*(1+Assumptions!$E$74)</f>
        <v>260.68615601785717</v>
      </c>
      <c r="AP76" s="310">
        <f>$B39*AP39*(1+Assumptions!$E$74)</f>
        <v>231.25384808035713</v>
      </c>
      <c r="AQ76" s="310">
        <f>$B39*AQ39*(1+Assumptions!$E$74)</f>
        <v>217.23846334821428</v>
      </c>
      <c r="AR76" s="310">
        <f>$B39*AR39*(1+Assumptions!$E$74)</f>
        <v>189.20769388392853</v>
      </c>
      <c r="AS76" s="310">
        <f>$B39*AS39*(1+Assumptions!$E$74)</f>
        <v>173.79077067857142</v>
      </c>
      <c r="AT76" s="290">
        <f t="shared" si="46"/>
        <v>2562.8882905814735</v>
      </c>
      <c r="AU76" s="309">
        <f>$B39*AU39*(1+Assumptions!$F$74)</f>
        <v>143.37738580982148</v>
      </c>
      <c r="AV76" s="310">
        <f>$B39*AV39*(1+Assumptions!$F$74)</f>
        <v>152.43482819296875</v>
      </c>
      <c r="AW76" s="310">
        <f>$B39*AW39*(1+Assumptions!$F$74)</f>
        <v>215.06607871473213</v>
      </c>
      <c r="AX76" s="310">
        <f>$B39*AX39*(1+Assumptions!$F$74)</f>
        <v>254.37923288839286</v>
      </c>
      <c r="AY76" s="310">
        <f>$B39*AY39*(1+Assumptions!$F$74)</f>
        <v>286.75477161964295</v>
      </c>
      <c r="AZ76" s="310">
        <f>$B39*AZ39*(1+Assumptions!$F$74)</f>
        <v>289.06731010044638</v>
      </c>
      <c r="BA76" s="310">
        <f>$B39*BA39*(1+Assumptions!$F$74)</f>
        <v>298.70288710379469</v>
      </c>
      <c r="BB76" s="310">
        <f>$B39*BB39*(1+Assumptions!$F$74)</f>
        <v>286.75477161964295</v>
      </c>
      <c r="BC76" s="310">
        <f>$B39*BC39*(1+Assumptions!$F$74)</f>
        <v>254.37923288839286</v>
      </c>
      <c r="BD76" s="310">
        <f>$B39*BD39*(1+Assumptions!$F$74)</f>
        <v>238.96230968303573</v>
      </c>
      <c r="BE76" s="310">
        <f>$B39*BE39*(1+Assumptions!$F$74)</f>
        <v>208.1284632723214</v>
      </c>
      <c r="BF76" s="310">
        <f>$B39*BF39*(1+Assumptions!$F$74)</f>
        <v>191.16984774642856</v>
      </c>
      <c r="BG76" s="290">
        <f t="shared" si="47"/>
        <v>2819.1771196396203</v>
      </c>
      <c r="BH76" s="309">
        <f>$B39*BH39*(1+Assumptions!$G$74)</f>
        <v>157.7151243908036</v>
      </c>
      <c r="BI76" s="102">
        <f>$B39*BI39*(1+Assumptions!$G$74)</f>
        <v>167.67831101226562</v>
      </c>
      <c r="BJ76" s="102">
        <f>$B39*BJ39*(1+Assumptions!$G$74)</f>
        <v>236.57268658620535</v>
      </c>
      <c r="BK76" s="102">
        <f>$B39*BK39*(1+Assumptions!$G$74)</f>
        <v>279.81715617723222</v>
      </c>
      <c r="BL76" s="102">
        <f>$B39*BL39*(1+Assumptions!$G$74)</f>
        <v>315.43024878160719</v>
      </c>
      <c r="BM76" s="102">
        <f>$B39*BM39*(1+Assumptions!$G$74)</f>
        <v>317.97404111049104</v>
      </c>
      <c r="BN76" s="102">
        <f>$B39*BN39*(1+Assumptions!$G$74)</f>
        <v>328.57317581417419</v>
      </c>
      <c r="BO76" s="102">
        <f>$B39*BO39*(1+Assumptions!$G$74)</f>
        <v>315.43024878160719</v>
      </c>
      <c r="BP76" s="102">
        <f>$B39*BP39*(1+Assumptions!$G$74)</f>
        <v>279.81715617723222</v>
      </c>
      <c r="BQ76" s="102">
        <f>$B39*BQ39*(1+Assumptions!$G$74)</f>
        <v>262.85854065133935</v>
      </c>
      <c r="BR76" s="102">
        <f>$B39*BR39*(1+Assumptions!$G$74)</f>
        <v>228.94130959955353</v>
      </c>
      <c r="BS76" s="102">
        <f>$B39*BS39*(1+Assumptions!$G$74)</f>
        <v>210.2868325210714</v>
      </c>
      <c r="BT76" s="103">
        <f t="shared" si="48"/>
        <v>3101.0948316035833</v>
      </c>
      <c r="BU76" s="103"/>
    </row>
    <row r="77" spans="1:73" ht="15.75" customHeight="1">
      <c r="A77" s="92"/>
      <c r="B77" s="92"/>
      <c r="C77" s="106"/>
      <c r="D77" s="106"/>
      <c r="E77" s="92"/>
      <c r="F77" s="92" t="str">
        <f t="shared" si="42"/>
        <v>Special release</v>
      </c>
      <c r="G77" s="92"/>
      <c r="H77" s="112">
        <f t="shared" ref="H77:S77" si="56">$B40*H40</f>
        <v>0</v>
      </c>
      <c r="I77" s="112">
        <f t="shared" si="56"/>
        <v>0</v>
      </c>
      <c r="J77" s="112">
        <f t="shared" si="56"/>
        <v>0</v>
      </c>
      <c r="K77" s="112">
        <f t="shared" si="56"/>
        <v>0</v>
      </c>
      <c r="L77" s="112">
        <f t="shared" si="56"/>
        <v>0</v>
      </c>
      <c r="M77" s="112">
        <f t="shared" si="56"/>
        <v>0</v>
      </c>
      <c r="N77" s="112">
        <f t="shared" si="56"/>
        <v>0</v>
      </c>
      <c r="O77" s="112">
        <f t="shared" si="56"/>
        <v>0</v>
      </c>
      <c r="P77" s="112">
        <f t="shared" si="56"/>
        <v>0</v>
      </c>
      <c r="Q77" s="112">
        <f t="shared" si="56"/>
        <v>0</v>
      </c>
      <c r="R77" s="112">
        <f t="shared" si="56"/>
        <v>0</v>
      </c>
      <c r="S77" s="112">
        <f t="shared" si="56"/>
        <v>0</v>
      </c>
      <c r="T77" s="292">
        <f t="shared" si="20"/>
        <v>0</v>
      </c>
      <c r="U77" s="309">
        <f>$B40*U40*(1+Assumptions!$D$74)</f>
        <v>0</v>
      </c>
      <c r="V77" s="310">
        <f>$B40*V40*(1+Assumptions!$D$74)</f>
        <v>0</v>
      </c>
      <c r="W77" s="310">
        <f>$B40*W40*(1+Assumptions!$D$74)</f>
        <v>0</v>
      </c>
      <c r="X77" s="310">
        <f>$B40*X40*(1+Assumptions!$D$74)</f>
        <v>0</v>
      </c>
      <c r="Y77" s="310">
        <f>$B40*Y40*(1+Assumptions!$D$74)</f>
        <v>0</v>
      </c>
      <c r="Z77" s="310">
        <f>$B40*Z40*(1+Assumptions!$D$74)</f>
        <v>0</v>
      </c>
      <c r="AA77" s="310">
        <f>$B40*AA40*(1+Assumptions!$D$74)</f>
        <v>0</v>
      </c>
      <c r="AB77" s="310">
        <f>$B40*AB40*(1+Assumptions!$D$74)</f>
        <v>0</v>
      </c>
      <c r="AC77" s="310">
        <f>$B40*AC40*(1+Assumptions!$D$74)</f>
        <v>0</v>
      </c>
      <c r="AD77" s="310">
        <f>$B40*AD40*(1+Assumptions!$D$74)</f>
        <v>0</v>
      </c>
      <c r="AE77" s="310">
        <f>$B40*AE40*(1+Assumptions!$D$74)</f>
        <v>0</v>
      </c>
      <c r="AF77" s="310">
        <f>$B40*AF40*(1+Assumptions!$D$74)</f>
        <v>0</v>
      </c>
      <c r="AG77" s="292">
        <f t="shared" si="45"/>
        <v>0</v>
      </c>
      <c r="AH77" s="309">
        <f>$B40*AH40*(1+Assumptions!$E$74)</f>
        <v>0</v>
      </c>
      <c r="AI77" s="310">
        <f>$B40*AI40*(1+Assumptions!$E$74)</f>
        <v>0</v>
      </c>
      <c r="AJ77" s="310">
        <f>$B40*AJ40*(1+Assumptions!$E$74)</f>
        <v>0</v>
      </c>
      <c r="AK77" s="310">
        <f>$B40*AK40*(1+Assumptions!$E$74)</f>
        <v>0</v>
      </c>
      <c r="AL77" s="310">
        <f>$B40*AL40*(1+Assumptions!$E$74)</f>
        <v>0</v>
      </c>
      <c r="AM77" s="310">
        <f>$B40*AM40*(1+Assumptions!$E$74)</f>
        <v>0</v>
      </c>
      <c r="AN77" s="310">
        <f>$B40*AN40*(1+Assumptions!$E$74)</f>
        <v>0</v>
      </c>
      <c r="AO77" s="310">
        <f>$B40*AO40*(1+Assumptions!$E$74)</f>
        <v>0</v>
      </c>
      <c r="AP77" s="310">
        <f>$B40*AP40*(1+Assumptions!$E$74)</f>
        <v>0</v>
      </c>
      <c r="AQ77" s="310">
        <f>$B40*AQ40*(1+Assumptions!$E$74)</f>
        <v>0</v>
      </c>
      <c r="AR77" s="310">
        <f>$B40*AR40*(1+Assumptions!$E$74)</f>
        <v>0</v>
      </c>
      <c r="AS77" s="310">
        <f>$B40*AS40*(1+Assumptions!$E$74)</f>
        <v>0</v>
      </c>
      <c r="AT77" s="290">
        <f t="shared" si="46"/>
        <v>0</v>
      </c>
      <c r="AU77" s="309">
        <f>$B40*AU40*(1+Assumptions!$F$74)</f>
        <v>0</v>
      </c>
      <c r="AV77" s="310">
        <f>$B40*AV40*(1+Assumptions!$F$74)</f>
        <v>0</v>
      </c>
      <c r="AW77" s="310">
        <f>$B40*AW40*(1+Assumptions!$F$74)</f>
        <v>0</v>
      </c>
      <c r="AX77" s="310">
        <f>$B40*AX40*(1+Assumptions!$F$74)</f>
        <v>0</v>
      </c>
      <c r="AY77" s="310">
        <f>$B40*AY40*(1+Assumptions!$F$74)</f>
        <v>0</v>
      </c>
      <c r="AZ77" s="310">
        <f>$B40*AZ40*(1+Assumptions!$F$74)</f>
        <v>0</v>
      </c>
      <c r="BA77" s="310">
        <f>$B40*BA40*(1+Assumptions!$F$74)</f>
        <v>0</v>
      </c>
      <c r="BB77" s="310">
        <f>$B40*BB40*(1+Assumptions!$F$74)</f>
        <v>0</v>
      </c>
      <c r="BC77" s="310">
        <f>$B40*BC40*(1+Assumptions!$F$74)</f>
        <v>0</v>
      </c>
      <c r="BD77" s="310">
        <f>$B40*BD40*(1+Assumptions!$F$74)</f>
        <v>0</v>
      </c>
      <c r="BE77" s="310">
        <f>$B40*BE40*(1+Assumptions!$F$74)</f>
        <v>0</v>
      </c>
      <c r="BF77" s="310">
        <f>$B40*BF40*(1+Assumptions!$F$74)</f>
        <v>0</v>
      </c>
      <c r="BG77" s="290">
        <f t="shared" si="47"/>
        <v>0</v>
      </c>
      <c r="BH77" s="309">
        <f>$B40*BH40*(1+Assumptions!$G$74)</f>
        <v>0</v>
      </c>
      <c r="BI77" s="102">
        <f>$B40*BI40*(1+Assumptions!$G$74)</f>
        <v>0</v>
      </c>
      <c r="BJ77" s="102">
        <f>$B40*BJ40*(1+Assumptions!$G$74)</f>
        <v>0</v>
      </c>
      <c r="BK77" s="102">
        <f>$B40*BK40*(1+Assumptions!$G$74)</f>
        <v>0</v>
      </c>
      <c r="BL77" s="102">
        <f>$B40*BL40*(1+Assumptions!$G$74)</f>
        <v>0</v>
      </c>
      <c r="BM77" s="102">
        <f>$B40*BM40*(1+Assumptions!$G$74)</f>
        <v>0</v>
      </c>
      <c r="BN77" s="102">
        <f>$B40*BN40*(1+Assumptions!$G$74)</f>
        <v>0</v>
      </c>
      <c r="BO77" s="102">
        <f>$B40*BO40*(1+Assumptions!$G$74)</f>
        <v>0</v>
      </c>
      <c r="BP77" s="102">
        <f>$B40*BP40*(1+Assumptions!$G$74)</f>
        <v>0</v>
      </c>
      <c r="BQ77" s="102">
        <f>$B40*BQ40*(1+Assumptions!$G$74)</f>
        <v>0</v>
      </c>
      <c r="BR77" s="102">
        <f>$B40*BR40*(1+Assumptions!$G$74)</f>
        <v>0</v>
      </c>
      <c r="BS77" s="102">
        <f>$B40*BS40*(1+Assumptions!$G$74)</f>
        <v>0</v>
      </c>
      <c r="BT77" s="103">
        <f t="shared" si="48"/>
        <v>0</v>
      </c>
      <c r="BU77" s="103"/>
    </row>
    <row r="78" spans="1:73" ht="15.75" customHeight="1">
      <c r="A78" s="92"/>
      <c r="B78" s="92"/>
      <c r="C78" s="106"/>
      <c r="D78" s="106"/>
      <c r="E78" s="92"/>
      <c r="F78" s="92">
        <f t="shared" si="42"/>
        <v>0</v>
      </c>
      <c r="G78" s="92"/>
      <c r="H78" s="112">
        <f t="shared" ref="H78:S78" si="57">$B41*H41</f>
        <v>0</v>
      </c>
      <c r="I78" s="112">
        <f t="shared" si="57"/>
        <v>0</v>
      </c>
      <c r="J78" s="112">
        <f t="shared" si="57"/>
        <v>0</v>
      </c>
      <c r="K78" s="112">
        <f t="shared" si="57"/>
        <v>0</v>
      </c>
      <c r="L78" s="112">
        <f t="shared" si="57"/>
        <v>0</v>
      </c>
      <c r="M78" s="112">
        <f t="shared" si="57"/>
        <v>0</v>
      </c>
      <c r="N78" s="112">
        <f t="shared" si="57"/>
        <v>0</v>
      </c>
      <c r="O78" s="112">
        <f t="shared" si="57"/>
        <v>0</v>
      </c>
      <c r="P78" s="112">
        <f t="shared" si="57"/>
        <v>0</v>
      </c>
      <c r="Q78" s="112">
        <f t="shared" si="57"/>
        <v>0</v>
      </c>
      <c r="R78" s="112">
        <f t="shared" si="57"/>
        <v>0</v>
      </c>
      <c r="S78" s="112">
        <f t="shared" si="57"/>
        <v>0</v>
      </c>
      <c r="T78" s="292">
        <f>SUM(H78:S78)</f>
        <v>0</v>
      </c>
      <c r="U78" s="309">
        <f>$B41*U41*(1+Assumptions!$D$74)</f>
        <v>0</v>
      </c>
      <c r="V78" s="310">
        <f>$B41*V41*(1+Assumptions!$D$74)</f>
        <v>0</v>
      </c>
      <c r="W78" s="310">
        <f>$B41*W41*(1+Assumptions!$D$74)</f>
        <v>0</v>
      </c>
      <c r="X78" s="310">
        <f>$B41*X41*(1+Assumptions!$D$74)</f>
        <v>0</v>
      </c>
      <c r="Y78" s="310">
        <f>$B41*Y41*(1+Assumptions!$D$74)</f>
        <v>0</v>
      </c>
      <c r="Z78" s="310">
        <f>$B41*Z41*(1+Assumptions!$D$74)</f>
        <v>0</v>
      </c>
      <c r="AA78" s="310">
        <f>$B41*AA41*(1+Assumptions!$D$74)</f>
        <v>0</v>
      </c>
      <c r="AB78" s="310">
        <f>$B41*AB41*(1+Assumptions!$D$74)</f>
        <v>0</v>
      </c>
      <c r="AC78" s="310">
        <f>$B41*AC41*(1+Assumptions!$D$74)</f>
        <v>0</v>
      </c>
      <c r="AD78" s="310">
        <f>$B41*AD41*(1+Assumptions!$D$74)</f>
        <v>0</v>
      </c>
      <c r="AE78" s="310">
        <f>$B41*AE41*(1+Assumptions!$D$74)</f>
        <v>0</v>
      </c>
      <c r="AF78" s="310">
        <f>$B41*AF41*(1+Assumptions!$D$74)</f>
        <v>0</v>
      </c>
      <c r="AG78" s="292">
        <f t="shared" si="45"/>
        <v>0</v>
      </c>
      <c r="AH78" s="309">
        <f>$B41*AH41*(1+Assumptions!$E$74)</f>
        <v>0</v>
      </c>
      <c r="AI78" s="310">
        <f>$B41*AI41*(1+Assumptions!$E$74)</f>
        <v>0</v>
      </c>
      <c r="AJ78" s="310">
        <f>$B41*AJ41*(1+Assumptions!$E$74)</f>
        <v>0</v>
      </c>
      <c r="AK78" s="310">
        <f>$B41*AK41*(1+Assumptions!$E$74)</f>
        <v>0</v>
      </c>
      <c r="AL78" s="310">
        <f>$B41*AL41*(1+Assumptions!$E$74)</f>
        <v>0</v>
      </c>
      <c r="AM78" s="310">
        <f>$B41*AM41*(1+Assumptions!$E$74)</f>
        <v>0</v>
      </c>
      <c r="AN78" s="310">
        <f>$B41*AN41*(1+Assumptions!$E$74)</f>
        <v>0</v>
      </c>
      <c r="AO78" s="310">
        <f>$B41*AO41*(1+Assumptions!$E$74)</f>
        <v>0</v>
      </c>
      <c r="AP78" s="310">
        <f>$B41*AP41*(1+Assumptions!$E$74)</f>
        <v>0</v>
      </c>
      <c r="AQ78" s="310">
        <f>$B41*AQ41*(1+Assumptions!$E$74)</f>
        <v>0</v>
      </c>
      <c r="AR78" s="310">
        <f>$B41*AR41*(1+Assumptions!$E$74)</f>
        <v>0</v>
      </c>
      <c r="AS78" s="310">
        <f>$B41*AS41*(1+Assumptions!$E$74)</f>
        <v>0</v>
      </c>
      <c r="AT78" s="290">
        <f t="shared" si="46"/>
        <v>0</v>
      </c>
      <c r="AU78" s="309">
        <f>$B41*AU41*(1+Assumptions!$F$74)</f>
        <v>0</v>
      </c>
      <c r="AV78" s="310">
        <f>$B41*AV41*(1+Assumptions!$F$74)</f>
        <v>0</v>
      </c>
      <c r="AW78" s="310">
        <f>$B41*AW41*(1+Assumptions!$F$74)</f>
        <v>0</v>
      </c>
      <c r="AX78" s="310">
        <f>$B41*AX41*(1+Assumptions!$F$74)</f>
        <v>0</v>
      </c>
      <c r="AY78" s="310">
        <f>$B41*AY41*(1+Assumptions!$F$74)</f>
        <v>0</v>
      </c>
      <c r="AZ78" s="310">
        <f>$B41*AZ41*(1+Assumptions!$F$74)</f>
        <v>0</v>
      </c>
      <c r="BA78" s="310">
        <f>$B41*BA41*(1+Assumptions!$F$74)</f>
        <v>0</v>
      </c>
      <c r="BB78" s="310">
        <f>$B41*BB41*(1+Assumptions!$F$74)</f>
        <v>0</v>
      </c>
      <c r="BC78" s="310">
        <f>$B41*BC41*(1+Assumptions!$F$74)</f>
        <v>0</v>
      </c>
      <c r="BD78" s="310">
        <f>$B41*BD41*(1+Assumptions!$F$74)</f>
        <v>0</v>
      </c>
      <c r="BE78" s="310">
        <f>$B41*BE41*(1+Assumptions!$F$74)</f>
        <v>0</v>
      </c>
      <c r="BF78" s="310">
        <f>$B41*BF41*(1+Assumptions!$F$74)</f>
        <v>0</v>
      </c>
      <c r="BG78" s="290">
        <f t="shared" si="47"/>
        <v>0</v>
      </c>
      <c r="BH78" s="309">
        <f>$B41*BH41*(1+Assumptions!$G$74)</f>
        <v>0</v>
      </c>
      <c r="BI78" s="102">
        <f>$B41*BI41*(1+Assumptions!$G$74)</f>
        <v>0</v>
      </c>
      <c r="BJ78" s="102">
        <f>$B41*BJ41*(1+Assumptions!$G$74)</f>
        <v>0</v>
      </c>
      <c r="BK78" s="102">
        <f>$B41*BK41*(1+Assumptions!$G$74)</f>
        <v>0</v>
      </c>
      <c r="BL78" s="102">
        <f>$B41*BL41*(1+Assumptions!$G$74)</f>
        <v>0</v>
      </c>
      <c r="BM78" s="102">
        <f>$B41*BM41*(1+Assumptions!$G$74)</f>
        <v>0</v>
      </c>
      <c r="BN78" s="102">
        <f>$B41*BN41*(1+Assumptions!$G$74)</f>
        <v>0</v>
      </c>
      <c r="BO78" s="102">
        <f>$B41*BO41*(1+Assumptions!$G$74)</f>
        <v>0</v>
      </c>
      <c r="BP78" s="102">
        <f>$B41*BP41*(1+Assumptions!$G$74)</f>
        <v>0</v>
      </c>
      <c r="BQ78" s="102">
        <f>$B41*BQ41*(1+Assumptions!$G$74)</f>
        <v>0</v>
      </c>
      <c r="BR78" s="102">
        <f>$B41*BR41*(1+Assumptions!$G$74)</f>
        <v>0</v>
      </c>
      <c r="BS78" s="102">
        <f>$B41*BS41*(1+Assumptions!$G$74)</f>
        <v>0</v>
      </c>
      <c r="BT78" s="103">
        <f t="shared" si="48"/>
        <v>0</v>
      </c>
      <c r="BU78" s="103"/>
    </row>
    <row r="79" spans="1:73" ht="15.75" customHeight="1">
      <c r="A79" s="92"/>
      <c r="B79" s="92"/>
      <c r="C79" s="106"/>
      <c r="D79" s="106"/>
      <c r="E79" s="92"/>
      <c r="F79" s="92">
        <f t="shared" si="42"/>
        <v>0</v>
      </c>
      <c r="G79" s="92"/>
      <c r="H79" s="112">
        <f t="shared" ref="H79:S79" si="58">$B42*H42</f>
        <v>0</v>
      </c>
      <c r="I79" s="112">
        <f t="shared" si="58"/>
        <v>0</v>
      </c>
      <c r="J79" s="112">
        <f t="shared" si="58"/>
        <v>0</v>
      </c>
      <c r="K79" s="112">
        <f t="shared" si="58"/>
        <v>0</v>
      </c>
      <c r="L79" s="112">
        <f t="shared" si="58"/>
        <v>0</v>
      </c>
      <c r="M79" s="112">
        <f t="shared" si="58"/>
        <v>0</v>
      </c>
      <c r="N79" s="112">
        <f t="shared" si="58"/>
        <v>0</v>
      </c>
      <c r="O79" s="112">
        <f t="shared" si="58"/>
        <v>0</v>
      </c>
      <c r="P79" s="112">
        <f t="shared" si="58"/>
        <v>0</v>
      </c>
      <c r="Q79" s="112">
        <f t="shared" si="58"/>
        <v>0</v>
      </c>
      <c r="R79" s="112">
        <f t="shared" si="58"/>
        <v>0</v>
      </c>
      <c r="S79" s="112">
        <f t="shared" si="58"/>
        <v>0</v>
      </c>
      <c r="T79" s="292">
        <f>SUM(H79:S79)</f>
        <v>0</v>
      </c>
      <c r="U79" s="309">
        <f>$B42*U42*(1+Assumptions!$D$74)</f>
        <v>0</v>
      </c>
      <c r="V79" s="310">
        <f>$B42*V42*(1+Assumptions!$D$74)</f>
        <v>0</v>
      </c>
      <c r="W79" s="310">
        <f>$B42*W42*(1+Assumptions!$D$74)</f>
        <v>0</v>
      </c>
      <c r="X79" s="310">
        <f>$B42*X42*(1+Assumptions!$D$74)</f>
        <v>0</v>
      </c>
      <c r="Y79" s="310">
        <f>$B42*Y42*(1+Assumptions!$D$74)</f>
        <v>0</v>
      </c>
      <c r="Z79" s="310">
        <f>$B42*Z42*(1+Assumptions!$D$74)</f>
        <v>0</v>
      </c>
      <c r="AA79" s="310">
        <f>$B42*AA42*(1+Assumptions!$D$74)</f>
        <v>0</v>
      </c>
      <c r="AB79" s="310">
        <f>$B42*AB42*(1+Assumptions!$D$74)</f>
        <v>0</v>
      </c>
      <c r="AC79" s="310">
        <f>$B42*AC42*(1+Assumptions!$D$74)</f>
        <v>0</v>
      </c>
      <c r="AD79" s="310">
        <f>$B42*AD42*(1+Assumptions!$D$74)</f>
        <v>0</v>
      </c>
      <c r="AE79" s="310">
        <f>$B42*AE42*(1+Assumptions!$D$74)</f>
        <v>0</v>
      </c>
      <c r="AF79" s="310">
        <f>$B42*AF42*(1+Assumptions!$D$74)</f>
        <v>0</v>
      </c>
      <c r="AG79" s="292">
        <f t="shared" si="45"/>
        <v>0</v>
      </c>
      <c r="AH79" s="309">
        <f>$B42*AH42*(1+Assumptions!$E$74)</f>
        <v>0</v>
      </c>
      <c r="AI79" s="310">
        <f>$B42*AI42*(1+Assumptions!$E$74)</f>
        <v>0</v>
      </c>
      <c r="AJ79" s="310">
        <f>$B42*AJ42*(1+Assumptions!$E$74)</f>
        <v>0</v>
      </c>
      <c r="AK79" s="310">
        <f>$B42*AK42*(1+Assumptions!$E$74)</f>
        <v>0</v>
      </c>
      <c r="AL79" s="310">
        <f>$B42*AL42*(1+Assumptions!$E$74)</f>
        <v>0</v>
      </c>
      <c r="AM79" s="310">
        <f>$B42*AM42*(1+Assumptions!$E$74)</f>
        <v>0</v>
      </c>
      <c r="AN79" s="310">
        <f>$B42*AN42*(1+Assumptions!$E$74)</f>
        <v>0</v>
      </c>
      <c r="AO79" s="310">
        <f>$B42*AO42*(1+Assumptions!$E$74)</f>
        <v>0</v>
      </c>
      <c r="AP79" s="310">
        <f>$B42*AP42*(1+Assumptions!$E$74)</f>
        <v>0</v>
      </c>
      <c r="AQ79" s="310">
        <f>$B42*AQ42*(1+Assumptions!$E$74)</f>
        <v>0</v>
      </c>
      <c r="AR79" s="310">
        <f>$B42*AR42*(1+Assumptions!$E$74)</f>
        <v>0</v>
      </c>
      <c r="AS79" s="310">
        <f>$B42*AS42*(1+Assumptions!$E$74)</f>
        <v>0</v>
      </c>
      <c r="AT79" s="290">
        <f t="shared" si="46"/>
        <v>0</v>
      </c>
      <c r="AU79" s="309">
        <f>$B42*AU42*(1+Assumptions!$F$74)</f>
        <v>0</v>
      </c>
      <c r="AV79" s="310">
        <f>$B42*AV42*(1+Assumptions!$F$74)</f>
        <v>0</v>
      </c>
      <c r="AW79" s="310">
        <f>$B42*AW42*(1+Assumptions!$F$74)</f>
        <v>0</v>
      </c>
      <c r="AX79" s="310">
        <f>$B42*AX42*(1+Assumptions!$F$74)</f>
        <v>0</v>
      </c>
      <c r="AY79" s="310">
        <f>$B42*AY42*(1+Assumptions!$F$74)</f>
        <v>0</v>
      </c>
      <c r="AZ79" s="310">
        <f>$B42*AZ42*(1+Assumptions!$F$74)</f>
        <v>0</v>
      </c>
      <c r="BA79" s="310">
        <f>$B42*BA42*(1+Assumptions!$F$74)</f>
        <v>0</v>
      </c>
      <c r="BB79" s="310">
        <f>$B42*BB42*(1+Assumptions!$F$74)</f>
        <v>0</v>
      </c>
      <c r="BC79" s="310">
        <f>$B42*BC42*(1+Assumptions!$F$74)</f>
        <v>0</v>
      </c>
      <c r="BD79" s="310">
        <f>$B42*BD42*(1+Assumptions!$F$74)</f>
        <v>0</v>
      </c>
      <c r="BE79" s="310">
        <f>$B42*BE42*(1+Assumptions!$F$74)</f>
        <v>0</v>
      </c>
      <c r="BF79" s="310">
        <f>$B42*BF42*(1+Assumptions!$F$74)</f>
        <v>0</v>
      </c>
      <c r="BG79" s="290">
        <f t="shared" si="47"/>
        <v>0</v>
      </c>
      <c r="BH79" s="309">
        <f>$B42*BH42*(1+Assumptions!$G$74)</f>
        <v>0</v>
      </c>
      <c r="BI79" s="102">
        <f>$B42*BI42*(1+Assumptions!$G$74)</f>
        <v>0</v>
      </c>
      <c r="BJ79" s="102">
        <f>$B42*BJ42*(1+Assumptions!$G$74)</f>
        <v>0</v>
      </c>
      <c r="BK79" s="102">
        <f>$B42*BK42*(1+Assumptions!$G$74)</f>
        <v>0</v>
      </c>
      <c r="BL79" s="102">
        <f>$B42*BL42*(1+Assumptions!$G$74)</f>
        <v>0</v>
      </c>
      <c r="BM79" s="102">
        <f>$B42*BM42*(1+Assumptions!$G$74)</f>
        <v>0</v>
      </c>
      <c r="BN79" s="102">
        <f>$B42*BN42*(1+Assumptions!$G$74)</f>
        <v>0</v>
      </c>
      <c r="BO79" s="102">
        <f>$B42*BO42*(1+Assumptions!$G$74)</f>
        <v>0</v>
      </c>
      <c r="BP79" s="102">
        <f>$B42*BP42*(1+Assumptions!$G$74)</f>
        <v>0</v>
      </c>
      <c r="BQ79" s="102">
        <f>$B42*BQ42*(1+Assumptions!$G$74)</f>
        <v>0</v>
      </c>
      <c r="BR79" s="102">
        <f>$B42*BR42*(1+Assumptions!$G$74)</f>
        <v>0</v>
      </c>
      <c r="BS79" s="102">
        <f>$B42*BS42*(1+Assumptions!$G$74)</f>
        <v>0</v>
      </c>
      <c r="BT79" s="103">
        <f t="shared" si="48"/>
        <v>0</v>
      </c>
      <c r="BU79" s="103"/>
    </row>
    <row r="80" spans="1:73" ht="15.75" customHeight="1">
      <c r="A80" s="92"/>
      <c r="B80" s="92"/>
      <c r="C80" s="106"/>
      <c r="D80" s="106"/>
      <c r="E80" s="92"/>
      <c r="F80" s="92">
        <f t="shared" si="42"/>
        <v>0</v>
      </c>
      <c r="G80" s="92"/>
      <c r="H80" s="112">
        <f t="shared" ref="H80:S80" si="59">$B43*H43</f>
        <v>0</v>
      </c>
      <c r="I80" s="112">
        <f t="shared" si="59"/>
        <v>0</v>
      </c>
      <c r="J80" s="112">
        <f t="shared" si="59"/>
        <v>0</v>
      </c>
      <c r="K80" s="112">
        <f t="shared" si="59"/>
        <v>0</v>
      </c>
      <c r="L80" s="112">
        <f t="shared" si="59"/>
        <v>0</v>
      </c>
      <c r="M80" s="112">
        <f t="shared" si="59"/>
        <v>0</v>
      </c>
      <c r="N80" s="112">
        <f t="shared" si="59"/>
        <v>0</v>
      </c>
      <c r="O80" s="112">
        <f t="shared" si="59"/>
        <v>0</v>
      </c>
      <c r="P80" s="112">
        <f t="shared" si="59"/>
        <v>0</v>
      </c>
      <c r="Q80" s="112">
        <f t="shared" si="59"/>
        <v>0</v>
      </c>
      <c r="R80" s="112">
        <f t="shared" si="59"/>
        <v>0</v>
      </c>
      <c r="S80" s="112">
        <f t="shared" si="59"/>
        <v>0</v>
      </c>
      <c r="T80" s="292">
        <f>SUM(H80:S80)</f>
        <v>0</v>
      </c>
      <c r="U80" s="309">
        <f>$B43*U43*(1+Assumptions!$D$74)</f>
        <v>0</v>
      </c>
      <c r="V80" s="310">
        <f>$B43*V43*(1+Assumptions!$D$74)</f>
        <v>0</v>
      </c>
      <c r="W80" s="310">
        <f>$B43*W43*(1+Assumptions!$D$74)</f>
        <v>0</v>
      </c>
      <c r="X80" s="310">
        <f>$B43*X43*(1+Assumptions!$D$74)</f>
        <v>0</v>
      </c>
      <c r="Y80" s="310">
        <f>$B43*Y43*(1+Assumptions!$D$74)</f>
        <v>0</v>
      </c>
      <c r="Z80" s="310">
        <f>$B43*Z43*(1+Assumptions!$D$74)</f>
        <v>0</v>
      </c>
      <c r="AA80" s="310">
        <f>$B43*AA43*(1+Assumptions!$D$74)</f>
        <v>0</v>
      </c>
      <c r="AB80" s="310">
        <f>$B43*AB43*(1+Assumptions!$D$74)</f>
        <v>0</v>
      </c>
      <c r="AC80" s="310">
        <f>$B43*AC43*(1+Assumptions!$D$74)</f>
        <v>0</v>
      </c>
      <c r="AD80" s="310">
        <f>$B43*AD43*(1+Assumptions!$D$74)</f>
        <v>0</v>
      </c>
      <c r="AE80" s="310">
        <f>$B43*AE43*(1+Assumptions!$D$74)</f>
        <v>0</v>
      </c>
      <c r="AF80" s="310">
        <f>$B43*AF43*(1+Assumptions!$D$74)</f>
        <v>0</v>
      </c>
      <c r="AG80" s="292">
        <f t="shared" si="45"/>
        <v>0</v>
      </c>
      <c r="AH80" s="309">
        <f>$B43*AH43*(1+Assumptions!$E$74)</f>
        <v>0</v>
      </c>
      <c r="AI80" s="310">
        <f>$B43*AI43*(1+Assumptions!$E$74)</f>
        <v>0</v>
      </c>
      <c r="AJ80" s="310">
        <f>$B43*AJ43*(1+Assumptions!$E$74)</f>
        <v>0</v>
      </c>
      <c r="AK80" s="310">
        <f>$B43*AK43*(1+Assumptions!$E$74)</f>
        <v>0</v>
      </c>
      <c r="AL80" s="310">
        <f>$B43*AL43*(1+Assumptions!$E$74)</f>
        <v>0</v>
      </c>
      <c r="AM80" s="310">
        <f>$B43*AM43*(1+Assumptions!$E$74)</f>
        <v>0</v>
      </c>
      <c r="AN80" s="310">
        <f>$B43*AN43*(1+Assumptions!$E$74)</f>
        <v>0</v>
      </c>
      <c r="AO80" s="310">
        <f>$B43*AO43*(1+Assumptions!$E$74)</f>
        <v>0</v>
      </c>
      <c r="AP80" s="310">
        <f>$B43*AP43*(1+Assumptions!$E$74)</f>
        <v>0</v>
      </c>
      <c r="AQ80" s="310">
        <f>$B43*AQ43*(1+Assumptions!$E$74)</f>
        <v>0</v>
      </c>
      <c r="AR80" s="310">
        <f>$B43*AR43*(1+Assumptions!$E$74)</f>
        <v>0</v>
      </c>
      <c r="AS80" s="310">
        <f>$B43*AS43*(1+Assumptions!$E$74)</f>
        <v>0</v>
      </c>
      <c r="AT80" s="290">
        <f t="shared" si="46"/>
        <v>0</v>
      </c>
      <c r="AU80" s="309">
        <f>$B43*AU43*(1+Assumptions!$F$74)</f>
        <v>0</v>
      </c>
      <c r="AV80" s="310">
        <f>$B43*AV43*(1+Assumptions!$F$74)</f>
        <v>0</v>
      </c>
      <c r="AW80" s="310">
        <f>$B43*AW43*(1+Assumptions!$F$74)</f>
        <v>0</v>
      </c>
      <c r="AX80" s="310">
        <f>$B43*AX43*(1+Assumptions!$F$74)</f>
        <v>0</v>
      </c>
      <c r="AY80" s="310">
        <f>$B43*AY43*(1+Assumptions!$F$74)</f>
        <v>0</v>
      </c>
      <c r="AZ80" s="310">
        <f>$B43*AZ43*(1+Assumptions!$F$74)</f>
        <v>0</v>
      </c>
      <c r="BA80" s="310">
        <f>$B43*BA43*(1+Assumptions!$F$74)</f>
        <v>0</v>
      </c>
      <c r="BB80" s="310">
        <f>$B43*BB43*(1+Assumptions!$F$74)</f>
        <v>0</v>
      </c>
      <c r="BC80" s="310">
        <f>$B43*BC43*(1+Assumptions!$F$74)</f>
        <v>0</v>
      </c>
      <c r="BD80" s="310">
        <f>$B43*BD43*(1+Assumptions!$F$74)</f>
        <v>0</v>
      </c>
      <c r="BE80" s="310">
        <f>$B43*BE43*(1+Assumptions!$F$74)</f>
        <v>0</v>
      </c>
      <c r="BF80" s="310">
        <f>$B43*BF43*(1+Assumptions!$F$74)</f>
        <v>0</v>
      </c>
      <c r="BG80" s="290">
        <f t="shared" si="47"/>
        <v>0</v>
      </c>
      <c r="BH80" s="309">
        <f>$B43*BH43*(1+Assumptions!$G$74)</f>
        <v>0</v>
      </c>
      <c r="BI80" s="102">
        <f>$B43*BI43*(1+Assumptions!$G$74)</f>
        <v>0</v>
      </c>
      <c r="BJ80" s="102">
        <f>$B43*BJ43*(1+Assumptions!$G$74)</f>
        <v>0</v>
      </c>
      <c r="BK80" s="102">
        <f>$B43*BK43*(1+Assumptions!$G$74)</f>
        <v>0</v>
      </c>
      <c r="BL80" s="102">
        <f>$B43*BL43*(1+Assumptions!$G$74)</f>
        <v>0</v>
      </c>
      <c r="BM80" s="102">
        <f>$B43*BM43*(1+Assumptions!$G$74)</f>
        <v>0</v>
      </c>
      <c r="BN80" s="102">
        <f>$B43*BN43*(1+Assumptions!$G$74)</f>
        <v>0</v>
      </c>
      <c r="BO80" s="102">
        <f>$B43*BO43*(1+Assumptions!$G$74)</f>
        <v>0</v>
      </c>
      <c r="BP80" s="102">
        <f>$B43*BP43*(1+Assumptions!$G$74)</f>
        <v>0</v>
      </c>
      <c r="BQ80" s="102">
        <f>$B43*BQ43*(1+Assumptions!$G$74)</f>
        <v>0</v>
      </c>
      <c r="BR80" s="102">
        <f>$B43*BR43*(1+Assumptions!$G$74)</f>
        <v>0</v>
      </c>
      <c r="BS80" s="102">
        <f>$B43*BS43*(1+Assumptions!$G$74)</f>
        <v>0</v>
      </c>
      <c r="BT80" s="103">
        <f t="shared" si="48"/>
        <v>0</v>
      </c>
      <c r="BU80" s="103"/>
    </row>
    <row r="81" spans="1:73" ht="15.75" customHeight="1">
      <c r="A81" s="92"/>
      <c r="B81" s="92"/>
      <c r="C81" s="106"/>
      <c r="D81" s="106"/>
      <c r="E81" s="92"/>
      <c r="F81" s="92"/>
      <c r="G81" s="92" t="s">
        <v>535</v>
      </c>
      <c r="H81" s="112">
        <f>SUM(H68:H77)</f>
        <v>1615.5694285714283</v>
      </c>
      <c r="I81" s="112">
        <f t="shared" ref="I81:S81" si="60">SUM(I68:I77)</f>
        <v>1717.6282499999998</v>
      </c>
      <c r="J81" s="112">
        <f t="shared" si="60"/>
        <v>2423.3541428571425</v>
      </c>
      <c r="K81" s="112">
        <f t="shared" si="60"/>
        <v>2866.3328571428574</v>
      </c>
      <c r="L81" s="112">
        <f t="shared" si="60"/>
        <v>3231.1388571428565</v>
      </c>
      <c r="M81" s="112">
        <f t="shared" si="60"/>
        <v>3257.1964285714284</v>
      </c>
      <c r="N81" s="112">
        <f t="shared" si="60"/>
        <v>3365.7696428571435</v>
      </c>
      <c r="O81" s="112">
        <f t="shared" si="60"/>
        <v>3231.1388571428565</v>
      </c>
      <c r="P81" s="112">
        <f t="shared" si="60"/>
        <v>2866.3328571428574</v>
      </c>
      <c r="Q81" s="112">
        <f t="shared" si="60"/>
        <v>2692.6157142857141</v>
      </c>
      <c r="R81" s="112">
        <f t="shared" si="60"/>
        <v>2345.1814285714281</v>
      </c>
      <c r="S81" s="112">
        <f t="shared" si="60"/>
        <v>2154.0925714285713</v>
      </c>
      <c r="T81" s="292">
        <f>SUM(H81:S81)</f>
        <v>31766.351035714288</v>
      </c>
      <c r="U81" s="308">
        <f>SUM(U68:U77)</f>
        <v>2100.2402571428574</v>
      </c>
      <c r="V81" s="112">
        <f t="shared" ref="V81:AF81" si="61">SUM(V68:V77)</f>
        <v>2232.916725</v>
      </c>
      <c r="W81" s="112">
        <f t="shared" si="61"/>
        <v>3150.3603857142862</v>
      </c>
      <c r="X81" s="112">
        <f t="shared" si="61"/>
        <v>3726.2327142857139</v>
      </c>
      <c r="Y81" s="112">
        <f t="shared" si="61"/>
        <v>4200.4805142857149</v>
      </c>
      <c r="Z81" s="112">
        <f t="shared" si="61"/>
        <v>4234.3553571428565</v>
      </c>
      <c r="AA81" s="112">
        <f t="shared" si="61"/>
        <v>4375.5005357142863</v>
      </c>
      <c r="AB81" s="112">
        <f t="shared" si="61"/>
        <v>4200.4805142857149</v>
      </c>
      <c r="AC81" s="112">
        <f t="shared" si="61"/>
        <v>3726.2327142857139</v>
      </c>
      <c r="AD81" s="112">
        <f t="shared" si="61"/>
        <v>3500.4004285714286</v>
      </c>
      <c r="AE81" s="112">
        <f t="shared" si="61"/>
        <v>3048.7358571428563</v>
      </c>
      <c r="AF81" s="112">
        <f t="shared" si="61"/>
        <v>2800.3203428571433</v>
      </c>
      <c r="AG81" s="292">
        <f t="shared" si="45"/>
        <v>41296.25634642857</v>
      </c>
      <c r="AH81" s="308">
        <f>SUM(AH68:AH77)</f>
        <v>2392.0524851785713</v>
      </c>
      <c r="AI81" s="112">
        <f t="shared" ref="AI81:AS81" si="62">SUM(AI68:AI77)</f>
        <v>2543.1633276562493</v>
      </c>
      <c r="AJ81" s="112">
        <f t="shared" si="62"/>
        <v>3588.0787277678573</v>
      </c>
      <c r="AK81" s="112">
        <f t="shared" si="62"/>
        <v>4243.9640866071431</v>
      </c>
      <c r="AL81" s="112">
        <f t="shared" si="62"/>
        <v>4784.1049703571425</v>
      </c>
      <c r="AM81" s="112">
        <f t="shared" si="62"/>
        <v>4822.6864620535698</v>
      </c>
      <c r="AN81" s="112">
        <f t="shared" si="62"/>
        <v>4983.4426774553576</v>
      </c>
      <c r="AO81" s="112">
        <f t="shared" si="62"/>
        <v>4784.1049703571425</v>
      </c>
      <c r="AP81" s="112">
        <f t="shared" si="62"/>
        <v>4243.9640866071431</v>
      </c>
      <c r="AQ81" s="112">
        <f t="shared" si="62"/>
        <v>3986.7541419642857</v>
      </c>
      <c r="AR81" s="112">
        <f t="shared" si="62"/>
        <v>3472.3342526785705</v>
      </c>
      <c r="AS81" s="112">
        <f t="shared" si="62"/>
        <v>3189.403313571428</v>
      </c>
      <c r="AT81" s="292">
        <f t="shared" si="46"/>
        <v>47034.053502254457</v>
      </c>
      <c r="AU81" s="308">
        <f>SUM(AU68:AU77)</f>
        <v>2631.2577336964291</v>
      </c>
      <c r="AV81" s="112">
        <f t="shared" ref="AV81:BF81" si="63">SUM(AV68:AV77)</f>
        <v>2797.479660421875</v>
      </c>
      <c r="AW81" s="112">
        <f t="shared" si="63"/>
        <v>3946.886600544643</v>
      </c>
      <c r="AX81" s="112">
        <f t="shared" si="63"/>
        <v>4668.3604952678579</v>
      </c>
      <c r="AY81" s="112">
        <f t="shared" si="63"/>
        <v>5262.5154673928582</v>
      </c>
      <c r="AZ81" s="112">
        <f t="shared" si="63"/>
        <v>5304.9551082589287</v>
      </c>
      <c r="BA81" s="112">
        <f t="shared" si="63"/>
        <v>5481.7869452008936</v>
      </c>
      <c r="BB81" s="112">
        <f t="shared" si="63"/>
        <v>5262.5154673928582</v>
      </c>
      <c r="BC81" s="112">
        <f t="shared" si="63"/>
        <v>4668.3604952678579</v>
      </c>
      <c r="BD81" s="112">
        <f t="shared" si="63"/>
        <v>4385.4295561607141</v>
      </c>
      <c r="BE81" s="112">
        <f t="shared" si="63"/>
        <v>3819.5676779464279</v>
      </c>
      <c r="BF81" s="112">
        <f t="shared" si="63"/>
        <v>3508.3436449285718</v>
      </c>
      <c r="BG81" s="292">
        <f t="shared" si="47"/>
        <v>51737.458852479911</v>
      </c>
      <c r="BH81" s="308">
        <f>SUM(BH68:BH77)</f>
        <v>2894.3835070660725</v>
      </c>
      <c r="BI81" s="112">
        <f t="shared" ref="BI81:BS81" si="64">SUM(BI68:BI77)</f>
        <v>3077.2276264640618</v>
      </c>
      <c r="BJ81" s="112">
        <f t="shared" si="64"/>
        <v>4341.5752605991065</v>
      </c>
      <c r="BK81" s="112">
        <f t="shared" si="64"/>
        <v>5135.1965447946441</v>
      </c>
      <c r="BL81" s="112">
        <f t="shared" si="64"/>
        <v>5788.7670141321451</v>
      </c>
      <c r="BM81" s="112">
        <f t="shared" si="64"/>
        <v>5835.4506190848215</v>
      </c>
      <c r="BN81" s="112">
        <f t="shared" si="64"/>
        <v>6029.9656397209837</v>
      </c>
      <c r="BO81" s="112">
        <f t="shared" si="64"/>
        <v>5788.7670141321451</v>
      </c>
      <c r="BP81" s="112">
        <f t="shared" si="64"/>
        <v>5135.1965447946441</v>
      </c>
      <c r="BQ81" s="112">
        <f t="shared" si="64"/>
        <v>4823.9725117767866</v>
      </c>
      <c r="BR81" s="112">
        <f t="shared" si="64"/>
        <v>4201.5244457410718</v>
      </c>
      <c r="BS81" s="112">
        <f t="shared" si="64"/>
        <v>3859.1780094214291</v>
      </c>
      <c r="BT81" s="292">
        <f t="shared" si="48"/>
        <v>56911.204737727909</v>
      </c>
      <c r="BU81" s="103"/>
    </row>
    <row r="82" spans="1:73" ht="15.75" customHeight="1">
      <c r="A82" s="92"/>
      <c r="B82" s="92"/>
      <c r="C82" s="106"/>
      <c r="D82" s="106"/>
      <c r="E82" s="92"/>
      <c r="F82" s="92"/>
      <c r="G82" s="9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292"/>
      <c r="U82" s="299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289"/>
      <c r="AH82" s="299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289"/>
      <c r="AU82" s="299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289"/>
      <c r="BH82" s="299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3"/>
      <c r="BU82" s="103"/>
    </row>
    <row r="83" spans="1:73" ht="15.75" customHeight="1">
      <c r="A83" s="92"/>
      <c r="B83" s="92"/>
      <c r="C83" s="106"/>
      <c r="D83" s="106"/>
      <c r="E83" s="92"/>
      <c r="F83" s="92"/>
      <c r="G83" s="9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292"/>
      <c r="U83" s="299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289"/>
      <c r="AH83" s="299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289"/>
      <c r="AU83" s="299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289"/>
      <c r="BH83" s="299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3"/>
      <c r="BU83" s="103"/>
    </row>
    <row r="84" spans="1:73" ht="15.75" customHeight="1"/>
    <row r="85" spans="1:73" ht="15.75" customHeight="1">
      <c r="C85" s="275" t="s">
        <v>520</v>
      </c>
      <c r="D85" s="275"/>
      <c r="E85" s="92"/>
      <c r="F85" s="92"/>
    </row>
    <row r="86" spans="1:73" ht="15.75" customHeight="1">
      <c r="C86" s="104"/>
      <c r="D86" s="104"/>
      <c r="E86" s="256" t="s">
        <v>458</v>
      </c>
      <c r="F86" s="92"/>
    </row>
    <row r="87" spans="1:73" ht="15.75" customHeight="1">
      <c r="C87" s="106"/>
      <c r="D87" s="106"/>
      <c r="E87" s="92"/>
      <c r="F87" s="92" t="str">
        <f t="shared" ref="F87:F99" si="65">F52</f>
        <v>Core 1 - Lager</v>
      </c>
      <c r="H87" s="280">
        <f t="shared" ref="H87:S87" si="66">H15*$C15/128/31</f>
        <v>2.8979062500000001</v>
      </c>
      <c r="I87" s="280">
        <f t="shared" si="66"/>
        <v>3.0809729082661286</v>
      </c>
      <c r="J87" s="280">
        <f t="shared" si="66"/>
        <v>4.3468593750000002</v>
      </c>
      <c r="K87" s="280">
        <f t="shared" si="66"/>
        <v>5.1414465725806453</v>
      </c>
      <c r="L87" s="280">
        <f t="shared" si="66"/>
        <v>5.7958125000000003</v>
      </c>
      <c r="M87" s="280">
        <f t="shared" si="66"/>
        <v>5.842552923387097</v>
      </c>
      <c r="N87" s="280">
        <f t="shared" si="66"/>
        <v>6.0373046874999998</v>
      </c>
      <c r="O87" s="280">
        <f t="shared" si="66"/>
        <v>5.7958125000000003</v>
      </c>
      <c r="P87" s="280">
        <f t="shared" si="66"/>
        <v>5.1414465725806453</v>
      </c>
      <c r="Q87" s="280">
        <f t="shared" si="66"/>
        <v>4.8298437500000002</v>
      </c>
      <c r="R87" s="280">
        <f t="shared" si="66"/>
        <v>4.2066381048387091</v>
      </c>
      <c r="S87" s="280">
        <f t="shared" si="66"/>
        <v>3.8638750000000006</v>
      </c>
      <c r="T87" s="294">
        <f>SUM(H87:S87)</f>
        <v>56.980471144153235</v>
      </c>
      <c r="U87" s="280">
        <f t="shared" ref="U87:AF87" si="67">U15*$C15/128/31</f>
        <v>3.6223828124999993</v>
      </c>
      <c r="V87" s="280">
        <f t="shared" si="67"/>
        <v>3.8512161353326606</v>
      </c>
      <c r="W87" s="280">
        <f t="shared" si="67"/>
        <v>5.4335742187499996</v>
      </c>
      <c r="X87" s="280">
        <f t="shared" si="67"/>
        <v>6.4268082157258064</v>
      </c>
      <c r="Y87" s="280">
        <f t="shared" si="67"/>
        <v>7.2447656249999985</v>
      </c>
      <c r="Z87" s="280">
        <f t="shared" si="67"/>
        <v>7.3031911542338692</v>
      </c>
      <c r="AA87" s="280">
        <f t="shared" si="67"/>
        <v>7.546630859375</v>
      </c>
      <c r="AB87" s="280">
        <f t="shared" si="67"/>
        <v>7.2447656249999985</v>
      </c>
      <c r="AC87" s="280">
        <f t="shared" si="67"/>
        <v>6.4268082157258064</v>
      </c>
      <c r="AD87" s="280">
        <f t="shared" si="67"/>
        <v>6.0373046875000007</v>
      </c>
      <c r="AE87" s="280">
        <f t="shared" si="67"/>
        <v>5.2582976310483867</v>
      </c>
      <c r="AF87" s="280">
        <f t="shared" si="67"/>
        <v>4.8298437500000002</v>
      </c>
      <c r="AG87" s="294">
        <f>SUM(U87:AF87)</f>
        <v>71.225588930191535</v>
      </c>
      <c r="AH87" s="280">
        <f t="shared" ref="AH87:AS87" si="68">AH15*$C15/128/31</f>
        <v>4.165740234374999</v>
      </c>
      <c r="AI87" s="280">
        <f t="shared" si="68"/>
        <v>4.4288985556325597</v>
      </c>
      <c r="AJ87" s="280">
        <f t="shared" si="68"/>
        <v>6.2486103515624993</v>
      </c>
      <c r="AK87" s="280">
        <f t="shared" si="68"/>
        <v>7.3908294480846761</v>
      </c>
      <c r="AL87" s="280">
        <f t="shared" si="68"/>
        <v>8.3314804687499979</v>
      </c>
      <c r="AM87" s="280">
        <f t="shared" si="68"/>
        <v>8.3986698273689502</v>
      </c>
      <c r="AN87" s="280">
        <f t="shared" si="68"/>
        <v>8.6786254882812486</v>
      </c>
      <c r="AO87" s="280">
        <f t="shared" si="68"/>
        <v>8.3314804687499979</v>
      </c>
      <c r="AP87" s="280">
        <f t="shared" si="68"/>
        <v>7.3908294480846761</v>
      </c>
      <c r="AQ87" s="280">
        <f t="shared" si="68"/>
        <v>6.9429003906249998</v>
      </c>
      <c r="AR87" s="280">
        <f t="shared" si="68"/>
        <v>6.0470422757056443</v>
      </c>
      <c r="AS87" s="280">
        <f t="shared" si="68"/>
        <v>5.5543203124999998</v>
      </c>
      <c r="AT87" s="294">
        <f>SUM(AH87:AS87)</f>
        <v>81.90942726972024</v>
      </c>
      <c r="AU87" s="280">
        <f t="shared" ref="AU87:BF87" si="69">AU15*$C15/128/31</f>
        <v>4.5823142578124996</v>
      </c>
      <c r="AV87" s="280">
        <f t="shared" si="69"/>
        <v>4.8717884111958156</v>
      </c>
      <c r="AW87" s="280">
        <f t="shared" si="69"/>
        <v>6.8734713867187507</v>
      </c>
      <c r="AX87" s="280">
        <f t="shared" si="69"/>
        <v>8.1299123928931447</v>
      </c>
      <c r="AY87" s="280">
        <f t="shared" si="69"/>
        <v>9.1646285156249991</v>
      </c>
      <c r="AZ87" s="280">
        <f t="shared" si="69"/>
        <v>9.2385368101058472</v>
      </c>
      <c r="BA87" s="280">
        <f t="shared" si="69"/>
        <v>9.5464880371093752</v>
      </c>
      <c r="BB87" s="280">
        <f t="shared" si="69"/>
        <v>9.1646285156249991</v>
      </c>
      <c r="BC87" s="280">
        <f t="shared" si="69"/>
        <v>8.1299123928931447</v>
      </c>
      <c r="BD87" s="280">
        <f t="shared" si="69"/>
        <v>7.6371904296875011</v>
      </c>
      <c r="BE87" s="280">
        <f t="shared" si="69"/>
        <v>6.6517465032762093</v>
      </c>
      <c r="BF87" s="280">
        <f t="shared" si="69"/>
        <v>6.1097523437499994</v>
      </c>
      <c r="BG87" s="294">
        <f>SUM(AU87:BF87)</f>
        <v>90.100369996692294</v>
      </c>
      <c r="BH87" s="280">
        <f t="shared" ref="BH87:BS87" si="70">BH15*$C15/128/31</f>
        <v>5.0405456835937503</v>
      </c>
      <c r="BI87" s="280">
        <f t="shared" si="70"/>
        <v>5.3589672523153986</v>
      </c>
      <c r="BJ87" s="280">
        <f t="shared" si="70"/>
        <v>7.5608185253906246</v>
      </c>
      <c r="BK87" s="280">
        <f t="shared" si="70"/>
        <v>8.9429036321824587</v>
      </c>
      <c r="BL87" s="280">
        <f t="shared" si="70"/>
        <v>10.081091367187501</v>
      </c>
      <c r="BM87" s="280">
        <f t="shared" si="70"/>
        <v>10.162390491116431</v>
      </c>
      <c r="BN87" s="280">
        <f t="shared" si="70"/>
        <v>10.501136840820314</v>
      </c>
      <c r="BO87" s="280">
        <f t="shared" si="70"/>
        <v>10.081091367187501</v>
      </c>
      <c r="BP87" s="280">
        <f t="shared" si="70"/>
        <v>8.9429036321824587</v>
      </c>
      <c r="BQ87" s="280">
        <f t="shared" si="70"/>
        <v>8.4009094726562505</v>
      </c>
      <c r="BR87" s="280">
        <f t="shared" si="70"/>
        <v>7.3169211536038317</v>
      </c>
      <c r="BS87" s="280">
        <f t="shared" si="70"/>
        <v>6.7207275781250004</v>
      </c>
      <c r="BT87" s="294">
        <f>SUM(BH87:BS87)</f>
        <v>99.110406996361519</v>
      </c>
    </row>
    <row r="88" spans="1:73" ht="15.75" customHeight="1">
      <c r="C88" s="106"/>
      <c r="D88" s="106"/>
      <c r="E88" s="92"/>
      <c r="F88" s="92" t="str">
        <f t="shared" si="65"/>
        <v>Core 2 - Hoppy Pale</v>
      </c>
      <c r="H88" s="280">
        <f t="shared" ref="H88:S88" si="71">H16*$C16/128/31</f>
        <v>4.3468593750000002</v>
      </c>
      <c r="I88" s="280">
        <f t="shared" si="71"/>
        <v>4.6214593623991922</v>
      </c>
      <c r="J88" s="280">
        <f t="shared" si="71"/>
        <v>6.5202890624999998</v>
      </c>
      <c r="K88" s="280">
        <f t="shared" si="71"/>
        <v>7.7121698588709675</v>
      </c>
      <c r="L88" s="280">
        <f t="shared" si="71"/>
        <v>8.6937187500000004</v>
      </c>
      <c r="M88" s="280">
        <f t="shared" si="71"/>
        <v>8.7638293850806441</v>
      </c>
      <c r="N88" s="280">
        <f t="shared" si="71"/>
        <v>9.0559570312499975</v>
      </c>
      <c r="O88" s="280">
        <f t="shared" si="71"/>
        <v>8.6937187500000004</v>
      </c>
      <c r="P88" s="280">
        <f t="shared" si="71"/>
        <v>7.7121698588709675</v>
      </c>
      <c r="Q88" s="280">
        <f t="shared" si="71"/>
        <v>7.2447656249999985</v>
      </c>
      <c r="R88" s="280">
        <f t="shared" si="71"/>
        <v>6.3099571572580633</v>
      </c>
      <c r="S88" s="280">
        <f t="shared" si="71"/>
        <v>5.7958125000000003</v>
      </c>
      <c r="T88" s="294">
        <f t="shared" ref="T88:T112" si="72">SUM(H88:S88)</f>
        <v>85.470706716229842</v>
      </c>
      <c r="U88" s="280">
        <f t="shared" ref="U88:AF88" si="73">U16*$C16/128/31</f>
        <v>5.4335742187499996</v>
      </c>
      <c r="V88" s="280">
        <f t="shared" si="73"/>
        <v>5.7768242029989905</v>
      </c>
      <c r="W88" s="280">
        <f t="shared" si="73"/>
        <v>8.1503613281249994</v>
      </c>
      <c r="X88" s="280">
        <f t="shared" si="73"/>
        <v>9.6402123235887078</v>
      </c>
      <c r="Y88" s="280">
        <f t="shared" si="73"/>
        <v>10.867148437499999</v>
      </c>
      <c r="Z88" s="280">
        <f t="shared" si="73"/>
        <v>10.954786731350802</v>
      </c>
      <c r="AA88" s="280">
        <f t="shared" si="73"/>
        <v>11.319946289062498</v>
      </c>
      <c r="AB88" s="280">
        <f t="shared" si="73"/>
        <v>10.867148437499999</v>
      </c>
      <c r="AC88" s="280">
        <f t="shared" si="73"/>
        <v>9.6402123235887078</v>
      </c>
      <c r="AD88" s="280">
        <f t="shared" si="73"/>
        <v>9.0559570312499993</v>
      </c>
      <c r="AE88" s="280">
        <f t="shared" si="73"/>
        <v>7.8874464465725804</v>
      </c>
      <c r="AF88" s="280">
        <f t="shared" si="73"/>
        <v>7.2447656249999985</v>
      </c>
      <c r="AG88" s="294">
        <f t="shared" ref="AG88:AG99" si="74">SUM(U88:AF88)</f>
        <v>106.83838339528729</v>
      </c>
      <c r="AH88" s="280">
        <f t="shared" ref="AH88:AS88" si="75">AH16*$C16/128/31</f>
        <v>6.2486103515624993</v>
      </c>
      <c r="AI88" s="280">
        <f t="shared" si="75"/>
        <v>6.6433478334488392</v>
      </c>
      <c r="AJ88" s="280">
        <f t="shared" si="75"/>
        <v>9.3729155273437481</v>
      </c>
      <c r="AK88" s="280">
        <f t="shared" si="75"/>
        <v>11.086244172127014</v>
      </c>
      <c r="AL88" s="280">
        <f t="shared" si="75"/>
        <v>12.497220703124999</v>
      </c>
      <c r="AM88" s="280">
        <f t="shared" si="75"/>
        <v>12.598004741053423</v>
      </c>
      <c r="AN88" s="280">
        <f t="shared" si="75"/>
        <v>13.017938232421871</v>
      </c>
      <c r="AO88" s="280">
        <f t="shared" si="75"/>
        <v>12.497220703124999</v>
      </c>
      <c r="AP88" s="280">
        <f t="shared" si="75"/>
        <v>11.086244172127014</v>
      </c>
      <c r="AQ88" s="280">
        <f t="shared" si="75"/>
        <v>10.414350585937498</v>
      </c>
      <c r="AR88" s="280">
        <f t="shared" si="75"/>
        <v>9.0705634135584674</v>
      </c>
      <c r="AS88" s="280">
        <f t="shared" si="75"/>
        <v>8.3314804687499979</v>
      </c>
      <c r="AT88" s="294">
        <f t="shared" ref="AT88:AT99" si="76">SUM(AH88:AS88)</f>
        <v>122.86414090458037</v>
      </c>
      <c r="AU88" s="280">
        <f t="shared" ref="AU88:BF88" si="77">AU16*$C16/128/31</f>
        <v>6.8734713867187507</v>
      </c>
      <c r="AV88" s="280">
        <f t="shared" si="77"/>
        <v>7.3076826167937234</v>
      </c>
      <c r="AW88" s="280">
        <f t="shared" si="77"/>
        <v>10.310207080078124</v>
      </c>
      <c r="AX88" s="280">
        <f t="shared" si="77"/>
        <v>12.194868589339716</v>
      </c>
      <c r="AY88" s="280">
        <f t="shared" si="77"/>
        <v>13.746942773437501</v>
      </c>
      <c r="AZ88" s="280">
        <f t="shared" si="77"/>
        <v>13.857805215158765</v>
      </c>
      <c r="BA88" s="280">
        <f t="shared" si="77"/>
        <v>14.319732055664058</v>
      </c>
      <c r="BB88" s="280">
        <f t="shared" si="77"/>
        <v>13.746942773437501</v>
      </c>
      <c r="BC88" s="280">
        <f t="shared" si="77"/>
        <v>12.194868589339716</v>
      </c>
      <c r="BD88" s="280">
        <f t="shared" si="77"/>
        <v>11.45578564453125</v>
      </c>
      <c r="BE88" s="280">
        <f t="shared" si="77"/>
        <v>9.9776197549143166</v>
      </c>
      <c r="BF88" s="280">
        <f t="shared" si="77"/>
        <v>9.1646285156249991</v>
      </c>
      <c r="BG88" s="294">
        <f t="shared" ref="BG88:BG99" si="78">SUM(AU88:BF88)</f>
        <v>135.15055499503842</v>
      </c>
      <c r="BH88" s="280">
        <f t="shared" ref="BH88:BS88" si="79">BH16*$C16/128/31</f>
        <v>7.5608185253906246</v>
      </c>
      <c r="BI88" s="280">
        <f t="shared" si="79"/>
        <v>8.0384508784730961</v>
      </c>
      <c r="BJ88" s="280">
        <f t="shared" si="79"/>
        <v>11.341227788085936</v>
      </c>
      <c r="BK88" s="280">
        <f t="shared" si="79"/>
        <v>13.414355448273689</v>
      </c>
      <c r="BL88" s="280">
        <f t="shared" si="79"/>
        <v>15.121637050781249</v>
      </c>
      <c r="BM88" s="280">
        <f t="shared" si="79"/>
        <v>15.243585736674643</v>
      </c>
      <c r="BN88" s="280">
        <f t="shared" si="79"/>
        <v>15.751705261230464</v>
      </c>
      <c r="BO88" s="280">
        <f t="shared" si="79"/>
        <v>15.121637050781249</v>
      </c>
      <c r="BP88" s="280">
        <f t="shared" si="79"/>
        <v>13.414355448273689</v>
      </c>
      <c r="BQ88" s="280">
        <f t="shared" si="79"/>
        <v>12.601364208984377</v>
      </c>
      <c r="BR88" s="280">
        <f t="shared" si="79"/>
        <v>10.975381730405747</v>
      </c>
      <c r="BS88" s="280">
        <f t="shared" si="79"/>
        <v>10.081091367187501</v>
      </c>
      <c r="BT88" s="294">
        <f t="shared" ref="BT88:BT99" si="80">SUM(BH88:BS88)</f>
        <v>148.66561049454225</v>
      </c>
    </row>
    <row r="89" spans="1:73" ht="15.75" customHeight="1">
      <c r="C89" s="106"/>
      <c r="D89" s="106"/>
      <c r="E89" s="92"/>
      <c r="F89" s="92" t="str">
        <f t="shared" si="65"/>
        <v>Core 3 - Red Ale</v>
      </c>
      <c r="H89" s="280">
        <f t="shared" ref="H89:S89" si="81">H17*$C17/128/31</f>
        <v>1.1902114955357144</v>
      </c>
      <c r="I89" s="280">
        <f t="shared" si="81"/>
        <v>1.2653995873235884</v>
      </c>
      <c r="J89" s="280">
        <f t="shared" si="81"/>
        <v>1.7853172433035713</v>
      </c>
      <c r="K89" s="280">
        <f t="shared" si="81"/>
        <v>2.1116655565956224</v>
      </c>
      <c r="L89" s="280">
        <f t="shared" si="81"/>
        <v>2.3804229910714287</v>
      </c>
      <c r="M89" s="280">
        <f t="shared" si="81"/>
        <v>2.399619950676843</v>
      </c>
      <c r="N89" s="280">
        <f t="shared" si="81"/>
        <v>2.4796072823660715</v>
      </c>
      <c r="O89" s="280">
        <f t="shared" si="81"/>
        <v>2.3804229910714287</v>
      </c>
      <c r="P89" s="280">
        <f t="shared" si="81"/>
        <v>2.1116655565956224</v>
      </c>
      <c r="Q89" s="280">
        <f t="shared" si="81"/>
        <v>1.9836858258928571</v>
      </c>
      <c r="R89" s="280">
        <f t="shared" si="81"/>
        <v>1.7277263644873271</v>
      </c>
      <c r="S89" s="280">
        <f t="shared" si="81"/>
        <v>1.5869486607142858</v>
      </c>
      <c r="T89" s="294">
        <f t="shared" si="72"/>
        <v>23.40269350563436</v>
      </c>
      <c r="U89" s="280">
        <f t="shared" ref="U89:AF89" si="82">U17*$C17/128/31</f>
        <v>1.4877643694196427</v>
      </c>
      <c r="V89" s="280">
        <f t="shared" si="82"/>
        <v>1.5817494841544857</v>
      </c>
      <c r="W89" s="280">
        <f t="shared" si="82"/>
        <v>2.2316465541294641</v>
      </c>
      <c r="X89" s="280">
        <f t="shared" si="82"/>
        <v>2.6395819457445278</v>
      </c>
      <c r="Y89" s="280">
        <f t="shared" si="82"/>
        <v>2.9755287388392855</v>
      </c>
      <c r="Z89" s="280">
        <f t="shared" si="82"/>
        <v>2.9995249383460538</v>
      </c>
      <c r="AA89" s="280">
        <f t="shared" si="82"/>
        <v>3.099509102957589</v>
      </c>
      <c r="AB89" s="280">
        <f t="shared" si="82"/>
        <v>2.9755287388392855</v>
      </c>
      <c r="AC89" s="280">
        <f t="shared" si="82"/>
        <v>2.6395819457445278</v>
      </c>
      <c r="AD89" s="280">
        <f t="shared" si="82"/>
        <v>2.479607282366072</v>
      </c>
      <c r="AE89" s="280">
        <f t="shared" si="82"/>
        <v>2.1596579556091591</v>
      </c>
      <c r="AF89" s="280">
        <f t="shared" si="82"/>
        <v>1.9836858258928571</v>
      </c>
      <c r="AG89" s="294">
        <f t="shared" si="74"/>
        <v>29.25336688204295</v>
      </c>
      <c r="AH89" s="280">
        <f t="shared" ref="AH89:AS89" si="83">AH17*$C17/128/31</f>
        <v>1.710929024832589</v>
      </c>
      <c r="AI89" s="280">
        <f t="shared" si="83"/>
        <v>1.8190119067776584</v>
      </c>
      <c r="AJ89" s="280">
        <f t="shared" si="83"/>
        <v>2.5663935372488837</v>
      </c>
      <c r="AK89" s="280">
        <f t="shared" si="83"/>
        <v>3.0355192376062066</v>
      </c>
      <c r="AL89" s="280">
        <f t="shared" si="83"/>
        <v>3.421858049665178</v>
      </c>
      <c r="AM89" s="280">
        <f t="shared" si="83"/>
        <v>3.4494536790979611</v>
      </c>
      <c r="AN89" s="280">
        <f t="shared" si="83"/>
        <v>3.5644354684012272</v>
      </c>
      <c r="AO89" s="280">
        <f t="shared" si="83"/>
        <v>3.421858049665178</v>
      </c>
      <c r="AP89" s="280">
        <f t="shared" si="83"/>
        <v>3.0355192376062066</v>
      </c>
      <c r="AQ89" s="280">
        <f t="shared" si="83"/>
        <v>2.851548374720982</v>
      </c>
      <c r="AR89" s="280">
        <f t="shared" si="83"/>
        <v>2.4836066489505324</v>
      </c>
      <c r="AS89" s="280">
        <f t="shared" si="83"/>
        <v>2.2812386997767855</v>
      </c>
      <c r="AT89" s="294">
        <f t="shared" si="76"/>
        <v>33.641371914349392</v>
      </c>
      <c r="AU89" s="280">
        <f t="shared" ref="AU89:BF89" si="84">AU17*$C17/128/31</f>
        <v>1.8820219273158481</v>
      </c>
      <c r="AV89" s="280">
        <f t="shared" si="84"/>
        <v>2.0009130974554248</v>
      </c>
      <c r="AW89" s="280">
        <f t="shared" si="84"/>
        <v>2.8230328909737725</v>
      </c>
      <c r="AX89" s="280">
        <f t="shared" si="84"/>
        <v>3.3390711613668276</v>
      </c>
      <c r="AY89" s="280">
        <f t="shared" si="84"/>
        <v>3.7640438546316961</v>
      </c>
      <c r="AZ89" s="280">
        <f t="shared" si="84"/>
        <v>3.794399047007758</v>
      </c>
      <c r="BA89" s="280">
        <f t="shared" si="84"/>
        <v>3.9208790152413502</v>
      </c>
      <c r="BB89" s="280">
        <f t="shared" si="84"/>
        <v>3.7640438546316961</v>
      </c>
      <c r="BC89" s="280">
        <f t="shared" si="84"/>
        <v>3.3390711613668276</v>
      </c>
      <c r="BD89" s="280">
        <f t="shared" si="84"/>
        <v>3.1367032121930807</v>
      </c>
      <c r="BE89" s="280">
        <f t="shared" si="84"/>
        <v>2.731967313845586</v>
      </c>
      <c r="BF89" s="280">
        <f t="shared" si="84"/>
        <v>2.5093625697544639</v>
      </c>
      <c r="BG89" s="294">
        <f t="shared" si="78"/>
        <v>37.005509105784334</v>
      </c>
      <c r="BH89" s="280">
        <f t="shared" ref="BH89:BS89" si="85">BH17*$C17/128/31</f>
        <v>2.0702241200474329</v>
      </c>
      <c r="BI89" s="280">
        <f t="shared" si="85"/>
        <v>2.2010044072009673</v>
      </c>
      <c r="BJ89" s="280">
        <f t="shared" si="85"/>
        <v>3.1053361800711494</v>
      </c>
      <c r="BK89" s="280">
        <f t="shared" si="85"/>
        <v>3.67297827750351</v>
      </c>
      <c r="BL89" s="280">
        <f t="shared" si="85"/>
        <v>4.1404482400948659</v>
      </c>
      <c r="BM89" s="280">
        <f t="shared" si="85"/>
        <v>4.173838951708535</v>
      </c>
      <c r="BN89" s="280">
        <f t="shared" si="85"/>
        <v>4.3129669167654852</v>
      </c>
      <c r="BO89" s="280">
        <f t="shared" si="85"/>
        <v>4.1404482400948659</v>
      </c>
      <c r="BP89" s="280">
        <f t="shared" si="85"/>
        <v>3.67297827750351</v>
      </c>
      <c r="BQ89" s="280">
        <f t="shared" si="85"/>
        <v>3.4503735334123888</v>
      </c>
      <c r="BR89" s="280">
        <f t="shared" si="85"/>
        <v>3.0051640452301451</v>
      </c>
      <c r="BS89" s="280">
        <f t="shared" si="85"/>
        <v>2.7602988267299109</v>
      </c>
      <c r="BT89" s="294">
        <f t="shared" si="80"/>
        <v>40.70606001636277</v>
      </c>
    </row>
    <row r="90" spans="1:73" ht="15.75" customHeight="1">
      <c r="C90" s="106"/>
      <c r="D90" s="106"/>
      <c r="E90" s="92"/>
      <c r="F90" s="92" t="str">
        <f t="shared" si="65"/>
        <v>Core 4 - Dark (Porter?)</v>
      </c>
      <c r="H90" s="280">
        <f t="shared" ref="H90:S90" si="86">H18*$C18/128/31</f>
        <v>0.59510574776785718</v>
      </c>
      <c r="I90" s="280">
        <f t="shared" si="86"/>
        <v>0.63269979366179419</v>
      </c>
      <c r="J90" s="280">
        <f t="shared" si="86"/>
        <v>0.89265862165178567</v>
      </c>
      <c r="K90" s="280">
        <f t="shared" si="86"/>
        <v>1.0558327782978112</v>
      </c>
      <c r="L90" s="280">
        <f t="shared" si="86"/>
        <v>1.1902114955357144</v>
      </c>
      <c r="M90" s="280">
        <f t="shared" si="86"/>
        <v>1.1998099753384215</v>
      </c>
      <c r="N90" s="280">
        <f t="shared" si="86"/>
        <v>1.2398036411830358</v>
      </c>
      <c r="O90" s="280">
        <f t="shared" si="86"/>
        <v>1.1902114955357144</v>
      </c>
      <c r="P90" s="280">
        <f t="shared" si="86"/>
        <v>1.0558327782978112</v>
      </c>
      <c r="Q90" s="280">
        <f t="shared" si="86"/>
        <v>0.99184291294642857</v>
      </c>
      <c r="R90" s="280">
        <f t="shared" si="86"/>
        <v>0.86386318224366354</v>
      </c>
      <c r="S90" s="280">
        <f t="shared" si="86"/>
        <v>0.79347433035714288</v>
      </c>
      <c r="T90" s="294">
        <f t="shared" si="72"/>
        <v>11.70134675281718</v>
      </c>
      <c r="U90" s="280">
        <f t="shared" ref="U90:AF90" si="87">U18*$C18/128/31</f>
        <v>0.74388218470982137</v>
      </c>
      <c r="V90" s="280">
        <f t="shared" si="87"/>
        <v>0.79087474207724284</v>
      </c>
      <c r="W90" s="280">
        <f t="shared" si="87"/>
        <v>1.1158232770647321</v>
      </c>
      <c r="X90" s="280">
        <f t="shared" si="87"/>
        <v>1.3197909728722639</v>
      </c>
      <c r="Y90" s="280">
        <f t="shared" si="87"/>
        <v>1.4877643694196427</v>
      </c>
      <c r="Z90" s="280">
        <f t="shared" si="87"/>
        <v>1.4997624691730269</v>
      </c>
      <c r="AA90" s="280">
        <f t="shared" si="87"/>
        <v>1.5497545514787945</v>
      </c>
      <c r="AB90" s="280">
        <f t="shared" si="87"/>
        <v>1.4877643694196427</v>
      </c>
      <c r="AC90" s="280">
        <f t="shared" si="87"/>
        <v>1.3197909728722639</v>
      </c>
      <c r="AD90" s="280">
        <f t="shared" si="87"/>
        <v>1.239803641183036</v>
      </c>
      <c r="AE90" s="280">
        <f t="shared" si="87"/>
        <v>1.0798289778045795</v>
      </c>
      <c r="AF90" s="280">
        <f t="shared" si="87"/>
        <v>0.99184291294642857</v>
      </c>
      <c r="AG90" s="294">
        <f t="shared" si="74"/>
        <v>14.626683441021475</v>
      </c>
      <c r="AH90" s="280">
        <f t="shared" ref="AH90:AS90" si="88">AH18*$C18/128/31</f>
        <v>0.85546451241629451</v>
      </c>
      <c r="AI90" s="280">
        <f t="shared" si="88"/>
        <v>0.90950595338882922</v>
      </c>
      <c r="AJ90" s="280">
        <f t="shared" si="88"/>
        <v>1.2831967686244419</v>
      </c>
      <c r="AK90" s="280">
        <f t="shared" si="88"/>
        <v>1.5177596188031033</v>
      </c>
      <c r="AL90" s="280">
        <f t="shared" si="88"/>
        <v>1.710929024832589</v>
      </c>
      <c r="AM90" s="280">
        <f t="shared" si="88"/>
        <v>1.7247268395489805</v>
      </c>
      <c r="AN90" s="280">
        <f t="shared" si="88"/>
        <v>1.7822177342006136</v>
      </c>
      <c r="AO90" s="280">
        <f t="shared" si="88"/>
        <v>1.710929024832589</v>
      </c>
      <c r="AP90" s="280">
        <f t="shared" si="88"/>
        <v>1.5177596188031033</v>
      </c>
      <c r="AQ90" s="280">
        <f t="shared" si="88"/>
        <v>1.425774187360491</v>
      </c>
      <c r="AR90" s="280">
        <f t="shared" si="88"/>
        <v>1.2418033244752662</v>
      </c>
      <c r="AS90" s="280">
        <f t="shared" si="88"/>
        <v>1.1406193498883928</v>
      </c>
      <c r="AT90" s="294">
        <f t="shared" si="76"/>
        <v>16.820685957174696</v>
      </c>
      <c r="AU90" s="280">
        <f t="shared" ref="AU90:BF90" si="89">AU18*$C18/128/31</f>
        <v>0.94101096365792403</v>
      </c>
      <c r="AV90" s="280">
        <f t="shared" si="89"/>
        <v>1.0004565487277124</v>
      </c>
      <c r="AW90" s="280">
        <f t="shared" si="89"/>
        <v>1.4115164454868863</v>
      </c>
      <c r="AX90" s="280">
        <f t="shared" si="89"/>
        <v>1.6695355806834138</v>
      </c>
      <c r="AY90" s="280">
        <f t="shared" si="89"/>
        <v>1.8820219273158481</v>
      </c>
      <c r="AZ90" s="280">
        <f t="shared" si="89"/>
        <v>1.897199523503879</v>
      </c>
      <c r="BA90" s="280">
        <f t="shared" si="89"/>
        <v>1.9604395076206751</v>
      </c>
      <c r="BB90" s="280">
        <f t="shared" si="89"/>
        <v>1.8820219273158481</v>
      </c>
      <c r="BC90" s="280">
        <f t="shared" si="89"/>
        <v>1.6695355806834138</v>
      </c>
      <c r="BD90" s="280">
        <f t="shared" si="89"/>
        <v>1.5683516060965403</v>
      </c>
      <c r="BE90" s="280">
        <f t="shared" si="89"/>
        <v>1.365983656922793</v>
      </c>
      <c r="BF90" s="280">
        <f t="shared" si="89"/>
        <v>1.254681284877232</v>
      </c>
      <c r="BG90" s="294">
        <f t="shared" si="78"/>
        <v>18.502754552892167</v>
      </c>
      <c r="BH90" s="280">
        <f t="shared" ref="BH90:BS90" si="90">BH18*$C18/128/31</f>
        <v>1.0351120600237165</v>
      </c>
      <c r="BI90" s="280">
        <f t="shared" si="90"/>
        <v>1.1005022036004837</v>
      </c>
      <c r="BJ90" s="280">
        <f t="shared" si="90"/>
        <v>1.5526680900355747</v>
      </c>
      <c r="BK90" s="280">
        <f t="shared" si="90"/>
        <v>1.836489138751755</v>
      </c>
      <c r="BL90" s="280">
        <f t="shared" si="90"/>
        <v>2.0702241200474329</v>
      </c>
      <c r="BM90" s="280">
        <f t="shared" si="90"/>
        <v>2.0869194758542675</v>
      </c>
      <c r="BN90" s="280">
        <f t="shared" si="90"/>
        <v>2.1564834583827426</v>
      </c>
      <c r="BO90" s="280">
        <f t="shared" si="90"/>
        <v>2.0702241200474329</v>
      </c>
      <c r="BP90" s="280">
        <f t="shared" si="90"/>
        <v>1.836489138751755</v>
      </c>
      <c r="BQ90" s="280">
        <f t="shared" si="90"/>
        <v>1.7251867667061944</v>
      </c>
      <c r="BR90" s="280">
        <f t="shared" si="90"/>
        <v>1.5025820226150726</v>
      </c>
      <c r="BS90" s="280">
        <f t="shared" si="90"/>
        <v>1.3801494133649554</v>
      </c>
      <c r="BT90" s="294">
        <f t="shared" si="80"/>
        <v>20.353030008181385</v>
      </c>
    </row>
    <row r="91" spans="1:73" ht="15.75" customHeight="1">
      <c r="C91" s="106"/>
      <c r="D91" s="106"/>
      <c r="E91" s="92"/>
      <c r="F91" s="92" t="str">
        <f t="shared" si="65"/>
        <v>Rotating Sour</v>
      </c>
      <c r="H91" s="280">
        <f t="shared" ref="H91:S91" si="91">H19*$C19/128/31</f>
        <v>0.59510574776785718</v>
      </c>
      <c r="I91" s="280">
        <f t="shared" si="91"/>
        <v>0.63269979366179419</v>
      </c>
      <c r="J91" s="280">
        <f t="shared" si="91"/>
        <v>0.89265862165178567</v>
      </c>
      <c r="K91" s="280">
        <f t="shared" si="91"/>
        <v>1.0558327782978112</v>
      </c>
      <c r="L91" s="280">
        <f t="shared" si="91"/>
        <v>1.1902114955357144</v>
      </c>
      <c r="M91" s="280">
        <f t="shared" si="91"/>
        <v>1.1998099753384215</v>
      </c>
      <c r="N91" s="280">
        <f t="shared" si="91"/>
        <v>1.2398036411830358</v>
      </c>
      <c r="O91" s="280">
        <f t="shared" si="91"/>
        <v>1.1902114955357144</v>
      </c>
      <c r="P91" s="280">
        <f t="shared" si="91"/>
        <v>1.0558327782978112</v>
      </c>
      <c r="Q91" s="280">
        <f t="shared" si="91"/>
        <v>0.99184291294642857</v>
      </c>
      <c r="R91" s="280">
        <f t="shared" si="91"/>
        <v>0.86386318224366354</v>
      </c>
      <c r="S91" s="280">
        <f t="shared" si="91"/>
        <v>0.79347433035714288</v>
      </c>
      <c r="T91" s="294">
        <f t="shared" si="72"/>
        <v>11.70134675281718</v>
      </c>
      <c r="U91" s="280">
        <f t="shared" ref="U91:AF91" si="92">U19*$C19/128/31</f>
        <v>0.74388218470982137</v>
      </c>
      <c r="V91" s="280">
        <f t="shared" si="92"/>
        <v>0.79087474207724284</v>
      </c>
      <c r="W91" s="280">
        <f t="shared" si="92"/>
        <v>1.1158232770647321</v>
      </c>
      <c r="X91" s="280">
        <f t="shared" si="92"/>
        <v>1.3197909728722639</v>
      </c>
      <c r="Y91" s="280">
        <f t="shared" si="92"/>
        <v>1.4877643694196427</v>
      </c>
      <c r="Z91" s="280">
        <f t="shared" si="92"/>
        <v>1.4997624691730269</v>
      </c>
      <c r="AA91" s="280">
        <f t="shared" si="92"/>
        <v>1.5497545514787945</v>
      </c>
      <c r="AB91" s="280">
        <f t="shared" si="92"/>
        <v>1.4877643694196427</v>
      </c>
      <c r="AC91" s="280">
        <f t="shared" si="92"/>
        <v>1.3197909728722639</v>
      </c>
      <c r="AD91" s="280">
        <f t="shared" si="92"/>
        <v>1.239803641183036</v>
      </c>
      <c r="AE91" s="280">
        <f t="shared" si="92"/>
        <v>1.0798289778045795</v>
      </c>
      <c r="AF91" s="280">
        <f t="shared" si="92"/>
        <v>0.99184291294642857</v>
      </c>
      <c r="AG91" s="294">
        <f t="shared" si="74"/>
        <v>14.626683441021475</v>
      </c>
      <c r="AH91" s="280">
        <f t="shared" ref="AH91:AS91" si="93">AH19*$C19/128/31</f>
        <v>0.85546451241629451</v>
      </c>
      <c r="AI91" s="280">
        <f t="shared" si="93"/>
        <v>0.90950595338882922</v>
      </c>
      <c r="AJ91" s="280">
        <f t="shared" si="93"/>
        <v>1.2831967686244419</v>
      </c>
      <c r="AK91" s="280">
        <f t="shared" si="93"/>
        <v>1.5177596188031033</v>
      </c>
      <c r="AL91" s="280">
        <f t="shared" si="93"/>
        <v>1.710929024832589</v>
      </c>
      <c r="AM91" s="280">
        <f t="shared" si="93"/>
        <v>1.7247268395489805</v>
      </c>
      <c r="AN91" s="280">
        <f t="shared" si="93"/>
        <v>1.7822177342006136</v>
      </c>
      <c r="AO91" s="280">
        <f t="shared" si="93"/>
        <v>1.710929024832589</v>
      </c>
      <c r="AP91" s="280">
        <f t="shared" si="93"/>
        <v>1.5177596188031033</v>
      </c>
      <c r="AQ91" s="280">
        <f t="shared" si="93"/>
        <v>1.425774187360491</v>
      </c>
      <c r="AR91" s="280">
        <f t="shared" si="93"/>
        <v>1.2418033244752662</v>
      </c>
      <c r="AS91" s="280">
        <f t="shared" si="93"/>
        <v>1.1406193498883928</v>
      </c>
      <c r="AT91" s="294">
        <f t="shared" si="76"/>
        <v>16.820685957174696</v>
      </c>
      <c r="AU91" s="280">
        <f t="shared" ref="AU91:BF91" si="94">AU19*$C19/128/31</f>
        <v>0.94101096365792403</v>
      </c>
      <c r="AV91" s="280">
        <f t="shared" si="94"/>
        <v>1.0004565487277124</v>
      </c>
      <c r="AW91" s="280">
        <f t="shared" si="94"/>
        <v>1.4115164454868863</v>
      </c>
      <c r="AX91" s="280">
        <f t="shared" si="94"/>
        <v>1.6695355806834138</v>
      </c>
      <c r="AY91" s="280">
        <f t="shared" si="94"/>
        <v>1.8820219273158481</v>
      </c>
      <c r="AZ91" s="280">
        <f t="shared" si="94"/>
        <v>1.897199523503879</v>
      </c>
      <c r="BA91" s="280">
        <f t="shared" si="94"/>
        <v>1.9604395076206751</v>
      </c>
      <c r="BB91" s="280">
        <f t="shared" si="94"/>
        <v>1.8820219273158481</v>
      </c>
      <c r="BC91" s="280">
        <f t="shared" si="94"/>
        <v>1.6695355806834138</v>
      </c>
      <c r="BD91" s="280">
        <f t="shared" si="94"/>
        <v>1.5683516060965403</v>
      </c>
      <c r="BE91" s="280">
        <f t="shared" si="94"/>
        <v>1.365983656922793</v>
      </c>
      <c r="BF91" s="280">
        <f t="shared" si="94"/>
        <v>1.254681284877232</v>
      </c>
      <c r="BG91" s="294">
        <f t="shared" si="78"/>
        <v>18.502754552892167</v>
      </c>
      <c r="BH91" s="280">
        <f t="shared" ref="BH91:BS91" si="95">BH19*$C19/128/31</f>
        <v>1.0351120600237165</v>
      </c>
      <c r="BI91" s="280">
        <f t="shared" si="95"/>
        <v>1.1005022036004837</v>
      </c>
      <c r="BJ91" s="280">
        <f t="shared" si="95"/>
        <v>1.5526680900355747</v>
      </c>
      <c r="BK91" s="280">
        <f t="shared" si="95"/>
        <v>1.836489138751755</v>
      </c>
      <c r="BL91" s="280">
        <f t="shared" si="95"/>
        <v>2.0702241200474329</v>
      </c>
      <c r="BM91" s="280">
        <f t="shared" si="95"/>
        <v>2.0869194758542675</v>
      </c>
      <c r="BN91" s="280">
        <f t="shared" si="95"/>
        <v>2.1564834583827426</v>
      </c>
      <c r="BO91" s="280">
        <f t="shared" si="95"/>
        <v>2.0702241200474329</v>
      </c>
      <c r="BP91" s="280">
        <f t="shared" si="95"/>
        <v>1.836489138751755</v>
      </c>
      <c r="BQ91" s="280">
        <f t="shared" si="95"/>
        <v>1.7251867667061944</v>
      </c>
      <c r="BR91" s="280">
        <f t="shared" si="95"/>
        <v>1.5025820226150726</v>
      </c>
      <c r="BS91" s="280">
        <f t="shared" si="95"/>
        <v>1.3801494133649554</v>
      </c>
      <c r="BT91" s="294">
        <f t="shared" si="80"/>
        <v>20.353030008181385</v>
      </c>
    </row>
    <row r="92" spans="1:73" ht="15.75" customHeight="1">
      <c r="C92" s="106"/>
      <c r="D92" s="106"/>
      <c r="E92" s="92"/>
      <c r="F92" s="92" t="str">
        <f t="shared" si="65"/>
        <v>Seasonal #1</v>
      </c>
      <c r="H92" s="280">
        <f t="shared" ref="H92:S92" si="96">H20*$C20/128/31</f>
        <v>1.4489531250000001</v>
      </c>
      <c r="I92" s="280">
        <f t="shared" si="96"/>
        <v>1.5404864541330643</v>
      </c>
      <c r="J92" s="280">
        <f t="shared" si="96"/>
        <v>2.1734296875000001</v>
      </c>
      <c r="K92" s="280">
        <f t="shared" si="96"/>
        <v>2.5707232862903227</v>
      </c>
      <c r="L92" s="280">
        <f t="shared" si="96"/>
        <v>2.8979062500000001</v>
      </c>
      <c r="M92" s="280">
        <f t="shared" si="96"/>
        <v>2.9212764616935485</v>
      </c>
      <c r="N92" s="280">
        <f t="shared" si="96"/>
        <v>3.0186523437499999</v>
      </c>
      <c r="O92" s="280">
        <f t="shared" si="96"/>
        <v>2.8979062500000001</v>
      </c>
      <c r="P92" s="280">
        <f t="shared" si="96"/>
        <v>2.5707232862903227</v>
      </c>
      <c r="Q92" s="280">
        <f t="shared" si="96"/>
        <v>2.4149218750000001</v>
      </c>
      <c r="R92" s="280">
        <f t="shared" si="96"/>
        <v>2.1033190524193546</v>
      </c>
      <c r="S92" s="280">
        <f t="shared" si="96"/>
        <v>1.9319375000000003</v>
      </c>
      <c r="T92" s="294">
        <f t="shared" si="72"/>
        <v>28.490235572076617</v>
      </c>
      <c r="U92" s="280">
        <f t="shared" ref="U92:AF92" si="97">U20*$C20/128/31</f>
        <v>1.8111914062499996</v>
      </c>
      <c r="V92" s="280">
        <f t="shared" si="97"/>
        <v>1.9256080676663303</v>
      </c>
      <c r="W92" s="280">
        <f t="shared" si="97"/>
        <v>2.7167871093749998</v>
      </c>
      <c r="X92" s="280">
        <f t="shared" si="97"/>
        <v>3.2134041078629032</v>
      </c>
      <c r="Y92" s="280">
        <f t="shared" si="97"/>
        <v>3.6223828124999993</v>
      </c>
      <c r="Z92" s="280">
        <f t="shared" si="97"/>
        <v>3.6515955771169346</v>
      </c>
      <c r="AA92" s="280">
        <f t="shared" si="97"/>
        <v>3.7733154296875</v>
      </c>
      <c r="AB92" s="280">
        <f t="shared" si="97"/>
        <v>3.6223828124999993</v>
      </c>
      <c r="AC92" s="280">
        <f t="shared" si="97"/>
        <v>3.2134041078629032</v>
      </c>
      <c r="AD92" s="280">
        <f t="shared" si="97"/>
        <v>3.0186523437500004</v>
      </c>
      <c r="AE92" s="280">
        <f t="shared" si="97"/>
        <v>2.6291488155241933</v>
      </c>
      <c r="AF92" s="280">
        <f t="shared" si="97"/>
        <v>2.4149218750000001</v>
      </c>
      <c r="AG92" s="294">
        <f t="shared" si="74"/>
        <v>35.612794465095767</v>
      </c>
      <c r="AH92" s="280">
        <f t="shared" ref="AH92:AS92" si="98">AH20*$C20/128/31</f>
        <v>2.0828701171874995</v>
      </c>
      <c r="AI92" s="280">
        <f t="shared" si="98"/>
        <v>2.2144492778162799</v>
      </c>
      <c r="AJ92" s="280">
        <f t="shared" si="98"/>
        <v>3.1243051757812497</v>
      </c>
      <c r="AK92" s="280">
        <f t="shared" si="98"/>
        <v>3.6954147240423381</v>
      </c>
      <c r="AL92" s="280">
        <f t="shared" si="98"/>
        <v>4.165740234374999</v>
      </c>
      <c r="AM92" s="280">
        <f t="shared" si="98"/>
        <v>4.1993349136844751</v>
      </c>
      <c r="AN92" s="280">
        <f t="shared" si="98"/>
        <v>4.3393127441406243</v>
      </c>
      <c r="AO92" s="280">
        <f t="shared" si="98"/>
        <v>4.165740234374999</v>
      </c>
      <c r="AP92" s="280">
        <f t="shared" si="98"/>
        <v>3.6954147240423381</v>
      </c>
      <c r="AQ92" s="280">
        <f t="shared" si="98"/>
        <v>3.4714501953124999</v>
      </c>
      <c r="AR92" s="280">
        <f t="shared" si="98"/>
        <v>3.0235211378528222</v>
      </c>
      <c r="AS92" s="280">
        <f t="shared" si="98"/>
        <v>2.7771601562499999</v>
      </c>
      <c r="AT92" s="294">
        <f t="shared" si="76"/>
        <v>40.95471363486012</v>
      </c>
      <c r="AU92" s="280">
        <f t="shared" ref="AU92:BF92" si="99">AU20*$C20/128/31</f>
        <v>2.2911571289062498</v>
      </c>
      <c r="AV92" s="280">
        <f t="shared" si="99"/>
        <v>2.4358942055979078</v>
      </c>
      <c r="AW92" s="280">
        <f t="shared" si="99"/>
        <v>3.4367356933593753</v>
      </c>
      <c r="AX92" s="280">
        <f t="shared" si="99"/>
        <v>4.0649561964465724</v>
      </c>
      <c r="AY92" s="280">
        <f t="shared" si="99"/>
        <v>4.5823142578124996</v>
      </c>
      <c r="AZ92" s="280">
        <f t="shared" si="99"/>
        <v>4.6192684050529236</v>
      </c>
      <c r="BA92" s="280">
        <f t="shared" si="99"/>
        <v>4.7732440185546876</v>
      </c>
      <c r="BB92" s="280">
        <f t="shared" si="99"/>
        <v>4.5823142578124996</v>
      </c>
      <c r="BC92" s="280">
        <f t="shared" si="99"/>
        <v>4.0649561964465724</v>
      </c>
      <c r="BD92" s="280">
        <f t="shared" si="99"/>
        <v>3.8185952148437505</v>
      </c>
      <c r="BE92" s="280">
        <f t="shared" si="99"/>
        <v>3.3258732516381047</v>
      </c>
      <c r="BF92" s="280">
        <f t="shared" si="99"/>
        <v>3.0548761718749997</v>
      </c>
      <c r="BG92" s="294">
        <f t="shared" si="78"/>
        <v>45.050184998346147</v>
      </c>
      <c r="BH92" s="280">
        <f t="shared" ref="BH92:BS92" si="100">BH20*$C20/128/31</f>
        <v>2.5202728417968752</v>
      </c>
      <c r="BI92" s="280">
        <f t="shared" si="100"/>
        <v>2.6794836261576993</v>
      </c>
      <c r="BJ92" s="280">
        <f t="shared" si="100"/>
        <v>3.7804092626953123</v>
      </c>
      <c r="BK92" s="280">
        <f t="shared" si="100"/>
        <v>4.4714518160912293</v>
      </c>
      <c r="BL92" s="280">
        <f t="shared" si="100"/>
        <v>5.0405456835937503</v>
      </c>
      <c r="BM92" s="280">
        <f t="shared" si="100"/>
        <v>5.0811952455582157</v>
      </c>
      <c r="BN92" s="280">
        <f t="shared" si="100"/>
        <v>5.2505684204101568</v>
      </c>
      <c r="BO92" s="280">
        <f t="shared" si="100"/>
        <v>5.0405456835937503</v>
      </c>
      <c r="BP92" s="280">
        <f t="shared" si="100"/>
        <v>4.4714518160912293</v>
      </c>
      <c r="BQ92" s="280">
        <f t="shared" si="100"/>
        <v>4.2004547363281253</v>
      </c>
      <c r="BR92" s="280">
        <f t="shared" si="100"/>
        <v>3.6584605768019158</v>
      </c>
      <c r="BS92" s="280">
        <f t="shared" si="100"/>
        <v>3.3603637890625002</v>
      </c>
      <c r="BT92" s="294">
        <f t="shared" si="80"/>
        <v>49.555203498180759</v>
      </c>
    </row>
    <row r="93" spans="1:73" ht="15.75" customHeight="1">
      <c r="C93" s="106"/>
      <c r="D93" s="106"/>
      <c r="E93" s="92"/>
      <c r="F93" s="92" t="str">
        <f t="shared" si="65"/>
        <v>Seasonal #2</v>
      </c>
      <c r="H93" s="280">
        <f t="shared" ref="H93:S93" si="101">H21*$C21/128/31</f>
        <v>0.59510574776785718</v>
      </c>
      <c r="I93" s="280">
        <f t="shared" si="101"/>
        <v>0.63269979366179419</v>
      </c>
      <c r="J93" s="280">
        <f t="shared" si="101"/>
        <v>0.89265862165178567</v>
      </c>
      <c r="K93" s="280">
        <f t="shared" si="101"/>
        <v>1.0558327782978112</v>
      </c>
      <c r="L93" s="280">
        <f t="shared" si="101"/>
        <v>1.1902114955357144</v>
      </c>
      <c r="M93" s="280">
        <f t="shared" si="101"/>
        <v>1.1998099753384215</v>
      </c>
      <c r="N93" s="280">
        <f t="shared" si="101"/>
        <v>1.2398036411830358</v>
      </c>
      <c r="O93" s="280">
        <f t="shared" si="101"/>
        <v>1.1902114955357144</v>
      </c>
      <c r="P93" s="280">
        <f t="shared" si="101"/>
        <v>1.0558327782978112</v>
      </c>
      <c r="Q93" s="280">
        <f t="shared" si="101"/>
        <v>0.99184291294642857</v>
      </c>
      <c r="R93" s="280">
        <f t="shared" si="101"/>
        <v>0.86386318224366354</v>
      </c>
      <c r="S93" s="280">
        <f t="shared" si="101"/>
        <v>0.79347433035714288</v>
      </c>
      <c r="T93" s="294">
        <f t="shared" si="72"/>
        <v>11.70134675281718</v>
      </c>
      <c r="U93" s="280">
        <f t="shared" ref="U93:AF93" si="102">U21*$C21/128/31</f>
        <v>0.74388218470982137</v>
      </c>
      <c r="V93" s="280">
        <f t="shared" si="102"/>
        <v>0.79087474207724284</v>
      </c>
      <c r="W93" s="280">
        <f t="shared" si="102"/>
        <v>1.1158232770647321</v>
      </c>
      <c r="X93" s="280">
        <f t="shared" si="102"/>
        <v>1.3197909728722639</v>
      </c>
      <c r="Y93" s="280">
        <f t="shared" si="102"/>
        <v>1.4877643694196427</v>
      </c>
      <c r="Z93" s="280">
        <f t="shared" si="102"/>
        <v>1.4997624691730269</v>
      </c>
      <c r="AA93" s="280">
        <f t="shared" si="102"/>
        <v>1.5497545514787945</v>
      </c>
      <c r="AB93" s="280">
        <f t="shared" si="102"/>
        <v>1.4877643694196427</v>
      </c>
      <c r="AC93" s="280">
        <f t="shared" si="102"/>
        <v>1.3197909728722639</v>
      </c>
      <c r="AD93" s="280">
        <f t="shared" si="102"/>
        <v>1.239803641183036</v>
      </c>
      <c r="AE93" s="280">
        <f t="shared" si="102"/>
        <v>1.0798289778045795</v>
      </c>
      <c r="AF93" s="280">
        <f t="shared" si="102"/>
        <v>0.99184291294642857</v>
      </c>
      <c r="AG93" s="294">
        <f t="shared" si="74"/>
        <v>14.626683441021475</v>
      </c>
      <c r="AH93" s="280">
        <f t="shared" ref="AH93:AS93" si="103">AH21*$C21/128/31</f>
        <v>0.85546451241629451</v>
      </c>
      <c r="AI93" s="280">
        <f t="shared" si="103"/>
        <v>0.90950595338882922</v>
      </c>
      <c r="AJ93" s="280">
        <f t="shared" si="103"/>
        <v>1.2831967686244419</v>
      </c>
      <c r="AK93" s="280">
        <f t="shared" si="103"/>
        <v>1.5177596188031033</v>
      </c>
      <c r="AL93" s="280">
        <f t="shared" si="103"/>
        <v>1.710929024832589</v>
      </c>
      <c r="AM93" s="280">
        <f t="shared" si="103"/>
        <v>1.7247268395489805</v>
      </c>
      <c r="AN93" s="280">
        <f t="shared" si="103"/>
        <v>1.7822177342006136</v>
      </c>
      <c r="AO93" s="280">
        <f t="shared" si="103"/>
        <v>1.710929024832589</v>
      </c>
      <c r="AP93" s="280">
        <f t="shared" si="103"/>
        <v>1.5177596188031033</v>
      </c>
      <c r="AQ93" s="280">
        <f t="shared" si="103"/>
        <v>1.425774187360491</v>
      </c>
      <c r="AR93" s="280">
        <f t="shared" si="103"/>
        <v>1.2418033244752662</v>
      </c>
      <c r="AS93" s="280">
        <f t="shared" si="103"/>
        <v>1.1406193498883928</v>
      </c>
      <c r="AT93" s="294">
        <f t="shared" si="76"/>
        <v>16.820685957174696</v>
      </c>
      <c r="AU93" s="280">
        <f t="shared" ref="AU93:BF93" si="104">AU21*$C21/128/31</f>
        <v>0.94101096365792403</v>
      </c>
      <c r="AV93" s="280">
        <f t="shared" si="104"/>
        <v>1.0004565487277124</v>
      </c>
      <c r="AW93" s="280">
        <f t="shared" si="104"/>
        <v>1.4115164454868863</v>
      </c>
      <c r="AX93" s="280">
        <f t="shared" si="104"/>
        <v>1.6695355806834138</v>
      </c>
      <c r="AY93" s="280">
        <f t="shared" si="104"/>
        <v>1.8820219273158481</v>
      </c>
      <c r="AZ93" s="280">
        <f t="shared" si="104"/>
        <v>1.897199523503879</v>
      </c>
      <c r="BA93" s="280">
        <f t="shared" si="104"/>
        <v>1.9604395076206751</v>
      </c>
      <c r="BB93" s="280">
        <f t="shared" si="104"/>
        <v>1.8820219273158481</v>
      </c>
      <c r="BC93" s="280">
        <f t="shared" si="104"/>
        <v>1.6695355806834138</v>
      </c>
      <c r="BD93" s="280">
        <f t="shared" si="104"/>
        <v>1.5683516060965403</v>
      </c>
      <c r="BE93" s="280">
        <f t="shared" si="104"/>
        <v>1.365983656922793</v>
      </c>
      <c r="BF93" s="280">
        <f t="shared" si="104"/>
        <v>1.254681284877232</v>
      </c>
      <c r="BG93" s="294">
        <f t="shared" si="78"/>
        <v>18.502754552892167</v>
      </c>
      <c r="BH93" s="280">
        <f t="shared" ref="BH93:BS93" si="105">BH21*$C21/128/31</f>
        <v>1.0351120600237165</v>
      </c>
      <c r="BI93" s="280">
        <f t="shared" si="105"/>
        <v>1.1005022036004837</v>
      </c>
      <c r="BJ93" s="280">
        <f t="shared" si="105"/>
        <v>1.5526680900355747</v>
      </c>
      <c r="BK93" s="280">
        <f t="shared" si="105"/>
        <v>1.836489138751755</v>
      </c>
      <c r="BL93" s="280">
        <f t="shared" si="105"/>
        <v>2.0702241200474329</v>
      </c>
      <c r="BM93" s="280">
        <f t="shared" si="105"/>
        <v>2.0869194758542675</v>
      </c>
      <c r="BN93" s="280">
        <f t="shared" si="105"/>
        <v>2.1564834583827426</v>
      </c>
      <c r="BO93" s="280">
        <f t="shared" si="105"/>
        <v>2.0702241200474329</v>
      </c>
      <c r="BP93" s="280">
        <f t="shared" si="105"/>
        <v>1.836489138751755</v>
      </c>
      <c r="BQ93" s="280">
        <f t="shared" si="105"/>
        <v>1.7251867667061944</v>
      </c>
      <c r="BR93" s="280">
        <f t="shared" si="105"/>
        <v>1.5025820226150726</v>
      </c>
      <c r="BS93" s="280">
        <f t="shared" si="105"/>
        <v>1.3801494133649554</v>
      </c>
      <c r="BT93" s="294">
        <f t="shared" si="80"/>
        <v>20.353030008181385</v>
      </c>
    </row>
    <row r="94" spans="1:73" ht="15.75" customHeight="1">
      <c r="C94" s="106"/>
      <c r="D94" s="106"/>
      <c r="E94" s="92"/>
      <c r="F94" s="92" t="str">
        <f t="shared" si="65"/>
        <v>Rotating IPA #1</v>
      </c>
      <c r="H94" s="280">
        <f t="shared" ref="H94:S94" si="106">H22*$C22/128/31</f>
        <v>0.59510574776785718</v>
      </c>
      <c r="I94" s="280">
        <f t="shared" si="106"/>
        <v>0.63269979366179419</v>
      </c>
      <c r="J94" s="280">
        <f t="shared" si="106"/>
        <v>0.89265862165178567</v>
      </c>
      <c r="K94" s="280">
        <f t="shared" si="106"/>
        <v>1.0558327782978112</v>
      </c>
      <c r="L94" s="280">
        <f t="shared" si="106"/>
        <v>1.1902114955357144</v>
      </c>
      <c r="M94" s="280">
        <f t="shared" si="106"/>
        <v>1.1998099753384215</v>
      </c>
      <c r="N94" s="280">
        <f t="shared" si="106"/>
        <v>1.2398036411830358</v>
      </c>
      <c r="O94" s="280">
        <f t="shared" si="106"/>
        <v>1.1902114955357144</v>
      </c>
      <c r="P94" s="280">
        <f t="shared" si="106"/>
        <v>1.0558327782978112</v>
      </c>
      <c r="Q94" s="280">
        <f t="shared" si="106"/>
        <v>0.99184291294642857</v>
      </c>
      <c r="R94" s="280">
        <f t="shared" si="106"/>
        <v>0.86386318224366354</v>
      </c>
      <c r="S94" s="280">
        <f t="shared" si="106"/>
        <v>0.79347433035714288</v>
      </c>
      <c r="T94" s="294">
        <f t="shared" si="72"/>
        <v>11.70134675281718</v>
      </c>
      <c r="U94" s="280">
        <f t="shared" ref="U94:AF94" si="107">U22*$C22/128/31</f>
        <v>0.74388218470982137</v>
      </c>
      <c r="V94" s="280">
        <f t="shared" si="107"/>
        <v>0.79087474207724284</v>
      </c>
      <c r="W94" s="280">
        <f t="shared" si="107"/>
        <v>1.1158232770647321</v>
      </c>
      <c r="X94" s="280">
        <f t="shared" si="107"/>
        <v>1.3197909728722639</v>
      </c>
      <c r="Y94" s="280">
        <f t="shared" si="107"/>
        <v>1.4877643694196427</v>
      </c>
      <c r="Z94" s="280">
        <f t="shared" si="107"/>
        <v>1.4997624691730269</v>
      </c>
      <c r="AA94" s="280">
        <f t="shared" si="107"/>
        <v>1.5497545514787945</v>
      </c>
      <c r="AB94" s="280">
        <f t="shared" si="107"/>
        <v>1.4877643694196427</v>
      </c>
      <c r="AC94" s="280">
        <f t="shared" si="107"/>
        <v>1.3197909728722639</v>
      </c>
      <c r="AD94" s="280">
        <f t="shared" si="107"/>
        <v>1.239803641183036</v>
      </c>
      <c r="AE94" s="280">
        <f t="shared" si="107"/>
        <v>1.0798289778045795</v>
      </c>
      <c r="AF94" s="280">
        <f t="shared" si="107"/>
        <v>0.99184291294642857</v>
      </c>
      <c r="AG94" s="294">
        <f t="shared" si="74"/>
        <v>14.626683441021475</v>
      </c>
      <c r="AH94" s="280">
        <f t="shared" ref="AH94:AS94" si="108">AH22*$C22/128/31</f>
        <v>0.85546451241629451</v>
      </c>
      <c r="AI94" s="280">
        <f t="shared" si="108"/>
        <v>0.90950595338882922</v>
      </c>
      <c r="AJ94" s="280">
        <f t="shared" si="108"/>
        <v>1.2831967686244419</v>
      </c>
      <c r="AK94" s="280">
        <f t="shared" si="108"/>
        <v>1.5177596188031033</v>
      </c>
      <c r="AL94" s="280">
        <f t="shared" si="108"/>
        <v>1.710929024832589</v>
      </c>
      <c r="AM94" s="280">
        <f t="shared" si="108"/>
        <v>1.7247268395489805</v>
      </c>
      <c r="AN94" s="280">
        <f t="shared" si="108"/>
        <v>1.7822177342006136</v>
      </c>
      <c r="AO94" s="280">
        <f t="shared" si="108"/>
        <v>1.710929024832589</v>
      </c>
      <c r="AP94" s="280">
        <f t="shared" si="108"/>
        <v>1.5177596188031033</v>
      </c>
      <c r="AQ94" s="280">
        <f t="shared" si="108"/>
        <v>1.425774187360491</v>
      </c>
      <c r="AR94" s="280">
        <f t="shared" si="108"/>
        <v>1.2418033244752662</v>
      </c>
      <c r="AS94" s="280">
        <f t="shared" si="108"/>
        <v>1.1406193498883928</v>
      </c>
      <c r="AT94" s="294">
        <f t="shared" si="76"/>
        <v>16.820685957174696</v>
      </c>
      <c r="AU94" s="280">
        <f t="shared" ref="AU94:BF94" si="109">AU22*$C22/128/31</f>
        <v>0.94101096365792403</v>
      </c>
      <c r="AV94" s="280">
        <f t="shared" si="109"/>
        <v>1.0004565487277124</v>
      </c>
      <c r="AW94" s="280">
        <f t="shared" si="109"/>
        <v>1.4115164454868863</v>
      </c>
      <c r="AX94" s="280">
        <f t="shared" si="109"/>
        <v>1.6695355806834138</v>
      </c>
      <c r="AY94" s="280">
        <f t="shared" si="109"/>
        <v>1.8820219273158481</v>
      </c>
      <c r="AZ94" s="280">
        <f t="shared" si="109"/>
        <v>1.897199523503879</v>
      </c>
      <c r="BA94" s="280">
        <f t="shared" si="109"/>
        <v>1.9604395076206751</v>
      </c>
      <c r="BB94" s="280">
        <f t="shared" si="109"/>
        <v>1.8820219273158481</v>
      </c>
      <c r="BC94" s="280">
        <f t="shared" si="109"/>
        <v>1.6695355806834138</v>
      </c>
      <c r="BD94" s="280">
        <f t="shared" si="109"/>
        <v>1.5683516060965403</v>
      </c>
      <c r="BE94" s="280">
        <f t="shared" si="109"/>
        <v>1.365983656922793</v>
      </c>
      <c r="BF94" s="280">
        <f t="shared" si="109"/>
        <v>1.254681284877232</v>
      </c>
      <c r="BG94" s="294">
        <f t="shared" si="78"/>
        <v>18.502754552892167</v>
      </c>
      <c r="BH94" s="280">
        <f t="shared" ref="BH94:BS94" si="110">BH22*$C22/128/31</f>
        <v>1.0351120600237165</v>
      </c>
      <c r="BI94" s="280">
        <f t="shared" si="110"/>
        <v>1.1005022036004837</v>
      </c>
      <c r="BJ94" s="280">
        <f t="shared" si="110"/>
        <v>1.5526680900355747</v>
      </c>
      <c r="BK94" s="280">
        <f t="shared" si="110"/>
        <v>1.836489138751755</v>
      </c>
      <c r="BL94" s="280">
        <f t="shared" si="110"/>
        <v>2.0702241200474329</v>
      </c>
      <c r="BM94" s="280">
        <f t="shared" si="110"/>
        <v>2.0869194758542675</v>
      </c>
      <c r="BN94" s="280">
        <f t="shared" si="110"/>
        <v>2.1564834583827426</v>
      </c>
      <c r="BO94" s="280">
        <f t="shared" si="110"/>
        <v>2.0702241200474329</v>
      </c>
      <c r="BP94" s="280">
        <f t="shared" si="110"/>
        <v>1.836489138751755</v>
      </c>
      <c r="BQ94" s="280">
        <f t="shared" si="110"/>
        <v>1.7251867667061944</v>
      </c>
      <c r="BR94" s="280">
        <f t="shared" si="110"/>
        <v>1.5025820226150726</v>
      </c>
      <c r="BS94" s="280">
        <f t="shared" si="110"/>
        <v>1.3801494133649554</v>
      </c>
      <c r="BT94" s="294">
        <f t="shared" si="80"/>
        <v>20.353030008181385</v>
      </c>
    </row>
    <row r="95" spans="1:73" ht="15.75" customHeight="1">
      <c r="C95" s="106"/>
      <c r="D95" s="106"/>
      <c r="E95" s="92"/>
      <c r="F95" s="92" t="str">
        <f t="shared" si="65"/>
        <v>Rotating IPA #2</v>
      </c>
      <c r="H95" s="280">
        <f t="shared" ref="H95:S95" si="111">H23*$C23/128/31</f>
        <v>0.89265862165178567</v>
      </c>
      <c r="I95" s="280">
        <f t="shared" si="111"/>
        <v>0.94904969049269139</v>
      </c>
      <c r="J95" s="280">
        <f t="shared" si="111"/>
        <v>1.3389879324776783</v>
      </c>
      <c r="K95" s="280">
        <f t="shared" si="111"/>
        <v>1.5837491674467166</v>
      </c>
      <c r="L95" s="280">
        <f t="shared" si="111"/>
        <v>1.7853172433035713</v>
      </c>
      <c r="M95" s="280">
        <f t="shared" si="111"/>
        <v>1.7997149630076319</v>
      </c>
      <c r="N95" s="280">
        <f t="shared" si="111"/>
        <v>1.8597054617745532</v>
      </c>
      <c r="O95" s="280">
        <f t="shared" si="111"/>
        <v>1.7853172433035713</v>
      </c>
      <c r="P95" s="280">
        <f t="shared" si="111"/>
        <v>1.5837491674467166</v>
      </c>
      <c r="Q95" s="280">
        <f t="shared" si="111"/>
        <v>1.4877643694196427</v>
      </c>
      <c r="R95" s="280">
        <f t="shared" si="111"/>
        <v>1.2957947733654953</v>
      </c>
      <c r="S95" s="280">
        <f t="shared" si="111"/>
        <v>1.1902114955357144</v>
      </c>
      <c r="T95" s="294">
        <f t="shared" si="72"/>
        <v>17.55202012922577</v>
      </c>
      <c r="U95" s="280">
        <f t="shared" ref="U95:AF95" si="112">U23*$C23/128/31</f>
        <v>1.1158232770647321</v>
      </c>
      <c r="V95" s="280">
        <f t="shared" si="112"/>
        <v>1.186312113115864</v>
      </c>
      <c r="W95" s="280">
        <f t="shared" si="112"/>
        <v>1.673734915597098</v>
      </c>
      <c r="X95" s="280">
        <f t="shared" si="112"/>
        <v>1.9796864593083954</v>
      </c>
      <c r="Y95" s="280">
        <f t="shared" si="112"/>
        <v>2.2316465541294641</v>
      </c>
      <c r="Z95" s="280">
        <f t="shared" si="112"/>
        <v>2.2496437037595403</v>
      </c>
      <c r="AA95" s="280">
        <f t="shared" si="112"/>
        <v>2.3246318272181918</v>
      </c>
      <c r="AB95" s="280">
        <f t="shared" si="112"/>
        <v>2.2316465541294641</v>
      </c>
      <c r="AC95" s="280">
        <f t="shared" si="112"/>
        <v>1.9796864593083954</v>
      </c>
      <c r="AD95" s="280">
        <f t="shared" si="112"/>
        <v>1.8597054617745536</v>
      </c>
      <c r="AE95" s="280">
        <f t="shared" si="112"/>
        <v>1.6197434667068693</v>
      </c>
      <c r="AF95" s="280">
        <f t="shared" si="112"/>
        <v>1.4877643694196427</v>
      </c>
      <c r="AG95" s="294">
        <f t="shared" si="74"/>
        <v>21.940025161532208</v>
      </c>
      <c r="AH95" s="280">
        <f t="shared" ref="AH95:AS95" si="113">AH23*$C23/128/31</f>
        <v>1.2831967686244419</v>
      </c>
      <c r="AI95" s="280">
        <f t="shared" si="113"/>
        <v>1.3642589300832437</v>
      </c>
      <c r="AJ95" s="280">
        <f t="shared" si="113"/>
        <v>1.9247951529366625</v>
      </c>
      <c r="AK95" s="280">
        <f t="shared" si="113"/>
        <v>2.2766394282046547</v>
      </c>
      <c r="AL95" s="280">
        <f t="shared" si="113"/>
        <v>2.5663935372488837</v>
      </c>
      <c r="AM95" s="280">
        <f t="shared" si="113"/>
        <v>2.5870902593234706</v>
      </c>
      <c r="AN95" s="280">
        <f t="shared" si="113"/>
        <v>2.6733266013009196</v>
      </c>
      <c r="AO95" s="280">
        <f t="shared" si="113"/>
        <v>2.5663935372488837</v>
      </c>
      <c r="AP95" s="280">
        <f t="shared" si="113"/>
        <v>2.2766394282046547</v>
      </c>
      <c r="AQ95" s="280">
        <f t="shared" si="113"/>
        <v>2.1386612810407364</v>
      </c>
      <c r="AR95" s="280">
        <f t="shared" si="113"/>
        <v>1.8627049867128995</v>
      </c>
      <c r="AS95" s="280">
        <f t="shared" si="113"/>
        <v>1.710929024832589</v>
      </c>
      <c r="AT95" s="294">
        <f t="shared" si="76"/>
        <v>25.231028935762037</v>
      </c>
      <c r="AU95" s="280">
        <f t="shared" ref="AU95:BF95" si="114">AU23*$C23/128/31</f>
        <v>1.4115164454868863</v>
      </c>
      <c r="AV95" s="280">
        <f t="shared" si="114"/>
        <v>1.5006848230915681</v>
      </c>
      <c r="AW95" s="280">
        <f t="shared" si="114"/>
        <v>2.1172746682303289</v>
      </c>
      <c r="AX95" s="280">
        <f t="shared" si="114"/>
        <v>2.5043033710251201</v>
      </c>
      <c r="AY95" s="280">
        <f t="shared" si="114"/>
        <v>2.8230328909737725</v>
      </c>
      <c r="AZ95" s="280">
        <f t="shared" si="114"/>
        <v>2.845799285255818</v>
      </c>
      <c r="BA95" s="280">
        <f t="shared" si="114"/>
        <v>2.9406592614310121</v>
      </c>
      <c r="BB95" s="280">
        <f t="shared" si="114"/>
        <v>2.8230328909737725</v>
      </c>
      <c r="BC95" s="280">
        <f t="shared" si="114"/>
        <v>2.5043033710251201</v>
      </c>
      <c r="BD95" s="280">
        <f t="shared" si="114"/>
        <v>2.3525274091448103</v>
      </c>
      <c r="BE95" s="280">
        <f t="shared" si="114"/>
        <v>2.0489754853841897</v>
      </c>
      <c r="BF95" s="280">
        <f t="shared" si="114"/>
        <v>1.8820219273158481</v>
      </c>
      <c r="BG95" s="294">
        <f t="shared" si="78"/>
        <v>27.754131829338242</v>
      </c>
      <c r="BH95" s="280">
        <f t="shared" ref="BH95:BS95" si="115">BH23*$C23/128/31</f>
        <v>1.5526680900355747</v>
      </c>
      <c r="BI95" s="280">
        <f t="shared" si="115"/>
        <v>1.6507533054007251</v>
      </c>
      <c r="BJ95" s="280">
        <f t="shared" si="115"/>
        <v>2.3290021350533618</v>
      </c>
      <c r="BK95" s="280">
        <f t="shared" si="115"/>
        <v>2.7547337081276329</v>
      </c>
      <c r="BL95" s="280">
        <f t="shared" si="115"/>
        <v>3.1053361800711494</v>
      </c>
      <c r="BM95" s="280">
        <f t="shared" si="115"/>
        <v>3.1303792137813997</v>
      </c>
      <c r="BN95" s="280">
        <f t="shared" si="115"/>
        <v>3.2347251875741132</v>
      </c>
      <c r="BO95" s="280">
        <f t="shared" si="115"/>
        <v>3.1053361800711494</v>
      </c>
      <c r="BP95" s="280">
        <f t="shared" si="115"/>
        <v>2.7547337081276329</v>
      </c>
      <c r="BQ95" s="280">
        <f t="shared" si="115"/>
        <v>2.5877801500592916</v>
      </c>
      <c r="BR95" s="280">
        <f t="shared" si="115"/>
        <v>2.2538730339226087</v>
      </c>
      <c r="BS95" s="280">
        <f t="shared" si="115"/>
        <v>2.0702241200474329</v>
      </c>
      <c r="BT95" s="294">
        <f t="shared" si="80"/>
        <v>30.529545012272067</v>
      </c>
    </row>
    <row r="96" spans="1:73" ht="15.75" customHeight="1">
      <c r="C96" s="106"/>
      <c r="D96" s="106"/>
      <c r="E96" s="92"/>
      <c r="F96" s="92" t="str">
        <f t="shared" si="65"/>
        <v>Special release</v>
      </c>
      <c r="H96" s="280">
        <f t="shared" ref="H96:S96" si="116">H24*$C24/128/31</f>
        <v>0.23286746651785714</v>
      </c>
      <c r="I96" s="280">
        <f t="shared" si="116"/>
        <v>0.24757818012852817</v>
      </c>
      <c r="J96" s="280">
        <f t="shared" si="116"/>
        <v>0.3493011997767857</v>
      </c>
      <c r="K96" s="280">
        <f t="shared" si="116"/>
        <v>0.41315195672523042</v>
      </c>
      <c r="L96" s="280">
        <f t="shared" si="116"/>
        <v>0.46573493303571428</v>
      </c>
      <c r="M96" s="280">
        <f t="shared" si="116"/>
        <v>0.46949085991503448</v>
      </c>
      <c r="N96" s="280">
        <f t="shared" si="116"/>
        <v>0.48514055524553573</v>
      </c>
      <c r="O96" s="280">
        <f t="shared" si="116"/>
        <v>0.46573493303571428</v>
      </c>
      <c r="P96" s="280">
        <f t="shared" si="116"/>
        <v>0.41315195672523042</v>
      </c>
      <c r="Q96" s="280">
        <f t="shared" si="116"/>
        <v>0.3881124441964286</v>
      </c>
      <c r="R96" s="280">
        <f t="shared" si="116"/>
        <v>0.33803341913882484</v>
      </c>
      <c r="S96" s="280">
        <f t="shared" si="116"/>
        <v>0.31048995535714291</v>
      </c>
      <c r="T96" s="294">
        <f t="shared" si="72"/>
        <v>4.5787878597980276</v>
      </c>
      <c r="U96" s="280">
        <f t="shared" ref="U96:AF96" si="117">U24*$C24/128/31</f>
        <v>0.29108433314732141</v>
      </c>
      <c r="V96" s="280">
        <f t="shared" si="117"/>
        <v>0.30947272516066021</v>
      </c>
      <c r="W96" s="280">
        <f t="shared" si="117"/>
        <v>0.43662649972098211</v>
      </c>
      <c r="X96" s="280">
        <f t="shared" si="117"/>
        <v>0.51643994590653797</v>
      </c>
      <c r="Y96" s="280">
        <f t="shared" si="117"/>
        <v>0.58216866629464281</v>
      </c>
      <c r="Z96" s="280">
        <f t="shared" si="117"/>
        <v>0.58686357489379315</v>
      </c>
      <c r="AA96" s="280">
        <f t="shared" si="117"/>
        <v>0.6064256940569196</v>
      </c>
      <c r="AB96" s="280">
        <f t="shared" si="117"/>
        <v>0.58216866629464281</v>
      </c>
      <c r="AC96" s="280">
        <f t="shared" si="117"/>
        <v>0.51643994590653797</v>
      </c>
      <c r="AD96" s="280">
        <f t="shared" si="117"/>
        <v>0.48514055524553579</v>
      </c>
      <c r="AE96" s="280">
        <f t="shared" si="117"/>
        <v>0.42254177392353104</v>
      </c>
      <c r="AF96" s="280">
        <f t="shared" si="117"/>
        <v>0.3881124441964286</v>
      </c>
      <c r="AG96" s="294">
        <f t="shared" si="74"/>
        <v>5.7234848247475343</v>
      </c>
      <c r="AH96" s="280">
        <f t="shared" ref="AH96:AS96" si="118">AH24*$C24/128/31</f>
        <v>0.33474698311941964</v>
      </c>
      <c r="AI96" s="280">
        <f t="shared" si="118"/>
        <v>0.35589363393475926</v>
      </c>
      <c r="AJ96" s="280">
        <f t="shared" si="118"/>
        <v>0.50212047467912935</v>
      </c>
      <c r="AK96" s="280">
        <f t="shared" si="118"/>
        <v>0.59390593779251855</v>
      </c>
      <c r="AL96" s="280">
        <f t="shared" si="118"/>
        <v>0.66949396623883928</v>
      </c>
      <c r="AM96" s="280">
        <f t="shared" si="118"/>
        <v>0.67489311112786199</v>
      </c>
      <c r="AN96" s="280">
        <f t="shared" si="118"/>
        <v>0.6973895481654574</v>
      </c>
      <c r="AO96" s="280">
        <f t="shared" si="118"/>
        <v>0.66949396623883928</v>
      </c>
      <c r="AP96" s="280">
        <f t="shared" si="118"/>
        <v>0.59390593779251855</v>
      </c>
      <c r="AQ96" s="280">
        <f t="shared" si="118"/>
        <v>0.55791163853236614</v>
      </c>
      <c r="AR96" s="280">
        <f t="shared" si="118"/>
        <v>0.48592304001206071</v>
      </c>
      <c r="AS96" s="280">
        <f t="shared" si="118"/>
        <v>0.44632931082589283</v>
      </c>
      <c r="AT96" s="294">
        <f t="shared" si="76"/>
        <v>6.5820075484596625</v>
      </c>
      <c r="AU96" s="280">
        <f t="shared" ref="AU96:BF96" si="119">AU24*$C24/128/31</f>
        <v>0.36822168143136158</v>
      </c>
      <c r="AV96" s="280">
        <f t="shared" si="119"/>
        <v>0.39148299732823527</v>
      </c>
      <c r="AW96" s="280">
        <f t="shared" si="119"/>
        <v>0.55233252214704243</v>
      </c>
      <c r="AX96" s="280">
        <f t="shared" si="119"/>
        <v>0.65329653157177048</v>
      </c>
      <c r="AY96" s="280">
        <f t="shared" si="119"/>
        <v>0.73644336286272316</v>
      </c>
      <c r="AZ96" s="280">
        <f t="shared" si="119"/>
        <v>0.74238242224064832</v>
      </c>
      <c r="BA96" s="280">
        <f t="shared" si="119"/>
        <v>0.7671285029820033</v>
      </c>
      <c r="BB96" s="280">
        <f t="shared" si="119"/>
        <v>0.73644336286272316</v>
      </c>
      <c r="BC96" s="280">
        <f t="shared" si="119"/>
        <v>0.65329653157177048</v>
      </c>
      <c r="BD96" s="280">
        <f t="shared" si="119"/>
        <v>0.61370280238560282</v>
      </c>
      <c r="BE96" s="280">
        <f t="shared" si="119"/>
        <v>0.53451534401326695</v>
      </c>
      <c r="BF96" s="280">
        <f t="shared" si="119"/>
        <v>0.49096224190848214</v>
      </c>
      <c r="BG96" s="294">
        <f t="shared" si="78"/>
        <v>7.2402083033056304</v>
      </c>
      <c r="BH96" s="280">
        <f t="shared" ref="BH96:BS96" si="120">BH24*$C24/128/31</f>
        <v>0.40504384957449774</v>
      </c>
      <c r="BI96" s="280">
        <f t="shared" si="120"/>
        <v>0.43063129706105879</v>
      </c>
      <c r="BJ96" s="280">
        <f t="shared" si="120"/>
        <v>0.60756577436174664</v>
      </c>
      <c r="BK96" s="280">
        <f t="shared" si="120"/>
        <v>0.71862618472894768</v>
      </c>
      <c r="BL96" s="280">
        <f t="shared" si="120"/>
        <v>0.81008769914899548</v>
      </c>
      <c r="BM96" s="280">
        <f t="shared" si="120"/>
        <v>0.81662066446471326</v>
      </c>
      <c r="BN96" s="280">
        <f t="shared" si="120"/>
        <v>0.84384135328020371</v>
      </c>
      <c r="BO96" s="280">
        <f t="shared" si="120"/>
        <v>0.81008769914899548</v>
      </c>
      <c r="BP96" s="280">
        <f t="shared" si="120"/>
        <v>0.71862618472894768</v>
      </c>
      <c r="BQ96" s="280">
        <f t="shared" si="120"/>
        <v>0.67507308262416299</v>
      </c>
      <c r="BR96" s="280">
        <f t="shared" si="120"/>
        <v>0.58796687841459361</v>
      </c>
      <c r="BS96" s="280">
        <f t="shared" si="120"/>
        <v>0.54005846609933039</v>
      </c>
      <c r="BT96" s="294">
        <f t="shared" si="80"/>
        <v>7.9642291336361932</v>
      </c>
    </row>
    <row r="97" spans="3:72" ht="15.75" customHeight="1">
      <c r="C97" s="106"/>
      <c r="D97" s="106"/>
      <c r="E97" s="92"/>
      <c r="F97" s="92">
        <f t="shared" si="65"/>
        <v>0</v>
      </c>
      <c r="H97" s="280">
        <f t="shared" ref="H97:S97" si="121">H25*$C25/128/31</f>
        <v>0</v>
      </c>
      <c r="I97" s="280">
        <f t="shared" si="121"/>
        <v>0</v>
      </c>
      <c r="J97" s="280">
        <f t="shared" si="121"/>
        <v>0</v>
      </c>
      <c r="K97" s="280">
        <f t="shared" si="121"/>
        <v>0</v>
      </c>
      <c r="L97" s="280">
        <f t="shared" si="121"/>
        <v>0</v>
      </c>
      <c r="M97" s="280">
        <f t="shared" si="121"/>
        <v>0</v>
      </c>
      <c r="N97" s="280">
        <f t="shared" si="121"/>
        <v>0</v>
      </c>
      <c r="O97" s="280">
        <f t="shared" si="121"/>
        <v>0</v>
      </c>
      <c r="P97" s="280">
        <f t="shared" si="121"/>
        <v>0</v>
      </c>
      <c r="Q97" s="280">
        <f t="shared" si="121"/>
        <v>0</v>
      </c>
      <c r="R97" s="280">
        <f t="shared" si="121"/>
        <v>0</v>
      </c>
      <c r="S97" s="280">
        <f t="shared" si="121"/>
        <v>0</v>
      </c>
      <c r="T97" s="294">
        <f>SUM(H97:S97)</f>
        <v>0</v>
      </c>
      <c r="U97" s="280">
        <f t="shared" ref="U97:AF97" si="122">U25*$C25/128/31</f>
        <v>0</v>
      </c>
      <c r="V97" s="280">
        <f t="shared" si="122"/>
        <v>0</v>
      </c>
      <c r="W97" s="280">
        <f t="shared" si="122"/>
        <v>0</v>
      </c>
      <c r="X97" s="280">
        <f t="shared" si="122"/>
        <v>0</v>
      </c>
      <c r="Y97" s="280">
        <f t="shared" si="122"/>
        <v>0</v>
      </c>
      <c r="Z97" s="280">
        <f t="shared" si="122"/>
        <v>0</v>
      </c>
      <c r="AA97" s="280">
        <f t="shared" si="122"/>
        <v>0</v>
      </c>
      <c r="AB97" s="280">
        <f t="shared" si="122"/>
        <v>0</v>
      </c>
      <c r="AC97" s="280">
        <f t="shared" si="122"/>
        <v>0</v>
      </c>
      <c r="AD97" s="280">
        <f t="shared" si="122"/>
        <v>0</v>
      </c>
      <c r="AE97" s="280">
        <f t="shared" si="122"/>
        <v>0</v>
      </c>
      <c r="AF97" s="280">
        <f t="shared" si="122"/>
        <v>0</v>
      </c>
      <c r="AG97" s="294">
        <f t="shared" si="74"/>
        <v>0</v>
      </c>
      <c r="AH97" s="280">
        <f t="shared" ref="AH97:AS97" si="123">AH25*$C25/128/31</f>
        <v>0</v>
      </c>
      <c r="AI97" s="280">
        <f t="shared" si="123"/>
        <v>0</v>
      </c>
      <c r="AJ97" s="280">
        <f t="shared" si="123"/>
        <v>0</v>
      </c>
      <c r="AK97" s="280">
        <f t="shared" si="123"/>
        <v>0</v>
      </c>
      <c r="AL97" s="280">
        <f t="shared" si="123"/>
        <v>0</v>
      </c>
      <c r="AM97" s="280">
        <f t="shared" si="123"/>
        <v>0</v>
      </c>
      <c r="AN97" s="280">
        <f t="shared" si="123"/>
        <v>0</v>
      </c>
      <c r="AO97" s="280">
        <f t="shared" si="123"/>
        <v>0</v>
      </c>
      <c r="AP97" s="280">
        <f t="shared" si="123"/>
        <v>0</v>
      </c>
      <c r="AQ97" s="280">
        <f t="shared" si="123"/>
        <v>0</v>
      </c>
      <c r="AR97" s="280">
        <f t="shared" si="123"/>
        <v>0</v>
      </c>
      <c r="AS97" s="280">
        <f t="shared" si="123"/>
        <v>0</v>
      </c>
      <c r="AT97" s="294">
        <f t="shared" si="76"/>
        <v>0</v>
      </c>
      <c r="AU97" s="280">
        <f t="shared" ref="AU97:BF97" si="124">AU25*$C25/128/31</f>
        <v>0</v>
      </c>
      <c r="AV97" s="280">
        <f t="shared" si="124"/>
        <v>0</v>
      </c>
      <c r="AW97" s="280">
        <f t="shared" si="124"/>
        <v>0</v>
      </c>
      <c r="AX97" s="280">
        <f t="shared" si="124"/>
        <v>0</v>
      </c>
      <c r="AY97" s="280">
        <f t="shared" si="124"/>
        <v>0</v>
      </c>
      <c r="AZ97" s="280">
        <f t="shared" si="124"/>
        <v>0</v>
      </c>
      <c r="BA97" s="280">
        <f t="shared" si="124"/>
        <v>0</v>
      </c>
      <c r="BB97" s="280">
        <f t="shared" si="124"/>
        <v>0</v>
      </c>
      <c r="BC97" s="280">
        <f t="shared" si="124"/>
        <v>0</v>
      </c>
      <c r="BD97" s="280">
        <f t="shared" si="124"/>
        <v>0</v>
      </c>
      <c r="BE97" s="280">
        <f t="shared" si="124"/>
        <v>0</v>
      </c>
      <c r="BF97" s="280">
        <f t="shared" si="124"/>
        <v>0</v>
      </c>
      <c r="BG97" s="294">
        <f t="shared" si="78"/>
        <v>0</v>
      </c>
      <c r="BH97" s="280">
        <f t="shared" ref="BH97:BS97" si="125">BH25*$C25/128/31</f>
        <v>0</v>
      </c>
      <c r="BI97" s="280">
        <f t="shared" si="125"/>
        <v>0</v>
      </c>
      <c r="BJ97" s="280">
        <f t="shared" si="125"/>
        <v>0</v>
      </c>
      <c r="BK97" s="280">
        <f t="shared" si="125"/>
        <v>0</v>
      </c>
      <c r="BL97" s="280">
        <f t="shared" si="125"/>
        <v>0</v>
      </c>
      <c r="BM97" s="280">
        <f t="shared" si="125"/>
        <v>0</v>
      </c>
      <c r="BN97" s="280">
        <f t="shared" si="125"/>
        <v>0</v>
      </c>
      <c r="BO97" s="280">
        <f t="shared" si="125"/>
        <v>0</v>
      </c>
      <c r="BP97" s="280">
        <f t="shared" si="125"/>
        <v>0</v>
      </c>
      <c r="BQ97" s="280">
        <f t="shared" si="125"/>
        <v>0</v>
      </c>
      <c r="BR97" s="280">
        <f t="shared" si="125"/>
        <v>0</v>
      </c>
      <c r="BS97" s="280">
        <f t="shared" si="125"/>
        <v>0</v>
      </c>
      <c r="BT97" s="294">
        <f t="shared" si="80"/>
        <v>0</v>
      </c>
    </row>
    <row r="98" spans="3:72" ht="15.75" customHeight="1">
      <c r="C98" s="106"/>
      <c r="D98" s="106"/>
      <c r="E98" s="92"/>
      <c r="F98" s="92">
        <f t="shared" si="65"/>
        <v>0</v>
      </c>
      <c r="H98" s="280">
        <f t="shared" ref="H98:S98" si="126">H26*$C26/128/31</f>
        <v>0</v>
      </c>
      <c r="I98" s="280">
        <f t="shared" si="126"/>
        <v>0</v>
      </c>
      <c r="J98" s="280">
        <f t="shared" si="126"/>
        <v>0</v>
      </c>
      <c r="K98" s="280">
        <f t="shared" si="126"/>
        <v>0</v>
      </c>
      <c r="L98" s="280">
        <f t="shared" si="126"/>
        <v>0</v>
      </c>
      <c r="M98" s="280">
        <f t="shared" si="126"/>
        <v>0</v>
      </c>
      <c r="N98" s="280">
        <f t="shared" si="126"/>
        <v>0</v>
      </c>
      <c r="O98" s="280">
        <f t="shared" si="126"/>
        <v>0</v>
      </c>
      <c r="P98" s="280">
        <f t="shared" si="126"/>
        <v>0</v>
      </c>
      <c r="Q98" s="280">
        <f t="shared" si="126"/>
        <v>0</v>
      </c>
      <c r="R98" s="280">
        <f t="shared" si="126"/>
        <v>0</v>
      </c>
      <c r="S98" s="280">
        <f t="shared" si="126"/>
        <v>0</v>
      </c>
      <c r="T98" s="294">
        <f>SUM(H98:S98)</f>
        <v>0</v>
      </c>
      <c r="U98" s="280">
        <f t="shared" ref="U98:AF98" si="127">U26*$C26/128/31</f>
        <v>0</v>
      </c>
      <c r="V98" s="280">
        <f t="shared" si="127"/>
        <v>0</v>
      </c>
      <c r="W98" s="280">
        <f t="shared" si="127"/>
        <v>0</v>
      </c>
      <c r="X98" s="280">
        <f t="shared" si="127"/>
        <v>0</v>
      </c>
      <c r="Y98" s="280">
        <f t="shared" si="127"/>
        <v>0</v>
      </c>
      <c r="Z98" s="280">
        <f t="shared" si="127"/>
        <v>0</v>
      </c>
      <c r="AA98" s="280">
        <f t="shared" si="127"/>
        <v>0</v>
      </c>
      <c r="AB98" s="280">
        <f t="shared" si="127"/>
        <v>0</v>
      </c>
      <c r="AC98" s="280">
        <f t="shared" si="127"/>
        <v>0</v>
      </c>
      <c r="AD98" s="280">
        <f t="shared" si="127"/>
        <v>0</v>
      </c>
      <c r="AE98" s="280">
        <f t="shared" si="127"/>
        <v>0</v>
      </c>
      <c r="AF98" s="280">
        <f t="shared" si="127"/>
        <v>0</v>
      </c>
      <c r="AG98" s="294">
        <f t="shared" si="74"/>
        <v>0</v>
      </c>
      <c r="AH98" s="280">
        <f t="shared" ref="AH98:AS98" si="128">AH26*$C26/128/31</f>
        <v>0</v>
      </c>
      <c r="AI98" s="280">
        <f t="shared" si="128"/>
        <v>0</v>
      </c>
      <c r="AJ98" s="280">
        <f t="shared" si="128"/>
        <v>0</v>
      </c>
      <c r="AK98" s="280">
        <f t="shared" si="128"/>
        <v>0</v>
      </c>
      <c r="AL98" s="280">
        <f t="shared" si="128"/>
        <v>0</v>
      </c>
      <c r="AM98" s="280">
        <f t="shared" si="128"/>
        <v>0</v>
      </c>
      <c r="AN98" s="280">
        <f t="shared" si="128"/>
        <v>0</v>
      </c>
      <c r="AO98" s="280">
        <f t="shared" si="128"/>
        <v>0</v>
      </c>
      <c r="AP98" s="280">
        <f t="shared" si="128"/>
        <v>0</v>
      </c>
      <c r="AQ98" s="280">
        <f t="shared" si="128"/>
        <v>0</v>
      </c>
      <c r="AR98" s="280">
        <f t="shared" si="128"/>
        <v>0</v>
      </c>
      <c r="AS98" s="280">
        <f t="shared" si="128"/>
        <v>0</v>
      </c>
      <c r="AT98" s="294">
        <f t="shared" si="76"/>
        <v>0</v>
      </c>
      <c r="AU98" s="280">
        <f t="shared" ref="AU98:BF98" si="129">AU26*$C26/128/31</f>
        <v>0</v>
      </c>
      <c r="AV98" s="280">
        <f t="shared" si="129"/>
        <v>0</v>
      </c>
      <c r="AW98" s="280">
        <f t="shared" si="129"/>
        <v>0</v>
      </c>
      <c r="AX98" s="280">
        <f t="shared" si="129"/>
        <v>0</v>
      </c>
      <c r="AY98" s="280">
        <f t="shared" si="129"/>
        <v>0</v>
      </c>
      <c r="AZ98" s="280">
        <f t="shared" si="129"/>
        <v>0</v>
      </c>
      <c r="BA98" s="280">
        <f t="shared" si="129"/>
        <v>0</v>
      </c>
      <c r="BB98" s="280">
        <f t="shared" si="129"/>
        <v>0</v>
      </c>
      <c r="BC98" s="280">
        <f t="shared" si="129"/>
        <v>0</v>
      </c>
      <c r="BD98" s="280">
        <f t="shared" si="129"/>
        <v>0</v>
      </c>
      <c r="BE98" s="280">
        <f t="shared" si="129"/>
        <v>0</v>
      </c>
      <c r="BF98" s="280">
        <f t="shared" si="129"/>
        <v>0</v>
      </c>
      <c r="BG98" s="294">
        <f t="shared" si="78"/>
        <v>0</v>
      </c>
      <c r="BH98" s="280">
        <f t="shared" ref="BH98:BS98" si="130">BH26*$C26/128/31</f>
        <v>0</v>
      </c>
      <c r="BI98" s="280">
        <f t="shared" si="130"/>
        <v>0</v>
      </c>
      <c r="BJ98" s="280">
        <f t="shared" si="130"/>
        <v>0</v>
      </c>
      <c r="BK98" s="280">
        <f t="shared" si="130"/>
        <v>0</v>
      </c>
      <c r="BL98" s="280">
        <f t="shared" si="130"/>
        <v>0</v>
      </c>
      <c r="BM98" s="280">
        <f t="shared" si="130"/>
        <v>0</v>
      </c>
      <c r="BN98" s="280">
        <f t="shared" si="130"/>
        <v>0</v>
      </c>
      <c r="BO98" s="280">
        <f t="shared" si="130"/>
        <v>0</v>
      </c>
      <c r="BP98" s="280">
        <f t="shared" si="130"/>
        <v>0</v>
      </c>
      <c r="BQ98" s="280">
        <f t="shared" si="130"/>
        <v>0</v>
      </c>
      <c r="BR98" s="280">
        <f t="shared" si="130"/>
        <v>0</v>
      </c>
      <c r="BS98" s="280">
        <f t="shared" si="130"/>
        <v>0</v>
      </c>
      <c r="BT98" s="294">
        <f t="shared" si="80"/>
        <v>0</v>
      </c>
    </row>
    <row r="99" spans="3:72" ht="15.75" customHeight="1">
      <c r="C99" s="106"/>
      <c r="D99" s="106"/>
      <c r="E99" s="92"/>
      <c r="F99" s="92">
        <f t="shared" si="65"/>
        <v>0</v>
      </c>
      <c r="H99" s="280">
        <f t="shared" ref="H99:S99" si="131">H27*$C27/128/31</f>
        <v>0</v>
      </c>
      <c r="I99" s="280">
        <f t="shared" si="131"/>
        <v>0</v>
      </c>
      <c r="J99" s="280">
        <f t="shared" si="131"/>
        <v>0</v>
      </c>
      <c r="K99" s="280">
        <f t="shared" si="131"/>
        <v>0</v>
      </c>
      <c r="L99" s="280">
        <f t="shared" si="131"/>
        <v>0</v>
      </c>
      <c r="M99" s="280">
        <f t="shared" si="131"/>
        <v>0</v>
      </c>
      <c r="N99" s="280">
        <f t="shared" si="131"/>
        <v>0</v>
      </c>
      <c r="O99" s="280">
        <f t="shared" si="131"/>
        <v>0</v>
      </c>
      <c r="P99" s="280">
        <f t="shared" si="131"/>
        <v>0</v>
      </c>
      <c r="Q99" s="280">
        <f t="shared" si="131"/>
        <v>0</v>
      </c>
      <c r="R99" s="280">
        <f t="shared" si="131"/>
        <v>0</v>
      </c>
      <c r="S99" s="280">
        <f t="shared" si="131"/>
        <v>0</v>
      </c>
      <c r="T99" s="294">
        <f>SUM(H99:S99)</f>
        <v>0</v>
      </c>
      <c r="U99" s="280">
        <f t="shared" ref="U99:AF99" si="132">U27*$C27/128/31</f>
        <v>0</v>
      </c>
      <c r="V99" s="280">
        <f t="shared" si="132"/>
        <v>0</v>
      </c>
      <c r="W99" s="280">
        <f t="shared" si="132"/>
        <v>0</v>
      </c>
      <c r="X99" s="280">
        <f t="shared" si="132"/>
        <v>0</v>
      </c>
      <c r="Y99" s="280">
        <f t="shared" si="132"/>
        <v>0</v>
      </c>
      <c r="Z99" s="280">
        <f t="shared" si="132"/>
        <v>0</v>
      </c>
      <c r="AA99" s="280">
        <f t="shared" si="132"/>
        <v>0</v>
      </c>
      <c r="AB99" s="280">
        <f t="shared" si="132"/>
        <v>0</v>
      </c>
      <c r="AC99" s="280">
        <f t="shared" si="132"/>
        <v>0</v>
      </c>
      <c r="AD99" s="280">
        <f t="shared" si="132"/>
        <v>0</v>
      </c>
      <c r="AE99" s="280">
        <f t="shared" si="132"/>
        <v>0</v>
      </c>
      <c r="AF99" s="280">
        <f t="shared" si="132"/>
        <v>0</v>
      </c>
      <c r="AG99" s="294">
        <f t="shared" si="74"/>
        <v>0</v>
      </c>
      <c r="AH99" s="280">
        <f t="shared" ref="AH99:AS99" si="133">AH27*$C27/128/31</f>
        <v>0</v>
      </c>
      <c r="AI99" s="280">
        <f t="shared" si="133"/>
        <v>0</v>
      </c>
      <c r="AJ99" s="280">
        <f t="shared" si="133"/>
        <v>0</v>
      </c>
      <c r="AK99" s="280">
        <f t="shared" si="133"/>
        <v>0</v>
      </c>
      <c r="AL99" s="280">
        <f t="shared" si="133"/>
        <v>0</v>
      </c>
      <c r="AM99" s="280">
        <f t="shared" si="133"/>
        <v>0</v>
      </c>
      <c r="AN99" s="280">
        <f t="shared" si="133"/>
        <v>0</v>
      </c>
      <c r="AO99" s="280">
        <f t="shared" si="133"/>
        <v>0</v>
      </c>
      <c r="AP99" s="280">
        <f t="shared" si="133"/>
        <v>0</v>
      </c>
      <c r="AQ99" s="280">
        <f t="shared" si="133"/>
        <v>0</v>
      </c>
      <c r="AR99" s="280">
        <f t="shared" si="133"/>
        <v>0</v>
      </c>
      <c r="AS99" s="280">
        <f t="shared" si="133"/>
        <v>0</v>
      </c>
      <c r="AT99" s="294">
        <f t="shared" si="76"/>
        <v>0</v>
      </c>
      <c r="AU99" s="280">
        <f t="shared" ref="AU99:BF99" si="134">AU27*$C27/128/31</f>
        <v>0</v>
      </c>
      <c r="AV99" s="280">
        <f t="shared" si="134"/>
        <v>0</v>
      </c>
      <c r="AW99" s="280">
        <f t="shared" si="134"/>
        <v>0</v>
      </c>
      <c r="AX99" s="280">
        <f t="shared" si="134"/>
        <v>0</v>
      </c>
      <c r="AY99" s="280">
        <f t="shared" si="134"/>
        <v>0</v>
      </c>
      <c r="AZ99" s="280">
        <f t="shared" si="134"/>
        <v>0</v>
      </c>
      <c r="BA99" s="280">
        <f t="shared" si="134"/>
        <v>0</v>
      </c>
      <c r="BB99" s="280">
        <f t="shared" si="134"/>
        <v>0</v>
      </c>
      <c r="BC99" s="280">
        <f t="shared" si="134"/>
        <v>0</v>
      </c>
      <c r="BD99" s="280">
        <f t="shared" si="134"/>
        <v>0</v>
      </c>
      <c r="BE99" s="280">
        <f t="shared" si="134"/>
        <v>0</v>
      </c>
      <c r="BF99" s="280">
        <f t="shared" si="134"/>
        <v>0</v>
      </c>
      <c r="BG99" s="294">
        <f t="shared" si="78"/>
        <v>0</v>
      </c>
      <c r="BH99" s="280">
        <f t="shared" ref="BH99:BS99" si="135">BH27*$C27/128/31</f>
        <v>0</v>
      </c>
      <c r="BI99" s="280">
        <f t="shared" si="135"/>
        <v>0</v>
      </c>
      <c r="BJ99" s="280">
        <f t="shared" si="135"/>
        <v>0</v>
      </c>
      <c r="BK99" s="280">
        <f t="shared" si="135"/>
        <v>0</v>
      </c>
      <c r="BL99" s="280">
        <f t="shared" si="135"/>
        <v>0</v>
      </c>
      <c r="BM99" s="280">
        <f t="shared" si="135"/>
        <v>0</v>
      </c>
      <c r="BN99" s="280">
        <f t="shared" si="135"/>
        <v>0</v>
      </c>
      <c r="BO99" s="280">
        <f t="shared" si="135"/>
        <v>0</v>
      </c>
      <c r="BP99" s="280">
        <f t="shared" si="135"/>
        <v>0</v>
      </c>
      <c r="BQ99" s="280">
        <f t="shared" si="135"/>
        <v>0</v>
      </c>
      <c r="BR99" s="280">
        <f t="shared" si="135"/>
        <v>0</v>
      </c>
      <c r="BS99" s="280">
        <f t="shared" si="135"/>
        <v>0</v>
      </c>
      <c r="BT99" s="294">
        <f t="shared" si="80"/>
        <v>0</v>
      </c>
    </row>
    <row r="100" spans="3:72" ht="15.75" customHeight="1">
      <c r="C100" s="106"/>
      <c r="D100" s="106"/>
      <c r="E100" s="92"/>
      <c r="F100" s="92"/>
      <c r="H100" s="280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94"/>
      <c r="U100" s="280"/>
      <c r="V100" s="280"/>
      <c r="W100" s="280"/>
      <c r="X100" s="280"/>
      <c r="Y100" s="280"/>
      <c r="Z100" s="280"/>
      <c r="AA100" s="280"/>
      <c r="AB100" s="280"/>
      <c r="AC100" s="280"/>
      <c r="AD100" s="280"/>
      <c r="AE100" s="280"/>
      <c r="AF100" s="280"/>
      <c r="AG100" s="294"/>
      <c r="AH100" s="280"/>
      <c r="AI100" s="280"/>
      <c r="AJ100" s="280"/>
      <c r="AK100" s="280"/>
      <c r="AL100" s="280"/>
      <c r="AM100" s="280"/>
      <c r="AN100" s="280"/>
      <c r="AO100" s="280"/>
      <c r="AP100" s="280"/>
      <c r="AQ100" s="280"/>
      <c r="AR100" s="280"/>
      <c r="AS100" s="280"/>
      <c r="AT100" s="294"/>
      <c r="AU100" s="280"/>
      <c r="AV100" s="280"/>
      <c r="AW100" s="280"/>
      <c r="AX100" s="280"/>
      <c r="AY100" s="280"/>
      <c r="AZ100" s="280"/>
      <c r="BA100" s="280"/>
      <c r="BB100" s="280"/>
      <c r="BC100" s="280"/>
      <c r="BD100" s="280"/>
      <c r="BE100" s="280"/>
      <c r="BF100" s="280"/>
      <c r="BG100" s="294"/>
      <c r="BH100" s="280"/>
      <c r="BI100" s="280"/>
      <c r="BJ100" s="280"/>
      <c r="BK100" s="280"/>
      <c r="BL100" s="280"/>
      <c r="BM100" s="280"/>
      <c r="BN100" s="280"/>
      <c r="BO100" s="280"/>
      <c r="BP100" s="280"/>
      <c r="BQ100" s="280"/>
      <c r="BR100" s="280"/>
      <c r="BS100" s="280"/>
      <c r="BT100" s="294"/>
    </row>
    <row r="101" spans="3:72" ht="15.75" customHeight="1">
      <c r="C101" s="106"/>
      <c r="D101" s="106"/>
      <c r="E101" s="92"/>
      <c r="F101" s="92"/>
      <c r="T101" s="294"/>
      <c r="U101"/>
      <c r="AG101" s="294"/>
      <c r="AH101"/>
      <c r="AT101" s="294"/>
      <c r="AU101"/>
      <c r="BG101" s="294"/>
      <c r="BH101"/>
      <c r="BT101" s="294"/>
    </row>
    <row r="102" spans="3:72" ht="15.75" customHeight="1">
      <c r="C102" s="106"/>
      <c r="D102" s="106"/>
      <c r="E102" s="256" t="s">
        <v>519</v>
      </c>
      <c r="F102" s="92"/>
      <c r="H102" s="280"/>
      <c r="T102" s="294"/>
      <c r="U102" s="280"/>
      <c r="AG102" s="294"/>
      <c r="AH102" s="280"/>
      <c r="AT102" s="294"/>
      <c r="AU102" s="280"/>
      <c r="BG102" s="294"/>
      <c r="BH102" s="280"/>
      <c r="BT102" s="294"/>
    </row>
    <row r="103" spans="3:72" ht="15.75" customHeight="1">
      <c r="C103" s="106"/>
      <c r="D103" s="106"/>
      <c r="E103" s="92"/>
      <c r="F103" s="92" t="str">
        <f t="shared" ref="F103:F115" si="136">F87</f>
        <v>Core 1 - Lager</v>
      </c>
      <c r="H103" s="280">
        <f t="shared" ref="H103:S103" si="137">H31*16*4/128/31</f>
        <v>0.33428571428571435</v>
      </c>
      <c r="I103" s="280">
        <f t="shared" si="137"/>
        <v>0.35540322580645162</v>
      </c>
      <c r="J103" s="280">
        <f t="shared" si="137"/>
        <v>0.50142857142857145</v>
      </c>
      <c r="K103" s="280">
        <f t="shared" si="137"/>
        <v>0.5930875576036867</v>
      </c>
      <c r="L103" s="280">
        <f t="shared" si="137"/>
        <v>0.66857142857142871</v>
      </c>
      <c r="M103" s="280">
        <f t="shared" si="137"/>
        <v>0.67396313364055294</v>
      </c>
      <c r="N103" s="280">
        <f t="shared" si="137"/>
        <v>0.69642857142857162</v>
      </c>
      <c r="O103" s="280">
        <f t="shared" si="137"/>
        <v>0.66857142857142871</v>
      </c>
      <c r="P103" s="280">
        <f t="shared" si="137"/>
        <v>0.5930875576036867</v>
      </c>
      <c r="Q103" s="280">
        <f t="shared" si="137"/>
        <v>0.55714285714285716</v>
      </c>
      <c r="R103" s="280">
        <f t="shared" si="137"/>
        <v>0.48525345622119814</v>
      </c>
      <c r="S103" s="280">
        <f t="shared" si="137"/>
        <v>0.44571428571428579</v>
      </c>
      <c r="T103" s="294">
        <f t="shared" si="72"/>
        <v>6.5729377880184332</v>
      </c>
      <c r="U103" s="280">
        <f t="shared" ref="U103:AF103" si="138">U31*16*4/128/31</f>
        <v>0.41785714285714293</v>
      </c>
      <c r="V103" s="280">
        <f t="shared" si="138"/>
        <v>0.44425403225806448</v>
      </c>
      <c r="W103" s="280">
        <f t="shared" si="138"/>
        <v>0.62678571428571428</v>
      </c>
      <c r="X103" s="280">
        <f t="shared" si="138"/>
        <v>0.74135944700460832</v>
      </c>
      <c r="Y103" s="280">
        <f t="shared" si="138"/>
        <v>0.83571428571428585</v>
      </c>
      <c r="Z103" s="280">
        <f t="shared" si="138"/>
        <v>0.84245391705069117</v>
      </c>
      <c r="AA103" s="280">
        <f t="shared" si="138"/>
        <v>0.87053571428571452</v>
      </c>
      <c r="AB103" s="280">
        <f t="shared" si="138"/>
        <v>0.83571428571428585</v>
      </c>
      <c r="AC103" s="280">
        <f t="shared" si="138"/>
        <v>0.74135944700460832</v>
      </c>
      <c r="AD103" s="280">
        <f t="shared" si="138"/>
        <v>0.69642857142857151</v>
      </c>
      <c r="AE103" s="280">
        <f t="shared" si="138"/>
        <v>0.60656682027649766</v>
      </c>
      <c r="AF103" s="280">
        <f t="shared" si="138"/>
        <v>0.55714285714285716</v>
      </c>
      <c r="AG103" s="294">
        <f t="shared" ref="AG103:AG115" si="139">SUM(U103:AF103)</f>
        <v>8.2161722350230431</v>
      </c>
      <c r="AH103" s="280">
        <f t="shared" ref="AH103:AS103" si="140">AH31*16*4/128/31</f>
        <v>0.48053571428571434</v>
      </c>
      <c r="AI103" s="280">
        <f t="shared" si="140"/>
        <v>0.51089213709677417</v>
      </c>
      <c r="AJ103" s="280">
        <f t="shared" si="140"/>
        <v>0.72080357142857143</v>
      </c>
      <c r="AK103" s="280">
        <f t="shared" si="140"/>
        <v>0.85256336405529953</v>
      </c>
      <c r="AL103" s="280">
        <f t="shared" si="140"/>
        <v>0.96107142857142869</v>
      </c>
      <c r="AM103" s="280">
        <f t="shared" si="140"/>
        <v>0.96882200460829482</v>
      </c>
      <c r="AN103" s="280">
        <f t="shared" si="140"/>
        <v>1.0011160714285716</v>
      </c>
      <c r="AO103" s="280">
        <f t="shared" si="140"/>
        <v>0.96107142857142869</v>
      </c>
      <c r="AP103" s="280">
        <f t="shared" si="140"/>
        <v>0.85256336405529953</v>
      </c>
      <c r="AQ103" s="280">
        <f t="shared" si="140"/>
        <v>0.80089285714285707</v>
      </c>
      <c r="AR103" s="280">
        <f t="shared" si="140"/>
        <v>0.69755184331797215</v>
      </c>
      <c r="AS103" s="280">
        <f t="shared" si="140"/>
        <v>0.64071428571428568</v>
      </c>
      <c r="AT103" s="294">
        <f t="shared" ref="AT103:AT115" si="141">SUM(AH103:AS103)</f>
        <v>9.4485980702764962</v>
      </c>
      <c r="AU103" s="280">
        <f t="shared" ref="AU103:BF103" si="142">AU31*16*4/128/31</f>
        <v>0.52858928571428587</v>
      </c>
      <c r="AV103" s="280">
        <f t="shared" si="142"/>
        <v>0.56198135080645162</v>
      </c>
      <c r="AW103" s="280">
        <f t="shared" si="142"/>
        <v>0.79288392857142853</v>
      </c>
      <c r="AX103" s="280">
        <f t="shared" si="142"/>
        <v>0.93781970046082952</v>
      </c>
      <c r="AY103" s="280">
        <f t="shared" si="142"/>
        <v>1.0571785714285717</v>
      </c>
      <c r="AZ103" s="280">
        <f t="shared" si="142"/>
        <v>1.0657042050691243</v>
      </c>
      <c r="BA103" s="280">
        <f t="shared" si="142"/>
        <v>1.1012276785714288</v>
      </c>
      <c r="BB103" s="280">
        <f t="shared" si="142"/>
        <v>1.0571785714285717</v>
      </c>
      <c r="BC103" s="280">
        <f t="shared" si="142"/>
        <v>0.93781970046082952</v>
      </c>
      <c r="BD103" s="280">
        <f t="shared" si="142"/>
        <v>0.88098214285714294</v>
      </c>
      <c r="BE103" s="280">
        <f t="shared" si="142"/>
        <v>0.76730702764976955</v>
      </c>
      <c r="BF103" s="280">
        <f t="shared" si="142"/>
        <v>0.70478571428571424</v>
      </c>
      <c r="BG103" s="294">
        <f t="shared" ref="BG103:BG115" si="143">SUM(AU103:BF103)</f>
        <v>10.393457877304147</v>
      </c>
      <c r="BH103" s="280">
        <f t="shared" ref="BH103:BS103" si="144">BH31*16*4/128/31</f>
        <v>0.58144821428571447</v>
      </c>
      <c r="BI103" s="280">
        <f t="shared" si="144"/>
        <v>0.61817948588709681</v>
      </c>
      <c r="BJ103" s="280">
        <f t="shared" si="144"/>
        <v>0.87217232142857148</v>
      </c>
      <c r="BK103" s="280">
        <f t="shared" si="144"/>
        <v>1.0316016705069126</v>
      </c>
      <c r="BL103" s="280">
        <f t="shared" si="144"/>
        <v>1.1628964285714289</v>
      </c>
      <c r="BM103" s="280">
        <f t="shared" si="144"/>
        <v>1.1722746255760368</v>
      </c>
      <c r="BN103" s="280">
        <f t="shared" si="144"/>
        <v>1.211350446428572</v>
      </c>
      <c r="BO103" s="280">
        <f t="shared" si="144"/>
        <v>1.1628964285714289</v>
      </c>
      <c r="BP103" s="280">
        <f t="shared" si="144"/>
        <v>1.0316016705069126</v>
      </c>
      <c r="BQ103" s="280">
        <f t="shared" si="144"/>
        <v>0.96908035714285734</v>
      </c>
      <c r="BR103" s="280">
        <f t="shared" si="144"/>
        <v>0.8440377304147465</v>
      </c>
      <c r="BS103" s="280">
        <f t="shared" si="144"/>
        <v>0.77526428571428574</v>
      </c>
      <c r="BT103" s="294">
        <f t="shared" ref="BT103:BT115" si="145">SUM(BH103:BS103)</f>
        <v>11.432803665034564</v>
      </c>
    </row>
    <row r="104" spans="3:72" ht="15.75" customHeight="1">
      <c r="C104" s="106"/>
      <c r="D104" s="106"/>
      <c r="E104" s="92"/>
      <c r="F104" s="92" t="str">
        <f t="shared" si="136"/>
        <v>Core 2 - Hoppy Pale</v>
      </c>
      <c r="H104" s="280">
        <f t="shared" ref="H104:S104" si="146">H32*16*4/128/31</f>
        <v>0.50142857142857145</v>
      </c>
      <c r="I104" s="280">
        <f t="shared" si="146"/>
        <v>0.53310483870967729</v>
      </c>
      <c r="J104" s="280">
        <f t="shared" si="146"/>
        <v>0.75214285714285711</v>
      </c>
      <c r="K104" s="280">
        <f t="shared" si="146"/>
        <v>0.88963133640552994</v>
      </c>
      <c r="L104" s="280">
        <f t="shared" si="146"/>
        <v>1.0028571428571429</v>
      </c>
      <c r="M104" s="280">
        <f t="shared" si="146"/>
        <v>1.0109447004608294</v>
      </c>
      <c r="N104" s="280">
        <f t="shared" si="146"/>
        <v>1.0446428571428572</v>
      </c>
      <c r="O104" s="280">
        <f t="shared" si="146"/>
        <v>1.0028571428571429</v>
      </c>
      <c r="P104" s="280">
        <f t="shared" si="146"/>
        <v>0.88963133640552994</v>
      </c>
      <c r="Q104" s="280">
        <f t="shared" si="146"/>
        <v>0.83571428571428574</v>
      </c>
      <c r="R104" s="280">
        <f t="shared" si="146"/>
        <v>0.72788018433179724</v>
      </c>
      <c r="S104" s="280">
        <f t="shared" si="146"/>
        <v>0.66857142857142859</v>
      </c>
      <c r="T104" s="294">
        <f t="shared" si="72"/>
        <v>9.8594066820276485</v>
      </c>
      <c r="U104" s="280">
        <f t="shared" ref="U104:AF104" si="147">U32*16*4/128/31</f>
        <v>0.62678571428571417</v>
      </c>
      <c r="V104" s="280">
        <f t="shared" si="147"/>
        <v>0.66638104838709677</v>
      </c>
      <c r="W104" s="280">
        <f t="shared" si="147"/>
        <v>0.94017857142857142</v>
      </c>
      <c r="X104" s="280">
        <f t="shared" si="147"/>
        <v>1.1120391705069124</v>
      </c>
      <c r="Y104" s="280">
        <f t="shared" si="147"/>
        <v>1.2535714285714283</v>
      </c>
      <c r="Z104" s="280">
        <f t="shared" si="147"/>
        <v>1.2636808755760367</v>
      </c>
      <c r="AA104" s="280">
        <f t="shared" si="147"/>
        <v>1.3058035714285716</v>
      </c>
      <c r="AB104" s="280">
        <f t="shared" si="147"/>
        <v>1.2535714285714283</v>
      </c>
      <c r="AC104" s="280">
        <f t="shared" si="147"/>
        <v>1.1120391705069124</v>
      </c>
      <c r="AD104" s="280">
        <f t="shared" si="147"/>
        <v>1.044642857142857</v>
      </c>
      <c r="AE104" s="280">
        <f t="shared" si="147"/>
        <v>0.90985023041474655</v>
      </c>
      <c r="AF104" s="280">
        <f t="shared" si="147"/>
        <v>0.83571428571428574</v>
      </c>
      <c r="AG104" s="294">
        <f t="shared" si="139"/>
        <v>12.324258352534562</v>
      </c>
      <c r="AH104" s="280">
        <f t="shared" ref="AH104:AS104" si="148">AH32*16*4/128/31</f>
        <v>0.72080357142857132</v>
      </c>
      <c r="AI104" s="280">
        <f t="shared" si="148"/>
        <v>0.7663382056451612</v>
      </c>
      <c r="AJ104" s="280">
        <f t="shared" si="148"/>
        <v>1.081205357142857</v>
      </c>
      <c r="AK104" s="280">
        <f t="shared" si="148"/>
        <v>1.2788450460829492</v>
      </c>
      <c r="AL104" s="280">
        <f t="shared" si="148"/>
        <v>1.4416071428571426</v>
      </c>
      <c r="AM104" s="280">
        <f t="shared" si="148"/>
        <v>1.4532330069124422</v>
      </c>
      <c r="AN104" s="280">
        <f t="shared" si="148"/>
        <v>1.5016741071428572</v>
      </c>
      <c r="AO104" s="280">
        <f t="shared" si="148"/>
        <v>1.4416071428571426</v>
      </c>
      <c r="AP104" s="280">
        <f t="shared" si="148"/>
        <v>1.2788450460829492</v>
      </c>
      <c r="AQ104" s="280">
        <f t="shared" si="148"/>
        <v>1.2013392857142855</v>
      </c>
      <c r="AR104" s="280">
        <f t="shared" si="148"/>
        <v>1.0463277649769585</v>
      </c>
      <c r="AS104" s="280">
        <f t="shared" si="148"/>
        <v>0.96107142857142858</v>
      </c>
      <c r="AT104" s="294">
        <f t="shared" si="141"/>
        <v>14.172897105414744</v>
      </c>
      <c r="AU104" s="280">
        <f t="shared" ref="AU104:BF104" si="149">AU32*16*4/128/31</f>
        <v>0.79288392857142842</v>
      </c>
      <c r="AV104" s="280">
        <f t="shared" si="149"/>
        <v>0.84297202620967726</v>
      </c>
      <c r="AW104" s="280">
        <f t="shared" si="149"/>
        <v>1.1893258928571429</v>
      </c>
      <c r="AX104" s="280">
        <f t="shared" si="149"/>
        <v>1.4067295506912443</v>
      </c>
      <c r="AY104" s="280">
        <f t="shared" si="149"/>
        <v>1.5857678571428568</v>
      </c>
      <c r="AZ104" s="280">
        <f t="shared" si="149"/>
        <v>1.5985563076036866</v>
      </c>
      <c r="BA104" s="280">
        <f t="shared" si="149"/>
        <v>1.6518415178571431</v>
      </c>
      <c r="BB104" s="280">
        <f t="shared" si="149"/>
        <v>1.5857678571428568</v>
      </c>
      <c r="BC104" s="280">
        <f t="shared" si="149"/>
        <v>1.4067295506912443</v>
      </c>
      <c r="BD104" s="280">
        <f t="shared" si="149"/>
        <v>1.3214732142857144</v>
      </c>
      <c r="BE104" s="280">
        <f t="shared" si="149"/>
        <v>1.1509605414746544</v>
      </c>
      <c r="BF104" s="280">
        <f t="shared" si="149"/>
        <v>1.0571785714285715</v>
      </c>
      <c r="BG104" s="294">
        <f t="shared" si="143"/>
        <v>15.590186815956219</v>
      </c>
      <c r="BH104" s="280">
        <f t="shared" ref="BH104:BS104" si="150">BH32*16*4/128/31</f>
        <v>0.87217232142857137</v>
      </c>
      <c r="BI104" s="280">
        <f t="shared" si="150"/>
        <v>0.92726922883064511</v>
      </c>
      <c r="BJ104" s="280">
        <f t="shared" si="150"/>
        <v>1.3082584821428571</v>
      </c>
      <c r="BK104" s="280">
        <f t="shared" si="150"/>
        <v>1.5474025057603686</v>
      </c>
      <c r="BL104" s="280">
        <f t="shared" si="150"/>
        <v>1.7443446428571427</v>
      </c>
      <c r="BM104" s="280">
        <f t="shared" si="150"/>
        <v>1.7584119383640555</v>
      </c>
      <c r="BN104" s="280">
        <f t="shared" si="150"/>
        <v>1.8170256696428575</v>
      </c>
      <c r="BO104" s="280">
        <f t="shared" si="150"/>
        <v>1.7443446428571427</v>
      </c>
      <c r="BP104" s="280">
        <f t="shared" si="150"/>
        <v>1.5474025057603686</v>
      </c>
      <c r="BQ104" s="280">
        <f t="shared" si="150"/>
        <v>1.453620535714286</v>
      </c>
      <c r="BR104" s="280">
        <f t="shared" si="150"/>
        <v>1.2660565956221199</v>
      </c>
      <c r="BS104" s="280">
        <f t="shared" si="150"/>
        <v>1.1628964285714287</v>
      </c>
      <c r="BT104" s="294">
        <f t="shared" si="145"/>
        <v>17.149205497551844</v>
      </c>
    </row>
    <row r="105" spans="3:72" ht="15.75" customHeight="1">
      <c r="C105" s="106"/>
      <c r="D105" s="106"/>
      <c r="E105" s="92"/>
      <c r="F105" s="92" t="str">
        <f t="shared" si="136"/>
        <v>Core 3 - Red Ale</v>
      </c>
      <c r="H105" s="280">
        <f t="shared" ref="H105:S105" si="151">H33*16*4/128/31</f>
        <v>0.16714285714285718</v>
      </c>
      <c r="I105" s="280">
        <f t="shared" si="151"/>
        <v>0.17770161290322581</v>
      </c>
      <c r="J105" s="280">
        <f t="shared" si="151"/>
        <v>0.25071428571428572</v>
      </c>
      <c r="K105" s="280">
        <f t="shared" si="151"/>
        <v>0.29654377880184335</v>
      </c>
      <c r="L105" s="280">
        <f t="shared" si="151"/>
        <v>0.33428571428571435</v>
      </c>
      <c r="M105" s="280">
        <f t="shared" si="151"/>
        <v>0.33698156682027647</v>
      </c>
      <c r="N105" s="280">
        <f t="shared" si="151"/>
        <v>0.34821428571428581</v>
      </c>
      <c r="O105" s="280">
        <f t="shared" si="151"/>
        <v>0.33428571428571435</v>
      </c>
      <c r="P105" s="280">
        <f t="shared" si="151"/>
        <v>0.29654377880184335</v>
      </c>
      <c r="Q105" s="280">
        <f t="shared" si="151"/>
        <v>0.27857142857142858</v>
      </c>
      <c r="R105" s="280">
        <f t="shared" si="151"/>
        <v>0.24262672811059907</v>
      </c>
      <c r="S105" s="280">
        <f t="shared" si="151"/>
        <v>0.22285714285714289</v>
      </c>
      <c r="T105" s="294">
        <f t="shared" si="72"/>
        <v>3.2864688940092166</v>
      </c>
      <c r="U105" s="280">
        <f t="shared" ref="U105:AF105" si="152">U33*16*4/128/31</f>
        <v>0.20892857142857146</v>
      </c>
      <c r="V105" s="280">
        <f t="shared" si="152"/>
        <v>0.22212701612903224</v>
      </c>
      <c r="W105" s="280">
        <f t="shared" si="152"/>
        <v>0.31339285714285714</v>
      </c>
      <c r="X105" s="280">
        <f t="shared" si="152"/>
        <v>0.37067972350230416</v>
      </c>
      <c r="Y105" s="280">
        <f t="shared" si="152"/>
        <v>0.41785714285714293</v>
      </c>
      <c r="Z105" s="280">
        <f t="shared" si="152"/>
        <v>0.42122695852534559</v>
      </c>
      <c r="AA105" s="280">
        <f t="shared" si="152"/>
        <v>0.43526785714285726</v>
      </c>
      <c r="AB105" s="280">
        <f t="shared" si="152"/>
        <v>0.41785714285714293</v>
      </c>
      <c r="AC105" s="280">
        <f t="shared" si="152"/>
        <v>0.37067972350230416</v>
      </c>
      <c r="AD105" s="280">
        <f t="shared" si="152"/>
        <v>0.34821428571428575</v>
      </c>
      <c r="AE105" s="280">
        <f t="shared" si="152"/>
        <v>0.30328341013824883</v>
      </c>
      <c r="AF105" s="280">
        <f t="shared" si="152"/>
        <v>0.27857142857142858</v>
      </c>
      <c r="AG105" s="294">
        <f t="shared" si="139"/>
        <v>4.1080861175115215</v>
      </c>
      <c r="AH105" s="280">
        <f t="shared" ref="AH105:AS105" si="153">AH33*16*4/128/31</f>
        <v>0.24026785714285717</v>
      </c>
      <c r="AI105" s="280">
        <f t="shared" si="153"/>
        <v>0.25544606854838708</v>
      </c>
      <c r="AJ105" s="280">
        <f t="shared" si="153"/>
        <v>0.36040178571428572</v>
      </c>
      <c r="AK105" s="280">
        <f t="shared" si="153"/>
        <v>0.42628168202764977</v>
      </c>
      <c r="AL105" s="280">
        <f t="shared" si="153"/>
        <v>0.48053571428571434</v>
      </c>
      <c r="AM105" s="280">
        <f t="shared" si="153"/>
        <v>0.48441100230414741</v>
      </c>
      <c r="AN105" s="280">
        <f t="shared" si="153"/>
        <v>0.50055803571428581</v>
      </c>
      <c r="AO105" s="280">
        <f t="shared" si="153"/>
        <v>0.48053571428571434</v>
      </c>
      <c r="AP105" s="280">
        <f t="shared" si="153"/>
        <v>0.42628168202764977</v>
      </c>
      <c r="AQ105" s="280">
        <f t="shared" si="153"/>
        <v>0.40044642857142854</v>
      </c>
      <c r="AR105" s="280">
        <f t="shared" si="153"/>
        <v>0.34877592165898608</v>
      </c>
      <c r="AS105" s="280">
        <f t="shared" si="153"/>
        <v>0.32035714285714284</v>
      </c>
      <c r="AT105" s="294">
        <f t="shared" si="141"/>
        <v>4.7242990351382481</v>
      </c>
      <c r="AU105" s="280">
        <f t="shared" ref="AU105:BF105" si="154">AU33*16*4/128/31</f>
        <v>0.26429464285714294</v>
      </c>
      <c r="AV105" s="280">
        <f t="shared" si="154"/>
        <v>0.28099067540322581</v>
      </c>
      <c r="AW105" s="280">
        <f t="shared" si="154"/>
        <v>0.39644196428571427</v>
      </c>
      <c r="AX105" s="280">
        <f t="shared" si="154"/>
        <v>0.46890985023041476</v>
      </c>
      <c r="AY105" s="280">
        <f t="shared" si="154"/>
        <v>0.52858928571428587</v>
      </c>
      <c r="AZ105" s="280">
        <f t="shared" si="154"/>
        <v>0.53285210253456217</v>
      </c>
      <c r="BA105" s="280">
        <f t="shared" si="154"/>
        <v>0.55061383928571439</v>
      </c>
      <c r="BB105" s="280">
        <f t="shared" si="154"/>
        <v>0.52858928571428587</v>
      </c>
      <c r="BC105" s="280">
        <f t="shared" si="154"/>
        <v>0.46890985023041476</v>
      </c>
      <c r="BD105" s="280">
        <f t="shared" si="154"/>
        <v>0.44049107142857147</v>
      </c>
      <c r="BE105" s="280">
        <f t="shared" si="154"/>
        <v>0.38365351382488477</v>
      </c>
      <c r="BF105" s="280">
        <f t="shared" si="154"/>
        <v>0.35239285714285712</v>
      </c>
      <c r="BG105" s="294">
        <f t="shared" si="143"/>
        <v>5.1967289386520736</v>
      </c>
      <c r="BH105" s="280">
        <f t="shared" ref="BH105:BS105" si="155">BH33*16*4/128/31</f>
        <v>0.29072410714285724</v>
      </c>
      <c r="BI105" s="280">
        <f t="shared" si="155"/>
        <v>0.30908974294354841</v>
      </c>
      <c r="BJ105" s="280">
        <f t="shared" si="155"/>
        <v>0.43608616071428574</v>
      </c>
      <c r="BK105" s="280">
        <f t="shared" si="155"/>
        <v>0.51580083525345632</v>
      </c>
      <c r="BL105" s="280">
        <f t="shared" si="155"/>
        <v>0.58144821428571447</v>
      </c>
      <c r="BM105" s="280">
        <f t="shared" si="155"/>
        <v>0.58613731278801839</v>
      </c>
      <c r="BN105" s="280">
        <f t="shared" si="155"/>
        <v>0.60567522321428602</v>
      </c>
      <c r="BO105" s="280">
        <f t="shared" si="155"/>
        <v>0.58144821428571447</v>
      </c>
      <c r="BP105" s="280">
        <f t="shared" si="155"/>
        <v>0.51580083525345632</v>
      </c>
      <c r="BQ105" s="280">
        <f t="shared" si="155"/>
        <v>0.48454017857142867</v>
      </c>
      <c r="BR105" s="280">
        <f t="shared" si="155"/>
        <v>0.42201886520737325</v>
      </c>
      <c r="BS105" s="280">
        <f t="shared" si="155"/>
        <v>0.38763214285714287</v>
      </c>
      <c r="BT105" s="294">
        <f t="shared" si="145"/>
        <v>5.7164018325172821</v>
      </c>
    </row>
    <row r="106" spans="3:72" ht="15.75" customHeight="1">
      <c r="C106" s="106"/>
      <c r="D106" s="106"/>
      <c r="E106" s="92"/>
      <c r="F106" s="92" t="str">
        <f t="shared" si="136"/>
        <v>Core 4 - Dark (Porter?)</v>
      </c>
      <c r="H106" s="280">
        <f t="shared" ref="H106:S106" si="156">H34*16*4/128/31</f>
        <v>0.16714285714285718</v>
      </c>
      <c r="I106" s="280">
        <f t="shared" si="156"/>
        <v>0.17770161290322581</v>
      </c>
      <c r="J106" s="280">
        <f t="shared" si="156"/>
        <v>0.25071428571428572</v>
      </c>
      <c r="K106" s="280">
        <f t="shared" si="156"/>
        <v>0.29654377880184335</v>
      </c>
      <c r="L106" s="280">
        <f t="shared" si="156"/>
        <v>0.33428571428571435</v>
      </c>
      <c r="M106" s="280">
        <f t="shared" si="156"/>
        <v>0.33698156682027647</v>
      </c>
      <c r="N106" s="280">
        <f t="shared" si="156"/>
        <v>0.34821428571428581</v>
      </c>
      <c r="O106" s="280">
        <f t="shared" si="156"/>
        <v>0.33428571428571435</v>
      </c>
      <c r="P106" s="280">
        <f t="shared" si="156"/>
        <v>0.29654377880184335</v>
      </c>
      <c r="Q106" s="280">
        <f t="shared" si="156"/>
        <v>0.27857142857142858</v>
      </c>
      <c r="R106" s="280">
        <f t="shared" si="156"/>
        <v>0.24262672811059907</v>
      </c>
      <c r="S106" s="280">
        <f t="shared" si="156"/>
        <v>0.22285714285714289</v>
      </c>
      <c r="T106" s="294">
        <f t="shared" si="72"/>
        <v>3.2864688940092166</v>
      </c>
      <c r="U106" s="280">
        <f t="shared" ref="U106:AF106" si="157">U34*16*4/128/31</f>
        <v>0.20892857142857146</v>
      </c>
      <c r="V106" s="280">
        <f t="shared" si="157"/>
        <v>0.22212701612903224</v>
      </c>
      <c r="W106" s="280">
        <f t="shared" si="157"/>
        <v>0.31339285714285714</v>
      </c>
      <c r="X106" s="280">
        <f t="shared" si="157"/>
        <v>0.37067972350230416</v>
      </c>
      <c r="Y106" s="280">
        <f t="shared" si="157"/>
        <v>0.41785714285714293</v>
      </c>
      <c r="Z106" s="280">
        <f t="shared" si="157"/>
        <v>0.42122695852534559</v>
      </c>
      <c r="AA106" s="280">
        <f t="shared" si="157"/>
        <v>0.43526785714285726</v>
      </c>
      <c r="AB106" s="280">
        <f t="shared" si="157"/>
        <v>0.41785714285714293</v>
      </c>
      <c r="AC106" s="280">
        <f t="shared" si="157"/>
        <v>0.37067972350230416</v>
      </c>
      <c r="AD106" s="280">
        <f t="shared" si="157"/>
        <v>0.34821428571428575</v>
      </c>
      <c r="AE106" s="280">
        <f t="shared" si="157"/>
        <v>0.30328341013824883</v>
      </c>
      <c r="AF106" s="280">
        <f t="shared" si="157"/>
        <v>0.27857142857142858</v>
      </c>
      <c r="AG106" s="294">
        <f t="shared" si="139"/>
        <v>4.1080861175115215</v>
      </c>
      <c r="AH106" s="280">
        <f t="shared" ref="AH106:AS106" si="158">AH34*16*4/128/31</f>
        <v>0.24026785714285717</v>
      </c>
      <c r="AI106" s="280">
        <f t="shared" si="158"/>
        <v>0.25544606854838708</v>
      </c>
      <c r="AJ106" s="280">
        <f t="shared" si="158"/>
        <v>0.36040178571428572</v>
      </c>
      <c r="AK106" s="280">
        <f t="shared" si="158"/>
        <v>0.42628168202764977</v>
      </c>
      <c r="AL106" s="280">
        <f t="shared" si="158"/>
        <v>0.48053571428571434</v>
      </c>
      <c r="AM106" s="280">
        <f t="shared" si="158"/>
        <v>0.48441100230414741</v>
      </c>
      <c r="AN106" s="280">
        <f t="shared" si="158"/>
        <v>0.50055803571428581</v>
      </c>
      <c r="AO106" s="280">
        <f t="shared" si="158"/>
        <v>0.48053571428571434</v>
      </c>
      <c r="AP106" s="280">
        <f t="shared" si="158"/>
        <v>0.42628168202764977</v>
      </c>
      <c r="AQ106" s="280">
        <f t="shared" si="158"/>
        <v>0.40044642857142854</v>
      </c>
      <c r="AR106" s="280">
        <f t="shared" si="158"/>
        <v>0.34877592165898608</v>
      </c>
      <c r="AS106" s="280">
        <f t="shared" si="158"/>
        <v>0.32035714285714284</v>
      </c>
      <c r="AT106" s="294">
        <f t="shared" si="141"/>
        <v>4.7242990351382481</v>
      </c>
      <c r="AU106" s="280">
        <f t="shared" ref="AU106:BF106" si="159">AU34*16*4/128/31</f>
        <v>0.26429464285714294</v>
      </c>
      <c r="AV106" s="280">
        <f t="shared" si="159"/>
        <v>0.28099067540322581</v>
      </c>
      <c r="AW106" s="280">
        <f t="shared" si="159"/>
        <v>0.39644196428571427</v>
      </c>
      <c r="AX106" s="280">
        <f t="shared" si="159"/>
        <v>0.46890985023041476</v>
      </c>
      <c r="AY106" s="280">
        <f t="shared" si="159"/>
        <v>0.52858928571428587</v>
      </c>
      <c r="AZ106" s="280">
        <f t="shared" si="159"/>
        <v>0.53285210253456217</v>
      </c>
      <c r="BA106" s="280">
        <f t="shared" si="159"/>
        <v>0.55061383928571439</v>
      </c>
      <c r="BB106" s="280">
        <f t="shared" si="159"/>
        <v>0.52858928571428587</v>
      </c>
      <c r="BC106" s="280">
        <f t="shared" si="159"/>
        <v>0.46890985023041476</v>
      </c>
      <c r="BD106" s="280">
        <f t="shared" si="159"/>
        <v>0.44049107142857147</v>
      </c>
      <c r="BE106" s="280">
        <f t="shared" si="159"/>
        <v>0.38365351382488477</v>
      </c>
      <c r="BF106" s="280">
        <f t="shared" si="159"/>
        <v>0.35239285714285712</v>
      </c>
      <c r="BG106" s="294">
        <f t="shared" si="143"/>
        <v>5.1967289386520736</v>
      </c>
      <c r="BH106" s="280">
        <f t="shared" ref="BH106:BS106" si="160">BH34*16*4/128/31</f>
        <v>0.29072410714285724</v>
      </c>
      <c r="BI106" s="280">
        <f t="shared" si="160"/>
        <v>0.30908974294354841</v>
      </c>
      <c r="BJ106" s="280">
        <f t="shared" si="160"/>
        <v>0.43608616071428574</v>
      </c>
      <c r="BK106" s="280">
        <f t="shared" si="160"/>
        <v>0.51580083525345632</v>
      </c>
      <c r="BL106" s="280">
        <f t="shared" si="160"/>
        <v>0.58144821428571447</v>
      </c>
      <c r="BM106" s="280">
        <f t="shared" si="160"/>
        <v>0.58613731278801839</v>
      </c>
      <c r="BN106" s="280">
        <f t="shared" si="160"/>
        <v>0.60567522321428602</v>
      </c>
      <c r="BO106" s="280">
        <f t="shared" si="160"/>
        <v>0.58144821428571447</v>
      </c>
      <c r="BP106" s="280">
        <f t="shared" si="160"/>
        <v>0.51580083525345632</v>
      </c>
      <c r="BQ106" s="280">
        <f t="shared" si="160"/>
        <v>0.48454017857142867</v>
      </c>
      <c r="BR106" s="280">
        <f t="shared" si="160"/>
        <v>0.42201886520737325</v>
      </c>
      <c r="BS106" s="280">
        <f t="shared" si="160"/>
        <v>0.38763214285714287</v>
      </c>
      <c r="BT106" s="294">
        <f t="shared" si="145"/>
        <v>5.7164018325172821</v>
      </c>
    </row>
    <row r="107" spans="3:72" ht="15.75" customHeight="1">
      <c r="C107" s="106"/>
      <c r="D107" s="106"/>
      <c r="E107" s="92"/>
      <c r="F107" s="92" t="str">
        <f t="shared" si="136"/>
        <v>Rotating Sour</v>
      </c>
      <c r="H107" s="280">
        <f t="shared" ref="H107:S107" si="161">H35*16*4/128/31</f>
        <v>8.3571428571428588E-2</v>
      </c>
      <c r="I107" s="280">
        <f t="shared" si="161"/>
        <v>8.8850806451612904E-2</v>
      </c>
      <c r="J107" s="280">
        <f t="shared" si="161"/>
        <v>0.12535714285714286</v>
      </c>
      <c r="K107" s="280">
        <f t="shared" si="161"/>
        <v>0.14827188940092167</v>
      </c>
      <c r="L107" s="280">
        <f t="shared" si="161"/>
        <v>0.16714285714285718</v>
      </c>
      <c r="M107" s="280">
        <f t="shared" si="161"/>
        <v>0.16849078341013823</v>
      </c>
      <c r="N107" s="280">
        <f t="shared" si="161"/>
        <v>0.1741071428571429</v>
      </c>
      <c r="O107" s="280">
        <f t="shared" si="161"/>
        <v>0.16714285714285718</v>
      </c>
      <c r="P107" s="280">
        <f t="shared" si="161"/>
        <v>0.14827188940092167</v>
      </c>
      <c r="Q107" s="280">
        <f t="shared" si="161"/>
        <v>0.13928571428571429</v>
      </c>
      <c r="R107" s="280">
        <f t="shared" si="161"/>
        <v>0.12131336405529954</v>
      </c>
      <c r="S107" s="280">
        <f t="shared" si="161"/>
        <v>0.11142857142857145</v>
      </c>
      <c r="T107" s="294">
        <f t="shared" si="72"/>
        <v>1.6432344470046083</v>
      </c>
      <c r="U107" s="280">
        <f t="shared" ref="U107:AF107" si="162">U35*16*4/128/31</f>
        <v>0.10446428571428573</v>
      </c>
      <c r="V107" s="280">
        <f t="shared" si="162"/>
        <v>0.11106350806451612</v>
      </c>
      <c r="W107" s="280">
        <f t="shared" si="162"/>
        <v>0.15669642857142857</v>
      </c>
      <c r="X107" s="280">
        <f t="shared" si="162"/>
        <v>0.18533986175115208</v>
      </c>
      <c r="Y107" s="280">
        <f t="shared" si="162"/>
        <v>0.20892857142857146</v>
      </c>
      <c r="Z107" s="280">
        <f t="shared" si="162"/>
        <v>0.21061347926267279</v>
      </c>
      <c r="AA107" s="280">
        <f t="shared" si="162"/>
        <v>0.21763392857142863</v>
      </c>
      <c r="AB107" s="280">
        <f t="shared" si="162"/>
        <v>0.20892857142857146</v>
      </c>
      <c r="AC107" s="280">
        <f t="shared" si="162"/>
        <v>0.18533986175115208</v>
      </c>
      <c r="AD107" s="280">
        <f t="shared" si="162"/>
        <v>0.17410714285714288</v>
      </c>
      <c r="AE107" s="280">
        <f t="shared" si="162"/>
        <v>0.15164170506912442</v>
      </c>
      <c r="AF107" s="280">
        <f t="shared" si="162"/>
        <v>0.13928571428571429</v>
      </c>
      <c r="AG107" s="294">
        <f t="shared" si="139"/>
        <v>2.0540430587557608</v>
      </c>
      <c r="AH107" s="280">
        <f t="shared" ref="AH107:AS107" si="163">AH35*16*4/128/31</f>
        <v>0.12013392857142859</v>
      </c>
      <c r="AI107" s="280">
        <f t="shared" si="163"/>
        <v>0.12772303427419354</v>
      </c>
      <c r="AJ107" s="280">
        <f t="shared" si="163"/>
        <v>0.18020089285714286</v>
      </c>
      <c r="AK107" s="280">
        <f t="shared" si="163"/>
        <v>0.21314084101382488</v>
      </c>
      <c r="AL107" s="280">
        <f t="shared" si="163"/>
        <v>0.24026785714285717</v>
      </c>
      <c r="AM107" s="280">
        <f t="shared" si="163"/>
        <v>0.2422055011520737</v>
      </c>
      <c r="AN107" s="280">
        <f t="shared" si="163"/>
        <v>0.2502790178571429</v>
      </c>
      <c r="AO107" s="280">
        <f t="shared" si="163"/>
        <v>0.24026785714285717</v>
      </c>
      <c r="AP107" s="280">
        <f t="shared" si="163"/>
        <v>0.21314084101382488</v>
      </c>
      <c r="AQ107" s="280">
        <f t="shared" si="163"/>
        <v>0.20022321428571427</v>
      </c>
      <c r="AR107" s="280">
        <f t="shared" si="163"/>
        <v>0.17438796082949304</v>
      </c>
      <c r="AS107" s="280">
        <f t="shared" si="163"/>
        <v>0.16017857142857142</v>
      </c>
      <c r="AT107" s="294">
        <f t="shared" si="141"/>
        <v>2.3621495175691241</v>
      </c>
      <c r="AU107" s="280">
        <f t="shared" ref="AU107:BF107" si="164">AU35*16*4/128/31</f>
        <v>0.13214732142857147</v>
      </c>
      <c r="AV107" s="280">
        <f t="shared" si="164"/>
        <v>0.1404953377016129</v>
      </c>
      <c r="AW107" s="280">
        <f t="shared" si="164"/>
        <v>0.19822098214285713</v>
      </c>
      <c r="AX107" s="280">
        <f t="shared" si="164"/>
        <v>0.23445492511520738</v>
      </c>
      <c r="AY107" s="280">
        <f t="shared" si="164"/>
        <v>0.26429464285714294</v>
      </c>
      <c r="AZ107" s="280">
        <f t="shared" si="164"/>
        <v>0.26642605126728108</v>
      </c>
      <c r="BA107" s="280">
        <f t="shared" si="164"/>
        <v>0.2753069196428572</v>
      </c>
      <c r="BB107" s="280">
        <f t="shared" si="164"/>
        <v>0.26429464285714294</v>
      </c>
      <c r="BC107" s="280">
        <f t="shared" si="164"/>
        <v>0.23445492511520738</v>
      </c>
      <c r="BD107" s="280">
        <f t="shared" si="164"/>
        <v>0.22024553571428573</v>
      </c>
      <c r="BE107" s="280">
        <f t="shared" si="164"/>
        <v>0.19182675691244239</v>
      </c>
      <c r="BF107" s="280">
        <f t="shared" si="164"/>
        <v>0.17619642857142856</v>
      </c>
      <c r="BG107" s="294">
        <f t="shared" si="143"/>
        <v>2.5983644693260368</v>
      </c>
      <c r="BH107" s="280">
        <f t="shared" ref="BH107:BS107" si="165">BH35*16*4/128/31</f>
        <v>0.14536205357142862</v>
      </c>
      <c r="BI107" s="280">
        <f t="shared" si="165"/>
        <v>0.1545448714717742</v>
      </c>
      <c r="BJ107" s="280">
        <f t="shared" si="165"/>
        <v>0.21804308035714287</v>
      </c>
      <c r="BK107" s="280">
        <f t="shared" si="165"/>
        <v>0.25790041762672816</v>
      </c>
      <c r="BL107" s="280">
        <f t="shared" si="165"/>
        <v>0.29072410714285724</v>
      </c>
      <c r="BM107" s="280">
        <f t="shared" si="165"/>
        <v>0.2930686563940092</v>
      </c>
      <c r="BN107" s="280">
        <f t="shared" si="165"/>
        <v>0.30283761160714301</v>
      </c>
      <c r="BO107" s="280">
        <f t="shared" si="165"/>
        <v>0.29072410714285724</v>
      </c>
      <c r="BP107" s="280">
        <f t="shared" si="165"/>
        <v>0.25790041762672816</v>
      </c>
      <c r="BQ107" s="280">
        <f t="shared" si="165"/>
        <v>0.24227008928571434</v>
      </c>
      <c r="BR107" s="280">
        <f t="shared" si="165"/>
        <v>0.21100943260368663</v>
      </c>
      <c r="BS107" s="280">
        <f t="shared" si="165"/>
        <v>0.19381607142857143</v>
      </c>
      <c r="BT107" s="294">
        <f t="shared" si="145"/>
        <v>2.858200916258641</v>
      </c>
    </row>
    <row r="108" spans="3:72" ht="15.75" customHeight="1">
      <c r="C108" s="106"/>
      <c r="D108" s="106"/>
      <c r="E108" s="92"/>
      <c r="F108" s="92" t="str">
        <f t="shared" si="136"/>
        <v>Seasonal #1</v>
      </c>
      <c r="H108" s="280">
        <f t="shared" ref="H108:S108" si="166">H36*16*4/128/31</f>
        <v>8.3571428571428588E-2</v>
      </c>
      <c r="I108" s="280">
        <f t="shared" si="166"/>
        <v>8.8850806451612904E-2</v>
      </c>
      <c r="J108" s="280">
        <f t="shared" si="166"/>
        <v>0.12535714285714286</v>
      </c>
      <c r="K108" s="280">
        <f t="shared" si="166"/>
        <v>0.14827188940092167</v>
      </c>
      <c r="L108" s="280">
        <f t="shared" si="166"/>
        <v>0.16714285714285718</v>
      </c>
      <c r="M108" s="280">
        <f t="shared" si="166"/>
        <v>0.16849078341013823</v>
      </c>
      <c r="N108" s="280">
        <f t="shared" si="166"/>
        <v>0.1741071428571429</v>
      </c>
      <c r="O108" s="280">
        <f t="shared" si="166"/>
        <v>0.16714285714285718</v>
      </c>
      <c r="P108" s="280">
        <f t="shared" si="166"/>
        <v>0.14827188940092167</v>
      </c>
      <c r="Q108" s="280">
        <f t="shared" si="166"/>
        <v>0.13928571428571429</v>
      </c>
      <c r="R108" s="280">
        <f t="shared" si="166"/>
        <v>0.12131336405529954</v>
      </c>
      <c r="S108" s="280">
        <f t="shared" si="166"/>
        <v>0.11142857142857145</v>
      </c>
      <c r="T108" s="294">
        <f t="shared" si="72"/>
        <v>1.6432344470046083</v>
      </c>
      <c r="U108" s="280">
        <f t="shared" ref="U108:AF108" si="167">U36*16*4/128/31</f>
        <v>0.10446428571428573</v>
      </c>
      <c r="V108" s="280">
        <f t="shared" si="167"/>
        <v>0.11106350806451612</v>
      </c>
      <c r="W108" s="280">
        <f t="shared" si="167"/>
        <v>0.15669642857142857</v>
      </c>
      <c r="X108" s="280">
        <f t="shared" si="167"/>
        <v>0.18533986175115208</v>
      </c>
      <c r="Y108" s="280">
        <f t="shared" si="167"/>
        <v>0.20892857142857146</v>
      </c>
      <c r="Z108" s="280">
        <f t="shared" si="167"/>
        <v>0.21061347926267279</v>
      </c>
      <c r="AA108" s="280">
        <f t="shared" si="167"/>
        <v>0.21763392857142863</v>
      </c>
      <c r="AB108" s="280">
        <f t="shared" si="167"/>
        <v>0.20892857142857146</v>
      </c>
      <c r="AC108" s="280">
        <f t="shared" si="167"/>
        <v>0.18533986175115208</v>
      </c>
      <c r="AD108" s="280">
        <f t="shared" si="167"/>
        <v>0.17410714285714288</v>
      </c>
      <c r="AE108" s="280">
        <f t="shared" si="167"/>
        <v>0.15164170506912442</v>
      </c>
      <c r="AF108" s="280">
        <f t="shared" si="167"/>
        <v>0.13928571428571429</v>
      </c>
      <c r="AG108" s="294">
        <f t="shared" si="139"/>
        <v>2.0540430587557608</v>
      </c>
      <c r="AH108" s="280">
        <f t="shared" ref="AH108:AS108" si="168">AH36*16*4/128/31</f>
        <v>0.12013392857142859</v>
      </c>
      <c r="AI108" s="280">
        <f t="shared" si="168"/>
        <v>0.12772303427419354</v>
      </c>
      <c r="AJ108" s="280">
        <f t="shared" si="168"/>
        <v>0.18020089285714286</v>
      </c>
      <c r="AK108" s="280">
        <f t="shared" si="168"/>
        <v>0.21314084101382488</v>
      </c>
      <c r="AL108" s="280">
        <f t="shared" si="168"/>
        <v>0.24026785714285717</v>
      </c>
      <c r="AM108" s="280">
        <f t="shared" si="168"/>
        <v>0.2422055011520737</v>
      </c>
      <c r="AN108" s="280">
        <f t="shared" si="168"/>
        <v>0.2502790178571429</v>
      </c>
      <c r="AO108" s="280">
        <f t="shared" si="168"/>
        <v>0.24026785714285717</v>
      </c>
      <c r="AP108" s="280">
        <f t="shared" si="168"/>
        <v>0.21314084101382488</v>
      </c>
      <c r="AQ108" s="280">
        <f t="shared" si="168"/>
        <v>0.20022321428571427</v>
      </c>
      <c r="AR108" s="280">
        <f t="shared" si="168"/>
        <v>0.17438796082949304</v>
      </c>
      <c r="AS108" s="280">
        <f t="shared" si="168"/>
        <v>0.16017857142857142</v>
      </c>
      <c r="AT108" s="294">
        <f t="shared" si="141"/>
        <v>2.3621495175691241</v>
      </c>
      <c r="AU108" s="280">
        <f t="shared" ref="AU108:BF108" si="169">AU36*16*4/128/31</f>
        <v>0.13214732142857147</v>
      </c>
      <c r="AV108" s="280">
        <f t="shared" si="169"/>
        <v>0.1404953377016129</v>
      </c>
      <c r="AW108" s="280">
        <f t="shared" si="169"/>
        <v>0.19822098214285713</v>
      </c>
      <c r="AX108" s="280">
        <f t="shared" si="169"/>
        <v>0.23445492511520738</v>
      </c>
      <c r="AY108" s="280">
        <f t="shared" si="169"/>
        <v>0.26429464285714294</v>
      </c>
      <c r="AZ108" s="280">
        <f t="shared" si="169"/>
        <v>0.26642605126728108</v>
      </c>
      <c r="BA108" s="280">
        <f t="shared" si="169"/>
        <v>0.2753069196428572</v>
      </c>
      <c r="BB108" s="280">
        <f t="shared" si="169"/>
        <v>0.26429464285714294</v>
      </c>
      <c r="BC108" s="280">
        <f t="shared" si="169"/>
        <v>0.23445492511520738</v>
      </c>
      <c r="BD108" s="280">
        <f t="shared" si="169"/>
        <v>0.22024553571428573</v>
      </c>
      <c r="BE108" s="280">
        <f t="shared" si="169"/>
        <v>0.19182675691244239</v>
      </c>
      <c r="BF108" s="280">
        <f t="shared" si="169"/>
        <v>0.17619642857142856</v>
      </c>
      <c r="BG108" s="294">
        <f t="shared" si="143"/>
        <v>2.5983644693260368</v>
      </c>
      <c r="BH108" s="280">
        <f t="shared" ref="BH108:BS108" si="170">BH36*16*4/128/31</f>
        <v>0.14536205357142862</v>
      </c>
      <c r="BI108" s="280">
        <f t="shared" si="170"/>
        <v>0.1545448714717742</v>
      </c>
      <c r="BJ108" s="280">
        <f t="shared" si="170"/>
        <v>0.21804308035714287</v>
      </c>
      <c r="BK108" s="280">
        <f t="shared" si="170"/>
        <v>0.25790041762672816</v>
      </c>
      <c r="BL108" s="280">
        <f t="shared" si="170"/>
        <v>0.29072410714285724</v>
      </c>
      <c r="BM108" s="280">
        <f t="shared" si="170"/>
        <v>0.2930686563940092</v>
      </c>
      <c r="BN108" s="280">
        <f t="shared" si="170"/>
        <v>0.30283761160714301</v>
      </c>
      <c r="BO108" s="280">
        <f t="shared" si="170"/>
        <v>0.29072410714285724</v>
      </c>
      <c r="BP108" s="280">
        <f t="shared" si="170"/>
        <v>0.25790041762672816</v>
      </c>
      <c r="BQ108" s="280">
        <f t="shared" si="170"/>
        <v>0.24227008928571434</v>
      </c>
      <c r="BR108" s="280">
        <f t="shared" si="170"/>
        <v>0.21100943260368663</v>
      </c>
      <c r="BS108" s="280">
        <f t="shared" si="170"/>
        <v>0.19381607142857143</v>
      </c>
      <c r="BT108" s="294">
        <f t="shared" si="145"/>
        <v>2.858200916258641</v>
      </c>
    </row>
    <row r="109" spans="3:72" ht="15.75" customHeight="1">
      <c r="C109" s="106"/>
      <c r="D109" s="106"/>
      <c r="E109" s="92"/>
      <c r="F109" s="92" t="str">
        <f t="shared" si="136"/>
        <v>Seasonal #2</v>
      </c>
      <c r="H109" s="280">
        <f t="shared" ref="H109:S109" si="171">H37*16*4/128/31</f>
        <v>8.3571428571428588E-2</v>
      </c>
      <c r="I109" s="280">
        <f t="shared" si="171"/>
        <v>8.8850806451612904E-2</v>
      </c>
      <c r="J109" s="280">
        <f t="shared" si="171"/>
        <v>0.12535714285714286</v>
      </c>
      <c r="K109" s="280">
        <f t="shared" si="171"/>
        <v>0.14827188940092167</v>
      </c>
      <c r="L109" s="280">
        <f t="shared" si="171"/>
        <v>0.16714285714285718</v>
      </c>
      <c r="M109" s="280">
        <f t="shared" si="171"/>
        <v>0.16849078341013823</v>
      </c>
      <c r="N109" s="280">
        <f t="shared" si="171"/>
        <v>0.1741071428571429</v>
      </c>
      <c r="O109" s="280">
        <f t="shared" si="171"/>
        <v>0.16714285714285718</v>
      </c>
      <c r="P109" s="280">
        <f t="shared" si="171"/>
        <v>0.14827188940092167</v>
      </c>
      <c r="Q109" s="280">
        <f t="shared" si="171"/>
        <v>0.13928571428571429</v>
      </c>
      <c r="R109" s="280">
        <f t="shared" si="171"/>
        <v>0.12131336405529954</v>
      </c>
      <c r="S109" s="280">
        <f t="shared" si="171"/>
        <v>0.11142857142857145</v>
      </c>
      <c r="T109" s="294">
        <f t="shared" si="72"/>
        <v>1.6432344470046083</v>
      </c>
      <c r="U109" s="280">
        <f t="shared" ref="U109:AF109" si="172">U37*16*4/128/31</f>
        <v>0.10446428571428573</v>
      </c>
      <c r="V109" s="280">
        <f t="shared" si="172"/>
        <v>0.11106350806451612</v>
      </c>
      <c r="W109" s="280">
        <f t="shared" si="172"/>
        <v>0.15669642857142857</v>
      </c>
      <c r="X109" s="280">
        <f t="shared" si="172"/>
        <v>0.18533986175115208</v>
      </c>
      <c r="Y109" s="280">
        <f t="shared" si="172"/>
        <v>0.20892857142857146</v>
      </c>
      <c r="Z109" s="280">
        <f t="shared" si="172"/>
        <v>0.21061347926267279</v>
      </c>
      <c r="AA109" s="280">
        <f t="shared" si="172"/>
        <v>0.21763392857142863</v>
      </c>
      <c r="AB109" s="280">
        <f t="shared" si="172"/>
        <v>0.20892857142857146</v>
      </c>
      <c r="AC109" s="280">
        <f t="shared" si="172"/>
        <v>0.18533986175115208</v>
      </c>
      <c r="AD109" s="280">
        <f t="shared" si="172"/>
        <v>0.17410714285714288</v>
      </c>
      <c r="AE109" s="280">
        <f t="shared" si="172"/>
        <v>0.15164170506912442</v>
      </c>
      <c r="AF109" s="280">
        <f t="shared" si="172"/>
        <v>0.13928571428571429</v>
      </c>
      <c r="AG109" s="294">
        <f t="shared" si="139"/>
        <v>2.0540430587557608</v>
      </c>
      <c r="AH109" s="280">
        <f t="shared" ref="AH109:AS109" si="173">AH37*16*4/128/31</f>
        <v>0.12013392857142859</v>
      </c>
      <c r="AI109" s="280">
        <f t="shared" si="173"/>
        <v>0.12772303427419354</v>
      </c>
      <c r="AJ109" s="280">
        <f t="shared" si="173"/>
        <v>0.18020089285714286</v>
      </c>
      <c r="AK109" s="280">
        <f t="shared" si="173"/>
        <v>0.21314084101382488</v>
      </c>
      <c r="AL109" s="280">
        <f t="shared" si="173"/>
        <v>0.24026785714285717</v>
      </c>
      <c r="AM109" s="280">
        <f t="shared" si="173"/>
        <v>0.2422055011520737</v>
      </c>
      <c r="AN109" s="280">
        <f t="shared" si="173"/>
        <v>0.2502790178571429</v>
      </c>
      <c r="AO109" s="280">
        <f t="shared" si="173"/>
        <v>0.24026785714285717</v>
      </c>
      <c r="AP109" s="280">
        <f t="shared" si="173"/>
        <v>0.21314084101382488</v>
      </c>
      <c r="AQ109" s="280">
        <f t="shared" si="173"/>
        <v>0.20022321428571427</v>
      </c>
      <c r="AR109" s="280">
        <f t="shared" si="173"/>
        <v>0.17438796082949304</v>
      </c>
      <c r="AS109" s="280">
        <f t="shared" si="173"/>
        <v>0.16017857142857142</v>
      </c>
      <c r="AT109" s="294">
        <f t="shared" si="141"/>
        <v>2.3621495175691241</v>
      </c>
      <c r="AU109" s="280">
        <f t="shared" ref="AU109:BF109" si="174">AU37*16*4/128/31</f>
        <v>0.13214732142857147</v>
      </c>
      <c r="AV109" s="280">
        <f t="shared" si="174"/>
        <v>0.1404953377016129</v>
      </c>
      <c r="AW109" s="280">
        <f t="shared" si="174"/>
        <v>0.19822098214285713</v>
      </c>
      <c r="AX109" s="280">
        <f t="shared" si="174"/>
        <v>0.23445492511520738</v>
      </c>
      <c r="AY109" s="280">
        <f t="shared" si="174"/>
        <v>0.26429464285714294</v>
      </c>
      <c r="AZ109" s="280">
        <f t="shared" si="174"/>
        <v>0.26642605126728108</v>
      </c>
      <c r="BA109" s="280">
        <f t="shared" si="174"/>
        <v>0.2753069196428572</v>
      </c>
      <c r="BB109" s="280">
        <f t="shared" si="174"/>
        <v>0.26429464285714294</v>
      </c>
      <c r="BC109" s="280">
        <f t="shared" si="174"/>
        <v>0.23445492511520738</v>
      </c>
      <c r="BD109" s="280">
        <f t="shared" si="174"/>
        <v>0.22024553571428573</v>
      </c>
      <c r="BE109" s="280">
        <f t="shared" si="174"/>
        <v>0.19182675691244239</v>
      </c>
      <c r="BF109" s="280">
        <f t="shared" si="174"/>
        <v>0.17619642857142856</v>
      </c>
      <c r="BG109" s="294">
        <f t="shared" si="143"/>
        <v>2.5983644693260368</v>
      </c>
      <c r="BH109" s="280">
        <f t="shared" ref="BH109:BS109" si="175">BH37*16*4/128/31</f>
        <v>0.14536205357142862</v>
      </c>
      <c r="BI109" s="280">
        <f t="shared" si="175"/>
        <v>0.1545448714717742</v>
      </c>
      <c r="BJ109" s="280">
        <f t="shared" si="175"/>
        <v>0.21804308035714287</v>
      </c>
      <c r="BK109" s="280">
        <f t="shared" si="175"/>
        <v>0.25790041762672816</v>
      </c>
      <c r="BL109" s="280">
        <f t="shared" si="175"/>
        <v>0.29072410714285724</v>
      </c>
      <c r="BM109" s="280">
        <f t="shared" si="175"/>
        <v>0.2930686563940092</v>
      </c>
      <c r="BN109" s="280">
        <f t="shared" si="175"/>
        <v>0.30283761160714301</v>
      </c>
      <c r="BO109" s="280">
        <f t="shared" si="175"/>
        <v>0.29072410714285724</v>
      </c>
      <c r="BP109" s="280">
        <f t="shared" si="175"/>
        <v>0.25790041762672816</v>
      </c>
      <c r="BQ109" s="280">
        <f t="shared" si="175"/>
        <v>0.24227008928571434</v>
      </c>
      <c r="BR109" s="280">
        <f t="shared" si="175"/>
        <v>0.21100943260368663</v>
      </c>
      <c r="BS109" s="280">
        <f t="shared" si="175"/>
        <v>0.19381607142857143</v>
      </c>
      <c r="BT109" s="294">
        <f t="shared" si="145"/>
        <v>2.858200916258641</v>
      </c>
    </row>
    <row r="110" spans="3:72" ht="15.75" customHeight="1">
      <c r="C110" s="106"/>
      <c r="D110" s="106"/>
      <c r="E110" s="92"/>
      <c r="F110" s="92" t="str">
        <f t="shared" si="136"/>
        <v>Rotating IPA #1</v>
      </c>
      <c r="H110" s="280">
        <f t="shared" ref="H110:S110" si="176">H38*16*4/128/31</f>
        <v>0.16714285714285718</v>
      </c>
      <c r="I110" s="280">
        <f t="shared" si="176"/>
        <v>0.17770161290322581</v>
      </c>
      <c r="J110" s="280">
        <f t="shared" si="176"/>
        <v>0.25071428571428572</v>
      </c>
      <c r="K110" s="280">
        <f t="shared" si="176"/>
        <v>0.29654377880184335</v>
      </c>
      <c r="L110" s="280">
        <f t="shared" si="176"/>
        <v>0.33428571428571435</v>
      </c>
      <c r="M110" s="280">
        <f t="shared" si="176"/>
        <v>0.33698156682027647</v>
      </c>
      <c r="N110" s="280">
        <f t="shared" si="176"/>
        <v>0.34821428571428581</v>
      </c>
      <c r="O110" s="280">
        <f t="shared" si="176"/>
        <v>0.33428571428571435</v>
      </c>
      <c r="P110" s="280">
        <f t="shared" si="176"/>
        <v>0.29654377880184335</v>
      </c>
      <c r="Q110" s="280">
        <f t="shared" si="176"/>
        <v>0.27857142857142858</v>
      </c>
      <c r="R110" s="280">
        <f t="shared" si="176"/>
        <v>0.24262672811059907</v>
      </c>
      <c r="S110" s="280">
        <f t="shared" si="176"/>
        <v>0.22285714285714289</v>
      </c>
      <c r="T110" s="294">
        <f t="shared" si="72"/>
        <v>3.2864688940092166</v>
      </c>
      <c r="U110" s="280">
        <f t="shared" ref="U110:AF110" si="177">U38*16*4/128/31</f>
        <v>0.20892857142857146</v>
      </c>
      <c r="V110" s="280">
        <f t="shared" si="177"/>
        <v>0.22212701612903224</v>
      </c>
      <c r="W110" s="280">
        <f t="shared" si="177"/>
        <v>0.31339285714285714</v>
      </c>
      <c r="X110" s="280">
        <f t="shared" si="177"/>
        <v>0.37067972350230416</v>
      </c>
      <c r="Y110" s="280">
        <f t="shared" si="177"/>
        <v>0.41785714285714293</v>
      </c>
      <c r="Z110" s="280">
        <f t="shared" si="177"/>
        <v>0.42122695852534559</v>
      </c>
      <c r="AA110" s="280">
        <f t="shared" si="177"/>
        <v>0.43526785714285726</v>
      </c>
      <c r="AB110" s="280">
        <f t="shared" si="177"/>
        <v>0.41785714285714293</v>
      </c>
      <c r="AC110" s="280">
        <f t="shared" si="177"/>
        <v>0.37067972350230416</v>
      </c>
      <c r="AD110" s="280">
        <f t="shared" si="177"/>
        <v>0.34821428571428575</v>
      </c>
      <c r="AE110" s="280">
        <f t="shared" si="177"/>
        <v>0.30328341013824883</v>
      </c>
      <c r="AF110" s="280">
        <f t="shared" si="177"/>
        <v>0.27857142857142858</v>
      </c>
      <c r="AG110" s="294">
        <f t="shared" si="139"/>
        <v>4.1080861175115215</v>
      </c>
      <c r="AH110" s="280">
        <f t="shared" ref="AH110:AS110" si="178">AH38*16*4/128/31</f>
        <v>0.24026785714285717</v>
      </c>
      <c r="AI110" s="280">
        <f t="shared" si="178"/>
        <v>0.25544606854838708</v>
      </c>
      <c r="AJ110" s="280">
        <f t="shared" si="178"/>
        <v>0.36040178571428572</v>
      </c>
      <c r="AK110" s="280">
        <f t="shared" si="178"/>
        <v>0.42628168202764977</v>
      </c>
      <c r="AL110" s="280">
        <f t="shared" si="178"/>
        <v>0.48053571428571434</v>
      </c>
      <c r="AM110" s="280">
        <f t="shared" si="178"/>
        <v>0.48441100230414741</v>
      </c>
      <c r="AN110" s="280">
        <f t="shared" si="178"/>
        <v>0.50055803571428581</v>
      </c>
      <c r="AO110" s="280">
        <f t="shared" si="178"/>
        <v>0.48053571428571434</v>
      </c>
      <c r="AP110" s="280">
        <f t="shared" si="178"/>
        <v>0.42628168202764977</v>
      </c>
      <c r="AQ110" s="280">
        <f t="shared" si="178"/>
        <v>0.40044642857142854</v>
      </c>
      <c r="AR110" s="280">
        <f t="shared" si="178"/>
        <v>0.34877592165898608</v>
      </c>
      <c r="AS110" s="280">
        <f t="shared" si="178"/>
        <v>0.32035714285714284</v>
      </c>
      <c r="AT110" s="294">
        <f t="shared" si="141"/>
        <v>4.7242990351382481</v>
      </c>
      <c r="AU110" s="280">
        <f t="shared" ref="AU110:BF110" si="179">AU38*16*4/128/31</f>
        <v>0.26429464285714294</v>
      </c>
      <c r="AV110" s="280">
        <f t="shared" si="179"/>
        <v>0.28099067540322581</v>
      </c>
      <c r="AW110" s="280">
        <f t="shared" si="179"/>
        <v>0.39644196428571427</v>
      </c>
      <c r="AX110" s="280">
        <f t="shared" si="179"/>
        <v>0.46890985023041476</v>
      </c>
      <c r="AY110" s="280">
        <f t="shared" si="179"/>
        <v>0.52858928571428587</v>
      </c>
      <c r="AZ110" s="280">
        <f t="shared" si="179"/>
        <v>0.53285210253456217</v>
      </c>
      <c r="BA110" s="280">
        <f t="shared" si="179"/>
        <v>0.55061383928571439</v>
      </c>
      <c r="BB110" s="280">
        <f t="shared" si="179"/>
        <v>0.52858928571428587</v>
      </c>
      <c r="BC110" s="280">
        <f t="shared" si="179"/>
        <v>0.46890985023041476</v>
      </c>
      <c r="BD110" s="280">
        <f t="shared" si="179"/>
        <v>0.44049107142857147</v>
      </c>
      <c r="BE110" s="280">
        <f t="shared" si="179"/>
        <v>0.38365351382488477</v>
      </c>
      <c r="BF110" s="280">
        <f t="shared" si="179"/>
        <v>0.35239285714285712</v>
      </c>
      <c r="BG110" s="294">
        <f t="shared" si="143"/>
        <v>5.1967289386520736</v>
      </c>
      <c r="BH110" s="280">
        <f t="shared" ref="BH110:BS110" si="180">BH38*16*4/128/31</f>
        <v>0.29072410714285724</v>
      </c>
      <c r="BI110" s="280">
        <f t="shared" si="180"/>
        <v>0.30908974294354841</v>
      </c>
      <c r="BJ110" s="280">
        <f t="shared" si="180"/>
        <v>0.43608616071428574</v>
      </c>
      <c r="BK110" s="280">
        <f t="shared" si="180"/>
        <v>0.51580083525345632</v>
      </c>
      <c r="BL110" s="280">
        <f t="shared" si="180"/>
        <v>0.58144821428571447</v>
      </c>
      <c r="BM110" s="280">
        <f t="shared" si="180"/>
        <v>0.58613731278801839</v>
      </c>
      <c r="BN110" s="280">
        <f t="shared" si="180"/>
        <v>0.60567522321428602</v>
      </c>
      <c r="BO110" s="280">
        <f t="shared" si="180"/>
        <v>0.58144821428571447</v>
      </c>
      <c r="BP110" s="280">
        <f t="shared" si="180"/>
        <v>0.51580083525345632</v>
      </c>
      <c r="BQ110" s="280">
        <f t="shared" si="180"/>
        <v>0.48454017857142867</v>
      </c>
      <c r="BR110" s="280">
        <f t="shared" si="180"/>
        <v>0.42201886520737325</v>
      </c>
      <c r="BS110" s="280">
        <f t="shared" si="180"/>
        <v>0.38763214285714287</v>
      </c>
      <c r="BT110" s="294">
        <f t="shared" si="145"/>
        <v>5.7164018325172821</v>
      </c>
    </row>
    <row r="111" spans="3:72" ht="15.75" customHeight="1">
      <c r="C111" s="106"/>
      <c r="D111" s="106"/>
      <c r="E111" s="92"/>
      <c r="F111" s="92" t="str">
        <f t="shared" si="136"/>
        <v>Rotating IPA #2</v>
      </c>
      <c r="H111" s="280">
        <f t="shared" ref="H111:S111" si="181">H39*16*4/128/31</f>
        <v>8.3571428571428588E-2</v>
      </c>
      <c r="I111" s="280">
        <f t="shared" si="181"/>
        <v>8.8850806451612904E-2</v>
      </c>
      <c r="J111" s="280">
        <f t="shared" si="181"/>
        <v>0.12535714285714286</v>
      </c>
      <c r="K111" s="280">
        <f t="shared" si="181"/>
        <v>0.14827188940092167</v>
      </c>
      <c r="L111" s="280">
        <f t="shared" si="181"/>
        <v>0.16714285714285718</v>
      </c>
      <c r="M111" s="280">
        <f t="shared" si="181"/>
        <v>0.16849078341013823</v>
      </c>
      <c r="N111" s="280">
        <f t="shared" si="181"/>
        <v>0.1741071428571429</v>
      </c>
      <c r="O111" s="280">
        <f t="shared" si="181"/>
        <v>0.16714285714285718</v>
      </c>
      <c r="P111" s="280">
        <f t="shared" si="181"/>
        <v>0.14827188940092167</v>
      </c>
      <c r="Q111" s="280">
        <f t="shared" si="181"/>
        <v>0.13928571428571429</v>
      </c>
      <c r="R111" s="280">
        <f t="shared" si="181"/>
        <v>0.12131336405529954</v>
      </c>
      <c r="S111" s="280">
        <f t="shared" si="181"/>
        <v>0.11142857142857145</v>
      </c>
      <c r="T111" s="294">
        <f t="shared" si="72"/>
        <v>1.6432344470046083</v>
      </c>
      <c r="U111" s="280">
        <f t="shared" ref="U111:AF111" si="182">U39*16*4/128/31</f>
        <v>0.10446428571428573</v>
      </c>
      <c r="V111" s="280">
        <f t="shared" si="182"/>
        <v>0.11106350806451612</v>
      </c>
      <c r="W111" s="280">
        <f t="shared" si="182"/>
        <v>0.15669642857142857</v>
      </c>
      <c r="X111" s="280">
        <f t="shared" si="182"/>
        <v>0.18533986175115208</v>
      </c>
      <c r="Y111" s="280">
        <f t="shared" si="182"/>
        <v>0.20892857142857146</v>
      </c>
      <c r="Z111" s="280">
        <f t="shared" si="182"/>
        <v>0.21061347926267279</v>
      </c>
      <c r="AA111" s="280">
        <f t="shared" si="182"/>
        <v>0.21763392857142863</v>
      </c>
      <c r="AB111" s="280">
        <f t="shared" si="182"/>
        <v>0.20892857142857146</v>
      </c>
      <c r="AC111" s="280">
        <f t="shared" si="182"/>
        <v>0.18533986175115208</v>
      </c>
      <c r="AD111" s="280">
        <f t="shared" si="182"/>
        <v>0.17410714285714288</v>
      </c>
      <c r="AE111" s="280">
        <f t="shared" si="182"/>
        <v>0.15164170506912442</v>
      </c>
      <c r="AF111" s="280">
        <f t="shared" si="182"/>
        <v>0.13928571428571429</v>
      </c>
      <c r="AG111" s="294">
        <f t="shared" si="139"/>
        <v>2.0540430587557608</v>
      </c>
      <c r="AH111" s="280">
        <f t="shared" ref="AH111:AS111" si="183">AH39*16*4/128/31</f>
        <v>0.12013392857142859</v>
      </c>
      <c r="AI111" s="280">
        <f t="shared" si="183"/>
        <v>0.12772303427419354</v>
      </c>
      <c r="AJ111" s="280">
        <f t="shared" si="183"/>
        <v>0.18020089285714286</v>
      </c>
      <c r="AK111" s="280">
        <f t="shared" si="183"/>
        <v>0.21314084101382488</v>
      </c>
      <c r="AL111" s="280">
        <f t="shared" si="183"/>
        <v>0.24026785714285717</v>
      </c>
      <c r="AM111" s="280">
        <f t="shared" si="183"/>
        <v>0.2422055011520737</v>
      </c>
      <c r="AN111" s="280">
        <f t="shared" si="183"/>
        <v>0.2502790178571429</v>
      </c>
      <c r="AO111" s="280">
        <f t="shared" si="183"/>
        <v>0.24026785714285717</v>
      </c>
      <c r="AP111" s="280">
        <f t="shared" si="183"/>
        <v>0.21314084101382488</v>
      </c>
      <c r="AQ111" s="280">
        <f t="shared" si="183"/>
        <v>0.20022321428571427</v>
      </c>
      <c r="AR111" s="280">
        <f t="shared" si="183"/>
        <v>0.17438796082949304</v>
      </c>
      <c r="AS111" s="280">
        <f t="shared" si="183"/>
        <v>0.16017857142857142</v>
      </c>
      <c r="AT111" s="294">
        <f t="shared" si="141"/>
        <v>2.3621495175691241</v>
      </c>
      <c r="AU111" s="280">
        <f t="shared" ref="AU111:BF111" si="184">AU39*16*4/128/31</f>
        <v>0.13214732142857147</v>
      </c>
      <c r="AV111" s="280">
        <f t="shared" si="184"/>
        <v>0.1404953377016129</v>
      </c>
      <c r="AW111" s="280">
        <f t="shared" si="184"/>
        <v>0.19822098214285713</v>
      </c>
      <c r="AX111" s="280">
        <f t="shared" si="184"/>
        <v>0.23445492511520738</v>
      </c>
      <c r="AY111" s="280">
        <f t="shared" si="184"/>
        <v>0.26429464285714294</v>
      </c>
      <c r="AZ111" s="280">
        <f t="shared" si="184"/>
        <v>0.26642605126728108</v>
      </c>
      <c r="BA111" s="280">
        <f t="shared" si="184"/>
        <v>0.2753069196428572</v>
      </c>
      <c r="BB111" s="280">
        <f t="shared" si="184"/>
        <v>0.26429464285714294</v>
      </c>
      <c r="BC111" s="280">
        <f t="shared" si="184"/>
        <v>0.23445492511520738</v>
      </c>
      <c r="BD111" s="280">
        <f t="shared" si="184"/>
        <v>0.22024553571428573</v>
      </c>
      <c r="BE111" s="280">
        <f t="shared" si="184"/>
        <v>0.19182675691244239</v>
      </c>
      <c r="BF111" s="280">
        <f t="shared" si="184"/>
        <v>0.17619642857142856</v>
      </c>
      <c r="BG111" s="294">
        <f t="shared" si="143"/>
        <v>2.5983644693260368</v>
      </c>
      <c r="BH111" s="280">
        <f t="shared" ref="BH111:BS111" si="185">BH39*16*4/128/31</f>
        <v>0.14536205357142862</v>
      </c>
      <c r="BI111" s="280">
        <f t="shared" si="185"/>
        <v>0.1545448714717742</v>
      </c>
      <c r="BJ111" s="280">
        <f t="shared" si="185"/>
        <v>0.21804308035714287</v>
      </c>
      <c r="BK111" s="280">
        <f t="shared" si="185"/>
        <v>0.25790041762672816</v>
      </c>
      <c r="BL111" s="280">
        <f t="shared" si="185"/>
        <v>0.29072410714285724</v>
      </c>
      <c r="BM111" s="280">
        <f t="shared" si="185"/>
        <v>0.2930686563940092</v>
      </c>
      <c r="BN111" s="280">
        <f t="shared" si="185"/>
        <v>0.30283761160714301</v>
      </c>
      <c r="BO111" s="280">
        <f t="shared" si="185"/>
        <v>0.29072410714285724</v>
      </c>
      <c r="BP111" s="280">
        <f t="shared" si="185"/>
        <v>0.25790041762672816</v>
      </c>
      <c r="BQ111" s="280">
        <f t="shared" si="185"/>
        <v>0.24227008928571434</v>
      </c>
      <c r="BR111" s="280">
        <f t="shared" si="185"/>
        <v>0.21100943260368663</v>
      </c>
      <c r="BS111" s="280">
        <f t="shared" si="185"/>
        <v>0.19381607142857143</v>
      </c>
      <c r="BT111" s="294">
        <f t="shared" si="145"/>
        <v>2.858200916258641</v>
      </c>
    </row>
    <row r="112" spans="3:72" ht="15.75" customHeight="1">
      <c r="C112" s="106"/>
      <c r="D112" s="106"/>
      <c r="E112" s="92"/>
      <c r="F112" s="92" t="str">
        <f t="shared" si="136"/>
        <v>Special release</v>
      </c>
      <c r="H112" s="280">
        <f t="shared" ref="H112:S112" si="186">H40*16*4/128/31</f>
        <v>0</v>
      </c>
      <c r="I112" s="280">
        <f t="shared" si="186"/>
        <v>0</v>
      </c>
      <c r="J112" s="280">
        <f t="shared" si="186"/>
        <v>0</v>
      </c>
      <c r="K112" s="280">
        <f t="shared" si="186"/>
        <v>0</v>
      </c>
      <c r="L112" s="280">
        <f t="shared" si="186"/>
        <v>0</v>
      </c>
      <c r="M112" s="280">
        <f t="shared" si="186"/>
        <v>0</v>
      </c>
      <c r="N112" s="280">
        <f t="shared" si="186"/>
        <v>0</v>
      </c>
      <c r="O112" s="280">
        <f t="shared" si="186"/>
        <v>0</v>
      </c>
      <c r="P112" s="280">
        <f t="shared" si="186"/>
        <v>0</v>
      </c>
      <c r="Q112" s="280">
        <f t="shared" si="186"/>
        <v>0</v>
      </c>
      <c r="R112" s="280">
        <f t="shared" si="186"/>
        <v>0</v>
      </c>
      <c r="S112" s="280">
        <f t="shared" si="186"/>
        <v>0</v>
      </c>
      <c r="T112" s="294">
        <f t="shared" si="72"/>
        <v>0</v>
      </c>
      <c r="U112" s="280">
        <f t="shared" ref="U112:AF112" si="187">U40*16*4/128/31</f>
        <v>0</v>
      </c>
      <c r="V112" s="280">
        <f t="shared" si="187"/>
        <v>0</v>
      </c>
      <c r="W112" s="280">
        <f t="shared" si="187"/>
        <v>0</v>
      </c>
      <c r="X112" s="280">
        <f t="shared" si="187"/>
        <v>0</v>
      </c>
      <c r="Y112" s="280">
        <f t="shared" si="187"/>
        <v>0</v>
      </c>
      <c r="Z112" s="280">
        <f t="shared" si="187"/>
        <v>0</v>
      </c>
      <c r="AA112" s="280">
        <f t="shared" si="187"/>
        <v>0</v>
      </c>
      <c r="AB112" s="280">
        <f t="shared" si="187"/>
        <v>0</v>
      </c>
      <c r="AC112" s="280">
        <f t="shared" si="187"/>
        <v>0</v>
      </c>
      <c r="AD112" s="280">
        <f t="shared" si="187"/>
        <v>0</v>
      </c>
      <c r="AE112" s="280">
        <f t="shared" si="187"/>
        <v>0</v>
      </c>
      <c r="AF112" s="280">
        <f t="shared" si="187"/>
        <v>0</v>
      </c>
      <c r="AG112" s="294">
        <f t="shared" si="139"/>
        <v>0</v>
      </c>
      <c r="AH112" s="280">
        <f t="shared" ref="AH112:AS112" si="188">AH40*16*4/128/31</f>
        <v>0</v>
      </c>
      <c r="AI112" s="280">
        <f t="shared" si="188"/>
        <v>0</v>
      </c>
      <c r="AJ112" s="280">
        <f t="shared" si="188"/>
        <v>0</v>
      </c>
      <c r="AK112" s="280">
        <f t="shared" si="188"/>
        <v>0</v>
      </c>
      <c r="AL112" s="280">
        <f t="shared" si="188"/>
        <v>0</v>
      </c>
      <c r="AM112" s="280">
        <f t="shared" si="188"/>
        <v>0</v>
      </c>
      <c r="AN112" s="280">
        <f t="shared" si="188"/>
        <v>0</v>
      </c>
      <c r="AO112" s="280">
        <f t="shared" si="188"/>
        <v>0</v>
      </c>
      <c r="AP112" s="280">
        <f t="shared" si="188"/>
        <v>0</v>
      </c>
      <c r="AQ112" s="280">
        <f t="shared" si="188"/>
        <v>0</v>
      </c>
      <c r="AR112" s="280">
        <f t="shared" si="188"/>
        <v>0</v>
      </c>
      <c r="AS112" s="280">
        <f t="shared" si="188"/>
        <v>0</v>
      </c>
      <c r="AT112" s="294">
        <f t="shared" si="141"/>
        <v>0</v>
      </c>
      <c r="AU112" s="280">
        <f t="shared" ref="AU112:BF112" si="189">AU40*16*4/128/31</f>
        <v>0</v>
      </c>
      <c r="AV112" s="280">
        <f t="shared" si="189"/>
        <v>0</v>
      </c>
      <c r="AW112" s="280">
        <f t="shared" si="189"/>
        <v>0</v>
      </c>
      <c r="AX112" s="280">
        <f t="shared" si="189"/>
        <v>0</v>
      </c>
      <c r="AY112" s="280">
        <f t="shared" si="189"/>
        <v>0</v>
      </c>
      <c r="AZ112" s="280">
        <f t="shared" si="189"/>
        <v>0</v>
      </c>
      <c r="BA112" s="280">
        <f t="shared" si="189"/>
        <v>0</v>
      </c>
      <c r="BB112" s="280">
        <f t="shared" si="189"/>
        <v>0</v>
      </c>
      <c r="BC112" s="280">
        <f t="shared" si="189"/>
        <v>0</v>
      </c>
      <c r="BD112" s="280">
        <f t="shared" si="189"/>
        <v>0</v>
      </c>
      <c r="BE112" s="280">
        <f t="shared" si="189"/>
        <v>0</v>
      </c>
      <c r="BF112" s="280">
        <f t="shared" si="189"/>
        <v>0</v>
      </c>
      <c r="BG112" s="294">
        <f t="shared" si="143"/>
        <v>0</v>
      </c>
      <c r="BH112" s="280">
        <f t="shared" ref="BH112:BS112" si="190">BH40*16*4/128/31</f>
        <v>0</v>
      </c>
      <c r="BI112" s="280">
        <f t="shared" si="190"/>
        <v>0</v>
      </c>
      <c r="BJ112" s="280">
        <f t="shared" si="190"/>
        <v>0</v>
      </c>
      <c r="BK112" s="280">
        <f t="shared" si="190"/>
        <v>0</v>
      </c>
      <c r="BL112" s="280">
        <f t="shared" si="190"/>
        <v>0</v>
      </c>
      <c r="BM112" s="280">
        <f t="shared" si="190"/>
        <v>0</v>
      </c>
      <c r="BN112" s="280">
        <f t="shared" si="190"/>
        <v>0</v>
      </c>
      <c r="BO112" s="280">
        <f t="shared" si="190"/>
        <v>0</v>
      </c>
      <c r="BP112" s="280">
        <f t="shared" si="190"/>
        <v>0</v>
      </c>
      <c r="BQ112" s="280">
        <f t="shared" si="190"/>
        <v>0</v>
      </c>
      <c r="BR112" s="280">
        <f t="shared" si="190"/>
        <v>0</v>
      </c>
      <c r="BS112" s="280">
        <f t="shared" si="190"/>
        <v>0</v>
      </c>
      <c r="BT112" s="294">
        <f t="shared" si="145"/>
        <v>0</v>
      </c>
    </row>
    <row r="113" spans="2:72" ht="15.75" customHeight="1">
      <c r="C113" s="106"/>
      <c r="D113" s="106"/>
      <c r="E113" s="92"/>
      <c r="F113" s="92">
        <f t="shared" si="136"/>
        <v>0</v>
      </c>
      <c r="H113" s="280">
        <f t="shared" ref="H113:S113" si="191">H41*16*4/128/31</f>
        <v>0</v>
      </c>
      <c r="I113" s="280">
        <f t="shared" si="191"/>
        <v>0</v>
      </c>
      <c r="J113" s="280">
        <f t="shared" si="191"/>
        <v>0</v>
      </c>
      <c r="K113" s="280">
        <f t="shared" si="191"/>
        <v>0</v>
      </c>
      <c r="L113" s="280">
        <f t="shared" si="191"/>
        <v>0</v>
      </c>
      <c r="M113" s="280">
        <f t="shared" si="191"/>
        <v>0</v>
      </c>
      <c r="N113" s="280">
        <f t="shared" si="191"/>
        <v>0</v>
      </c>
      <c r="O113" s="280">
        <f t="shared" si="191"/>
        <v>0</v>
      </c>
      <c r="P113" s="280">
        <f t="shared" si="191"/>
        <v>0</v>
      </c>
      <c r="Q113" s="280">
        <f t="shared" si="191"/>
        <v>0</v>
      </c>
      <c r="R113" s="280">
        <f t="shared" si="191"/>
        <v>0</v>
      </c>
      <c r="S113" s="280">
        <f t="shared" si="191"/>
        <v>0</v>
      </c>
      <c r="T113" s="294">
        <f>SUM(H113:S113)</f>
        <v>0</v>
      </c>
      <c r="U113" s="280">
        <f t="shared" ref="U113:AF113" si="192">U41*16*4/128/31</f>
        <v>0</v>
      </c>
      <c r="V113" s="280">
        <f t="shared" si="192"/>
        <v>0</v>
      </c>
      <c r="W113" s="280">
        <f t="shared" si="192"/>
        <v>0</v>
      </c>
      <c r="X113" s="280">
        <f t="shared" si="192"/>
        <v>0</v>
      </c>
      <c r="Y113" s="280">
        <f t="shared" si="192"/>
        <v>0</v>
      </c>
      <c r="Z113" s="280">
        <f t="shared" si="192"/>
        <v>0</v>
      </c>
      <c r="AA113" s="280">
        <f t="shared" si="192"/>
        <v>0</v>
      </c>
      <c r="AB113" s="280">
        <f t="shared" si="192"/>
        <v>0</v>
      </c>
      <c r="AC113" s="280">
        <f t="shared" si="192"/>
        <v>0</v>
      </c>
      <c r="AD113" s="280">
        <f t="shared" si="192"/>
        <v>0</v>
      </c>
      <c r="AE113" s="280">
        <f t="shared" si="192"/>
        <v>0</v>
      </c>
      <c r="AF113" s="280">
        <f t="shared" si="192"/>
        <v>0</v>
      </c>
      <c r="AG113" s="294">
        <f t="shared" si="139"/>
        <v>0</v>
      </c>
      <c r="AH113" s="280">
        <f t="shared" ref="AH113:AS113" si="193">AH41*16*4/128/31</f>
        <v>0</v>
      </c>
      <c r="AI113" s="280">
        <f t="shared" si="193"/>
        <v>0</v>
      </c>
      <c r="AJ113" s="280">
        <f t="shared" si="193"/>
        <v>0</v>
      </c>
      <c r="AK113" s="280">
        <f t="shared" si="193"/>
        <v>0</v>
      </c>
      <c r="AL113" s="280">
        <f t="shared" si="193"/>
        <v>0</v>
      </c>
      <c r="AM113" s="280">
        <f t="shared" si="193"/>
        <v>0</v>
      </c>
      <c r="AN113" s="280">
        <f t="shared" si="193"/>
        <v>0</v>
      </c>
      <c r="AO113" s="280">
        <f t="shared" si="193"/>
        <v>0</v>
      </c>
      <c r="AP113" s="280">
        <f t="shared" si="193"/>
        <v>0</v>
      </c>
      <c r="AQ113" s="280">
        <f t="shared" si="193"/>
        <v>0</v>
      </c>
      <c r="AR113" s="280">
        <f t="shared" si="193"/>
        <v>0</v>
      </c>
      <c r="AS113" s="280">
        <f t="shared" si="193"/>
        <v>0</v>
      </c>
      <c r="AT113" s="294">
        <f t="shared" si="141"/>
        <v>0</v>
      </c>
      <c r="AU113" s="280">
        <f t="shared" ref="AU113:BF113" si="194">AU41*16*4/128/31</f>
        <v>0</v>
      </c>
      <c r="AV113" s="280">
        <f t="shared" si="194"/>
        <v>0</v>
      </c>
      <c r="AW113" s="280">
        <f t="shared" si="194"/>
        <v>0</v>
      </c>
      <c r="AX113" s="280">
        <f t="shared" si="194"/>
        <v>0</v>
      </c>
      <c r="AY113" s="280">
        <f t="shared" si="194"/>
        <v>0</v>
      </c>
      <c r="AZ113" s="280">
        <f t="shared" si="194"/>
        <v>0</v>
      </c>
      <c r="BA113" s="280">
        <f t="shared" si="194"/>
        <v>0</v>
      </c>
      <c r="BB113" s="280">
        <f t="shared" si="194"/>
        <v>0</v>
      </c>
      <c r="BC113" s="280">
        <f t="shared" si="194"/>
        <v>0</v>
      </c>
      <c r="BD113" s="280">
        <f t="shared" si="194"/>
        <v>0</v>
      </c>
      <c r="BE113" s="280">
        <f t="shared" si="194"/>
        <v>0</v>
      </c>
      <c r="BF113" s="280">
        <f t="shared" si="194"/>
        <v>0</v>
      </c>
      <c r="BG113" s="294">
        <f t="shared" si="143"/>
        <v>0</v>
      </c>
      <c r="BH113" s="280">
        <f t="shared" ref="BH113:BS113" si="195">BH41*16*4/128/31</f>
        <v>0</v>
      </c>
      <c r="BI113" s="280">
        <f t="shared" si="195"/>
        <v>0</v>
      </c>
      <c r="BJ113" s="280">
        <f t="shared" si="195"/>
        <v>0</v>
      </c>
      <c r="BK113" s="280">
        <f t="shared" si="195"/>
        <v>0</v>
      </c>
      <c r="BL113" s="280">
        <f t="shared" si="195"/>
        <v>0</v>
      </c>
      <c r="BM113" s="280">
        <f t="shared" si="195"/>
        <v>0</v>
      </c>
      <c r="BN113" s="280">
        <f t="shared" si="195"/>
        <v>0</v>
      </c>
      <c r="BO113" s="280">
        <f t="shared" si="195"/>
        <v>0</v>
      </c>
      <c r="BP113" s="280">
        <f t="shared" si="195"/>
        <v>0</v>
      </c>
      <c r="BQ113" s="280">
        <f t="shared" si="195"/>
        <v>0</v>
      </c>
      <c r="BR113" s="280">
        <f t="shared" si="195"/>
        <v>0</v>
      </c>
      <c r="BS113" s="280">
        <f t="shared" si="195"/>
        <v>0</v>
      </c>
      <c r="BT113" s="294">
        <f t="shared" si="145"/>
        <v>0</v>
      </c>
    </row>
    <row r="114" spans="2:72" ht="15.75" customHeight="1">
      <c r="C114" s="106"/>
      <c r="D114" s="106"/>
      <c r="E114" s="92"/>
      <c r="F114" s="92">
        <f t="shared" si="136"/>
        <v>0</v>
      </c>
      <c r="H114" s="280">
        <f t="shared" ref="H114:S114" si="196">H42*16*4/128/31</f>
        <v>0</v>
      </c>
      <c r="I114" s="280">
        <f t="shared" si="196"/>
        <v>0</v>
      </c>
      <c r="J114" s="280">
        <f t="shared" si="196"/>
        <v>0</v>
      </c>
      <c r="K114" s="280">
        <f t="shared" si="196"/>
        <v>0</v>
      </c>
      <c r="L114" s="280">
        <f t="shared" si="196"/>
        <v>0</v>
      </c>
      <c r="M114" s="280">
        <f t="shared" si="196"/>
        <v>0</v>
      </c>
      <c r="N114" s="280">
        <f t="shared" si="196"/>
        <v>0</v>
      </c>
      <c r="O114" s="280">
        <f t="shared" si="196"/>
        <v>0</v>
      </c>
      <c r="P114" s="280">
        <f t="shared" si="196"/>
        <v>0</v>
      </c>
      <c r="Q114" s="280">
        <f t="shared" si="196"/>
        <v>0</v>
      </c>
      <c r="R114" s="280">
        <f t="shared" si="196"/>
        <v>0</v>
      </c>
      <c r="S114" s="280">
        <f t="shared" si="196"/>
        <v>0</v>
      </c>
      <c r="T114" s="294">
        <f>SUM(H114:S114)</f>
        <v>0</v>
      </c>
      <c r="U114" s="280">
        <f t="shared" ref="U114:AF114" si="197">U42*16*4/128/31</f>
        <v>0</v>
      </c>
      <c r="V114" s="280">
        <f t="shared" si="197"/>
        <v>0</v>
      </c>
      <c r="W114" s="280">
        <f t="shared" si="197"/>
        <v>0</v>
      </c>
      <c r="X114" s="280">
        <f t="shared" si="197"/>
        <v>0</v>
      </c>
      <c r="Y114" s="280">
        <f t="shared" si="197"/>
        <v>0</v>
      </c>
      <c r="Z114" s="280">
        <f t="shared" si="197"/>
        <v>0</v>
      </c>
      <c r="AA114" s="280">
        <f t="shared" si="197"/>
        <v>0</v>
      </c>
      <c r="AB114" s="280">
        <f t="shared" si="197"/>
        <v>0</v>
      </c>
      <c r="AC114" s="280">
        <f t="shared" si="197"/>
        <v>0</v>
      </c>
      <c r="AD114" s="280">
        <f t="shared" si="197"/>
        <v>0</v>
      </c>
      <c r="AE114" s="280">
        <f t="shared" si="197"/>
        <v>0</v>
      </c>
      <c r="AF114" s="280">
        <f t="shared" si="197"/>
        <v>0</v>
      </c>
      <c r="AG114" s="294">
        <f t="shared" si="139"/>
        <v>0</v>
      </c>
      <c r="AH114" s="280">
        <f t="shared" ref="AH114:AS114" si="198">AH42*16*4/128/31</f>
        <v>0</v>
      </c>
      <c r="AI114" s="280">
        <f t="shared" si="198"/>
        <v>0</v>
      </c>
      <c r="AJ114" s="280">
        <f t="shared" si="198"/>
        <v>0</v>
      </c>
      <c r="AK114" s="280">
        <f t="shared" si="198"/>
        <v>0</v>
      </c>
      <c r="AL114" s="280">
        <f t="shared" si="198"/>
        <v>0</v>
      </c>
      <c r="AM114" s="280">
        <f t="shared" si="198"/>
        <v>0</v>
      </c>
      <c r="AN114" s="280">
        <f t="shared" si="198"/>
        <v>0</v>
      </c>
      <c r="AO114" s="280">
        <f t="shared" si="198"/>
        <v>0</v>
      </c>
      <c r="AP114" s="280">
        <f t="shared" si="198"/>
        <v>0</v>
      </c>
      <c r="AQ114" s="280">
        <f t="shared" si="198"/>
        <v>0</v>
      </c>
      <c r="AR114" s="280">
        <f t="shared" si="198"/>
        <v>0</v>
      </c>
      <c r="AS114" s="280">
        <f t="shared" si="198"/>
        <v>0</v>
      </c>
      <c r="AT114" s="294">
        <f t="shared" si="141"/>
        <v>0</v>
      </c>
      <c r="AU114" s="280">
        <f t="shared" ref="AU114:BF114" si="199">AU42*16*4/128/31</f>
        <v>0</v>
      </c>
      <c r="AV114" s="280">
        <f t="shared" si="199"/>
        <v>0</v>
      </c>
      <c r="AW114" s="280">
        <f t="shared" si="199"/>
        <v>0</v>
      </c>
      <c r="AX114" s="280">
        <f t="shared" si="199"/>
        <v>0</v>
      </c>
      <c r="AY114" s="280">
        <f t="shared" si="199"/>
        <v>0</v>
      </c>
      <c r="AZ114" s="280">
        <f t="shared" si="199"/>
        <v>0</v>
      </c>
      <c r="BA114" s="280">
        <f t="shared" si="199"/>
        <v>0</v>
      </c>
      <c r="BB114" s="280">
        <f t="shared" si="199"/>
        <v>0</v>
      </c>
      <c r="BC114" s="280">
        <f t="shared" si="199"/>
        <v>0</v>
      </c>
      <c r="BD114" s="280">
        <f t="shared" si="199"/>
        <v>0</v>
      </c>
      <c r="BE114" s="280">
        <f t="shared" si="199"/>
        <v>0</v>
      </c>
      <c r="BF114" s="280">
        <f t="shared" si="199"/>
        <v>0</v>
      </c>
      <c r="BG114" s="294">
        <f t="shared" si="143"/>
        <v>0</v>
      </c>
      <c r="BH114" s="280">
        <f t="shared" ref="BH114:BS114" si="200">BH42*16*4/128/31</f>
        <v>0</v>
      </c>
      <c r="BI114" s="280">
        <f t="shared" si="200"/>
        <v>0</v>
      </c>
      <c r="BJ114" s="280">
        <f t="shared" si="200"/>
        <v>0</v>
      </c>
      <c r="BK114" s="280">
        <f t="shared" si="200"/>
        <v>0</v>
      </c>
      <c r="BL114" s="280">
        <f t="shared" si="200"/>
        <v>0</v>
      </c>
      <c r="BM114" s="280">
        <f t="shared" si="200"/>
        <v>0</v>
      </c>
      <c r="BN114" s="280">
        <f t="shared" si="200"/>
        <v>0</v>
      </c>
      <c r="BO114" s="280">
        <f t="shared" si="200"/>
        <v>0</v>
      </c>
      <c r="BP114" s="280">
        <f t="shared" si="200"/>
        <v>0</v>
      </c>
      <c r="BQ114" s="280">
        <f t="shared" si="200"/>
        <v>0</v>
      </c>
      <c r="BR114" s="280">
        <f t="shared" si="200"/>
        <v>0</v>
      </c>
      <c r="BS114" s="280">
        <f t="shared" si="200"/>
        <v>0</v>
      </c>
      <c r="BT114" s="294">
        <f t="shared" si="145"/>
        <v>0</v>
      </c>
    </row>
    <row r="115" spans="2:72" ht="15.75" customHeight="1">
      <c r="C115" s="106"/>
      <c r="D115" s="106"/>
      <c r="E115" s="92"/>
      <c r="F115" s="92">
        <f t="shared" si="136"/>
        <v>0</v>
      </c>
      <c r="H115" s="280">
        <f t="shared" ref="H115:S115" si="201">H43*16*4/128/31</f>
        <v>0</v>
      </c>
      <c r="I115" s="280">
        <f t="shared" si="201"/>
        <v>0</v>
      </c>
      <c r="J115" s="280">
        <f t="shared" si="201"/>
        <v>0</v>
      </c>
      <c r="K115" s="280">
        <f t="shared" si="201"/>
        <v>0</v>
      </c>
      <c r="L115" s="280">
        <f t="shared" si="201"/>
        <v>0</v>
      </c>
      <c r="M115" s="280">
        <f t="shared" si="201"/>
        <v>0</v>
      </c>
      <c r="N115" s="280">
        <f t="shared" si="201"/>
        <v>0</v>
      </c>
      <c r="O115" s="280">
        <f t="shared" si="201"/>
        <v>0</v>
      </c>
      <c r="P115" s="280">
        <f t="shared" si="201"/>
        <v>0</v>
      </c>
      <c r="Q115" s="280">
        <f t="shared" si="201"/>
        <v>0</v>
      </c>
      <c r="R115" s="280">
        <f t="shared" si="201"/>
        <v>0</v>
      </c>
      <c r="S115" s="280">
        <f t="shared" si="201"/>
        <v>0</v>
      </c>
      <c r="T115" s="294">
        <f>SUM(H115:S115)</f>
        <v>0</v>
      </c>
      <c r="U115" s="280">
        <f t="shared" ref="U115:AF115" si="202">U43*16*4/128/31</f>
        <v>0</v>
      </c>
      <c r="V115" s="280">
        <f t="shared" si="202"/>
        <v>0</v>
      </c>
      <c r="W115" s="280">
        <f t="shared" si="202"/>
        <v>0</v>
      </c>
      <c r="X115" s="280">
        <f t="shared" si="202"/>
        <v>0</v>
      </c>
      <c r="Y115" s="280">
        <f t="shared" si="202"/>
        <v>0</v>
      </c>
      <c r="Z115" s="280">
        <f t="shared" si="202"/>
        <v>0</v>
      </c>
      <c r="AA115" s="280">
        <f t="shared" si="202"/>
        <v>0</v>
      </c>
      <c r="AB115" s="280">
        <f t="shared" si="202"/>
        <v>0</v>
      </c>
      <c r="AC115" s="280">
        <f t="shared" si="202"/>
        <v>0</v>
      </c>
      <c r="AD115" s="280">
        <f t="shared" si="202"/>
        <v>0</v>
      </c>
      <c r="AE115" s="280">
        <f t="shared" si="202"/>
        <v>0</v>
      </c>
      <c r="AF115" s="280">
        <f t="shared" si="202"/>
        <v>0</v>
      </c>
      <c r="AG115" s="294">
        <f t="shared" si="139"/>
        <v>0</v>
      </c>
      <c r="AH115" s="280">
        <f t="shared" ref="AH115:AS115" si="203">AH43*16*4/128/31</f>
        <v>0</v>
      </c>
      <c r="AI115" s="280">
        <f t="shared" si="203"/>
        <v>0</v>
      </c>
      <c r="AJ115" s="280">
        <f t="shared" si="203"/>
        <v>0</v>
      </c>
      <c r="AK115" s="280">
        <f t="shared" si="203"/>
        <v>0</v>
      </c>
      <c r="AL115" s="280">
        <f t="shared" si="203"/>
        <v>0</v>
      </c>
      <c r="AM115" s="280">
        <f t="shared" si="203"/>
        <v>0</v>
      </c>
      <c r="AN115" s="280">
        <f t="shared" si="203"/>
        <v>0</v>
      </c>
      <c r="AO115" s="280">
        <f t="shared" si="203"/>
        <v>0</v>
      </c>
      <c r="AP115" s="280">
        <f t="shared" si="203"/>
        <v>0</v>
      </c>
      <c r="AQ115" s="280">
        <f t="shared" si="203"/>
        <v>0</v>
      </c>
      <c r="AR115" s="280">
        <f t="shared" si="203"/>
        <v>0</v>
      </c>
      <c r="AS115" s="280">
        <f t="shared" si="203"/>
        <v>0</v>
      </c>
      <c r="AT115" s="294">
        <f t="shared" si="141"/>
        <v>0</v>
      </c>
      <c r="AU115" s="280">
        <f t="shared" ref="AU115:BF115" si="204">AU43*16*4/128/31</f>
        <v>0</v>
      </c>
      <c r="AV115" s="280">
        <f t="shared" si="204"/>
        <v>0</v>
      </c>
      <c r="AW115" s="280">
        <f t="shared" si="204"/>
        <v>0</v>
      </c>
      <c r="AX115" s="280">
        <f t="shared" si="204"/>
        <v>0</v>
      </c>
      <c r="AY115" s="280">
        <f t="shared" si="204"/>
        <v>0</v>
      </c>
      <c r="AZ115" s="280">
        <f t="shared" si="204"/>
        <v>0</v>
      </c>
      <c r="BA115" s="280">
        <f t="shared" si="204"/>
        <v>0</v>
      </c>
      <c r="BB115" s="280">
        <f t="shared" si="204"/>
        <v>0</v>
      </c>
      <c r="BC115" s="280">
        <f t="shared" si="204"/>
        <v>0</v>
      </c>
      <c r="BD115" s="280">
        <f t="shared" si="204"/>
        <v>0</v>
      </c>
      <c r="BE115" s="280">
        <f t="shared" si="204"/>
        <v>0</v>
      </c>
      <c r="BF115" s="280">
        <f t="shared" si="204"/>
        <v>0</v>
      </c>
      <c r="BG115" s="294">
        <f t="shared" si="143"/>
        <v>0</v>
      </c>
      <c r="BH115" s="280">
        <f t="shared" ref="BH115:BS115" si="205">BH43*16*4/128/31</f>
        <v>0</v>
      </c>
      <c r="BI115" s="280">
        <f t="shared" si="205"/>
        <v>0</v>
      </c>
      <c r="BJ115" s="280">
        <f t="shared" si="205"/>
        <v>0</v>
      </c>
      <c r="BK115" s="280">
        <f t="shared" si="205"/>
        <v>0</v>
      </c>
      <c r="BL115" s="280">
        <f t="shared" si="205"/>
        <v>0</v>
      </c>
      <c r="BM115" s="280">
        <f t="shared" si="205"/>
        <v>0</v>
      </c>
      <c r="BN115" s="280">
        <f t="shared" si="205"/>
        <v>0</v>
      </c>
      <c r="BO115" s="280">
        <f t="shared" si="205"/>
        <v>0</v>
      </c>
      <c r="BP115" s="280">
        <f t="shared" si="205"/>
        <v>0</v>
      </c>
      <c r="BQ115" s="280">
        <f t="shared" si="205"/>
        <v>0</v>
      </c>
      <c r="BR115" s="280">
        <f t="shared" si="205"/>
        <v>0</v>
      </c>
      <c r="BS115" s="280">
        <f t="shared" si="205"/>
        <v>0</v>
      </c>
      <c r="BT115" s="294">
        <f t="shared" si="145"/>
        <v>0</v>
      </c>
    </row>
    <row r="116" spans="2:72" ht="15.75" customHeight="1">
      <c r="C116" s="106"/>
      <c r="D116" s="106"/>
      <c r="E116" s="92"/>
      <c r="F116" s="92"/>
      <c r="U116"/>
      <c r="AH116"/>
      <c r="AU116"/>
      <c r="BH116"/>
      <c r="BT116" s="265"/>
    </row>
    <row r="117" spans="2:72" ht="15.75" customHeight="1">
      <c r="F117" s="282" t="s">
        <v>521</v>
      </c>
      <c r="H117" s="280">
        <f>SUM(H103:H112,H87:H96)</f>
        <v>15.061307896205356</v>
      </c>
      <c r="I117" s="280">
        <f t="shared" ref="I117:S117" si="206">SUM(I103:I112,I87:I96)</f>
        <v>16.01276148642263</v>
      </c>
      <c r="J117" s="280">
        <f t="shared" si="206"/>
        <v>22.591961844308042</v>
      </c>
      <c r="K117" s="280">
        <f t="shared" si="206"/>
        <v>26.721675299719188</v>
      </c>
      <c r="L117" s="280">
        <f t="shared" si="206"/>
        <v>30.122615792410713</v>
      </c>
      <c r="M117" s="280">
        <f t="shared" si="206"/>
        <v>30.365540113317248</v>
      </c>
      <c r="N117" s="280">
        <f t="shared" si="206"/>
        <v>31.37772478376116</v>
      </c>
      <c r="O117" s="280">
        <f t="shared" si="206"/>
        <v>30.122615792410713</v>
      </c>
      <c r="P117" s="280">
        <f t="shared" si="206"/>
        <v>26.721675299719188</v>
      </c>
      <c r="Q117" s="280">
        <f t="shared" si="206"/>
        <v>25.102179827008925</v>
      </c>
      <c r="R117" s="280">
        <f t="shared" si="206"/>
        <v>21.863188881588417</v>
      </c>
      <c r="S117" s="280">
        <f t="shared" si="206"/>
        <v>20.081743861607141</v>
      </c>
      <c r="T117" s="280">
        <f>SUM(H117:S117)</f>
        <v>296.14499087847872</v>
      </c>
      <c r="U117" s="280">
        <f>SUM(U103:U112,U87:U96)</f>
        <v>18.826634870256694</v>
      </c>
      <c r="V117" s="280">
        <f t="shared" ref="V117:AF117" si="207">SUM(V103:V112,V87:V96)</f>
        <v>20.015951858028288</v>
      </c>
      <c r="W117" s="280">
        <f t="shared" si="207"/>
        <v>28.239952305385039</v>
      </c>
      <c r="X117" s="280">
        <f t="shared" si="207"/>
        <v>33.402094124648983</v>
      </c>
      <c r="Y117" s="280">
        <f t="shared" si="207"/>
        <v>37.653269740513387</v>
      </c>
      <c r="Z117" s="280">
        <f t="shared" si="207"/>
        <v>37.956925141646551</v>
      </c>
      <c r="AA117" s="280">
        <f t="shared" si="207"/>
        <v>39.222155979701441</v>
      </c>
      <c r="AB117" s="280">
        <f t="shared" si="207"/>
        <v>37.653269740513387</v>
      </c>
      <c r="AC117" s="280">
        <f t="shared" si="207"/>
        <v>33.402094124648983</v>
      </c>
      <c r="AD117" s="280">
        <f t="shared" si="207"/>
        <v>31.377724783761167</v>
      </c>
      <c r="AE117" s="280">
        <f t="shared" si="207"/>
        <v>27.328986101985528</v>
      </c>
      <c r="AF117" s="280">
        <f t="shared" si="207"/>
        <v>25.102179827008925</v>
      </c>
      <c r="AG117" s="280">
        <f>SUM(U117:AF117)</f>
        <v>370.18123859809833</v>
      </c>
      <c r="AH117" s="280">
        <f>SUM(AH103:AH112,AH87:AH96)</f>
        <v>21.650630100795198</v>
      </c>
      <c r="AI117" s="280">
        <f t="shared" ref="AI117:AS117" si="208">SUM(AI103:AI112,AI87:AI96)</f>
        <v>23.018344636732532</v>
      </c>
      <c r="AJ117" s="280">
        <f t="shared" si="208"/>
        <v>32.475945151192803</v>
      </c>
      <c r="AK117" s="280">
        <f t="shared" si="208"/>
        <v>38.412408243346327</v>
      </c>
      <c r="AL117" s="280">
        <f t="shared" si="208"/>
        <v>43.301260201590395</v>
      </c>
      <c r="AM117" s="280">
        <f t="shared" si="208"/>
        <v>43.650463912893535</v>
      </c>
      <c r="AN117" s="280">
        <f t="shared" si="208"/>
        <v>45.105479376656668</v>
      </c>
      <c r="AO117" s="280">
        <f t="shared" si="208"/>
        <v>43.301260201590395</v>
      </c>
      <c r="AP117" s="280">
        <f t="shared" si="208"/>
        <v>38.412408243346327</v>
      </c>
      <c r="AQ117" s="280">
        <f t="shared" si="208"/>
        <v>36.084383501325327</v>
      </c>
      <c r="AR117" s="280">
        <f t="shared" si="208"/>
        <v>31.428334017283358</v>
      </c>
      <c r="AS117" s="280">
        <f t="shared" si="208"/>
        <v>28.867506801060262</v>
      </c>
      <c r="AT117" s="280">
        <f>SUM(AH117:AS117)</f>
        <v>425.70842438781307</v>
      </c>
      <c r="AU117" s="280">
        <f>SUM(AU103:AU112,AU87:AU96)</f>
        <v>23.815693110874719</v>
      </c>
      <c r="AV117" s="280">
        <f t="shared" ref="AV117:BF117" si="209">SUM(AV103:AV112,AV87:AV96)</f>
        <v>25.320179100405781</v>
      </c>
      <c r="AW117" s="280">
        <f t="shared" si="209"/>
        <v>35.723539666312078</v>
      </c>
      <c r="AX117" s="280">
        <f t="shared" si="209"/>
        <v>42.253649067680954</v>
      </c>
      <c r="AY117" s="280">
        <f t="shared" si="209"/>
        <v>47.631386221749437</v>
      </c>
      <c r="AZ117" s="280">
        <f t="shared" si="209"/>
        <v>48.015510304182889</v>
      </c>
      <c r="BA117" s="280">
        <f t="shared" si="209"/>
        <v>49.616027314322338</v>
      </c>
      <c r="BB117" s="280">
        <f t="shared" si="209"/>
        <v>47.631386221749437</v>
      </c>
      <c r="BC117" s="280">
        <f t="shared" si="209"/>
        <v>42.253649067680954</v>
      </c>
      <c r="BD117" s="280">
        <f t="shared" si="209"/>
        <v>39.692821851457879</v>
      </c>
      <c r="BE117" s="280">
        <f t="shared" si="209"/>
        <v>34.571167419011687</v>
      </c>
      <c r="BF117" s="280">
        <f t="shared" si="209"/>
        <v>31.754257481166295</v>
      </c>
      <c r="BG117" s="280">
        <f>SUM(AU117:BF117)</f>
        <v>468.27926682659449</v>
      </c>
      <c r="BH117" s="280">
        <f>SUM(BH103:BH112,BH87:BH96)</f>
        <v>26.197262421962193</v>
      </c>
      <c r="BI117" s="280">
        <f t="shared" ref="BI117:BS117" si="210">SUM(BI103:BI112,BI87:BI96)</f>
        <v>27.852197010446371</v>
      </c>
      <c r="BJ117" s="280">
        <f t="shared" si="210"/>
        <v>39.29589363294329</v>
      </c>
      <c r="BK117" s="280">
        <f t="shared" si="210"/>
        <v>46.479013974449039</v>
      </c>
      <c r="BL117" s="280">
        <f t="shared" si="210"/>
        <v>52.394524843924387</v>
      </c>
      <c r="BM117" s="280">
        <f t="shared" si="210"/>
        <v>52.817061334601192</v>
      </c>
      <c r="BN117" s="280">
        <f t="shared" si="210"/>
        <v>54.577630045754567</v>
      </c>
      <c r="BO117" s="280">
        <f t="shared" si="210"/>
        <v>52.394524843924387</v>
      </c>
      <c r="BP117" s="280">
        <f t="shared" si="210"/>
        <v>46.479013974449039</v>
      </c>
      <c r="BQ117" s="280">
        <f t="shared" si="210"/>
        <v>43.662104036603665</v>
      </c>
      <c r="BR117" s="280">
        <f t="shared" si="210"/>
        <v>38.028284160912861</v>
      </c>
      <c r="BS117" s="280">
        <f t="shared" si="210"/>
        <v>34.929683229282929</v>
      </c>
      <c r="BT117" s="280">
        <f>SUM(BH117:BS117)</f>
        <v>515.10719350925399</v>
      </c>
    </row>
    <row r="118" spans="2:72" ht="15.75" customHeight="1"/>
    <row r="119" spans="2:72" ht="15.75" customHeight="1"/>
    <row r="120" spans="2:72" ht="15.75" customHeight="1">
      <c r="C120" s="275" t="s">
        <v>629</v>
      </c>
      <c r="D120" s="275"/>
      <c r="E120" s="92"/>
      <c r="F120" s="92"/>
    </row>
    <row r="121" spans="2:72" ht="15.75" customHeight="1">
      <c r="B121" s="358" t="s">
        <v>630</v>
      </c>
      <c r="C121" s="106"/>
      <c r="D121" s="106"/>
      <c r="E121" s="92"/>
      <c r="F121" s="92" t="str">
        <f t="shared" ref="F121:F124" si="211">F87</f>
        <v>Core 1 - Lager</v>
      </c>
      <c r="H121" s="280">
        <f>H87*$B$122</f>
        <v>0.28979062500000002</v>
      </c>
      <c r="I121" s="280">
        <f t="shared" ref="I121:S121" si="212">I87*$B$122</f>
        <v>0.30809729082661286</v>
      </c>
      <c r="J121" s="280">
        <f t="shared" si="212"/>
        <v>0.43468593750000006</v>
      </c>
      <c r="K121" s="280">
        <f t="shared" si="212"/>
        <v>0.51414465725806457</v>
      </c>
      <c r="L121" s="280">
        <f t="shared" si="212"/>
        <v>0.57958125000000005</v>
      </c>
      <c r="M121" s="280">
        <f t="shared" si="212"/>
        <v>0.58425529233870976</v>
      </c>
      <c r="N121" s="280">
        <f t="shared" si="212"/>
        <v>0.60373046875000003</v>
      </c>
      <c r="O121" s="280">
        <f t="shared" si="212"/>
        <v>0.57958125000000005</v>
      </c>
      <c r="P121" s="280">
        <f t="shared" si="212"/>
        <v>0.51414465725806457</v>
      </c>
      <c r="Q121" s="280">
        <f t="shared" si="212"/>
        <v>0.48298437500000002</v>
      </c>
      <c r="R121" s="280">
        <f t="shared" si="212"/>
        <v>0.42066381048387091</v>
      </c>
      <c r="S121" s="280">
        <f t="shared" si="212"/>
        <v>0.38638750000000011</v>
      </c>
      <c r="T121" s="294">
        <f t="shared" ref="T121:T124" si="213">SUM(H121:S121)</f>
        <v>5.6980471144153224</v>
      </c>
      <c r="U121" s="280">
        <f>U87*$B$122</f>
        <v>0.36223828124999996</v>
      </c>
      <c r="V121" s="280">
        <f t="shared" ref="V121:AF121" si="214">V87*$B$122</f>
        <v>0.38512161353326607</v>
      </c>
      <c r="W121" s="280">
        <f t="shared" si="214"/>
        <v>0.54335742187500002</v>
      </c>
      <c r="X121" s="280">
        <f t="shared" si="214"/>
        <v>0.64268082157258066</v>
      </c>
      <c r="Y121" s="280">
        <f t="shared" si="214"/>
        <v>0.72447656249999992</v>
      </c>
      <c r="Z121" s="280">
        <f t="shared" si="214"/>
        <v>0.73031911542338701</v>
      </c>
      <c r="AA121" s="280">
        <f t="shared" si="214"/>
        <v>0.75466308593750009</v>
      </c>
      <c r="AB121" s="280">
        <f t="shared" si="214"/>
        <v>0.72447656249999992</v>
      </c>
      <c r="AC121" s="280">
        <f t="shared" si="214"/>
        <v>0.64268082157258066</v>
      </c>
      <c r="AD121" s="280">
        <f t="shared" si="214"/>
        <v>0.60373046875000014</v>
      </c>
      <c r="AE121" s="280">
        <f t="shared" si="214"/>
        <v>0.52582976310483864</v>
      </c>
      <c r="AF121" s="280">
        <f t="shared" si="214"/>
        <v>0.48298437500000002</v>
      </c>
      <c r="AG121" s="294">
        <f t="shared" ref="AG121:AG124" si="215">SUM(U121:AF121)</f>
        <v>7.1225588930191535</v>
      </c>
      <c r="AH121" s="280">
        <f>AH87*$B$122</f>
        <v>0.41657402343749994</v>
      </c>
      <c r="AI121" s="280">
        <f t="shared" ref="AI121:AS121" si="216">AI87*$B$122</f>
        <v>0.442889855563256</v>
      </c>
      <c r="AJ121" s="280">
        <f t="shared" si="216"/>
        <v>0.62486103515625002</v>
      </c>
      <c r="AK121" s="280">
        <f t="shared" si="216"/>
        <v>0.7390829448084677</v>
      </c>
      <c r="AL121" s="280">
        <f t="shared" si="216"/>
        <v>0.83314804687499988</v>
      </c>
      <c r="AM121" s="280">
        <f t="shared" si="216"/>
        <v>0.83986698273689508</v>
      </c>
      <c r="AN121" s="280">
        <f t="shared" si="216"/>
        <v>0.86786254882812486</v>
      </c>
      <c r="AO121" s="280">
        <f t="shared" si="216"/>
        <v>0.83314804687499988</v>
      </c>
      <c r="AP121" s="280">
        <f t="shared" si="216"/>
        <v>0.7390829448084677</v>
      </c>
      <c r="AQ121" s="280">
        <f t="shared" si="216"/>
        <v>0.69429003906249998</v>
      </c>
      <c r="AR121" s="280">
        <f t="shared" si="216"/>
        <v>0.60470422757056452</v>
      </c>
      <c r="AS121" s="280">
        <f t="shared" si="216"/>
        <v>0.55543203124999996</v>
      </c>
      <c r="AT121" s="294">
        <f t="shared" ref="AT121:AT124" si="217">SUM(AH121:AS121)</f>
        <v>8.1909427269720254</v>
      </c>
      <c r="AU121" s="280">
        <f>AU87*$B$122</f>
        <v>0.45823142578124998</v>
      </c>
      <c r="AV121" s="280">
        <f t="shared" ref="AV121:BF121" si="218">AV87*$B$122</f>
        <v>0.4871788411195816</v>
      </c>
      <c r="AW121" s="280">
        <f t="shared" si="218"/>
        <v>0.68734713867187514</v>
      </c>
      <c r="AX121" s="280">
        <f t="shared" si="218"/>
        <v>0.81299123928931449</v>
      </c>
      <c r="AY121" s="280">
        <f t="shared" si="218"/>
        <v>0.91646285156249996</v>
      </c>
      <c r="AZ121" s="280">
        <f t="shared" si="218"/>
        <v>0.92385368101058474</v>
      </c>
      <c r="BA121" s="280">
        <f t="shared" si="218"/>
        <v>0.95464880371093752</v>
      </c>
      <c r="BB121" s="280">
        <f t="shared" si="218"/>
        <v>0.91646285156249996</v>
      </c>
      <c r="BC121" s="280">
        <f t="shared" si="218"/>
        <v>0.81299123928931449</v>
      </c>
      <c r="BD121" s="280">
        <f t="shared" si="218"/>
        <v>0.76371904296875015</v>
      </c>
      <c r="BE121" s="280">
        <f t="shared" si="218"/>
        <v>0.66517465032762102</v>
      </c>
      <c r="BF121" s="280">
        <f t="shared" si="218"/>
        <v>0.61097523437500001</v>
      </c>
      <c r="BG121" s="294">
        <f t="shared" ref="BG121:BG124" si="219">SUM(AU121:BF121)</f>
        <v>9.0100369996692287</v>
      </c>
      <c r="BH121" s="280">
        <f>BH87*$B$122</f>
        <v>0.50405456835937501</v>
      </c>
      <c r="BI121" s="280">
        <f t="shared" ref="BI121:BS121" si="220">BI87*$B$122</f>
        <v>0.53589672523153986</v>
      </c>
      <c r="BJ121" s="280">
        <f t="shared" si="220"/>
        <v>0.75608185253906246</v>
      </c>
      <c r="BK121" s="280">
        <f t="shared" si="220"/>
        <v>0.89429036321824595</v>
      </c>
      <c r="BL121" s="280">
        <f t="shared" si="220"/>
        <v>1.00810913671875</v>
      </c>
      <c r="BM121" s="280">
        <f t="shared" si="220"/>
        <v>1.0162390491116431</v>
      </c>
      <c r="BN121" s="280">
        <f t="shared" si="220"/>
        <v>1.0501136840820313</v>
      </c>
      <c r="BO121" s="280">
        <f t="shared" si="220"/>
        <v>1.00810913671875</v>
      </c>
      <c r="BP121" s="280">
        <f t="shared" si="220"/>
        <v>0.89429036321824595</v>
      </c>
      <c r="BQ121" s="280">
        <f t="shared" si="220"/>
        <v>0.84009094726562505</v>
      </c>
      <c r="BR121" s="280">
        <f t="shared" si="220"/>
        <v>0.73169211536038326</v>
      </c>
      <c r="BS121" s="280">
        <f t="shared" si="220"/>
        <v>0.67207275781250009</v>
      </c>
      <c r="BT121" s="294">
        <f t="shared" ref="BT121:BT124" si="221">SUM(BH121:BS121)</f>
        <v>9.9110406996361551</v>
      </c>
    </row>
    <row r="122" spans="2:72" ht="15.75" customHeight="1">
      <c r="B122" s="267">
        <v>0.1</v>
      </c>
      <c r="C122" s="106"/>
      <c r="D122" s="106"/>
      <c r="E122" s="92"/>
      <c r="F122" s="92" t="str">
        <f t="shared" si="211"/>
        <v>Core 2 - Hoppy Pale</v>
      </c>
      <c r="H122" s="280">
        <f t="shared" ref="H122:S122" si="222">H88*$B$122</f>
        <v>0.43468593750000006</v>
      </c>
      <c r="I122" s="280">
        <f t="shared" si="222"/>
        <v>0.46214593623991923</v>
      </c>
      <c r="J122" s="280">
        <f t="shared" si="222"/>
        <v>0.65202890624999998</v>
      </c>
      <c r="K122" s="280">
        <f t="shared" si="222"/>
        <v>0.77121698588709675</v>
      </c>
      <c r="L122" s="280">
        <f t="shared" si="222"/>
        <v>0.86937187500000013</v>
      </c>
      <c r="M122" s="280">
        <f t="shared" si="222"/>
        <v>0.87638293850806448</v>
      </c>
      <c r="N122" s="280">
        <f t="shared" si="222"/>
        <v>0.90559570312499982</v>
      </c>
      <c r="O122" s="280">
        <f t="shared" si="222"/>
        <v>0.86937187500000013</v>
      </c>
      <c r="P122" s="280">
        <f t="shared" si="222"/>
        <v>0.77121698588709675</v>
      </c>
      <c r="Q122" s="280">
        <f t="shared" si="222"/>
        <v>0.72447656249999992</v>
      </c>
      <c r="R122" s="280">
        <f t="shared" si="222"/>
        <v>0.63099571572580637</v>
      </c>
      <c r="S122" s="280">
        <f t="shared" si="222"/>
        <v>0.57958125000000005</v>
      </c>
      <c r="T122" s="294">
        <f t="shared" si="213"/>
        <v>8.5470706716229845</v>
      </c>
      <c r="U122" s="280">
        <f t="shared" ref="U122:AF122" si="223">U88*$B$122</f>
        <v>0.54335742187500002</v>
      </c>
      <c r="V122" s="280">
        <f t="shared" si="223"/>
        <v>0.57768242029989902</v>
      </c>
      <c r="W122" s="280">
        <f t="shared" si="223"/>
        <v>0.81503613281249998</v>
      </c>
      <c r="X122" s="280">
        <f t="shared" si="223"/>
        <v>0.96402123235887083</v>
      </c>
      <c r="Y122" s="280">
        <f t="shared" si="223"/>
        <v>1.08671484375</v>
      </c>
      <c r="Z122" s="280">
        <f t="shared" si="223"/>
        <v>1.0954786731350803</v>
      </c>
      <c r="AA122" s="280">
        <f t="shared" si="223"/>
        <v>1.1319946289062499</v>
      </c>
      <c r="AB122" s="280">
        <f t="shared" si="223"/>
        <v>1.08671484375</v>
      </c>
      <c r="AC122" s="280">
        <f t="shared" si="223"/>
        <v>0.96402123235887083</v>
      </c>
      <c r="AD122" s="280">
        <f t="shared" si="223"/>
        <v>0.90559570312499993</v>
      </c>
      <c r="AE122" s="280">
        <f t="shared" si="223"/>
        <v>0.78874464465725813</v>
      </c>
      <c r="AF122" s="280">
        <f t="shared" si="223"/>
        <v>0.72447656249999992</v>
      </c>
      <c r="AG122" s="294">
        <f t="shared" si="215"/>
        <v>10.683838339528728</v>
      </c>
      <c r="AH122" s="280">
        <f t="shared" ref="AH122:AS122" si="224">AH88*$B$122</f>
        <v>0.62486103515625002</v>
      </c>
      <c r="AI122" s="280">
        <f t="shared" si="224"/>
        <v>0.66433478334488394</v>
      </c>
      <c r="AJ122" s="280">
        <f t="shared" si="224"/>
        <v>0.93729155273437481</v>
      </c>
      <c r="AK122" s="280">
        <f t="shared" si="224"/>
        <v>1.1086244172127013</v>
      </c>
      <c r="AL122" s="280">
        <f t="shared" si="224"/>
        <v>1.2497220703125</v>
      </c>
      <c r="AM122" s="280">
        <f t="shared" si="224"/>
        <v>1.2598004741053423</v>
      </c>
      <c r="AN122" s="280">
        <f t="shared" si="224"/>
        <v>1.3017938232421873</v>
      </c>
      <c r="AO122" s="280">
        <f t="shared" si="224"/>
        <v>1.2497220703125</v>
      </c>
      <c r="AP122" s="280">
        <f t="shared" si="224"/>
        <v>1.1086244172127013</v>
      </c>
      <c r="AQ122" s="280">
        <f t="shared" si="224"/>
        <v>1.04143505859375</v>
      </c>
      <c r="AR122" s="280">
        <f t="shared" si="224"/>
        <v>0.90705634135584678</v>
      </c>
      <c r="AS122" s="280">
        <f t="shared" si="224"/>
        <v>0.83314804687499988</v>
      </c>
      <c r="AT122" s="294">
        <f t="shared" si="217"/>
        <v>12.286414090458038</v>
      </c>
      <c r="AU122" s="280">
        <f t="shared" ref="AU122:BF122" si="225">AU88*$B$122</f>
        <v>0.68734713867187514</v>
      </c>
      <c r="AV122" s="280">
        <f t="shared" si="225"/>
        <v>0.73076826167937237</v>
      </c>
      <c r="AW122" s="280">
        <f t="shared" si="225"/>
        <v>1.0310207080078124</v>
      </c>
      <c r="AX122" s="280">
        <f t="shared" si="225"/>
        <v>1.2194868589339718</v>
      </c>
      <c r="AY122" s="280">
        <f t="shared" si="225"/>
        <v>1.3746942773437503</v>
      </c>
      <c r="AZ122" s="280">
        <f t="shared" si="225"/>
        <v>1.3857805215158765</v>
      </c>
      <c r="BA122" s="280">
        <f t="shared" si="225"/>
        <v>1.4319732055664058</v>
      </c>
      <c r="BB122" s="280">
        <f t="shared" si="225"/>
        <v>1.3746942773437503</v>
      </c>
      <c r="BC122" s="280">
        <f t="shared" si="225"/>
        <v>1.2194868589339718</v>
      </c>
      <c r="BD122" s="280">
        <f t="shared" si="225"/>
        <v>1.1455785644531251</v>
      </c>
      <c r="BE122" s="280">
        <f t="shared" si="225"/>
        <v>0.99776197549143175</v>
      </c>
      <c r="BF122" s="280">
        <f t="shared" si="225"/>
        <v>0.91646285156249996</v>
      </c>
      <c r="BG122" s="294">
        <f t="shared" si="219"/>
        <v>13.515055499503841</v>
      </c>
      <c r="BH122" s="280">
        <f t="shared" ref="BH122:BS122" si="226">BH88*$B$122</f>
        <v>0.75608185253906246</v>
      </c>
      <c r="BI122" s="280">
        <f t="shared" si="226"/>
        <v>0.80384508784730968</v>
      </c>
      <c r="BJ122" s="280">
        <f t="shared" si="226"/>
        <v>1.1341227788085937</v>
      </c>
      <c r="BK122" s="280">
        <f t="shared" si="226"/>
        <v>1.3414355448273689</v>
      </c>
      <c r="BL122" s="280">
        <f t="shared" si="226"/>
        <v>1.5121637050781249</v>
      </c>
      <c r="BM122" s="280">
        <f t="shared" si="226"/>
        <v>1.5243585736674643</v>
      </c>
      <c r="BN122" s="280">
        <f t="shared" si="226"/>
        <v>1.5751705261230464</v>
      </c>
      <c r="BO122" s="280">
        <f t="shared" si="226"/>
        <v>1.5121637050781249</v>
      </c>
      <c r="BP122" s="280">
        <f t="shared" si="226"/>
        <v>1.3414355448273689</v>
      </c>
      <c r="BQ122" s="280">
        <f t="shared" si="226"/>
        <v>1.2601364208984378</v>
      </c>
      <c r="BR122" s="280">
        <f t="shared" si="226"/>
        <v>1.0975381730405747</v>
      </c>
      <c r="BS122" s="280">
        <f t="shared" si="226"/>
        <v>1.00810913671875</v>
      </c>
      <c r="BT122" s="294">
        <f t="shared" si="221"/>
        <v>14.866561049454225</v>
      </c>
    </row>
    <row r="123" spans="2:72" ht="15.75" customHeight="1">
      <c r="C123" s="106"/>
      <c r="D123" s="106"/>
      <c r="E123" s="92"/>
      <c r="F123" s="92" t="str">
        <f t="shared" si="211"/>
        <v>Core 3 - Red Ale</v>
      </c>
      <c r="H123" s="280">
        <f t="shared" ref="H123:S123" si="227">H89*$B$122</f>
        <v>0.11902114955357145</v>
      </c>
      <c r="I123" s="280">
        <f t="shared" si="227"/>
        <v>0.12653995873235885</v>
      </c>
      <c r="J123" s="280">
        <f t="shared" si="227"/>
        <v>0.17853172433035713</v>
      </c>
      <c r="K123" s="280">
        <f t="shared" si="227"/>
        <v>0.21116655565956224</v>
      </c>
      <c r="L123" s="280">
        <f t="shared" si="227"/>
        <v>0.23804229910714289</v>
      </c>
      <c r="M123" s="280">
        <f t="shared" si="227"/>
        <v>0.23996199506768431</v>
      </c>
      <c r="N123" s="280">
        <f t="shared" si="227"/>
        <v>0.24796072823660717</v>
      </c>
      <c r="O123" s="280">
        <f t="shared" si="227"/>
        <v>0.23804229910714289</v>
      </c>
      <c r="P123" s="280">
        <f t="shared" si="227"/>
        <v>0.21116655565956224</v>
      </c>
      <c r="Q123" s="280">
        <f t="shared" si="227"/>
        <v>0.19836858258928572</v>
      </c>
      <c r="R123" s="280">
        <f t="shared" si="227"/>
        <v>0.17277263644873272</v>
      </c>
      <c r="S123" s="280">
        <f t="shared" si="227"/>
        <v>0.15869486607142858</v>
      </c>
      <c r="T123" s="294">
        <f t="shared" si="213"/>
        <v>2.3402693505634362</v>
      </c>
      <c r="U123" s="280">
        <f t="shared" ref="U123:AF123" si="228">U89*$B$122</f>
        <v>0.14877643694196427</v>
      </c>
      <c r="V123" s="280">
        <f t="shared" si="228"/>
        <v>0.15817494841544857</v>
      </c>
      <c r="W123" s="280">
        <f t="shared" si="228"/>
        <v>0.22316465541294642</v>
      </c>
      <c r="X123" s="280">
        <f t="shared" si="228"/>
        <v>0.2639581945744528</v>
      </c>
      <c r="Y123" s="280">
        <f t="shared" si="228"/>
        <v>0.29755287388392854</v>
      </c>
      <c r="Z123" s="280">
        <f t="shared" si="228"/>
        <v>0.29995249383460543</v>
      </c>
      <c r="AA123" s="280">
        <f t="shared" si="228"/>
        <v>0.30995091029575894</v>
      </c>
      <c r="AB123" s="280">
        <f t="shared" si="228"/>
        <v>0.29755287388392854</v>
      </c>
      <c r="AC123" s="280">
        <f t="shared" si="228"/>
        <v>0.2639581945744528</v>
      </c>
      <c r="AD123" s="280">
        <f t="shared" si="228"/>
        <v>0.2479607282366072</v>
      </c>
      <c r="AE123" s="280">
        <f t="shared" si="228"/>
        <v>0.21596579556091591</v>
      </c>
      <c r="AF123" s="280">
        <f t="shared" si="228"/>
        <v>0.19836858258928572</v>
      </c>
      <c r="AG123" s="294">
        <f t="shared" si="215"/>
        <v>2.9253366882042955</v>
      </c>
      <c r="AH123" s="280">
        <f t="shared" ref="AH123:AS123" si="229">AH89*$B$122</f>
        <v>0.17109290248325892</v>
      </c>
      <c r="AI123" s="280">
        <f t="shared" si="229"/>
        <v>0.18190119067776586</v>
      </c>
      <c r="AJ123" s="280">
        <f t="shared" si="229"/>
        <v>0.25663935372488839</v>
      </c>
      <c r="AK123" s="280">
        <f t="shared" si="229"/>
        <v>0.30355192376062068</v>
      </c>
      <c r="AL123" s="280">
        <f t="shared" si="229"/>
        <v>0.34218580496651785</v>
      </c>
      <c r="AM123" s="280">
        <f t="shared" si="229"/>
        <v>0.34494536790979613</v>
      </c>
      <c r="AN123" s="280">
        <f t="shared" si="229"/>
        <v>0.35644354684012275</v>
      </c>
      <c r="AO123" s="280">
        <f t="shared" si="229"/>
        <v>0.34218580496651785</v>
      </c>
      <c r="AP123" s="280">
        <f t="shared" si="229"/>
        <v>0.30355192376062068</v>
      </c>
      <c r="AQ123" s="280">
        <f t="shared" si="229"/>
        <v>0.28515483747209819</v>
      </c>
      <c r="AR123" s="280">
        <f t="shared" si="229"/>
        <v>0.24836066489505326</v>
      </c>
      <c r="AS123" s="280">
        <f t="shared" si="229"/>
        <v>0.22812386997767856</v>
      </c>
      <c r="AT123" s="294">
        <f t="shared" si="217"/>
        <v>3.3641371914349389</v>
      </c>
      <c r="AU123" s="280">
        <f t="shared" ref="AU123:BF123" si="230">AU89*$B$122</f>
        <v>0.18820219273158481</v>
      </c>
      <c r="AV123" s="280">
        <f t="shared" si="230"/>
        <v>0.20009130974554248</v>
      </c>
      <c r="AW123" s="280">
        <f t="shared" si="230"/>
        <v>0.28230328909737729</v>
      </c>
      <c r="AX123" s="280">
        <f t="shared" si="230"/>
        <v>0.33390711613668278</v>
      </c>
      <c r="AY123" s="280">
        <f t="shared" si="230"/>
        <v>0.37640438546316962</v>
      </c>
      <c r="AZ123" s="280">
        <f t="shared" si="230"/>
        <v>0.37943990470077582</v>
      </c>
      <c r="BA123" s="280">
        <f t="shared" si="230"/>
        <v>0.39208790152413503</v>
      </c>
      <c r="BB123" s="280">
        <f t="shared" si="230"/>
        <v>0.37640438546316962</v>
      </c>
      <c r="BC123" s="280">
        <f t="shared" si="230"/>
        <v>0.33390711613668278</v>
      </c>
      <c r="BD123" s="280">
        <f t="shared" si="230"/>
        <v>0.3136703212193081</v>
      </c>
      <c r="BE123" s="280">
        <f t="shared" si="230"/>
        <v>0.27319673138455863</v>
      </c>
      <c r="BF123" s="280">
        <f t="shared" si="230"/>
        <v>0.25093625697544641</v>
      </c>
      <c r="BG123" s="294">
        <f t="shared" si="219"/>
        <v>3.7005509105784338</v>
      </c>
      <c r="BH123" s="280">
        <f t="shared" ref="BH123:BS123" si="231">BH89*$B$122</f>
        <v>0.20702241200474331</v>
      </c>
      <c r="BI123" s="280">
        <f t="shared" si="231"/>
        <v>0.22010044072009674</v>
      </c>
      <c r="BJ123" s="280">
        <f t="shared" si="231"/>
        <v>0.31053361800711499</v>
      </c>
      <c r="BK123" s="280">
        <f t="shared" si="231"/>
        <v>0.36729782775035102</v>
      </c>
      <c r="BL123" s="280">
        <f t="shared" si="231"/>
        <v>0.41404482400948661</v>
      </c>
      <c r="BM123" s="280">
        <f t="shared" si="231"/>
        <v>0.4173838951708535</v>
      </c>
      <c r="BN123" s="280">
        <f t="shared" si="231"/>
        <v>0.43129669167654855</v>
      </c>
      <c r="BO123" s="280">
        <f t="shared" si="231"/>
        <v>0.41404482400948661</v>
      </c>
      <c r="BP123" s="280">
        <f t="shared" si="231"/>
        <v>0.36729782775035102</v>
      </c>
      <c r="BQ123" s="280">
        <f t="shared" si="231"/>
        <v>0.34503735334123892</v>
      </c>
      <c r="BR123" s="280">
        <f t="shared" si="231"/>
        <v>0.30051640452301454</v>
      </c>
      <c r="BS123" s="280">
        <f t="shared" si="231"/>
        <v>0.27602988267299111</v>
      </c>
      <c r="BT123" s="294">
        <f t="shared" si="221"/>
        <v>4.0706060016362775</v>
      </c>
    </row>
    <row r="124" spans="2:72" ht="15.75" customHeight="1">
      <c r="C124" s="106"/>
      <c r="D124" s="106"/>
      <c r="E124" s="92"/>
      <c r="F124" s="92" t="str">
        <f t="shared" si="211"/>
        <v>Core 4 - Dark (Porter?)</v>
      </c>
      <c r="H124" s="280">
        <f t="shared" ref="H124:S124" si="232">H90*$B$122</f>
        <v>5.9510574776785723E-2</v>
      </c>
      <c r="I124" s="280">
        <f t="shared" si="232"/>
        <v>6.3269979366179424E-2</v>
      </c>
      <c r="J124" s="280">
        <f t="shared" si="232"/>
        <v>8.9265862165178567E-2</v>
      </c>
      <c r="K124" s="280">
        <f t="shared" si="232"/>
        <v>0.10558327782978112</v>
      </c>
      <c r="L124" s="280">
        <f t="shared" si="232"/>
        <v>0.11902114955357145</v>
      </c>
      <c r="M124" s="280">
        <f t="shared" si="232"/>
        <v>0.11998099753384216</v>
      </c>
      <c r="N124" s="280">
        <f t="shared" si="232"/>
        <v>0.12398036411830358</v>
      </c>
      <c r="O124" s="280">
        <f t="shared" si="232"/>
        <v>0.11902114955357145</v>
      </c>
      <c r="P124" s="280">
        <f t="shared" si="232"/>
        <v>0.10558327782978112</v>
      </c>
      <c r="Q124" s="280">
        <f t="shared" si="232"/>
        <v>9.918429129464286E-2</v>
      </c>
      <c r="R124" s="280">
        <f t="shared" si="232"/>
        <v>8.6386318224366362E-2</v>
      </c>
      <c r="S124" s="280">
        <f t="shared" si="232"/>
        <v>7.9347433035714288E-2</v>
      </c>
      <c r="T124" s="294">
        <f t="shared" si="213"/>
        <v>1.1701346752817181</v>
      </c>
      <c r="U124" s="280">
        <f t="shared" ref="U124:AF124" si="233">U90*$B$122</f>
        <v>7.4388218470982134E-2</v>
      </c>
      <c r="V124" s="280">
        <f t="shared" si="233"/>
        <v>7.9087474207724287E-2</v>
      </c>
      <c r="W124" s="280">
        <f t="shared" si="233"/>
        <v>0.11158232770647321</v>
      </c>
      <c r="X124" s="280">
        <f t="shared" si="233"/>
        <v>0.1319790972872264</v>
      </c>
      <c r="Y124" s="280">
        <f t="shared" si="233"/>
        <v>0.14877643694196427</v>
      </c>
      <c r="Z124" s="280">
        <f t="shared" si="233"/>
        <v>0.14997624691730271</v>
      </c>
      <c r="AA124" s="280">
        <f t="shared" si="233"/>
        <v>0.15497545514787947</v>
      </c>
      <c r="AB124" s="280">
        <f t="shared" si="233"/>
        <v>0.14877643694196427</v>
      </c>
      <c r="AC124" s="280">
        <f t="shared" si="233"/>
        <v>0.1319790972872264</v>
      </c>
      <c r="AD124" s="280">
        <f t="shared" si="233"/>
        <v>0.1239803641183036</v>
      </c>
      <c r="AE124" s="280">
        <f t="shared" si="233"/>
        <v>0.10798289778045796</v>
      </c>
      <c r="AF124" s="280">
        <f t="shared" si="233"/>
        <v>9.918429129464286E-2</v>
      </c>
      <c r="AG124" s="294">
        <f t="shared" si="215"/>
        <v>1.4626683441021477</v>
      </c>
      <c r="AH124" s="280">
        <f t="shared" ref="AH124:AS124" si="234">AH90*$B$122</f>
        <v>8.5546451241629462E-2</v>
      </c>
      <c r="AI124" s="280">
        <f t="shared" si="234"/>
        <v>9.0950595338882931E-2</v>
      </c>
      <c r="AJ124" s="280">
        <f t="shared" si="234"/>
        <v>0.12831967686244419</v>
      </c>
      <c r="AK124" s="280">
        <f t="shared" si="234"/>
        <v>0.15177596188031034</v>
      </c>
      <c r="AL124" s="280">
        <f t="shared" si="234"/>
        <v>0.17109290248325892</v>
      </c>
      <c r="AM124" s="280">
        <f t="shared" si="234"/>
        <v>0.17247268395489807</v>
      </c>
      <c r="AN124" s="280">
        <f t="shared" si="234"/>
        <v>0.17822177342006137</v>
      </c>
      <c r="AO124" s="280">
        <f t="shared" si="234"/>
        <v>0.17109290248325892</v>
      </c>
      <c r="AP124" s="280">
        <f t="shared" si="234"/>
        <v>0.15177596188031034</v>
      </c>
      <c r="AQ124" s="280">
        <f t="shared" si="234"/>
        <v>0.14257741873604909</v>
      </c>
      <c r="AR124" s="280">
        <f t="shared" si="234"/>
        <v>0.12418033244752663</v>
      </c>
      <c r="AS124" s="280">
        <f t="shared" si="234"/>
        <v>0.11406193498883928</v>
      </c>
      <c r="AT124" s="294">
        <f t="shared" si="217"/>
        <v>1.6820685957174695</v>
      </c>
      <c r="AU124" s="280">
        <f t="shared" ref="AU124:BF124" si="235">AU90*$B$122</f>
        <v>9.4101096365792405E-2</v>
      </c>
      <c r="AV124" s="280">
        <f t="shared" si="235"/>
        <v>0.10004565487277124</v>
      </c>
      <c r="AW124" s="280">
        <f t="shared" si="235"/>
        <v>0.14115164454868864</v>
      </c>
      <c r="AX124" s="280">
        <f t="shared" si="235"/>
        <v>0.16695355806834139</v>
      </c>
      <c r="AY124" s="280">
        <f t="shared" si="235"/>
        <v>0.18820219273158481</v>
      </c>
      <c r="AZ124" s="280">
        <f t="shared" si="235"/>
        <v>0.18971995235038791</v>
      </c>
      <c r="BA124" s="280">
        <f t="shared" si="235"/>
        <v>0.19604395076206751</v>
      </c>
      <c r="BB124" s="280">
        <f t="shared" si="235"/>
        <v>0.18820219273158481</v>
      </c>
      <c r="BC124" s="280">
        <f t="shared" si="235"/>
        <v>0.16695355806834139</v>
      </c>
      <c r="BD124" s="280">
        <f t="shared" si="235"/>
        <v>0.15683516060965405</v>
      </c>
      <c r="BE124" s="280">
        <f t="shared" si="235"/>
        <v>0.13659836569227932</v>
      </c>
      <c r="BF124" s="280">
        <f t="shared" si="235"/>
        <v>0.12546812848772321</v>
      </c>
      <c r="BG124" s="294">
        <f t="shared" si="219"/>
        <v>1.8502754552892169</v>
      </c>
      <c r="BH124" s="280">
        <f t="shared" ref="BH124:BS124" si="236">BH90*$B$122</f>
        <v>0.10351120600237165</v>
      </c>
      <c r="BI124" s="280">
        <f t="shared" si="236"/>
        <v>0.11005022036004837</v>
      </c>
      <c r="BJ124" s="280">
        <f t="shared" si="236"/>
        <v>0.15526680900355749</v>
      </c>
      <c r="BK124" s="280">
        <f t="shared" si="236"/>
        <v>0.18364891387517551</v>
      </c>
      <c r="BL124" s="280">
        <f t="shared" si="236"/>
        <v>0.20702241200474331</v>
      </c>
      <c r="BM124" s="280">
        <f t="shared" si="236"/>
        <v>0.20869194758542675</v>
      </c>
      <c r="BN124" s="280">
        <f t="shared" si="236"/>
        <v>0.21564834583827427</v>
      </c>
      <c r="BO124" s="280">
        <f t="shared" si="236"/>
        <v>0.20702241200474331</v>
      </c>
      <c r="BP124" s="280">
        <f t="shared" si="236"/>
        <v>0.18364891387517551</v>
      </c>
      <c r="BQ124" s="280">
        <f t="shared" si="236"/>
        <v>0.17251867667061946</v>
      </c>
      <c r="BR124" s="280">
        <f t="shared" si="236"/>
        <v>0.15025820226150727</v>
      </c>
      <c r="BS124" s="280">
        <f t="shared" si="236"/>
        <v>0.13801494133649556</v>
      </c>
      <c r="BT124" s="294">
        <f t="shared" si="221"/>
        <v>2.0353030008181388</v>
      </c>
    </row>
    <row r="125" spans="2:72" ht="15.75" customHeight="1">
      <c r="H125" s="360">
        <f>SUM(H121:H124)</f>
        <v>0.90300828683035717</v>
      </c>
      <c r="I125" s="360">
        <f t="shared" ref="I125:S125" si="237">SUM(I121:I124)</f>
        <v>0.96005316516507022</v>
      </c>
      <c r="J125" s="360">
        <f t="shared" si="237"/>
        <v>1.3545124302455358</v>
      </c>
      <c r="K125" s="360">
        <f t="shared" si="237"/>
        <v>1.6021114766345048</v>
      </c>
      <c r="L125" s="360">
        <f t="shared" si="237"/>
        <v>1.8060165736607143</v>
      </c>
      <c r="M125" s="360">
        <f t="shared" si="237"/>
        <v>1.8205812234483008</v>
      </c>
      <c r="N125" s="360">
        <f t="shared" si="237"/>
        <v>1.8812672642299104</v>
      </c>
      <c r="O125" s="360">
        <f t="shared" si="237"/>
        <v>1.8060165736607143</v>
      </c>
      <c r="P125" s="360">
        <f t="shared" si="237"/>
        <v>1.6021114766345048</v>
      </c>
      <c r="Q125" s="360">
        <f t="shared" si="237"/>
        <v>1.5050138113839286</v>
      </c>
      <c r="R125" s="360">
        <f t="shared" si="237"/>
        <v>1.3108184808827763</v>
      </c>
      <c r="S125" s="360">
        <f t="shared" si="237"/>
        <v>1.204011049107143</v>
      </c>
      <c r="U125"/>
      <c r="AH125"/>
      <c r="AU125"/>
      <c r="BH125"/>
      <c r="BT125" s="265"/>
    </row>
    <row r="126" spans="2:72" ht="15.75" customHeight="1">
      <c r="U126"/>
      <c r="AH126"/>
      <c r="AU126"/>
      <c r="BH126"/>
      <c r="BT126" s="265"/>
    </row>
    <row r="127" spans="2:72" ht="15.75" customHeight="1">
      <c r="C127" s="275" t="s">
        <v>631</v>
      </c>
      <c r="D127" s="275"/>
      <c r="E127" s="92"/>
      <c r="F127" s="92"/>
      <c r="G127" s="275" t="s">
        <v>644</v>
      </c>
      <c r="U127"/>
      <c r="AH127"/>
      <c r="AU127"/>
      <c r="BH127"/>
      <c r="BT127" s="265"/>
    </row>
    <row r="128" spans="2:72" ht="15.75" customHeight="1">
      <c r="B128" s="358"/>
      <c r="C128" s="106"/>
      <c r="D128" s="106"/>
      <c r="E128" s="92"/>
      <c r="F128" s="92" t="s">
        <v>509</v>
      </c>
      <c r="G128" s="359">
        <v>148</v>
      </c>
      <c r="H128" s="280">
        <f>H121*$G128*6</f>
        <v>257.33407500000004</v>
      </c>
      <c r="I128" s="280">
        <f t="shared" ref="I128:S128" si="238">I121*$G128*6</f>
        <v>273.59039425403222</v>
      </c>
      <c r="J128" s="280">
        <f t="shared" si="238"/>
        <v>386.00111250000009</v>
      </c>
      <c r="K128" s="280">
        <f t="shared" si="238"/>
        <v>456.56045564516137</v>
      </c>
      <c r="L128" s="280">
        <f t="shared" si="238"/>
        <v>514.66815000000008</v>
      </c>
      <c r="M128" s="280">
        <f t="shared" si="238"/>
        <v>518.8186995967742</v>
      </c>
      <c r="N128" s="280">
        <f t="shared" si="238"/>
        <v>536.11265624999999</v>
      </c>
      <c r="O128" s="280">
        <f t="shared" si="238"/>
        <v>514.66815000000008</v>
      </c>
      <c r="P128" s="280">
        <f t="shared" si="238"/>
        <v>456.56045564516137</v>
      </c>
      <c r="Q128" s="280">
        <f t="shared" si="238"/>
        <v>428.89012500000001</v>
      </c>
      <c r="R128" s="280">
        <f t="shared" si="238"/>
        <v>373.54946370967741</v>
      </c>
      <c r="S128" s="280">
        <f t="shared" si="238"/>
        <v>343.11210000000005</v>
      </c>
      <c r="T128" s="294">
        <f t="shared" ref="T128:T131" si="239">SUM(H128:S128)</f>
        <v>5059.865837600807</v>
      </c>
      <c r="U128" s="280">
        <f>U121*$G128*6</f>
        <v>321.66759374999998</v>
      </c>
      <c r="V128" s="280">
        <f t="shared" ref="V128:AF128" si="240">V121*$G128*6</f>
        <v>341.98799281754026</v>
      </c>
      <c r="W128" s="280">
        <f t="shared" si="240"/>
        <v>482.50139062500006</v>
      </c>
      <c r="X128" s="280">
        <f t="shared" si="240"/>
        <v>570.70056955645168</v>
      </c>
      <c r="Y128" s="280">
        <f t="shared" si="240"/>
        <v>643.33518749999996</v>
      </c>
      <c r="Z128" s="280">
        <f t="shared" si="240"/>
        <v>648.52337449596769</v>
      </c>
      <c r="AA128" s="280">
        <f t="shared" si="240"/>
        <v>670.14082031250007</v>
      </c>
      <c r="AB128" s="280">
        <f t="shared" si="240"/>
        <v>643.33518749999996</v>
      </c>
      <c r="AC128" s="280">
        <f t="shared" si="240"/>
        <v>570.70056955645168</v>
      </c>
      <c r="AD128" s="280">
        <f t="shared" si="240"/>
        <v>536.1126562500001</v>
      </c>
      <c r="AE128" s="280">
        <f t="shared" si="240"/>
        <v>466.93682963709671</v>
      </c>
      <c r="AF128" s="280">
        <f t="shared" si="240"/>
        <v>428.89012500000001</v>
      </c>
      <c r="AG128" s="294">
        <f t="shared" ref="AG128:AG131" si="241">SUM(U128:AF128)</f>
        <v>6324.8322970010086</v>
      </c>
      <c r="AH128" s="280">
        <f>AH121*$G128*6</f>
        <v>369.91773281249993</v>
      </c>
      <c r="AI128" s="280">
        <f t="shared" ref="AI128:AS128" si="242">AI121*$G128*6</f>
        <v>393.28619174017126</v>
      </c>
      <c r="AJ128" s="280">
        <f t="shared" si="242"/>
        <v>554.87659921875002</v>
      </c>
      <c r="AK128" s="280">
        <f t="shared" si="242"/>
        <v>656.30565498991928</v>
      </c>
      <c r="AL128" s="280">
        <f t="shared" si="242"/>
        <v>739.83546562499987</v>
      </c>
      <c r="AM128" s="280">
        <f t="shared" si="242"/>
        <v>745.80188067036283</v>
      </c>
      <c r="AN128" s="280">
        <f t="shared" si="242"/>
        <v>770.66194335937496</v>
      </c>
      <c r="AO128" s="280">
        <f t="shared" si="242"/>
        <v>739.83546562499987</v>
      </c>
      <c r="AP128" s="280">
        <f t="shared" si="242"/>
        <v>656.30565498991928</v>
      </c>
      <c r="AQ128" s="280">
        <f t="shared" si="242"/>
        <v>616.52955468749997</v>
      </c>
      <c r="AR128" s="280">
        <f t="shared" si="242"/>
        <v>536.97735408266124</v>
      </c>
      <c r="AS128" s="280">
        <f t="shared" si="242"/>
        <v>493.22364374999995</v>
      </c>
      <c r="AT128" s="294">
        <f t="shared" ref="AT128:AT131" si="243">SUM(AH128:AS128)</f>
        <v>7273.5571415511586</v>
      </c>
      <c r="AU128" s="280">
        <f>AU121*$G128*6</f>
        <v>406.90950609375</v>
      </c>
      <c r="AV128" s="280">
        <f t="shared" ref="AV128:BF128" si="244">AV121*$G128*6</f>
        <v>432.61481091418852</v>
      </c>
      <c r="AW128" s="280">
        <f t="shared" si="244"/>
        <v>610.36425914062511</v>
      </c>
      <c r="AX128" s="280">
        <f t="shared" si="244"/>
        <v>721.93622048891132</v>
      </c>
      <c r="AY128" s="280">
        <f t="shared" si="244"/>
        <v>813.81901218749999</v>
      </c>
      <c r="AZ128" s="280">
        <f t="shared" si="244"/>
        <v>820.38206873739932</v>
      </c>
      <c r="BA128" s="280">
        <f t="shared" si="244"/>
        <v>847.7281376953124</v>
      </c>
      <c r="BB128" s="280">
        <f t="shared" si="244"/>
        <v>813.81901218749999</v>
      </c>
      <c r="BC128" s="280">
        <f t="shared" si="244"/>
        <v>721.93622048891132</v>
      </c>
      <c r="BD128" s="280">
        <f t="shared" si="244"/>
        <v>678.18251015625015</v>
      </c>
      <c r="BE128" s="280">
        <f t="shared" si="244"/>
        <v>590.67508949092746</v>
      </c>
      <c r="BF128" s="280">
        <f t="shared" si="244"/>
        <v>542.54600812500007</v>
      </c>
      <c r="BG128" s="294">
        <f t="shared" ref="BG128:BG131" si="245">SUM(AU128:BF128)</f>
        <v>8000.9128557062759</v>
      </c>
      <c r="BH128" s="280">
        <f>BH121*$G128*6</f>
        <v>447.60045670312502</v>
      </c>
      <c r="BI128" s="280">
        <f t="shared" ref="BI128:BS128" si="246">BI121*$G128*6</f>
        <v>475.87629200560735</v>
      </c>
      <c r="BJ128" s="280">
        <f t="shared" si="246"/>
        <v>671.40068505468741</v>
      </c>
      <c r="BK128" s="280">
        <f t="shared" si="246"/>
        <v>794.12984253780246</v>
      </c>
      <c r="BL128" s="280">
        <f t="shared" si="246"/>
        <v>895.20091340625004</v>
      </c>
      <c r="BM128" s="280">
        <f t="shared" si="246"/>
        <v>902.420275611139</v>
      </c>
      <c r="BN128" s="280">
        <f t="shared" si="246"/>
        <v>932.50095146484375</v>
      </c>
      <c r="BO128" s="280">
        <f t="shared" si="246"/>
        <v>895.20091340625004</v>
      </c>
      <c r="BP128" s="280">
        <f t="shared" si="246"/>
        <v>794.12984253780246</v>
      </c>
      <c r="BQ128" s="280">
        <f t="shared" si="246"/>
        <v>746.00076117187507</v>
      </c>
      <c r="BR128" s="280">
        <f t="shared" si="246"/>
        <v>649.74259844002029</v>
      </c>
      <c r="BS128" s="280">
        <f t="shared" si="246"/>
        <v>596.8006089375001</v>
      </c>
      <c r="BT128" s="294">
        <f t="shared" ref="BT128:BT131" si="247">SUM(BH128:BS128)</f>
        <v>8801.0041412769024</v>
      </c>
    </row>
    <row r="129" spans="3:72" ht="15.75" customHeight="1">
      <c r="C129" s="106"/>
      <c r="D129" s="106"/>
      <c r="E129" s="92"/>
      <c r="F129" s="92" t="s">
        <v>577</v>
      </c>
      <c r="G129" s="359">
        <v>162</v>
      </c>
      <c r="H129" s="280">
        <f t="shared" ref="H129:S131" si="248">H122*$G129*6</f>
        <v>422.51473125000007</v>
      </c>
      <c r="I129" s="280">
        <f t="shared" si="248"/>
        <v>449.20585002520147</v>
      </c>
      <c r="J129" s="280">
        <f t="shared" si="248"/>
        <v>633.77209687499999</v>
      </c>
      <c r="K129" s="280">
        <f t="shared" si="248"/>
        <v>749.62291028225798</v>
      </c>
      <c r="L129" s="280">
        <f t="shared" si="248"/>
        <v>845.02946250000014</v>
      </c>
      <c r="M129" s="280">
        <f t="shared" si="248"/>
        <v>851.84421622983871</v>
      </c>
      <c r="N129" s="280">
        <f t="shared" si="248"/>
        <v>880.23902343749978</v>
      </c>
      <c r="O129" s="280">
        <f t="shared" si="248"/>
        <v>845.02946250000014</v>
      </c>
      <c r="P129" s="280">
        <f t="shared" si="248"/>
        <v>749.62291028225798</v>
      </c>
      <c r="Q129" s="280">
        <f t="shared" si="248"/>
        <v>704.19121874999996</v>
      </c>
      <c r="R129" s="280">
        <f t="shared" si="248"/>
        <v>613.32783568548382</v>
      </c>
      <c r="S129" s="280">
        <f t="shared" si="248"/>
        <v>563.35297500000001</v>
      </c>
      <c r="T129" s="294">
        <f t="shared" si="239"/>
        <v>8307.7526928175412</v>
      </c>
      <c r="U129" s="280">
        <f t="shared" ref="U129:AF129" si="249">U122*$G129*6</f>
        <v>528.14341406250003</v>
      </c>
      <c r="V129" s="280">
        <f t="shared" si="249"/>
        <v>561.50731253150184</v>
      </c>
      <c r="W129" s="280">
        <f t="shared" si="249"/>
        <v>792.21512109374999</v>
      </c>
      <c r="X129" s="280">
        <f t="shared" si="249"/>
        <v>937.02863785282238</v>
      </c>
      <c r="Y129" s="280">
        <f t="shared" si="249"/>
        <v>1056.2868281250001</v>
      </c>
      <c r="Z129" s="280">
        <f t="shared" si="249"/>
        <v>1064.8052702872981</v>
      </c>
      <c r="AA129" s="280">
        <f t="shared" si="249"/>
        <v>1100.298779296875</v>
      </c>
      <c r="AB129" s="280">
        <f t="shared" si="249"/>
        <v>1056.2868281250001</v>
      </c>
      <c r="AC129" s="280">
        <f t="shared" si="249"/>
        <v>937.02863785282238</v>
      </c>
      <c r="AD129" s="280">
        <f t="shared" si="249"/>
        <v>880.23902343750001</v>
      </c>
      <c r="AE129" s="280">
        <f t="shared" si="249"/>
        <v>766.65979460685492</v>
      </c>
      <c r="AF129" s="280">
        <f t="shared" si="249"/>
        <v>704.19121874999996</v>
      </c>
      <c r="AG129" s="294">
        <f t="shared" si="241"/>
        <v>10384.690866021925</v>
      </c>
      <c r="AH129" s="280">
        <f t="shared" ref="AH129:AS129" si="250">AH122*$G129*6</f>
        <v>607.36492617187503</v>
      </c>
      <c r="AI129" s="280">
        <f t="shared" si="250"/>
        <v>645.73340941122717</v>
      </c>
      <c r="AJ129" s="280">
        <f t="shared" si="250"/>
        <v>911.04738925781237</v>
      </c>
      <c r="AK129" s="280">
        <f t="shared" si="250"/>
        <v>1077.5829335307458</v>
      </c>
      <c r="AL129" s="280">
        <f t="shared" si="250"/>
        <v>1214.7298523437501</v>
      </c>
      <c r="AM129" s="280">
        <f t="shared" si="250"/>
        <v>1224.5260608303927</v>
      </c>
      <c r="AN129" s="280">
        <f t="shared" si="250"/>
        <v>1265.343596191406</v>
      </c>
      <c r="AO129" s="280">
        <f t="shared" si="250"/>
        <v>1214.7298523437501</v>
      </c>
      <c r="AP129" s="280">
        <f t="shared" si="250"/>
        <v>1077.5829335307458</v>
      </c>
      <c r="AQ129" s="280">
        <f t="shared" si="250"/>
        <v>1012.2748769531249</v>
      </c>
      <c r="AR129" s="280">
        <f t="shared" si="250"/>
        <v>881.65876379788313</v>
      </c>
      <c r="AS129" s="280">
        <f t="shared" si="250"/>
        <v>809.81990156249992</v>
      </c>
      <c r="AT129" s="294">
        <f t="shared" si="243"/>
        <v>11942.394495925211</v>
      </c>
      <c r="AU129" s="280">
        <f t="shared" ref="AU129:BF129" si="251">AU122*$G129*6</f>
        <v>668.10141878906268</v>
      </c>
      <c r="AV129" s="280">
        <f t="shared" si="251"/>
        <v>710.30675035234992</v>
      </c>
      <c r="AW129" s="280">
        <f t="shared" si="251"/>
        <v>1002.1521281835937</v>
      </c>
      <c r="AX129" s="280">
        <f t="shared" si="251"/>
        <v>1185.3412268838206</v>
      </c>
      <c r="AY129" s="280">
        <f t="shared" si="251"/>
        <v>1336.2028375781254</v>
      </c>
      <c r="AZ129" s="280">
        <f t="shared" si="251"/>
        <v>1346.9786669134319</v>
      </c>
      <c r="BA129" s="280">
        <f t="shared" si="251"/>
        <v>1391.8779558105466</v>
      </c>
      <c r="BB129" s="280">
        <f t="shared" si="251"/>
        <v>1336.2028375781254</v>
      </c>
      <c r="BC129" s="280">
        <f t="shared" si="251"/>
        <v>1185.3412268838206</v>
      </c>
      <c r="BD129" s="280">
        <f t="shared" si="251"/>
        <v>1113.5023646484376</v>
      </c>
      <c r="BE129" s="280">
        <f t="shared" si="251"/>
        <v>969.82464017767165</v>
      </c>
      <c r="BF129" s="280">
        <f t="shared" si="251"/>
        <v>890.80189171874986</v>
      </c>
      <c r="BG129" s="294">
        <f t="shared" si="245"/>
        <v>13136.633945517733</v>
      </c>
      <c r="BH129" s="280">
        <f t="shared" ref="BH129:BS129" si="252">BH122*$G129*6</f>
        <v>734.91156066796873</v>
      </c>
      <c r="BI129" s="280">
        <f t="shared" si="252"/>
        <v>781.33742538758509</v>
      </c>
      <c r="BJ129" s="280">
        <f t="shared" si="252"/>
        <v>1102.367341001953</v>
      </c>
      <c r="BK129" s="280">
        <f t="shared" si="252"/>
        <v>1303.8753495722026</v>
      </c>
      <c r="BL129" s="280">
        <f t="shared" si="252"/>
        <v>1469.8231213359375</v>
      </c>
      <c r="BM129" s="280">
        <f t="shared" si="252"/>
        <v>1481.6765336047754</v>
      </c>
      <c r="BN129" s="280">
        <f t="shared" si="252"/>
        <v>1531.0657513916012</v>
      </c>
      <c r="BO129" s="280">
        <f t="shared" si="252"/>
        <v>1469.8231213359375</v>
      </c>
      <c r="BP129" s="280">
        <f t="shared" si="252"/>
        <v>1303.8753495722026</v>
      </c>
      <c r="BQ129" s="280">
        <f t="shared" si="252"/>
        <v>1224.8526011132815</v>
      </c>
      <c r="BR129" s="280">
        <f t="shared" si="252"/>
        <v>1066.8071041954386</v>
      </c>
      <c r="BS129" s="280">
        <f t="shared" si="252"/>
        <v>979.88208089062505</v>
      </c>
      <c r="BT129" s="294">
        <f t="shared" si="247"/>
        <v>14450.29734006951</v>
      </c>
    </row>
    <row r="130" spans="3:72" ht="15.75" customHeight="1">
      <c r="C130" s="106"/>
      <c r="D130" s="106"/>
      <c r="E130" s="92"/>
      <c r="F130" s="92" t="s">
        <v>578</v>
      </c>
      <c r="G130" s="359">
        <v>162</v>
      </c>
      <c r="H130" s="280">
        <f t="shared" si="248"/>
        <v>115.68855736607144</v>
      </c>
      <c r="I130" s="280">
        <f t="shared" si="248"/>
        <v>122.99683988785281</v>
      </c>
      <c r="J130" s="280">
        <f t="shared" si="248"/>
        <v>173.53283604910712</v>
      </c>
      <c r="K130" s="280">
        <f t="shared" si="248"/>
        <v>205.25389210109449</v>
      </c>
      <c r="L130" s="280">
        <f t="shared" si="248"/>
        <v>231.37711473214287</v>
      </c>
      <c r="M130" s="280">
        <f t="shared" si="248"/>
        <v>233.24305920578914</v>
      </c>
      <c r="N130" s="280">
        <f t="shared" si="248"/>
        <v>241.0178278459822</v>
      </c>
      <c r="O130" s="280">
        <f t="shared" si="248"/>
        <v>231.37711473214287</v>
      </c>
      <c r="P130" s="280">
        <f t="shared" si="248"/>
        <v>205.25389210109449</v>
      </c>
      <c r="Q130" s="280">
        <f t="shared" si="248"/>
        <v>192.81426227678571</v>
      </c>
      <c r="R130" s="280">
        <f t="shared" si="248"/>
        <v>167.93500262816821</v>
      </c>
      <c r="S130" s="280">
        <f t="shared" si="248"/>
        <v>154.25140982142858</v>
      </c>
      <c r="T130" s="294">
        <f t="shared" si="239"/>
        <v>2274.7418087476603</v>
      </c>
      <c r="U130" s="280">
        <f t="shared" ref="U130:AF130" si="253">U123*$G130*6</f>
        <v>144.61069670758926</v>
      </c>
      <c r="V130" s="280">
        <f t="shared" si="253"/>
        <v>153.746049859816</v>
      </c>
      <c r="W130" s="280">
        <f t="shared" si="253"/>
        <v>216.91604506138393</v>
      </c>
      <c r="X130" s="280">
        <f t="shared" si="253"/>
        <v>256.56736512636809</v>
      </c>
      <c r="Y130" s="280">
        <f t="shared" si="253"/>
        <v>289.22139341517851</v>
      </c>
      <c r="Z130" s="280">
        <f t="shared" si="253"/>
        <v>291.55382400723647</v>
      </c>
      <c r="AA130" s="280">
        <f t="shared" si="253"/>
        <v>301.27228480747766</v>
      </c>
      <c r="AB130" s="280">
        <f t="shared" si="253"/>
        <v>289.22139341517851</v>
      </c>
      <c r="AC130" s="280">
        <f t="shared" si="253"/>
        <v>256.56736512636809</v>
      </c>
      <c r="AD130" s="280">
        <f t="shared" si="253"/>
        <v>241.0178278459822</v>
      </c>
      <c r="AE130" s="280">
        <f t="shared" si="253"/>
        <v>209.91875328521024</v>
      </c>
      <c r="AF130" s="280">
        <f t="shared" si="253"/>
        <v>192.81426227678571</v>
      </c>
      <c r="AG130" s="294">
        <f t="shared" si="241"/>
        <v>2843.4272609345744</v>
      </c>
      <c r="AH130" s="280">
        <f t="shared" ref="AH130:AS130" si="254">AH123*$G130*6</f>
        <v>166.30230121372767</v>
      </c>
      <c r="AI130" s="280">
        <f t="shared" si="254"/>
        <v>176.80795733878841</v>
      </c>
      <c r="AJ130" s="280">
        <f t="shared" si="254"/>
        <v>249.45345182059151</v>
      </c>
      <c r="AK130" s="280">
        <f t="shared" si="254"/>
        <v>295.05246989532327</v>
      </c>
      <c r="AL130" s="280">
        <f t="shared" si="254"/>
        <v>332.60460242745535</v>
      </c>
      <c r="AM130" s="280">
        <f t="shared" si="254"/>
        <v>335.28689760832185</v>
      </c>
      <c r="AN130" s="280">
        <f t="shared" si="254"/>
        <v>346.46312752859933</v>
      </c>
      <c r="AO130" s="280">
        <f t="shared" si="254"/>
        <v>332.60460242745535</v>
      </c>
      <c r="AP130" s="280">
        <f t="shared" si="254"/>
        <v>295.05246989532327</v>
      </c>
      <c r="AQ130" s="280">
        <f t="shared" si="254"/>
        <v>277.17050202287942</v>
      </c>
      <c r="AR130" s="280">
        <f t="shared" si="254"/>
        <v>241.40656627799177</v>
      </c>
      <c r="AS130" s="280">
        <f t="shared" si="254"/>
        <v>221.73640161830355</v>
      </c>
      <c r="AT130" s="294">
        <f t="shared" si="243"/>
        <v>3269.9413500747601</v>
      </c>
      <c r="AU130" s="280">
        <f t="shared" ref="AU130:BF130" si="255">AU123*$G130*6</f>
        <v>182.93253133510044</v>
      </c>
      <c r="AV130" s="280">
        <f t="shared" si="255"/>
        <v>194.48875307266729</v>
      </c>
      <c r="AW130" s="280">
        <f t="shared" si="255"/>
        <v>274.39879700265072</v>
      </c>
      <c r="AX130" s="280">
        <f t="shared" si="255"/>
        <v>324.55771688485567</v>
      </c>
      <c r="AY130" s="280">
        <f t="shared" si="255"/>
        <v>365.86506267020087</v>
      </c>
      <c r="AZ130" s="280">
        <f t="shared" si="255"/>
        <v>368.81558736915412</v>
      </c>
      <c r="BA130" s="280">
        <f t="shared" si="255"/>
        <v>381.10944028145923</v>
      </c>
      <c r="BB130" s="280">
        <f t="shared" si="255"/>
        <v>365.86506267020087</v>
      </c>
      <c r="BC130" s="280">
        <f t="shared" si="255"/>
        <v>324.55771688485567</v>
      </c>
      <c r="BD130" s="280">
        <f t="shared" si="255"/>
        <v>304.88755222516744</v>
      </c>
      <c r="BE130" s="280">
        <f t="shared" si="255"/>
        <v>265.54722290579099</v>
      </c>
      <c r="BF130" s="280">
        <f t="shared" si="255"/>
        <v>243.91004178013389</v>
      </c>
      <c r="BG130" s="294">
        <f t="shared" si="245"/>
        <v>3596.9354850822369</v>
      </c>
      <c r="BH130" s="280">
        <f t="shared" ref="BH130:BS130" si="256">BH123*$G130*6</f>
        <v>201.22578446861047</v>
      </c>
      <c r="BI130" s="280">
        <f t="shared" si="256"/>
        <v>213.93762837993401</v>
      </c>
      <c r="BJ130" s="280">
        <f t="shared" si="256"/>
        <v>301.83867670291573</v>
      </c>
      <c r="BK130" s="280">
        <f t="shared" si="256"/>
        <v>357.01348857334119</v>
      </c>
      <c r="BL130" s="280">
        <f t="shared" si="256"/>
        <v>402.45156893722094</v>
      </c>
      <c r="BM130" s="280">
        <f t="shared" si="256"/>
        <v>405.69714610606957</v>
      </c>
      <c r="BN130" s="280">
        <f t="shared" si="256"/>
        <v>419.22038430960515</v>
      </c>
      <c r="BO130" s="280">
        <f t="shared" si="256"/>
        <v>402.45156893722094</v>
      </c>
      <c r="BP130" s="280">
        <f t="shared" si="256"/>
        <v>357.01348857334119</v>
      </c>
      <c r="BQ130" s="280">
        <f t="shared" si="256"/>
        <v>335.37630744768421</v>
      </c>
      <c r="BR130" s="280">
        <f t="shared" si="256"/>
        <v>292.10194519637014</v>
      </c>
      <c r="BS130" s="280">
        <f t="shared" si="256"/>
        <v>268.30104595814737</v>
      </c>
      <c r="BT130" s="294">
        <f t="shared" si="247"/>
        <v>3956.6290335904609</v>
      </c>
    </row>
    <row r="131" spans="3:72" ht="15.75" customHeight="1">
      <c r="C131" s="106"/>
      <c r="D131" s="106"/>
      <c r="E131" s="92"/>
      <c r="F131" s="92" t="s">
        <v>580</v>
      </c>
      <c r="G131" s="359">
        <v>162</v>
      </c>
      <c r="H131" s="280">
        <f t="shared" si="248"/>
        <v>57.844278683035718</v>
      </c>
      <c r="I131" s="280">
        <f t="shared" si="248"/>
        <v>61.498419943926407</v>
      </c>
      <c r="J131" s="280">
        <f t="shared" si="248"/>
        <v>86.766418024553559</v>
      </c>
      <c r="K131" s="280">
        <f t="shared" si="248"/>
        <v>102.62694605054725</v>
      </c>
      <c r="L131" s="280">
        <f t="shared" si="248"/>
        <v>115.68855736607144</v>
      </c>
      <c r="M131" s="280">
        <f t="shared" si="248"/>
        <v>116.62152960289457</v>
      </c>
      <c r="N131" s="280">
        <f t="shared" si="248"/>
        <v>120.5089139229911</v>
      </c>
      <c r="O131" s="280">
        <f t="shared" si="248"/>
        <v>115.68855736607144</v>
      </c>
      <c r="P131" s="280">
        <f t="shared" si="248"/>
        <v>102.62694605054725</v>
      </c>
      <c r="Q131" s="280">
        <f t="shared" si="248"/>
        <v>96.407131138392856</v>
      </c>
      <c r="R131" s="280">
        <f t="shared" si="248"/>
        <v>83.967501314084103</v>
      </c>
      <c r="S131" s="280">
        <f t="shared" si="248"/>
        <v>77.12570491071429</v>
      </c>
      <c r="T131" s="294">
        <f t="shared" si="239"/>
        <v>1137.3709043738302</v>
      </c>
      <c r="U131" s="280">
        <f t="shared" ref="U131:AF131" si="257">U124*$G131*6</f>
        <v>72.305348353794628</v>
      </c>
      <c r="V131" s="280">
        <f t="shared" si="257"/>
        <v>76.873024929907999</v>
      </c>
      <c r="W131" s="280">
        <f t="shared" si="257"/>
        <v>108.45802253069196</v>
      </c>
      <c r="X131" s="280">
        <f t="shared" si="257"/>
        <v>128.28368256318404</v>
      </c>
      <c r="Y131" s="280">
        <f t="shared" si="257"/>
        <v>144.61069670758926</v>
      </c>
      <c r="Z131" s="280">
        <f t="shared" si="257"/>
        <v>145.77691200361824</v>
      </c>
      <c r="AA131" s="280">
        <f t="shared" si="257"/>
        <v>150.63614240373883</v>
      </c>
      <c r="AB131" s="280">
        <f t="shared" si="257"/>
        <v>144.61069670758926</v>
      </c>
      <c r="AC131" s="280">
        <f t="shared" si="257"/>
        <v>128.28368256318404</v>
      </c>
      <c r="AD131" s="280">
        <f t="shared" si="257"/>
        <v>120.5089139229911</v>
      </c>
      <c r="AE131" s="280">
        <f t="shared" si="257"/>
        <v>104.95937664260512</v>
      </c>
      <c r="AF131" s="280">
        <f t="shared" si="257"/>
        <v>96.407131138392856</v>
      </c>
      <c r="AG131" s="294">
        <f t="shared" si="241"/>
        <v>1421.7136304672872</v>
      </c>
      <c r="AH131" s="280">
        <f t="shared" ref="AH131:AS131" si="258">AH124*$G131*6</f>
        <v>83.151150606863837</v>
      </c>
      <c r="AI131" s="280">
        <f t="shared" si="258"/>
        <v>88.403978669394206</v>
      </c>
      <c r="AJ131" s="280">
        <f t="shared" si="258"/>
        <v>124.72672591029576</v>
      </c>
      <c r="AK131" s="280">
        <f t="shared" si="258"/>
        <v>147.52623494766164</v>
      </c>
      <c r="AL131" s="280">
        <f t="shared" si="258"/>
        <v>166.30230121372767</v>
      </c>
      <c r="AM131" s="280">
        <f t="shared" si="258"/>
        <v>167.64344880416093</v>
      </c>
      <c r="AN131" s="280">
        <f t="shared" si="258"/>
        <v>173.23156376429966</v>
      </c>
      <c r="AO131" s="280">
        <f t="shared" si="258"/>
        <v>166.30230121372767</v>
      </c>
      <c r="AP131" s="280">
        <f t="shared" si="258"/>
        <v>147.52623494766164</v>
      </c>
      <c r="AQ131" s="280">
        <f t="shared" si="258"/>
        <v>138.58525101143971</v>
      </c>
      <c r="AR131" s="280">
        <f t="shared" si="258"/>
        <v>120.70328313899589</v>
      </c>
      <c r="AS131" s="280">
        <f t="shared" si="258"/>
        <v>110.86820080915177</v>
      </c>
      <c r="AT131" s="294">
        <f t="shared" si="243"/>
        <v>1634.97067503738</v>
      </c>
      <c r="AU131" s="280">
        <f t="shared" ref="AU131:BF131" si="259">AU124*$G131*6</f>
        <v>91.466265667550218</v>
      </c>
      <c r="AV131" s="280">
        <f t="shared" si="259"/>
        <v>97.244376536333647</v>
      </c>
      <c r="AW131" s="280">
        <f t="shared" si="259"/>
        <v>137.19939850132536</v>
      </c>
      <c r="AX131" s="280">
        <f t="shared" si="259"/>
        <v>162.27885844242783</v>
      </c>
      <c r="AY131" s="280">
        <f t="shared" si="259"/>
        <v>182.93253133510044</v>
      </c>
      <c r="AZ131" s="280">
        <f t="shared" si="259"/>
        <v>184.40779368457706</v>
      </c>
      <c r="BA131" s="280">
        <f t="shared" si="259"/>
        <v>190.55472014072961</v>
      </c>
      <c r="BB131" s="280">
        <f t="shared" si="259"/>
        <v>182.93253133510044</v>
      </c>
      <c r="BC131" s="280">
        <f t="shared" si="259"/>
        <v>162.27885844242783</v>
      </c>
      <c r="BD131" s="280">
        <f t="shared" si="259"/>
        <v>152.44377611258372</v>
      </c>
      <c r="BE131" s="280">
        <f t="shared" si="259"/>
        <v>132.77361145289549</v>
      </c>
      <c r="BF131" s="280">
        <f t="shared" si="259"/>
        <v>121.95502089006695</v>
      </c>
      <c r="BG131" s="294">
        <f t="shared" si="245"/>
        <v>1798.4677425411185</v>
      </c>
      <c r="BH131" s="280">
        <f t="shared" ref="BH131:BS131" si="260">BH124*$G131*6</f>
        <v>100.61289223430524</v>
      </c>
      <c r="BI131" s="280">
        <f t="shared" si="260"/>
        <v>106.96881418996701</v>
      </c>
      <c r="BJ131" s="280">
        <f t="shared" si="260"/>
        <v>150.91933835145787</v>
      </c>
      <c r="BK131" s="280">
        <f t="shared" si="260"/>
        <v>178.5067442866706</v>
      </c>
      <c r="BL131" s="280">
        <f t="shared" si="260"/>
        <v>201.22578446861047</v>
      </c>
      <c r="BM131" s="280">
        <f t="shared" si="260"/>
        <v>202.84857305303478</v>
      </c>
      <c r="BN131" s="280">
        <f t="shared" si="260"/>
        <v>209.61019215480258</v>
      </c>
      <c r="BO131" s="280">
        <f t="shared" si="260"/>
        <v>201.22578446861047</v>
      </c>
      <c r="BP131" s="280">
        <f t="shared" si="260"/>
        <v>178.5067442866706</v>
      </c>
      <c r="BQ131" s="280">
        <f t="shared" si="260"/>
        <v>167.68815372384211</v>
      </c>
      <c r="BR131" s="280">
        <f t="shared" si="260"/>
        <v>146.05097259818507</v>
      </c>
      <c r="BS131" s="280">
        <f t="shared" si="260"/>
        <v>134.15052297907368</v>
      </c>
      <c r="BT131" s="294">
        <f t="shared" si="247"/>
        <v>1978.3145167952305</v>
      </c>
    </row>
    <row r="132" spans="3:72" ht="15.75" customHeight="1">
      <c r="H132" s="280">
        <f>SUM(H128:H131)</f>
        <v>853.38164229910717</v>
      </c>
      <c r="I132" s="280">
        <f t="shared" ref="I132:T132" si="261">SUM(I128:I131)</f>
        <v>907.29150411101284</v>
      </c>
      <c r="J132" s="280">
        <f t="shared" si="261"/>
        <v>1280.0724634486608</v>
      </c>
      <c r="K132" s="280">
        <f t="shared" si="261"/>
        <v>1514.0642040790613</v>
      </c>
      <c r="L132" s="280">
        <f t="shared" si="261"/>
        <v>1706.7632845982143</v>
      </c>
      <c r="M132" s="280">
        <f t="shared" si="261"/>
        <v>1720.5275046352965</v>
      </c>
      <c r="N132" s="280">
        <f t="shared" si="261"/>
        <v>1777.8784214564728</v>
      </c>
      <c r="O132" s="280">
        <f t="shared" si="261"/>
        <v>1706.7632845982143</v>
      </c>
      <c r="P132" s="280">
        <f t="shared" si="261"/>
        <v>1514.0642040790613</v>
      </c>
      <c r="Q132" s="280">
        <f t="shared" si="261"/>
        <v>1422.3027371651788</v>
      </c>
      <c r="R132" s="280">
        <f t="shared" si="261"/>
        <v>1238.7798033374136</v>
      </c>
      <c r="S132" s="280">
        <f t="shared" si="261"/>
        <v>1137.842189732143</v>
      </c>
      <c r="T132" s="280">
        <f t="shared" si="261"/>
        <v>16779.731243539838</v>
      </c>
      <c r="U132" s="280">
        <f>SUM(U128:U131)</f>
        <v>1066.7270528738838</v>
      </c>
      <c r="V132" s="280">
        <f t="shared" ref="V132" si="262">SUM(V128:V131)</f>
        <v>1134.1143801387661</v>
      </c>
      <c r="W132" s="280">
        <f t="shared" ref="W132" si="263">SUM(W128:W131)</f>
        <v>1600.0905793108261</v>
      </c>
      <c r="X132" s="280">
        <f t="shared" ref="X132" si="264">SUM(X128:X131)</f>
        <v>1892.5802550988262</v>
      </c>
      <c r="Y132" s="280">
        <f t="shared" ref="Y132" si="265">SUM(Y128:Y131)</f>
        <v>2133.4541057477677</v>
      </c>
      <c r="Z132" s="280">
        <f t="shared" ref="Z132" si="266">SUM(Z128:Z131)</f>
        <v>2150.6593807941204</v>
      </c>
      <c r="AA132" s="280">
        <f t="shared" ref="AA132" si="267">SUM(AA128:AA131)</f>
        <v>2222.3480268205913</v>
      </c>
      <c r="AB132" s="280">
        <f t="shared" ref="AB132" si="268">SUM(AB128:AB131)</f>
        <v>2133.4541057477677</v>
      </c>
      <c r="AC132" s="280">
        <f t="shared" ref="AC132" si="269">SUM(AC128:AC131)</f>
        <v>1892.5802550988262</v>
      </c>
      <c r="AD132" s="280">
        <f t="shared" ref="AD132" si="270">SUM(AD128:AD131)</f>
        <v>1777.8784214564732</v>
      </c>
      <c r="AE132" s="280">
        <f t="shared" ref="AE132" si="271">SUM(AE128:AE131)</f>
        <v>1548.474754171767</v>
      </c>
      <c r="AF132" s="280">
        <f t="shared" ref="AF132" si="272">SUM(AF128:AF131)</f>
        <v>1422.3027371651788</v>
      </c>
      <c r="AG132" s="280">
        <f t="shared" ref="AG132" si="273">SUM(AG128:AG131)</f>
        <v>20974.664054424793</v>
      </c>
      <c r="AH132" s="280">
        <f>SUM(AH128:AH131)</f>
        <v>1226.7361108049665</v>
      </c>
      <c r="AI132" s="280">
        <f t="shared" ref="AI132" si="274">SUM(AI128:AI131)</f>
        <v>1304.2315371595812</v>
      </c>
      <c r="AJ132" s="280">
        <f t="shared" ref="AJ132" si="275">SUM(AJ128:AJ131)</f>
        <v>1840.1041662074497</v>
      </c>
      <c r="AK132" s="280">
        <f t="shared" ref="AK132" si="276">SUM(AK128:AK131)</f>
        <v>2176.4672933636498</v>
      </c>
      <c r="AL132" s="280">
        <f t="shared" ref="AL132" si="277">SUM(AL128:AL131)</f>
        <v>2453.4722216099331</v>
      </c>
      <c r="AM132" s="280">
        <f t="shared" ref="AM132" si="278">SUM(AM128:AM131)</f>
        <v>2473.2582879132383</v>
      </c>
      <c r="AN132" s="280">
        <f t="shared" ref="AN132" si="279">SUM(AN128:AN131)</f>
        <v>2555.7002308436799</v>
      </c>
      <c r="AO132" s="280">
        <f t="shared" ref="AO132" si="280">SUM(AO128:AO131)</f>
        <v>2453.4722216099331</v>
      </c>
      <c r="AP132" s="280">
        <f t="shared" ref="AP132" si="281">SUM(AP128:AP131)</f>
        <v>2176.4672933636498</v>
      </c>
      <c r="AQ132" s="280">
        <f t="shared" ref="AQ132" si="282">SUM(AQ128:AQ131)</f>
        <v>2044.5601846749441</v>
      </c>
      <c r="AR132" s="280">
        <f t="shared" ref="AR132" si="283">SUM(AR128:AR131)</f>
        <v>1780.7459672975319</v>
      </c>
      <c r="AS132" s="280">
        <f t="shared" ref="AS132" si="284">SUM(AS128:AS131)</f>
        <v>1635.6481477399552</v>
      </c>
      <c r="AT132" s="280">
        <f t="shared" ref="AT132" si="285">SUM(AT128:AT131)</f>
        <v>24120.863662588512</v>
      </c>
      <c r="AU132" s="280">
        <f>SUM(AU128:AU131)</f>
        <v>1349.4097218854633</v>
      </c>
      <c r="AV132" s="280">
        <f t="shared" ref="AV132" si="286">SUM(AV128:AV131)</f>
        <v>1434.6546908755395</v>
      </c>
      <c r="AW132" s="280">
        <f t="shared" ref="AW132" si="287">SUM(AW128:AW131)</f>
        <v>2024.1145828281949</v>
      </c>
      <c r="AX132" s="280">
        <f t="shared" ref="AX132" si="288">SUM(AX128:AX131)</f>
        <v>2394.1140227000155</v>
      </c>
      <c r="AY132" s="280">
        <f t="shared" ref="AY132" si="289">SUM(AY128:AY131)</f>
        <v>2698.8194437709267</v>
      </c>
      <c r="AZ132" s="280">
        <f t="shared" ref="AZ132" si="290">SUM(AZ128:AZ131)</f>
        <v>2720.5841167045619</v>
      </c>
      <c r="BA132" s="280">
        <f t="shared" ref="BA132" si="291">SUM(BA128:BA131)</f>
        <v>2811.2702539280481</v>
      </c>
      <c r="BB132" s="280">
        <f t="shared" ref="BB132" si="292">SUM(BB128:BB131)</f>
        <v>2698.8194437709267</v>
      </c>
      <c r="BC132" s="280">
        <f t="shared" ref="BC132" si="293">SUM(BC128:BC131)</f>
        <v>2394.1140227000155</v>
      </c>
      <c r="BD132" s="280">
        <f t="shared" ref="BD132" si="294">SUM(BD128:BD131)</f>
        <v>2249.0162031424388</v>
      </c>
      <c r="BE132" s="280">
        <f t="shared" ref="BE132" si="295">SUM(BE128:BE131)</f>
        <v>1958.8205640272856</v>
      </c>
      <c r="BF132" s="280">
        <f t="shared" ref="BF132" si="296">SUM(BF128:BF131)</f>
        <v>1799.2129625139507</v>
      </c>
      <c r="BG132" s="280">
        <f t="shared" ref="BG132" si="297">SUM(BG128:BG131)</f>
        <v>26532.950028847365</v>
      </c>
      <c r="BH132" s="280">
        <f>SUM(BH128:BH131)</f>
        <v>1484.3506940740097</v>
      </c>
      <c r="BI132" s="280">
        <f t="shared" ref="BI132" si="298">SUM(BI128:BI131)</f>
        <v>1578.1201599630933</v>
      </c>
      <c r="BJ132" s="280">
        <f t="shared" ref="BJ132" si="299">SUM(BJ128:BJ131)</f>
        <v>2226.5260411110139</v>
      </c>
      <c r="BK132" s="280">
        <f t="shared" ref="BK132" si="300">SUM(BK128:BK131)</f>
        <v>2633.525424970017</v>
      </c>
      <c r="BL132" s="280">
        <f t="shared" ref="BL132" si="301">SUM(BL128:BL131)</f>
        <v>2968.7013881480193</v>
      </c>
      <c r="BM132" s="280">
        <f t="shared" ref="BM132" si="302">SUM(BM128:BM131)</f>
        <v>2992.6425283750186</v>
      </c>
      <c r="BN132" s="280">
        <f t="shared" ref="BN132" si="303">SUM(BN128:BN131)</f>
        <v>3092.3972793208522</v>
      </c>
      <c r="BO132" s="280">
        <f t="shared" ref="BO132" si="304">SUM(BO128:BO131)</f>
        <v>2968.7013881480193</v>
      </c>
      <c r="BP132" s="280">
        <f t="shared" ref="BP132" si="305">SUM(BP128:BP131)</f>
        <v>2633.525424970017</v>
      </c>
      <c r="BQ132" s="280">
        <f t="shared" ref="BQ132" si="306">SUM(BQ128:BQ131)</f>
        <v>2473.9178234566825</v>
      </c>
      <c r="BR132" s="280">
        <f t="shared" ref="BR132" si="307">SUM(BR128:BR131)</f>
        <v>2154.7026204300141</v>
      </c>
      <c r="BS132" s="280">
        <f t="shared" ref="BS132" si="308">SUM(BS128:BS131)</f>
        <v>1979.1342587653462</v>
      </c>
      <c r="BT132" s="280">
        <f t="shared" ref="BT132" si="309">SUM(BT128:BT131)</f>
        <v>29186.245031732102</v>
      </c>
    </row>
    <row r="133" spans="3:72" ht="15.75" customHeight="1"/>
    <row r="134" spans="3:72" ht="15.75" customHeight="1"/>
    <row r="135" spans="3:72" ht="15.75" customHeight="1"/>
    <row r="136" spans="3:72" ht="15.75" customHeight="1"/>
    <row r="137" spans="3:72" ht="15.75" customHeight="1"/>
    <row r="138" spans="3:72" ht="15.75" customHeight="1"/>
    <row r="139" spans="3:72" ht="15.75" customHeight="1"/>
    <row r="140" spans="3:72" ht="15.75" customHeight="1"/>
    <row r="141" spans="3:72" ht="15.75" customHeight="1"/>
    <row r="142" spans="3:72" ht="15.75" customHeight="1"/>
    <row r="143" spans="3:72" ht="15.75" customHeight="1"/>
    <row r="144" spans="3:72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</sheetData>
  <sheetProtection sheet="1" objects="1" scenarios="1"/>
  <protectedRanges>
    <protectedRange sqref="B122" name="Range3"/>
    <protectedRange sqref="B15:C27 E15:F27 B31:B43 E31:E43" name="Range1"/>
    <protectedRange sqref="G128:G131" name="Range2"/>
  </protectedRanges>
  <conditionalFormatting sqref="E28">
    <cfRule type="cellIs" dxfId="3" priority="3" operator="notEqual">
      <formula>1</formula>
    </cfRule>
    <cfRule type="cellIs" dxfId="2" priority="4" operator="equal">
      <formula>1</formula>
    </cfRule>
  </conditionalFormatting>
  <conditionalFormatting sqref="E44">
    <cfRule type="cellIs" dxfId="1" priority="1" operator="notEqual">
      <formula>1</formula>
    </cfRule>
    <cfRule type="cellIs" dxfId="0" priority="2" operator="equal">
      <formula>1</formula>
    </cfRule>
  </conditionalFormatting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T978"/>
  <sheetViews>
    <sheetView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C18" sqref="C18"/>
    </sheetView>
  </sheetViews>
  <sheetFormatPr defaultColWidth="14.42578125" defaultRowHeight="15" customHeight="1"/>
  <cols>
    <col min="1" max="1" width="11.140625" customWidth="1"/>
    <col min="2" max="2" width="9" customWidth="1"/>
    <col min="3" max="3" width="8.42578125" customWidth="1"/>
    <col min="4" max="4" width="8.5703125" customWidth="1"/>
    <col min="5" max="5" width="9.140625" customWidth="1"/>
    <col min="6" max="6" width="19.5703125" customWidth="1"/>
    <col min="7" max="18" width="10.5703125" bestFit="1" customWidth="1"/>
    <col min="19" max="19" width="11.5703125" style="265" bestFit="1" customWidth="1"/>
    <col min="20" max="20" width="10.5703125" style="304" bestFit="1" customWidth="1"/>
    <col min="21" max="31" width="10.5703125" bestFit="1" customWidth="1"/>
    <col min="32" max="32" width="11.5703125" bestFit="1" customWidth="1"/>
    <col min="33" max="44" width="10.5703125" bestFit="1" customWidth="1"/>
    <col min="45" max="45" width="11.5703125" bestFit="1" customWidth="1"/>
    <col min="46" max="57" width="10.5703125" bestFit="1" customWidth="1"/>
    <col min="58" max="58" width="11.5703125" bestFit="1" customWidth="1"/>
    <col min="59" max="70" width="10.5703125" bestFit="1" customWidth="1"/>
    <col min="71" max="71" width="11.5703125" bestFit="1" customWidth="1"/>
    <col min="72" max="72" width="12.5703125" bestFit="1" customWidth="1"/>
  </cols>
  <sheetData>
    <row r="1" spans="1:72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58"/>
      <c r="T1" s="303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>
      <c r="A2" s="2" t="s">
        <v>245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8"/>
      <c r="T2" s="303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1:72" ht="15.75" customHeight="1">
      <c r="A3" s="114" t="s">
        <v>246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31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2"/>
    </row>
    <row r="4" spans="1:72">
      <c r="A4" s="63"/>
      <c r="B4" s="11"/>
      <c r="C4" s="11"/>
      <c r="D4" s="11"/>
      <c r="E4" s="11"/>
      <c r="F4" s="11"/>
      <c r="G4" s="31"/>
      <c r="H4" s="32"/>
      <c r="I4" s="32"/>
      <c r="J4" s="32"/>
      <c r="K4" s="32"/>
      <c r="L4" s="32"/>
      <c r="M4" s="33" t="s">
        <v>98</v>
      </c>
      <c r="N4" s="32"/>
      <c r="O4" s="32"/>
      <c r="P4" s="32"/>
      <c r="Q4" s="32"/>
      <c r="R4" s="32"/>
      <c r="S4" s="314"/>
      <c r="T4" s="317"/>
      <c r="U4" s="32"/>
      <c r="V4" s="32"/>
      <c r="W4" s="32"/>
      <c r="X4" s="32"/>
      <c r="Y4" s="32"/>
      <c r="Z4" s="33" t="s">
        <v>99</v>
      </c>
      <c r="AA4" s="32"/>
      <c r="AB4" s="32"/>
      <c r="AC4" s="32"/>
      <c r="AD4" s="32"/>
      <c r="AE4" s="32"/>
      <c r="AF4" s="34"/>
      <c r="AG4" s="31"/>
      <c r="AH4" s="32"/>
      <c r="AI4" s="32"/>
      <c r="AJ4" s="32"/>
      <c r="AK4" s="32"/>
      <c r="AL4" s="32"/>
      <c r="AM4" s="33" t="s">
        <v>100</v>
      </c>
      <c r="AN4" s="32"/>
      <c r="AO4" s="32"/>
      <c r="AP4" s="32"/>
      <c r="AQ4" s="32"/>
      <c r="AR4" s="32"/>
      <c r="AS4" s="34"/>
      <c r="AT4" s="31"/>
      <c r="AU4" s="32"/>
      <c r="AV4" s="32"/>
      <c r="AW4" s="32"/>
      <c r="AX4" s="32"/>
      <c r="AY4" s="32"/>
      <c r="AZ4" s="33" t="s">
        <v>101</v>
      </c>
      <c r="BA4" s="32"/>
      <c r="BB4" s="32"/>
      <c r="BC4" s="32"/>
      <c r="BD4" s="32"/>
      <c r="BE4" s="32"/>
      <c r="BF4" s="34"/>
      <c r="BG4" s="31"/>
      <c r="BH4" s="32"/>
      <c r="BI4" s="32"/>
      <c r="BJ4" s="32"/>
      <c r="BK4" s="32"/>
      <c r="BL4" s="32"/>
      <c r="BM4" s="33" t="s">
        <v>102</v>
      </c>
      <c r="BN4" s="32"/>
      <c r="BO4" s="32"/>
      <c r="BP4" s="32"/>
      <c r="BQ4" s="32"/>
      <c r="BR4" s="32"/>
      <c r="BS4" s="34"/>
      <c r="BT4" s="2"/>
    </row>
    <row r="5" spans="1:72">
      <c r="A5" s="1"/>
      <c r="B5" s="1"/>
      <c r="C5" s="1"/>
      <c r="D5" s="1"/>
      <c r="E5" s="1"/>
      <c r="F5" s="1"/>
      <c r="G5" s="35" t="str">
        <f>SOFP!F5</f>
        <v>Jan</v>
      </c>
      <c r="H5" s="35" t="str">
        <f>SOFP!G5</f>
        <v>Feb</v>
      </c>
      <c r="I5" s="35" t="str">
        <f>SOFP!H5</f>
        <v>Mar</v>
      </c>
      <c r="J5" s="35" t="str">
        <f>SOFP!I5</f>
        <v>Apr</v>
      </c>
      <c r="K5" s="35" t="str">
        <f>SOFP!J5</f>
        <v>May</v>
      </c>
      <c r="L5" s="35" t="str">
        <f>SOFP!K5</f>
        <v>Jun</v>
      </c>
      <c r="M5" s="35" t="str">
        <f>SOFP!L5</f>
        <v>Jul</v>
      </c>
      <c r="N5" s="35" t="str">
        <f>SOFP!M5</f>
        <v>Aug</v>
      </c>
      <c r="O5" s="35" t="str">
        <f>SOFP!N5</f>
        <v>Sep</v>
      </c>
      <c r="P5" s="35" t="str">
        <f>SOFP!O5</f>
        <v>Oct</v>
      </c>
      <c r="Q5" s="35" t="str">
        <f>SOFP!P5</f>
        <v>Nov</v>
      </c>
      <c r="R5" s="35" t="str">
        <f>SOFP!Q5</f>
        <v>Dec</v>
      </c>
      <c r="S5" s="261" t="s">
        <v>116</v>
      </c>
      <c r="T5" s="318" t="str">
        <f t="shared" ref="T5:AE5" si="0">G5</f>
        <v>Jan</v>
      </c>
      <c r="U5" s="35" t="str">
        <f t="shared" si="0"/>
        <v>Feb</v>
      </c>
      <c r="V5" s="35" t="str">
        <f t="shared" si="0"/>
        <v>Mar</v>
      </c>
      <c r="W5" s="35" t="str">
        <f t="shared" si="0"/>
        <v>Apr</v>
      </c>
      <c r="X5" s="35" t="str">
        <f t="shared" si="0"/>
        <v>May</v>
      </c>
      <c r="Y5" s="35" t="str">
        <f t="shared" si="0"/>
        <v>Jun</v>
      </c>
      <c r="Z5" s="35" t="str">
        <f t="shared" si="0"/>
        <v>Jul</v>
      </c>
      <c r="AA5" s="35" t="str">
        <f t="shared" si="0"/>
        <v>Aug</v>
      </c>
      <c r="AB5" s="35" t="str">
        <f t="shared" si="0"/>
        <v>Sep</v>
      </c>
      <c r="AC5" s="35" t="str">
        <f t="shared" si="0"/>
        <v>Oct</v>
      </c>
      <c r="AD5" s="35" t="str">
        <f t="shared" si="0"/>
        <v>Nov</v>
      </c>
      <c r="AE5" s="35" t="str">
        <f t="shared" si="0"/>
        <v>Dec</v>
      </c>
      <c r="AF5" s="36" t="s">
        <v>116</v>
      </c>
      <c r="AG5" s="35" t="str">
        <f t="shared" ref="AG5:AR5" si="1">T5</f>
        <v>Jan</v>
      </c>
      <c r="AH5" s="35" t="str">
        <f t="shared" si="1"/>
        <v>Feb</v>
      </c>
      <c r="AI5" s="35" t="str">
        <f t="shared" si="1"/>
        <v>Mar</v>
      </c>
      <c r="AJ5" s="35" t="str">
        <f t="shared" si="1"/>
        <v>Apr</v>
      </c>
      <c r="AK5" s="35" t="str">
        <f t="shared" si="1"/>
        <v>May</v>
      </c>
      <c r="AL5" s="35" t="str">
        <f t="shared" si="1"/>
        <v>Jun</v>
      </c>
      <c r="AM5" s="35" t="str">
        <f t="shared" si="1"/>
        <v>Jul</v>
      </c>
      <c r="AN5" s="35" t="str">
        <f t="shared" si="1"/>
        <v>Aug</v>
      </c>
      <c r="AO5" s="35" t="str">
        <f t="shared" si="1"/>
        <v>Sep</v>
      </c>
      <c r="AP5" s="35" t="str">
        <f t="shared" si="1"/>
        <v>Oct</v>
      </c>
      <c r="AQ5" s="35" t="str">
        <f t="shared" si="1"/>
        <v>Nov</v>
      </c>
      <c r="AR5" s="35" t="str">
        <f t="shared" si="1"/>
        <v>Dec</v>
      </c>
      <c r="AS5" s="36" t="s">
        <v>116</v>
      </c>
      <c r="AT5" s="35" t="str">
        <f t="shared" ref="AT5:BE5" si="2">AG5</f>
        <v>Jan</v>
      </c>
      <c r="AU5" s="35" t="str">
        <f t="shared" si="2"/>
        <v>Feb</v>
      </c>
      <c r="AV5" s="35" t="str">
        <f t="shared" si="2"/>
        <v>Mar</v>
      </c>
      <c r="AW5" s="35" t="str">
        <f t="shared" si="2"/>
        <v>Apr</v>
      </c>
      <c r="AX5" s="35" t="str">
        <f t="shared" si="2"/>
        <v>May</v>
      </c>
      <c r="AY5" s="35" t="str">
        <f t="shared" si="2"/>
        <v>Jun</v>
      </c>
      <c r="AZ5" s="35" t="str">
        <f t="shared" si="2"/>
        <v>Jul</v>
      </c>
      <c r="BA5" s="35" t="str">
        <f t="shared" si="2"/>
        <v>Aug</v>
      </c>
      <c r="BB5" s="35" t="str">
        <f t="shared" si="2"/>
        <v>Sep</v>
      </c>
      <c r="BC5" s="35" t="str">
        <f t="shared" si="2"/>
        <v>Oct</v>
      </c>
      <c r="BD5" s="35" t="str">
        <f t="shared" si="2"/>
        <v>Nov</v>
      </c>
      <c r="BE5" s="35" t="str">
        <f t="shared" si="2"/>
        <v>Dec</v>
      </c>
      <c r="BF5" s="36" t="s">
        <v>116</v>
      </c>
      <c r="BG5" s="35" t="str">
        <f t="shared" ref="BG5:BR5" si="3">AT5</f>
        <v>Jan</v>
      </c>
      <c r="BH5" s="35" t="str">
        <f t="shared" si="3"/>
        <v>Feb</v>
      </c>
      <c r="BI5" s="35" t="str">
        <f t="shared" si="3"/>
        <v>Mar</v>
      </c>
      <c r="BJ5" s="35" t="str">
        <f t="shared" si="3"/>
        <v>Apr</v>
      </c>
      <c r="BK5" s="35" t="str">
        <f t="shared" si="3"/>
        <v>May</v>
      </c>
      <c r="BL5" s="35" t="str">
        <f t="shared" si="3"/>
        <v>Jun</v>
      </c>
      <c r="BM5" s="35" t="str">
        <f t="shared" si="3"/>
        <v>Jul</v>
      </c>
      <c r="BN5" s="35" t="str">
        <f t="shared" si="3"/>
        <v>Aug</v>
      </c>
      <c r="BO5" s="35" t="str">
        <f t="shared" si="3"/>
        <v>Sep</v>
      </c>
      <c r="BP5" s="35" t="str">
        <f t="shared" si="3"/>
        <v>Oct</v>
      </c>
      <c r="BQ5" s="35" t="str">
        <f t="shared" si="3"/>
        <v>Nov</v>
      </c>
      <c r="BR5" s="35" t="str">
        <f t="shared" si="3"/>
        <v>Dec</v>
      </c>
      <c r="BS5" s="36" t="s">
        <v>116</v>
      </c>
      <c r="BT5" s="36" t="s">
        <v>117</v>
      </c>
    </row>
    <row r="6" spans="1:72">
      <c r="A6" s="1" t="s">
        <v>247</v>
      </c>
      <c r="B6" s="2"/>
      <c r="C6" s="2"/>
      <c r="D6" s="2"/>
      <c r="E6" s="2"/>
      <c r="F6" s="2"/>
      <c r="G6" s="3">
        <v>1</v>
      </c>
      <c r="H6" s="3">
        <v>2</v>
      </c>
      <c r="I6" s="3">
        <v>3</v>
      </c>
      <c r="J6" s="3">
        <v>4</v>
      </c>
      <c r="K6" s="3">
        <v>5</v>
      </c>
      <c r="L6" s="3">
        <v>6</v>
      </c>
      <c r="M6" s="3">
        <v>7</v>
      </c>
      <c r="N6" s="3">
        <v>8</v>
      </c>
      <c r="O6" s="3">
        <v>9</v>
      </c>
      <c r="P6" s="3">
        <v>10</v>
      </c>
      <c r="Q6" s="3">
        <v>11</v>
      </c>
      <c r="R6" s="3">
        <v>12</v>
      </c>
      <c r="S6" s="293"/>
      <c r="T6" s="319">
        <v>13</v>
      </c>
      <c r="U6" s="3">
        <v>14</v>
      </c>
      <c r="V6" s="3">
        <v>15</v>
      </c>
      <c r="W6" s="3">
        <v>16</v>
      </c>
      <c r="X6" s="3">
        <v>17</v>
      </c>
      <c r="Y6" s="3">
        <v>18</v>
      </c>
      <c r="Z6" s="3">
        <v>19</v>
      </c>
      <c r="AA6" s="3">
        <v>20</v>
      </c>
      <c r="AB6" s="3">
        <v>21</v>
      </c>
      <c r="AC6" s="3">
        <v>22</v>
      </c>
      <c r="AD6" s="3">
        <v>23</v>
      </c>
      <c r="AE6" s="3">
        <v>24</v>
      </c>
      <c r="AF6" s="37"/>
      <c r="AG6" s="3">
        <v>25</v>
      </c>
      <c r="AH6" s="3">
        <v>26</v>
      </c>
      <c r="AI6" s="3">
        <v>27</v>
      </c>
      <c r="AJ6" s="3">
        <v>28</v>
      </c>
      <c r="AK6" s="3">
        <v>29</v>
      </c>
      <c r="AL6" s="3">
        <v>30</v>
      </c>
      <c r="AM6" s="3">
        <v>31</v>
      </c>
      <c r="AN6" s="3">
        <v>32</v>
      </c>
      <c r="AO6" s="3">
        <v>33</v>
      </c>
      <c r="AP6" s="3">
        <v>34</v>
      </c>
      <c r="AQ6" s="3">
        <v>35</v>
      </c>
      <c r="AR6" s="3">
        <v>36</v>
      </c>
      <c r="AS6" s="37"/>
      <c r="AT6" s="3">
        <v>37</v>
      </c>
      <c r="AU6" s="3">
        <v>38</v>
      </c>
      <c r="AV6" s="3">
        <v>39</v>
      </c>
      <c r="AW6" s="3">
        <v>40</v>
      </c>
      <c r="AX6" s="3">
        <v>41</v>
      </c>
      <c r="AY6" s="3">
        <v>42</v>
      </c>
      <c r="AZ6" s="3">
        <v>43</v>
      </c>
      <c r="BA6" s="3">
        <v>44</v>
      </c>
      <c r="BB6" s="3">
        <v>45</v>
      </c>
      <c r="BC6" s="3">
        <v>46</v>
      </c>
      <c r="BD6" s="3">
        <v>47</v>
      </c>
      <c r="BE6" s="3">
        <v>48</v>
      </c>
      <c r="BF6" s="37"/>
      <c r="BG6" s="3">
        <v>49</v>
      </c>
      <c r="BH6" s="3">
        <v>50</v>
      </c>
      <c r="BI6" s="3">
        <v>51</v>
      </c>
      <c r="BJ6" s="3">
        <v>52</v>
      </c>
      <c r="BK6" s="3">
        <v>53</v>
      </c>
      <c r="BL6" s="3">
        <v>54</v>
      </c>
      <c r="BM6" s="3">
        <v>55</v>
      </c>
      <c r="BN6" s="3">
        <v>56</v>
      </c>
      <c r="BO6" s="3">
        <v>57</v>
      </c>
      <c r="BP6" s="3">
        <v>58</v>
      </c>
      <c r="BQ6" s="3">
        <v>59</v>
      </c>
      <c r="BR6" s="3">
        <v>60</v>
      </c>
      <c r="BS6" s="37"/>
      <c r="BT6" s="2"/>
    </row>
    <row r="7" spans="1:72">
      <c r="A7" s="367" t="s">
        <v>248</v>
      </c>
      <c r="B7" s="366"/>
      <c r="C7" s="2"/>
      <c r="D7" s="60"/>
      <c r="E7" s="2"/>
      <c r="F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293"/>
      <c r="T7" s="319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7"/>
      <c r="AG7" s="319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7"/>
      <c r="AT7" s="319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7"/>
      <c r="BG7" s="319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7"/>
      <c r="BT7" s="2"/>
    </row>
    <row r="8" spans="1:72">
      <c r="B8" s="36"/>
      <c r="C8" s="2"/>
      <c r="D8" s="257"/>
      <c r="F8" s="258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58"/>
      <c r="T8" s="303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303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303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303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</row>
    <row r="9" spans="1:72">
      <c r="A9" s="36" t="s">
        <v>461</v>
      </c>
      <c r="B9" s="80"/>
      <c r="C9" s="1"/>
      <c r="D9" s="259"/>
      <c r="E9" s="258"/>
      <c r="F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11"/>
      <c r="T9" s="319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19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19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19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2"/>
    </row>
    <row r="10" spans="1:72">
      <c r="A10" s="285">
        <v>50</v>
      </c>
      <c r="B10" s="115"/>
      <c r="C10" s="2" t="str">
        <f>'Beer Revenue'!F15</f>
        <v>Core 1 - Lager</v>
      </c>
      <c r="D10" s="2"/>
      <c r="E10" s="2"/>
      <c r="F10" s="2"/>
      <c r="G10" s="312">
        <f>$A10*'Beer Revenue'!H87</f>
        <v>144.89531250000002</v>
      </c>
      <c r="H10" s="312">
        <f>$A10*'Beer Revenue'!I87</f>
        <v>154.04864541330642</v>
      </c>
      <c r="I10" s="312">
        <f>$A10*'Beer Revenue'!J87</f>
        <v>217.34296875000001</v>
      </c>
      <c r="J10" s="312">
        <f>$A10*'Beer Revenue'!K87</f>
        <v>257.07232862903226</v>
      </c>
      <c r="K10" s="312">
        <f>$A10*'Beer Revenue'!L87</f>
        <v>289.79062500000003</v>
      </c>
      <c r="L10" s="312">
        <f>$A10*'Beer Revenue'!M87</f>
        <v>292.12764616935488</v>
      </c>
      <c r="M10" s="312">
        <f>$A10*'Beer Revenue'!N87</f>
        <v>301.865234375</v>
      </c>
      <c r="N10" s="312">
        <f>$A10*'Beer Revenue'!O87</f>
        <v>289.79062500000003</v>
      </c>
      <c r="O10" s="312">
        <f>$A10*'Beer Revenue'!P87</f>
        <v>257.07232862903226</v>
      </c>
      <c r="P10" s="312">
        <f>$A10*'Beer Revenue'!Q87</f>
        <v>241.4921875</v>
      </c>
      <c r="Q10" s="312">
        <f>$A10*'Beer Revenue'!R87</f>
        <v>210.33190524193546</v>
      </c>
      <c r="R10" s="312">
        <f>$A10*'Beer Revenue'!S87</f>
        <v>193.19375000000002</v>
      </c>
      <c r="S10" s="315">
        <f>SUM(G10:R10)</f>
        <v>2849.0235572076617</v>
      </c>
      <c r="T10" s="320">
        <f>$A10*(1+Assumptions!$D$75)*'Beer Revenue'!U87</f>
        <v>195.60867187499997</v>
      </c>
      <c r="U10" s="312">
        <f>$A10*(1+Assumptions!$D$75)*'Beer Revenue'!V87</f>
        <v>207.96567130796367</v>
      </c>
      <c r="V10" s="312">
        <f>$A10*(1+Assumptions!$D$75)*'Beer Revenue'!W87</f>
        <v>293.41300781249998</v>
      </c>
      <c r="W10" s="312">
        <f>$A10*(1+Assumptions!$D$75)*'Beer Revenue'!X87</f>
        <v>347.04764364919356</v>
      </c>
      <c r="X10" s="312">
        <f>$A10*(1+Assumptions!$D$75)*'Beer Revenue'!Y87</f>
        <v>391.21734374999994</v>
      </c>
      <c r="Y10" s="312">
        <f>$A10*(1+Assumptions!$D$75)*'Beer Revenue'!Z87</f>
        <v>394.37232232862891</v>
      </c>
      <c r="Z10" s="312">
        <f>$A10*(1+Assumptions!$D$75)*'Beer Revenue'!AA87</f>
        <v>407.51806640625</v>
      </c>
      <c r="AA10" s="312">
        <f>$A10*(1+Assumptions!$D$75)*'Beer Revenue'!AB87</f>
        <v>391.21734374999994</v>
      </c>
      <c r="AB10" s="312">
        <f>$A10*(1+Assumptions!$D$75)*'Beer Revenue'!AC87</f>
        <v>347.04764364919356</v>
      </c>
      <c r="AC10" s="312">
        <f>$A10*(1+Assumptions!$D$75)*'Beer Revenue'!AD87</f>
        <v>326.01445312500005</v>
      </c>
      <c r="AD10" s="312">
        <f>$A10*(1+Assumptions!$D$75)*'Beer Revenue'!AE87</f>
        <v>283.9480720766129</v>
      </c>
      <c r="AE10" s="312">
        <f>$A10*(1+Assumptions!$D$75)*'Beer Revenue'!AF87</f>
        <v>260.81156250000004</v>
      </c>
      <c r="AF10" s="315">
        <f>SUM(T10:AE10)</f>
        <v>3846.1818022303428</v>
      </c>
      <c r="AG10" s="320">
        <f>$A10*(1+Assumptions!$E$75)*'Beer Revenue'!AH87</f>
        <v>220.78423242187495</v>
      </c>
      <c r="AH10" s="312">
        <f>$A10*(1+Assumptions!$E$75)*'Beer Revenue'!AI87</f>
        <v>234.73162344852565</v>
      </c>
      <c r="AI10" s="312">
        <f>$A10*(1+Assumptions!$E$75)*'Beer Revenue'!AJ87</f>
        <v>331.17634863281245</v>
      </c>
      <c r="AJ10" s="312">
        <f>$A10*(1+Assumptions!$E$75)*'Beer Revenue'!AK87</f>
        <v>391.71396074848781</v>
      </c>
      <c r="AK10" s="312">
        <f>$A10*(1+Assumptions!$E$75)*'Beer Revenue'!AL87</f>
        <v>441.56846484374989</v>
      </c>
      <c r="AL10" s="312">
        <f>$A10*(1+Assumptions!$E$75)*'Beer Revenue'!AM87</f>
        <v>445.12950085055434</v>
      </c>
      <c r="AM10" s="312">
        <f>$A10*(1+Assumptions!$E$75)*'Beer Revenue'!AN87</f>
        <v>459.96715087890618</v>
      </c>
      <c r="AN10" s="312">
        <f>$A10*(1+Assumptions!$E$75)*'Beer Revenue'!AO87</f>
        <v>441.56846484374989</v>
      </c>
      <c r="AO10" s="312">
        <f>$A10*(1+Assumptions!$E$75)*'Beer Revenue'!AP87</f>
        <v>391.71396074848781</v>
      </c>
      <c r="AP10" s="312">
        <f>$A10*(1+Assumptions!$E$75)*'Beer Revenue'!AQ87</f>
        <v>367.97372070312497</v>
      </c>
      <c r="AQ10" s="312">
        <f>$A10*(1+Assumptions!$E$75)*'Beer Revenue'!AR87</f>
        <v>320.49324061239918</v>
      </c>
      <c r="AR10" s="312">
        <f>$A10*(1+Assumptions!$E$75)*'Beer Revenue'!AS87</f>
        <v>294.37897656249999</v>
      </c>
      <c r="AS10" s="315">
        <f>SUM(AG10:AR10)</f>
        <v>4341.1996452951726</v>
      </c>
      <c r="AT10" s="320">
        <f>$A10*(1+Assumptions!$F$75)*'Beer Revenue'!AU87</f>
        <v>238.28034140624999</v>
      </c>
      <c r="AU10" s="312">
        <f>$A10*(1+Assumptions!$F$75)*'Beer Revenue'!AV87</f>
        <v>253.33299738218241</v>
      </c>
      <c r="AV10" s="312">
        <f>$A10*(1+Assumptions!$F$75)*'Beer Revenue'!AW87</f>
        <v>357.42051210937501</v>
      </c>
      <c r="AW10" s="312">
        <f>$A10*(1+Assumptions!$F$75)*'Beer Revenue'!AX87</f>
        <v>422.7554444304435</v>
      </c>
      <c r="AX10" s="312">
        <f>$A10*(1+Assumptions!$F$75)*'Beer Revenue'!AY87</f>
        <v>476.56068281249998</v>
      </c>
      <c r="AY10" s="312">
        <f>$A10*(1+Assumptions!$F$75)*'Beer Revenue'!AZ87</f>
        <v>480.40391412550406</v>
      </c>
      <c r="AZ10" s="312">
        <f>$A10*(1+Assumptions!$F$75)*'Beer Revenue'!BA87</f>
        <v>496.41737792968752</v>
      </c>
      <c r="BA10" s="312">
        <f>$A10*(1+Assumptions!$F$75)*'Beer Revenue'!BB87</f>
        <v>476.56068281249998</v>
      </c>
      <c r="BB10" s="312">
        <f>$A10*(1+Assumptions!$F$75)*'Beer Revenue'!BC87</f>
        <v>422.7554444304435</v>
      </c>
      <c r="BC10" s="312">
        <f>$A10*(1+Assumptions!$F$75)*'Beer Revenue'!BD87</f>
        <v>397.13390234375004</v>
      </c>
      <c r="BD10" s="312">
        <f>$A10*(1+Assumptions!$F$75)*'Beer Revenue'!BE87</f>
        <v>345.89081817036288</v>
      </c>
      <c r="BE10" s="312">
        <f>$A10*(1+Assumptions!$F$75)*'Beer Revenue'!BF87</f>
        <v>317.70712187499998</v>
      </c>
      <c r="BF10" s="315">
        <f>SUM(AT10:BE10)</f>
        <v>4685.2192398279985</v>
      </c>
      <c r="BG10" s="320">
        <f>$A10*(1+Assumptions!$F$75)*'Beer Revenue'!BH87</f>
        <v>262.10837554687504</v>
      </c>
      <c r="BH10" s="312">
        <f>$A10*(1+Assumptions!$F$75)*'Beer Revenue'!BI87</f>
        <v>278.66629712040071</v>
      </c>
      <c r="BI10" s="312">
        <f>$A10*(1+Assumptions!$F$75)*'Beer Revenue'!BJ87</f>
        <v>393.16256332031247</v>
      </c>
      <c r="BJ10" s="312">
        <f>$A10*(1+Assumptions!$F$75)*'Beer Revenue'!BK87</f>
        <v>465.03098887348784</v>
      </c>
      <c r="BK10" s="312">
        <f>$A10*(1+Assumptions!$F$75)*'Beer Revenue'!BL87</f>
        <v>524.21675109375008</v>
      </c>
      <c r="BL10" s="312">
        <f>$A10*(1+Assumptions!$F$75)*'Beer Revenue'!BM87</f>
        <v>528.44430553805444</v>
      </c>
      <c r="BM10" s="312">
        <f>$A10*(1+Assumptions!$F$75)*'Beer Revenue'!BN87</f>
        <v>546.05911572265632</v>
      </c>
      <c r="BN10" s="312">
        <f>$A10*(1+Assumptions!$F$75)*'Beer Revenue'!BO87</f>
        <v>524.21675109375008</v>
      </c>
      <c r="BO10" s="312">
        <f>$A10*(1+Assumptions!$F$75)*'Beer Revenue'!BP87</f>
        <v>465.03098887348784</v>
      </c>
      <c r="BP10" s="312">
        <f>$A10*(1+Assumptions!$F$75)*'Beer Revenue'!BQ87</f>
        <v>436.84729257812501</v>
      </c>
      <c r="BQ10" s="312">
        <f>$A10*(1+Assumptions!$F$75)*'Beer Revenue'!BR87</f>
        <v>380.47989998739922</v>
      </c>
      <c r="BR10" s="312">
        <f>$A10*(1+Assumptions!$F$75)*'Beer Revenue'!BS87</f>
        <v>349.47783406250005</v>
      </c>
      <c r="BS10" s="315">
        <f>SUM(BG10:BR10)</f>
        <v>5153.7411638107988</v>
      </c>
      <c r="BT10" s="315">
        <f>S10+AF10+AS10+BF10+BS10</f>
        <v>20875.365408371974</v>
      </c>
    </row>
    <row r="11" spans="1:72">
      <c r="A11" s="285">
        <v>130</v>
      </c>
      <c r="B11" s="115"/>
      <c r="C11" s="2" t="str">
        <f>'Beer Revenue'!F16</f>
        <v>Core 2 - Hoppy Pale</v>
      </c>
      <c r="D11" s="2"/>
      <c r="E11" s="2"/>
      <c r="F11" s="2"/>
      <c r="G11" s="312">
        <f>$A11*'Beer Revenue'!H88</f>
        <v>565.09171875000004</v>
      </c>
      <c r="H11" s="312">
        <f>$A11*'Beer Revenue'!I88</f>
        <v>600.78971711189502</v>
      </c>
      <c r="I11" s="312">
        <f>$A11*'Beer Revenue'!J88</f>
        <v>847.637578125</v>
      </c>
      <c r="J11" s="312">
        <f>$A11*'Beer Revenue'!K88</f>
        <v>1002.5820816532258</v>
      </c>
      <c r="K11" s="312">
        <f>$A11*'Beer Revenue'!L88</f>
        <v>1130.1834375000001</v>
      </c>
      <c r="L11" s="312">
        <f>$A11*'Beer Revenue'!M88</f>
        <v>1139.2978200604837</v>
      </c>
      <c r="M11" s="312">
        <f>$A11*'Beer Revenue'!N88</f>
        <v>1177.2744140624998</v>
      </c>
      <c r="N11" s="312">
        <f>$A11*'Beer Revenue'!O88</f>
        <v>1130.1834375000001</v>
      </c>
      <c r="O11" s="312">
        <f>$A11*'Beer Revenue'!P88</f>
        <v>1002.5820816532258</v>
      </c>
      <c r="P11" s="312">
        <f>$A11*'Beer Revenue'!Q88</f>
        <v>941.81953124999984</v>
      </c>
      <c r="Q11" s="312">
        <f>$A11*'Beer Revenue'!R88</f>
        <v>820.29443044354821</v>
      </c>
      <c r="R11" s="312">
        <f>$A11*'Beer Revenue'!S88</f>
        <v>753.45562500000005</v>
      </c>
      <c r="S11" s="315">
        <f t="shared" ref="S11:S38" si="4">SUM(G11:R11)</f>
        <v>11111.191873109878</v>
      </c>
      <c r="T11" s="320">
        <f>$A11*(1+Assumptions!$D$75)*'Beer Revenue'!U88</f>
        <v>762.87382031250002</v>
      </c>
      <c r="U11" s="312">
        <f>$A11*(1+Assumptions!$D$75)*'Beer Revenue'!V88</f>
        <v>811.06611810105835</v>
      </c>
      <c r="V11" s="312">
        <f>$A11*(1+Assumptions!$D$75)*'Beer Revenue'!W88</f>
        <v>1144.3107304687499</v>
      </c>
      <c r="W11" s="312">
        <f>$A11*(1+Assumptions!$D$75)*'Beer Revenue'!X88</f>
        <v>1353.4858102318547</v>
      </c>
      <c r="X11" s="312">
        <f>$A11*(1+Assumptions!$D$75)*'Beer Revenue'!Y88</f>
        <v>1525.747640625</v>
      </c>
      <c r="Y11" s="312">
        <f>$A11*(1+Assumptions!$D$75)*'Beer Revenue'!Z88</f>
        <v>1538.0520570816527</v>
      </c>
      <c r="Z11" s="312">
        <f>$A11*(1+Assumptions!$D$75)*'Beer Revenue'!AA88</f>
        <v>1589.3204589843749</v>
      </c>
      <c r="AA11" s="312">
        <f>$A11*(1+Assumptions!$D$75)*'Beer Revenue'!AB88</f>
        <v>1525.747640625</v>
      </c>
      <c r="AB11" s="312">
        <f>$A11*(1+Assumptions!$D$75)*'Beer Revenue'!AC88</f>
        <v>1353.4858102318547</v>
      </c>
      <c r="AC11" s="312">
        <f>$A11*(1+Assumptions!$D$75)*'Beer Revenue'!AD88</f>
        <v>1271.4563671875001</v>
      </c>
      <c r="AD11" s="312">
        <f>$A11*(1+Assumptions!$D$75)*'Beer Revenue'!AE88</f>
        <v>1107.3974810987904</v>
      </c>
      <c r="AE11" s="312">
        <f>$A11*(1+Assumptions!$D$75)*'Beer Revenue'!AF88</f>
        <v>1017.1650937499999</v>
      </c>
      <c r="AF11" s="315">
        <f t="shared" ref="AF11:AF22" si="5">SUM(T11:AE11)</f>
        <v>15000.109028698336</v>
      </c>
      <c r="AG11" s="320">
        <f>$A11*(1+Assumptions!$E$75)*'Beer Revenue'!AH88</f>
        <v>861.05850644531245</v>
      </c>
      <c r="AH11" s="312">
        <f>$A11*(1+Assumptions!$E$75)*'Beer Revenue'!AI88</f>
        <v>915.45333144925007</v>
      </c>
      <c r="AI11" s="312">
        <f>$A11*(1+Assumptions!$E$75)*'Beer Revenue'!AJ88</f>
        <v>1291.5877596679686</v>
      </c>
      <c r="AJ11" s="312">
        <f>$A11*(1+Assumptions!$E$75)*'Beer Revenue'!AK88</f>
        <v>1527.6844469191026</v>
      </c>
      <c r="AK11" s="312">
        <f>$A11*(1+Assumptions!$E$75)*'Beer Revenue'!AL88</f>
        <v>1722.1170128906249</v>
      </c>
      <c r="AL11" s="312">
        <f>$A11*(1+Assumptions!$E$75)*'Beer Revenue'!AM88</f>
        <v>1736.0050533171618</v>
      </c>
      <c r="AM11" s="312">
        <f>$A11*(1+Assumptions!$E$75)*'Beer Revenue'!AN88</f>
        <v>1793.8718884277339</v>
      </c>
      <c r="AN11" s="312">
        <f>$A11*(1+Assumptions!$E$75)*'Beer Revenue'!AO88</f>
        <v>1722.1170128906249</v>
      </c>
      <c r="AO11" s="312">
        <f>$A11*(1+Assumptions!$E$75)*'Beer Revenue'!AP88</f>
        <v>1527.6844469191026</v>
      </c>
      <c r="AP11" s="312">
        <f>$A11*(1+Assumptions!$E$75)*'Beer Revenue'!AQ88</f>
        <v>1435.0975107421873</v>
      </c>
      <c r="AQ11" s="312">
        <f>$A11*(1+Assumptions!$E$75)*'Beer Revenue'!AR88</f>
        <v>1249.9236383883569</v>
      </c>
      <c r="AR11" s="312">
        <f>$A11*(1+Assumptions!$E$75)*'Beer Revenue'!AS88</f>
        <v>1148.0780085937497</v>
      </c>
      <c r="AS11" s="315">
        <f t="shared" ref="AS11:AS22" si="6">SUM(AG11:AR11)</f>
        <v>16930.678616651174</v>
      </c>
      <c r="AT11" s="320">
        <f>$A11*(1+Assumptions!$F$75)*'Beer Revenue'!AU88</f>
        <v>929.29333148437524</v>
      </c>
      <c r="AU11" s="312">
        <f>$A11*(1+Assumptions!$F$75)*'Beer Revenue'!AV88</f>
        <v>987.99868979051155</v>
      </c>
      <c r="AV11" s="312">
        <f>$A11*(1+Assumptions!$F$75)*'Beer Revenue'!AW88</f>
        <v>1393.9399972265626</v>
      </c>
      <c r="AW11" s="312">
        <f>$A11*(1+Assumptions!$F$75)*'Beer Revenue'!AX88</f>
        <v>1648.7462332787297</v>
      </c>
      <c r="AX11" s="312">
        <f>$A11*(1+Assumptions!$F$75)*'Beer Revenue'!AY88</f>
        <v>1858.5866629687505</v>
      </c>
      <c r="AY11" s="312">
        <f>$A11*(1+Assumptions!$F$75)*'Beer Revenue'!AZ88</f>
        <v>1873.5752650894651</v>
      </c>
      <c r="AZ11" s="312">
        <f>$A11*(1+Assumptions!$F$75)*'Beer Revenue'!BA88</f>
        <v>1936.027773925781</v>
      </c>
      <c r="BA11" s="312">
        <f>$A11*(1+Assumptions!$F$75)*'Beer Revenue'!BB88</f>
        <v>1858.5866629687505</v>
      </c>
      <c r="BB11" s="312">
        <f>$A11*(1+Assumptions!$F$75)*'Beer Revenue'!BC88</f>
        <v>1648.7462332787297</v>
      </c>
      <c r="BC11" s="312">
        <f>$A11*(1+Assumptions!$F$75)*'Beer Revenue'!BD88</f>
        <v>1548.8222191406253</v>
      </c>
      <c r="BD11" s="312">
        <f>$A11*(1+Assumptions!$F$75)*'Beer Revenue'!BE88</f>
        <v>1348.9741908644157</v>
      </c>
      <c r="BE11" s="312">
        <f>$A11*(1+Assumptions!$F$75)*'Beer Revenue'!BF88</f>
        <v>1239.0577753125001</v>
      </c>
      <c r="BF11" s="315">
        <f t="shared" ref="BF11:BF38" si="7">SUM(AT11:BE11)</f>
        <v>18272.355035329198</v>
      </c>
      <c r="BG11" s="320">
        <f>$A11*(1+Assumptions!$F$75)*'Beer Revenue'!BH88</f>
        <v>1022.2226646328126</v>
      </c>
      <c r="BH11" s="312">
        <f>$A11*(1+Assumptions!$F$75)*'Beer Revenue'!BI88</f>
        <v>1086.7985587695628</v>
      </c>
      <c r="BI11" s="312">
        <f>$A11*(1+Assumptions!$F$75)*'Beer Revenue'!BJ88</f>
        <v>1533.3339969492188</v>
      </c>
      <c r="BJ11" s="312">
        <f>$A11*(1+Assumptions!$F$75)*'Beer Revenue'!BK88</f>
        <v>1813.620856606603</v>
      </c>
      <c r="BK11" s="312">
        <f>$A11*(1+Assumptions!$F$75)*'Beer Revenue'!BL88</f>
        <v>2044.4453292656251</v>
      </c>
      <c r="BL11" s="312">
        <f>$A11*(1+Assumptions!$F$75)*'Beer Revenue'!BM88</f>
        <v>2060.9327915984118</v>
      </c>
      <c r="BM11" s="312">
        <f>$A11*(1+Assumptions!$F$75)*'Beer Revenue'!BN88</f>
        <v>2129.6305513183588</v>
      </c>
      <c r="BN11" s="312">
        <f>$A11*(1+Assumptions!$F$75)*'Beer Revenue'!BO88</f>
        <v>2044.4453292656251</v>
      </c>
      <c r="BO11" s="312">
        <f>$A11*(1+Assumptions!$F$75)*'Beer Revenue'!BP88</f>
        <v>1813.620856606603</v>
      </c>
      <c r="BP11" s="312">
        <f>$A11*(1+Assumptions!$F$75)*'Beer Revenue'!BQ88</f>
        <v>1703.704441054688</v>
      </c>
      <c r="BQ11" s="312">
        <f>$A11*(1+Assumptions!$F$75)*'Beer Revenue'!BR88</f>
        <v>1483.8716099508572</v>
      </c>
      <c r="BR11" s="312">
        <f>$A11*(1+Assumptions!$F$75)*'Beer Revenue'!BS88</f>
        <v>1362.9635528437502</v>
      </c>
      <c r="BS11" s="315">
        <f t="shared" ref="BS11:BS35" si="8">SUM(BG11:BR11)</f>
        <v>20099.590538862118</v>
      </c>
      <c r="BT11" s="315">
        <f t="shared" ref="BT11:BT38" si="9">S11+AF11+AS11+BF11+BS11</f>
        <v>81413.925092650708</v>
      </c>
    </row>
    <row r="12" spans="1:72">
      <c r="A12" s="285">
        <v>60</v>
      </c>
      <c r="B12" s="115"/>
      <c r="C12" s="2" t="str">
        <f>'Beer Revenue'!F17</f>
        <v>Core 3 - Red Ale</v>
      </c>
      <c r="D12" s="2"/>
      <c r="E12" s="2"/>
      <c r="F12" s="2"/>
      <c r="G12" s="312">
        <f>$A12*'Beer Revenue'!H89</f>
        <v>71.412689732142866</v>
      </c>
      <c r="H12" s="312">
        <f>$A12*'Beer Revenue'!I89</f>
        <v>75.923975239415299</v>
      </c>
      <c r="I12" s="312">
        <f>$A12*'Beer Revenue'!J89</f>
        <v>107.11903459821428</v>
      </c>
      <c r="J12" s="312">
        <f>$A12*'Beer Revenue'!K89</f>
        <v>126.69993339573735</v>
      </c>
      <c r="K12" s="312">
        <f>$A12*'Beer Revenue'!L89</f>
        <v>142.82537946428573</v>
      </c>
      <c r="L12" s="312">
        <f>$A12*'Beer Revenue'!M89</f>
        <v>143.97719704061058</v>
      </c>
      <c r="M12" s="312">
        <f>$A12*'Beer Revenue'!N89</f>
        <v>148.77643694196428</v>
      </c>
      <c r="N12" s="312">
        <f>$A12*'Beer Revenue'!O89</f>
        <v>142.82537946428573</v>
      </c>
      <c r="O12" s="312">
        <f>$A12*'Beer Revenue'!P89</f>
        <v>126.69993339573735</v>
      </c>
      <c r="P12" s="312">
        <f>$A12*'Beer Revenue'!Q89</f>
        <v>119.02114955357143</v>
      </c>
      <c r="Q12" s="312">
        <f>$A12*'Beer Revenue'!R89</f>
        <v>103.66358186923962</v>
      </c>
      <c r="R12" s="312">
        <f>$A12*'Beer Revenue'!S89</f>
        <v>95.21691964285715</v>
      </c>
      <c r="S12" s="315">
        <f t="shared" si="4"/>
        <v>1404.1616103380618</v>
      </c>
      <c r="T12" s="320">
        <f>$A12*(1+Assumptions!$D$75)*'Beer Revenue'!U89</f>
        <v>96.40713113839287</v>
      </c>
      <c r="U12" s="312">
        <f>$A12*(1+Assumptions!$D$75)*'Beer Revenue'!V89</f>
        <v>102.49736657321068</v>
      </c>
      <c r="V12" s="312">
        <f>$A12*(1+Assumptions!$D$75)*'Beer Revenue'!W89</f>
        <v>144.61069670758931</v>
      </c>
      <c r="W12" s="312">
        <f>$A12*(1+Assumptions!$D$75)*'Beer Revenue'!X89</f>
        <v>171.04491008424543</v>
      </c>
      <c r="X12" s="312">
        <f>$A12*(1+Assumptions!$D$75)*'Beer Revenue'!Y89</f>
        <v>192.81426227678574</v>
      </c>
      <c r="Y12" s="312">
        <f>$A12*(1+Assumptions!$D$75)*'Beer Revenue'!Z89</f>
        <v>194.36921600482432</v>
      </c>
      <c r="Z12" s="312">
        <f>$A12*(1+Assumptions!$D$75)*'Beer Revenue'!AA89</f>
        <v>200.84818987165181</v>
      </c>
      <c r="AA12" s="312">
        <f>$A12*(1+Assumptions!$D$75)*'Beer Revenue'!AB89</f>
        <v>192.81426227678574</v>
      </c>
      <c r="AB12" s="312">
        <f>$A12*(1+Assumptions!$D$75)*'Beer Revenue'!AC89</f>
        <v>171.04491008424543</v>
      </c>
      <c r="AC12" s="312">
        <f>$A12*(1+Assumptions!$D$75)*'Beer Revenue'!AD89</f>
        <v>160.67855189732148</v>
      </c>
      <c r="AD12" s="312">
        <f>$A12*(1+Assumptions!$D$75)*'Beer Revenue'!AE89</f>
        <v>139.94583552347353</v>
      </c>
      <c r="AE12" s="312">
        <f>$A12*(1+Assumptions!$D$75)*'Beer Revenue'!AF89</f>
        <v>128.54284151785717</v>
      </c>
      <c r="AF12" s="315">
        <f t="shared" si="5"/>
        <v>1895.6181739563835</v>
      </c>
      <c r="AG12" s="320">
        <f>$A12*(1+Assumptions!$E$75)*'Beer Revenue'!AH89</f>
        <v>108.81508597935266</v>
      </c>
      <c r="AH12" s="312">
        <f>$A12*(1+Assumptions!$E$75)*'Beer Revenue'!AI89</f>
        <v>115.68915727105907</v>
      </c>
      <c r="AI12" s="312">
        <f>$A12*(1+Assumptions!$E$75)*'Beer Revenue'!AJ89</f>
        <v>163.22262896902902</v>
      </c>
      <c r="AJ12" s="312">
        <f>$A12*(1+Assumptions!$E$75)*'Beer Revenue'!AK89</f>
        <v>193.05902351175473</v>
      </c>
      <c r="AK12" s="312">
        <f>$A12*(1+Assumptions!$E$75)*'Beer Revenue'!AL89</f>
        <v>217.63017195870532</v>
      </c>
      <c r="AL12" s="312">
        <f>$A12*(1+Assumptions!$E$75)*'Beer Revenue'!AM89</f>
        <v>219.38525399063033</v>
      </c>
      <c r="AM12" s="312">
        <f>$A12*(1+Assumptions!$E$75)*'Beer Revenue'!AN89</f>
        <v>226.69809579031806</v>
      </c>
      <c r="AN12" s="312">
        <f>$A12*(1+Assumptions!$E$75)*'Beer Revenue'!AO89</f>
        <v>217.63017195870532</v>
      </c>
      <c r="AO12" s="312">
        <f>$A12*(1+Assumptions!$E$75)*'Beer Revenue'!AP89</f>
        <v>193.05902351175473</v>
      </c>
      <c r="AP12" s="312">
        <f>$A12*(1+Assumptions!$E$75)*'Beer Revenue'!AQ89</f>
        <v>181.35847663225445</v>
      </c>
      <c r="AQ12" s="312">
        <f>$A12*(1+Assumptions!$E$75)*'Beer Revenue'!AR89</f>
        <v>157.95738287325386</v>
      </c>
      <c r="AR12" s="312">
        <f>$A12*(1+Assumptions!$E$75)*'Beer Revenue'!AS89</f>
        <v>145.08678130580356</v>
      </c>
      <c r="AS12" s="315">
        <f t="shared" si="6"/>
        <v>2139.591253752621</v>
      </c>
      <c r="AT12" s="320">
        <f>$A12*(1+Assumptions!$F$75)*'Beer Revenue'!AU89</f>
        <v>117.43816826450893</v>
      </c>
      <c r="AU12" s="312">
        <f>$A12*(1+Assumptions!$F$75)*'Beer Revenue'!AV89</f>
        <v>124.85697728121852</v>
      </c>
      <c r="AV12" s="312">
        <f>$A12*(1+Assumptions!$F$75)*'Beer Revenue'!AW89</f>
        <v>176.15725239676343</v>
      </c>
      <c r="AW12" s="312">
        <f>$A12*(1+Assumptions!$F$75)*'Beer Revenue'!AX89</f>
        <v>208.35804046929005</v>
      </c>
      <c r="AX12" s="312">
        <f>$A12*(1+Assumptions!$F$75)*'Beer Revenue'!AY89</f>
        <v>234.87633652901786</v>
      </c>
      <c r="AY12" s="312">
        <f>$A12*(1+Assumptions!$F$75)*'Beer Revenue'!AZ89</f>
        <v>236.77050053328412</v>
      </c>
      <c r="AZ12" s="312">
        <f>$A12*(1+Assumptions!$F$75)*'Beer Revenue'!BA89</f>
        <v>244.66285055106027</v>
      </c>
      <c r="BA12" s="312">
        <f>$A12*(1+Assumptions!$F$75)*'Beer Revenue'!BB89</f>
        <v>234.87633652901786</v>
      </c>
      <c r="BB12" s="312">
        <f>$A12*(1+Assumptions!$F$75)*'Beer Revenue'!BC89</f>
        <v>208.35804046929005</v>
      </c>
      <c r="BC12" s="312">
        <f>$A12*(1+Assumptions!$F$75)*'Beer Revenue'!BD89</f>
        <v>195.73028044084825</v>
      </c>
      <c r="BD12" s="312">
        <f>$A12*(1+Assumptions!$F$75)*'Beer Revenue'!BE89</f>
        <v>170.47476038396459</v>
      </c>
      <c r="BE12" s="312">
        <f>$A12*(1+Assumptions!$F$75)*'Beer Revenue'!BF89</f>
        <v>156.58422435267858</v>
      </c>
      <c r="BF12" s="315">
        <f t="shared" si="7"/>
        <v>2309.1437682009423</v>
      </c>
      <c r="BG12" s="320">
        <f>$A12*(1+Assumptions!$F$75)*'Beer Revenue'!BH89</f>
        <v>129.18198509095984</v>
      </c>
      <c r="BH12" s="312">
        <f>$A12*(1+Assumptions!$F$75)*'Beer Revenue'!BI89</f>
        <v>137.34267500934038</v>
      </c>
      <c r="BI12" s="312">
        <f>$A12*(1+Assumptions!$F$75)*'Beer Revenue'!BJ89</f>
        <v>193.77297763643975</v>
      </c>
      <c r="BJ12" s="312">
        <f>$A12*(1+Assumptions!$F$75)*'Beer Revenue'!BK89</f>
        <v>229.19384451621906</v>
      </c>
      <c r="BK12" s="312">
        <f>$A12*(1+Assumptions!$F$75)*'Beer Revenue'!BL89</f>
        <v>258.36397018191968</v>
      </c>
      <c r="BL12" s="312">
        <f>$A12*(1+Assumptions!$F$75)*'Beer Revenue'!BM89</f>
        <v>260.44755058661264</v>
      </c>
      <c r="BM12" s="312">
        <f>$A12*(1+Assumptions!$F$75)*'Beer Revenue'!BN89</f>
        <v>269.1291356061663</v>
      </c>
      <c r="BN12" s="312">
        <f>$A12*(1+Assumptions!$F$75)*'Beer Revenue'!BO89</f>
        <v>258.36397018191968</v>
      </c>
      <c r="BO12" s="312">
        <f>$A12*(1+Assumptions!$F$75)*'Beer Revenue'!BP89</f>
        <v>229.19384451621906</v>
      </c>
      <c r="BP12" s="312">
        <f>$A12*(1+Assumptions!$F$75)*'Beer Revenue'!BQ89</f>
        <v>215.30330848493307</v>
      </c>
      <c r="BQ12" s="312">
        <f>$A12*(1+Assumptions!$F$75)*'Beer Revenue'!BR89</f>
        <v>187.52223642236106</v>
      </c>
      <c r="BR12" s="312">
        <f>$A12*(1+Assumptions!$F$75)*'Beer Revenue'!BS89</f>
        <v>172.24264678794646</v>
      </c>
      <c r="BS12" s="315">
        <f t="shared" si="8"/>
        <v>2540.058145021037</v>
      </c>
      <c r="BT12" s="315">
        <f t="shared" si="9"/>
        <v>10288.572951269047</v>
      </c>
    </row>
    <row r="13" spans="1:72">
      <c r="A13" s="285">
        <v>85</v>
      </c>
      <c r="B13" s="115"/>
      <c r="C13" s="2" t="str">
        <f>'Beer Revenue'!F18</f>
        <v>Core 4 - Dark (Porter?)</v>
      </c>
      <c r="D13" s="2"/>
      <c r="E13" s="2"/>
      <c r="F13" s="2"/>
      <c r="G13" s="312">
        <f>$A13*'Beer Revenue'!H90</f>
        <v>50.583988560267862</v>
      </c>
      <c r="H13" s="312">
        <f>$A13*'Beer Revenue'!I90</f>
        <v>53.779482461252506</v>
      </c>
      <c r="I13" s="312">
        <f>$A13*'Beer Revenue'!J90</f>
        <v>75.875982840401775</v>
      </c>
      <c r="J13" s="312">
        <f>$A13*'Beer Revenue'!K90</f>
        <v>89.745786155313951</v>
      </c>
      <c r="K13" s="312">
        <f>$A13*'Beer Revenue'!L90</f>
        <v>101.16797712053572</v>
      </c>
      <c r="L13" s="312">
        <f>$A13*'Beer Revenue'!M90</f>
        <v>101.98384790376582</v>
      </c>
      <c r="M13" s="312">
        <f>$A13*'Beer Revenue'!N90</f>
        <v>105.38330950055804</v>
      </c>
      <c r="N13" s="312">
        <f>$A13*'Beer Revenue'!O90</f>
        <v>101.16797712053572</v>
      </c>
      <c r="O13" s="312">
        <f>$A13*'Beer Revenue'!P90</f>
        <v>89.745786155313951</v>
      </c>
      <c r="P13" s="312">
        <f>$A13*'Beer Revenue'!Q90</f>
        <v>84.306647600446425</v>
      </c>
      <c r="Q13" s="312">
        <f>$A13*'Beer Revenue'!R90</f>
        <v>73.428370490711401</v>
      </c>
      <c r="R13" s="312">
        <f>$A13*'Beer Revenue'!S90</f>
        <v>67.44531808035714</v>
      </c>
      <c r="S13" s="315">
        <f t="shared" si="4"/>
        <v>994.61447398946029</v>
      </c>
      <c r="T13" s="320">
        <f>$A13*(1+Assumptions!$D$75)*'Beer Revenue'!U90</f>
        <v>68.288384556361606</v>
      </c>
      <c r="U13" s="312">
        <f>$A13*(1+Assumptions!$D$75)*'Beer Revenue'!V90</f>
        <v>72.602301322690906</v>
      </c>
      <c r="V13" s="312">
        <f>$A13*(1+Assumptions!$D$75)*'Beer Revenue'!W90</f>
        <v>102.43257683454242</v>
      </c>
      <c r="W13" s="312">
        <f>$A13*(1+Assumptions!$D$75)*'Beer Revenue'!X90</f>
        <v>121.15681130967384</v>
      </c>
      <c r="X13" s="312">
        <f>$A13*(1+Assumptions!$D$75)*'Beer Revenue'!Y90</f>
        <v>136.57676911272321</v>
      </c>
      <c r="Y13" s="312">
        <f>$A13*(1+Assumptions!$D$75)*'Beer Revenue'!Z90</f>
        <v>137.67819467008388</v>
      </c>
      <c r="Z13" s="312">
        <f>$A13*(1+Assumptions!$D$75)*'Beer Revenue'!AA90</f>
        <v>142.26746782575336</v>
      </c>
      <c r="AA13" s="312">
        <f>$A13*(1+Assumptions!$D$75)*'Beer Revenue'!AB90</f>
        <v>136.57676911272321</v>
      </c>
      <c r="AB13" s="312">
        <f>$A13*(1+Assumptions!$D$75)*'Beer Revenue'!AC90</f>
        <v>121.15681130967384</v>
      </c>
      <c r="AC13" s="312">
        <f>$A13*(1+Assumptions!$D$75)*'Beer Revenue'!AD90</f>
        <v>113.81397426060272</v>
      </c>
      <c r="AD13" s="312">
        <f>$A13*(1+Assumptions!$D$75)*'Beer Revenue'!AE90</f>
        <v>99.12830016246042</v>
      </c>
      <c r="AE13" s="312">
        <f>$A13*(1+Assumptions!$D$75)*'Beer Revenue'!AF90</f>
        <v>91.051179408482156</v>
      </c>
      <c r="AF13" s="315">
        <f t="shared" si="5"/>
        <v>1342.7295398857716</v>
      </c>
      <c r="AG13" s="320">
        <f>$A13*(1+Assumptions!$E$75)*'Beer Revenue'!AH90</f>
        <v>77.077352568708136</v>
      </c>
      <c r="AH13" s="312">
        <f>$A13*(1+Assumptions!$E$75)*'Beer Revenue'!AI90</f>
        <v>81.946486400333526</v>
      </c>
      <c r="AI13" s="312">
        <f>$A13*(1+Assumptions!$E$75)*'Beer Revenue'!AJ90</f>
        <v>115.61602885306222</v>
      </c>
      <c r="AJ13" s="312">
        <f>$A13*(1+Assumptions!$E$75)*'Beer Revenue'!AK90</f>
        <v>136.75014165415962</v>
      </c>
      <c r="AK13" s="312">
        <f>$A13*(1+Assumptions!$E$75)*'Beer Revenue'!AL90</f>
        <v>154.15470513741627</v>
      </c>
      <c r="AL13" s="312">
        <f>$A13*(1+Assumptions!$E$75)*'Beer Revenue'!AM90</f>
        <v>155.39788824336316</v>
      </c>
      <c r="AM13" s="312">
        <f>$A13*(1+Assumptions!$E$75)*'Beer Revenue'!AN90</f>
        <v>160.57781785147529</v>
      </c>
      <c r="AN13" s="312">
        <f>$A13*(1+Assumptions!$E$75)*'Beer Revenue'!AO90</f>
        <v>154.15470513741627</v>
      </c>
      <c r="AO13" s="312">
        <f>$A13*(1+Assumptions!$E$75)*'Beer Revenue'!AP90</f>
        <v>136.75014165415962</v>
      </c>
      <c r="AP13" s="312">
        <f>$A13*(1+Assumptions!$E$75)*'Beer Revenue'!AQ90</f>
        <v>128.46225428118026</v>
      </c>
      <c r="AQ13" s="312">
        <f>$A13*(1+Assumptions!$E$75)*'Beer Revenue'!AR90</f>
        <v>111.8864795352215</v>
      </c>
      <c r="AR13" s="312">
        <f>$A13*(1+Assumptions!$E$75)*'Beer Revenue'!AS90</f>
        <v>102.7698034249442</v>
      </c>
      <c r="AS13" s="315">
        <f t="shared" si="6"/>
        <v>1515.54380474144</v>
      </c>
      <c r="AT13" s="320">
        <f>$A13*(1+Assumptions!$F$75)*'Beer Revenue'!AU90</f>
        <v>83.185369187360493</v>
      </c>
      <c r="AU13" s="312">
        <f>$A13*(1+Assumptions!$F$75)*'Beer Revenue'!AV90</f>
        <v>88.440358907529784</v>
      </c>
      <c r="AV13" s="312">
        <f>$A13*(1+Assumptions!$F$75)*'Beer Revenue'!AW90</f>
        <v>124.77805378104075</v>
      </c>
      <c r="AW13" s="312">
        <f>$A13*(1+Assumptions!$F$75)*'Beer Revenue'!AX90</f>
        <v>147.58694533241379</v>
      </c>
      <c r="AX13" s="312">
        <f>$A13*(1+Assumptions!$F$75)*'Beer Revenue'!AY90</f>
        <v>166.37073837472099</v>
      </c>
      <c r="AY13" s="312">
        <f>$A13*(1+Assumptions!$F$75)*'Beer Revenue'!AZ90</f>
        <v>167.7124378777429</v>
      </c>
      <c r="AZ13" s="312">
        <f>$A13*(1+Assumptions!$F$75)*'Beer Revenue'!BA90</f>
        <v>173.30285247366768</v>
      </c>
      <c r="BA13" s="312">
        <f>$A13*(1+Assumptions!$F$75)*'Beer Revenue'!BB90</f>
        <v>166.37073837472099</v>
      </c>
      <c r="BB13" s="312">
        <f>$A13*(1+Assumptions!$F$75)*'Beer Revenue'!BC90</f>
        <v>147.58694533241379</v>
      </c>
      <c r="BC13" s="312">
        <f>$A13*(1+Assumptions!$F$75)*'Beer Revenue'!BD90</f>
        <v>138.64228197893416</v>
      </c>
      <c r="BD13" s="312">
        <f>$A13*(1+Assumptions!$F$75)*'Beer Revenue'!BE90</f>
        <v>120.75295527197491</v>
      </c>
      <c r="BE13" s="312">
        <f>$A13*(1+Assumptions!$F$75)*'Beer Revenue'!BF90</f>
        <v>110.91382558314731</v>
      </c>
      <c r="BF13" s="315">
        <f t="shared" si="7"/>
        <v>1635.6435024756677</v>
      </c>
      <c r="BG13" s="320">
        <f>$A13*(1+Assumptions!$F$75)*'Beer Revenue'!BH90</f>
        <v>91.503906106096537</v>
      </c>
      <c r="BH13" s="312">
        <f>$A13*(1+Assumptions!$F$75)*'Beer Revenue'!BI90</f>
        <v>97.284394798282761</v>
      </c>
      <c r="BI13" s="312">
        <f>$A13*(1+Assumptions!$F$75)*'Beer Revenue'!BJ90</f>
        <v>137.25585915914482</v>
      </c>
      <c r="BJ13" s="312">
        <f>$A13*(1+Assumptions!$F$75)*'Beer Revenue'!BK90</f>
        <v>162.34563986565516</v>
      </c>
      <c r="BK13" s="312">
        <f>$A13*(1+Assumptions!$F$75)*'Beer Revenue'!BL90</f>
        <v>183.00781221219307</v>
      </c>
      <c r="BL13" s="312">
        <f>$A13*(1+Assumptions!$F$75)*'Beer Revenue'!BM90</f>
        <v>184.48368166551725</v>
      </c>
      <c r="BM13" s="312">
        <f>$A13*(1+Assumptions!$F$75)*'Beer Revenue'!BN90</f>
        <v>190.63313772103444</v>
      </c>
      <c r="BN13" s="312">
        <f>$A13*(1+Assumptions!$F$75)*'Beer Revenue'!BO90</f>
        <v>183.00781221219307</v>
      </c>
      <c r="BO13" s="312">
        <f>$A13*(1+Assumptions!$F$75)*'Beer Revenue'!BP90</f>
        <v>162.34563986565516</v>
      </c>
      <c r="BP13" s="312">
        <f>$A13*(1+Assumptions!$F$75)*'Beer Revenue'!BQ90</f>
        <v>152.50651017682759</v>
      </c>
      <c r="BQ13" s="312">
        <f>$A13*(1+Assumptions!$F$75)*'Beer Revenue'!BR90</f>
        <v>132.82825079917242</v>
      </c>
      <c r="BR13" s="312">
        <f>$A13*(1+Assumptions!$F$75)*'Beer Revenue'!BS90</f>
        <v>122.00520814146206</v>
      </c>
      <c r="BS13" s="315">
        <f t="shared" si="8"/>
        <v>1799.2078527232343</v>
      </c>
      <c r="BT13" s="315">
        <f t="shared" si="9"/>
        <v>7287.7391738155738</v>
      </c>
    </row>
    <row r="14" spans="1:72">
      <c r="A14" s="285">
        <v>75</v>
      </c>
      <c r="B14" s="115"/>
      <c r="C14" s="2" t="str">
        <f>'Beer Revenue'!F19</f>
        <v>Rotating Sour</v>
      </c>
      <c r="D14" s="2"/>
      <c r="E14" s="2"/>
      <c r="F14" s="2"/>
      <c r="G14" s="312">
        <f>$A14*'Beer Revenue'!H91</f>
        <v>44.632931082589288</v>
      </c>
      <c r="H14" s="312">
        <f>$A14*'Beer Revenue'!I91</f>
        <v>47.452484524634563</v>
      </c>
      <c r="I14" s="312">
        <f>$A14*'Beer Revenue'!J91</f>
        <v>66.949396623883928</v>
      </c>
      <c r="J14" s="312">
        <f>$A14*'Beer Revenue'!K91</f>
        <v>79.18745837233584</v>
      </c>
      <c r="K14" s="312">
        <f>$A14*'Beer Revenue'!L91</f>
        <v>89.265862165178575</v>
      </c>
      <c r="L14" s="312">
        <f>$A14*'Beer Revenue'!M91</f>
        <v>89.98574815038161</v>
      </c>
      <c r="M14" s="312">
        <f>$A14*'Beer Revenue'!N91</f>
        <v>92.985273088727681</v>
      </c>
      <c r="N14" s="312">
        <f>$A14*'Beer Revenue'!O91</f>
        <v>89.265862165178575</v>
      </c>
      <c r="O14" s="312">
        <f>$A14*'Beer Revenue'!P91</f>
        <v>79.18745837233584</v>
      </c>
      <c r="P14" s="312">
        <f>$A14*'Beer Revenue'!Q91</f>
        <v>74.388218470982139</v>
      </c>
      <c r="Q14" s="312">
        <f>$A14*'Beer Revenue'!R91</f>
        <v>64.789738668274765</v>
      </c>
      <c r="R14" s="312">
        <f>$A14*'Beer Revenue'!S91</f>
        <v>59.510574776785717</v>
      </c>
      <c r="S14" s="315">
        <f t="shared" si="4"/>
        <v>877.60100646128853</v>
      </c>
      <c r="T14" s="320">
        <f>$A14*(1+Assumptions!$D$75)*'Beer Revenue'!U91</f>
        <v>60.254456961495528</v>
      </c>
      <c r="U14" s="312">
        <f>$A14*(1+Assumptions!$D$75)*'Beer Revenue'!V91</f>
        <v>64.060854108256677</v>
      </c>
      <c r="V14" s="312">
        <f>$A14*(1+Assumptions!$D$75)*'Beer Revenue'!W91</f>
        <v>90.381685442243295</v>
      </c>
      <c r="W14" s="312">
        <f>$A14*(1+Assumptions!$D$75)*'Beer Revenue'!X91</f>
        <v>106.90306880265338</v>
      </c>
      <c r="X14" s="312">
        <f>$A14*(1+Assumptions!$D$75)*'Beer Revenue'!Y91</f>
        <v>120.50891392299106</v>
      </c>
      <c r="Y14" s="312">
        <f>$A14*(1+Assumptions!$D$75)*'Beer Revenue'!Z91</f>
        <v>121.48076000301518</v>
      </c>
      <c r="Z14" s="312">
        <f>$A14*(1+Assumptions!$D$75)*'Beer Revenue'!AA91</f>
        <v>125.53011866978235</v>
      </c>
      <c r="AA14" s="312">
        <f>$A14*(1+Assumptions!$D$75)*'Beer Revenue'!AB91</f>
        <v>120.50891392299106</v>
      </c>
      <c r="AB14" s="312">
        <f>$A14*(1+Assumptions!$D$75)*'Beer Revenue'!AC91</f>
        <v>106.90306880265338</v>
      </c>
      <c r="AC14" s="312">
        <f>$A14*(1+Assumptions!$D$75)*'Beer Revenue'!AD91</f>
        <v>100.42409493582592</v>
      </c>
      <c r="AD14" s="312">
        <f>$A14*(1+Assumptions!$D$75)*'Beer Revenue'!AE91</f>
        <v>87.466147202170944</v>
      </c>
      <c r="AE14" s="312">
        <f>$A14*(1+Assumptions!$D$75)*'Beer Revenue'!AF91</f>
        <v>80.339275948660713</v>
      </c>
      <c r="AF14" s="315">
        <f t="shared" si="5"/>
        <v>1184.7613587227395</v>
      </c>
      <c r="AG14" s="320">
        <f>$A14*(1+Assumptions!$E$75)*'Beer Revenue'!AH91</f>
        <v>68.009428737095419</v>
      </c>
      <c r="AH14" s="312">
        <f>$A14*(1+Assumptions!$E$75)*'Beer Revenue'!AI91</f>
        <v>72.305723294411919</v>
      </c>
      <c r="AI14" s="312">
        <f>$A14*(1+Assumptions!$E$75)*'Beer Revenue'!AJ91</f>
        <v>102.01414310564313</v>
      </c>
      <c r="AJ14" s="312">
        <f>$A14*(1+Assumptions!$E$75)*'Beer Revenue'!AK91</f>
        <v>120.66188969484671</v>
      </c>
      <c r="AK14" s="312">
        <f>$A14*(1+Assumptions!$E$75)*'Beer Revenue'!AL91</f>
        <v>136.01885747419084</v>
      </c>
      <c r="AL14" s="312">
        <f>$A14*(1+Assumptions!$E$75)*'Beer Revenue'!AM91</f>
        <v>137.11578374414395</v>
      </c>
      <c r="AM14" s="312">
        <f>$A14*(1+Assumptions!$E$75)*'Beer Revenue'!AN91</f>
        <v>141.68630986894877</v>
      </c>
      <c r="AN14" s="312">
        <f>$A14*(1+Assumptions!$E$75)*'Beer Revenue'!AO91</f>
        <v>136.01885747419084</v>
      </c>
      <c r="AO14" s="312">
        <f>$A14*(1+Assumptions!$E$75)*'Beer Revenue'!AP91</f>
        <v>120.66188969484671</v>
      </c>
      <c r="AP14" s="312">
        <f>$A14*(1+Assumptions!$E$75)*'Beer Revenue'!AQ91</f>
        <v>113.34904789515903</v>
      </c>
      <c r="AQ14" s="312">
        <f>$A14*(1+Assumptions!$E$75)*'Beer Revenue'!AR91</f>
        <v>98.723364295783668</v>
      </c>
      <c r="AR14" s="312">
        <f>$A14*(1+Assumptions!$E$75)*'Beer Revenue'!AS91</f>
        <v>90.679238316127226</v>
      </c>
      <c r="AS14" s="315">
        <f t="shared" si="6"/>
        <v>1337.244533595388</v>
      </c>
      <c r="AT14" s="320">
        <f>$A14*(1+Assumptions!$F$75)*'Beer Revenue'!AU91</f>
        <v>73.398855165318068</v>
      </c>
      <c r="AU14" s="312">
        <f>$A14*(1+Assumptions!$F$75)*'Beer Revenue'!AV91</f>
        <v>78.03561080076156</v>
      </c>
      <c r="AV14" s="312">
        <f>$A14*(1+Assumptions!$F$75)*'Beer Revenue'!AW91</f>
        <v>110.09828274797712</v>
      </c>
      <c r="AW14" s="312">
        <f>$A14*(1+Assumptions!$F$75)*'Beer Revenue'!AX91</f>
        <v>130.22377529330629</v>
      </c>
      <c r="AX14" s="312">
        <f>$A14*(1+Assumptions!$F$75)*'Beer Revenue'!AY91</f>
        <v>146.79771033063614</v>
      </c>
      <c r="AY14" s="312">
        <f>$A14*(1+Assumptions!$F$75)*'Beer Revenue'!AZ91</f>
        <v>147.98156283330258</v>
      </c>
      <c r="AZ14" s="312">
        <f>$A14*(1+Assumptions!$F$75)*'Beer Revenue'!BA91</f>
        <v>152.91428159441267</v>
      </c>
      <c r="BA14" s="312">
        <f>$A14*(1+Assumptions!$F$75)*'Beer Revenue'!BB91</f>
        <v>146.79771033063614</v>
      </c>
      <c r="BB14" s="312">
        <f>$A14*(1+Assumptions!$F$75)*'Beer Revenue'!BC91</f>
        <v>130.22377529330629</v>
      </c>
      <c r="BC14" s="312">
        <f>$A14*(1+Assumptions!$F$75)*'Beer Revenue'!BD91</f>
        <v>122.33142527553015</v>
      </c>
      <c r="BD14" s="312">
        <f>$A14*(1+Assumptions!$F$75)*'Beer Revenue'!BE91</f>
        <v>106.54672523997786</v>
      </c>
      <c r="BE14" s="312">
        <f>$A14*(1+Assumptions!$F$75)*'Beer Revenue'!BF91</f>
        <v>97.865140220424095</v>
      </c>
      <c r="BF14" s="315">
        <f t="shared" si="7"/>
        <v>1443.2148551255889</v>
      </c>
      <c r="BG14" s="320">
        <f>$A14*(1+Assumptions!$F$75)*'Beer Revenue'!BH91</f>
        <v>80.73874068184989</v>
      </c>
      <c r="BH14" s="312">
        <f>$A14*(1+Assumptions!$F$75)*'Beer Revenue'!BI91</f>
        <v>85.839171880837725</v>
      </c>
      <c r="BI14" s="312">
        <f>$A14*(1+Assumptions!$F$75)*'Beer Revenue'!BJ91</f>
        <v>121.10811102277482</v>
      </c>
      <c r="BJ14" s="312">
        <f>$A14*(1+Assumptions!$F$75)*'Beer Revenue'!BK91</f>
        <v>143.2461528226369</v>
      </c>
      <c r="BK14" s="312">
        <f>$A14*(1+Assumptions!$F$75)*'Beer Revenue'!BL91</f>
        <v>161.47748136369978</v>
      </c>
      <c r="BL14" s="312">
        <f>$A14*(1+Assumptions!$F$75)*'Beer Revenue'!BM91</f>
        <v>162.77971911663286</v>
      </c>
      <c r="BM14" s="312">
        <f>$A14*(1+Assumptions!$F$75)*'Beer Revenue'!BN91</f>
        <v>168.20570975385391</v>
      </c>
      <c r="BN14" s="312">
        <f>$A14*(1+Assumptions!$F$75)*'Beer Revenue'!BO91</f>
        <v>161.47748136369978</v>
      </c>
      <c r="BO14" s="312">
        <f>$A14*(1+Assumptions!$F$75)*'Beer Revenue'!BP91</f>
        <v>143.2461528226369</v>
      </c>
      <c r="BP14" s="312">
        <f>$A14*(1+Assumptions!$F$75)*'Beer Revenue'!BQ91</f>
        <v>134.56456780308315</v>
      </c>
      <c r="BQ14" s="312">
        <f>$A14*(1+Assumptions!$F$75)*'Beer Revenue'!BR91</f>
        <v>117.20139776397566</v>
      </c>
      <c r="BR14" s="312">
        <f>$A14*(1+Assumptions!$F$75)*'Beer Revenue'!BS91</f>
        <v>107.65165424246652</v>
      </c>
      <c r="BS14" s="315">
        <f t="shared" si="8"/>
        <v>1587.5363406381477</v>
      </c>
      <c r="BT14" s="315">
        <f t="shared" si="9"/>
        <v>6430.3580945431522</v>
      </c>
    </row>
    <row r="15" spans="1:72">
      <c r="A15" s="285">
        <v>90</v>
      </c>
      <c r="B15" s="115"/>
      <c r="C15" s="2" t="str">
        <f>'Beer Revenue'!F20</f>
        <v>Seasonal #1</v>
      </c>
      <c r="D15" s="2"/>
      <c r="E15" s="2"/>
      <c r="F15" s="2"/>
      <c r="G15" s="312">
        <f>$A15*'Beer Revenue'!H92</f>
        <v>130.40578125000002</v>
      </c>
      <c r="H15" s="312">
        <f>$A15*'Beer Revenue'!I92</f>
        <v>138.64378087197579</v>
      </c>
      <c r="I15" s="312">
        <f>$A15*'Beer Revenue'!J92</f>
        <v>195.608671875</v>
      </c>
      <c r="J15" s="312">
        <f>$A15*'Beer Revenue'!K92</f>
        <v>231.36509576612903</v>
      </c>
      <c r="K15" s="312">
        <f>$A15*'Beer Revenue'!L92</f>
        <v>260.81156250000004</v>
      </c>
      <c r="L15" s="312">
        <f>$A15*'Beer Revenue'!M92</f>
        <v>262.91488155241939</v>
      </c>
      <c r="M15" s="312">
        <f>$A15*'Beer Revenue'!N92</f>
        <v>271.6787109375</v>
      </c>
      <c r="N15" s="312">
        <f>$A15*'Beer Revenue'!O92</f>
        <v>260.81156250000004</v>
      </c>
      <c r="O15" s="312">
        <f>$A15*'Beer Revenue'!P92</f>
        <v>231.36509576612903</v>
      </c>
      <c r="P15" s="312">
        <f>$A15*'Beer Revenue'!Q92</f>
        <v>217.34296875000001</v>
      </c>
      <c r="Q15" s="312">
        <f>$A15*'Beer Revenue'!R92</f>
        <v>189.29871471774192</v>
      </c>
      <c r="R15" s="312">
        <f>$A15*'Beer Revenue'!S92</f>
        <v>173.87437500000001</v>
      </c>
      <c r="S15" s="315">
        <f t="shared" si="4"/>
        <v>2564.1212014868952</v>
      </c>
      <c r="T15" s="320">
        <f>$A15*(1+Assumptions!$D$75)*'Beer Revenue'!U92</f>
        <v>176.04780468749996</v>
      </c>
      <c r="U15" s="312">
        <f>$A15*(1+Assumptions!$D$75)*'Beer Revenue'!V92</f>
        <v>187.1691041771673</v>
      </c>
      <c r="V15" s="312">
        <f>$A15*(1+Assumptions!$D$75)*'Beer Revenue'!W92</f>
        <v>264.07170703125001</v>
      </c>
      <c r="W15" s="312">
        <f>$A15*(1+Assumptions!$D$75)*'Beer Revenue'!X92</f>
        <v>312.3428792842742</v>
      </c>
      <c r="X15" s="312">
        <f>$A15*(1+Assumptions!$D$75)*'Beer Revenue'!Y92</f>
        <v>352.09560937499992</v>
      </c>
      <c r="Y15" s="312">
        <f>$A15*(1+Assumptions!$D$75)*'Beer Revenue'!Z92</f>
        <v>354.93509009576604</v>
      </c>
      <c r="Z15" s="312">
        <f>$A15*(1+Assumptions!$D$75)*'Beer Revenue'!AA92</f>
        <v>366.76625976562502</v>
      </c>
      <c r="AA15" s="312">
        <f>$A15*(1+Assumptions!$D$75)*'Beer Revenue'!AB92</f>
        <v>352.09560937499992</v>
      </c>
      <c r="AB15" s="312">
        <f>$A15*(1+Assumptions!$D$75)*'Beer Revenue'!AC92</f>
        <v>312.3428792842742</v>
      </c>
      <c r="AC15" s="312">
        <f>$A15*(1+Assumptions!$D$75)*'Beer Revenue'!AD92</f>
        <v>293.41300781250004</v>
      </c>
      <c r="AD15" s="312">
        <f>$A15*(1+Assumptions!$D$75)*'Beer Revenue'!AE92</f>
        <v>255.5532648689516</v>
      </c>
      <c r="AE15" s="312">
        <f>$A15*(1+Assumptions!$D$75)*'Beer Revenue'!AF92</f>
        <v>234.73040625000002</v>
      </c>
      <c r="AF15" s="315">
        <f t="shared" si="5"/>
        <v>3461.5636220073088</v>
      </c>
      <c r="AG15" s="320">
        <f>$A15*(1+Assumptions!$E$75)*'Beer Revenue'!AH92</f>
        <v>198.70580917968746</v>
      </c>
      <c r="AH15" s="312">
        <f>$A15*(1+Assumptions!$E$75)*'Beer Revenue'!AI92</f>
        <v>211.25846110367311</v>
      </c>
      <c r="AI15" s="312">
        <f>$A15*(1+Assumptions!$E$75)*'Beer Revenue'!AJ92</f>
        <v>298.05871376953121</v>
      </c>
      <c r="AJ15" s="312">
        <f>$A15*(1+Assumptions!$E$75)*'Beer Revenue'!AK92</f>
        <v>352.54256467363905</v>
      </c>
      <c r="AK15" s="312">
        <f>$A15*(1+Assumptions!$E$75)*'Beer Revenue'!AL92</f>
        <v>397.41161835937493</v>
      </c>
      <c r="AL15" s="312">
        <f>$A15*(1+Assumptions!$E$75)*'Beer Revenue'!AM92</f>
        <v>400.61655076549897</v>
      </c>
      <c r="AM15" s="312">
        <f>$A15*(1+Assumptions!$E$75)*'Beer Revenue'!AN92</f>
        <v>413.97043579101557</v>
      </c>
      <c r="AN15" s="312">
        <f>$A15*(1+Assumptions!$E$75)*'Beer Revenue'!AO92</f>
        <v>397.41161835937493</v>
      </c>
      <c r="AO15" s="312">
        <f>$A15*(1+Assumptions!$E$75)*'Beer Revenue'!AP92</f>
        <v>352.54256467363905</v>
      </c>
      <c r="AP15" s="312">
        <f>$A15*(1+Assumptions!$E$75)*'Beer Revenue'!AQ92</f>
        <v>331.17634863281251</v>
      </c>
      <c r="AQ15" s="312">
        <f>$A15*(1+Assumptions!$E$75)*'Beer Revenue'!AR92</f>
        <v>288.44391655115925</v>
      </c>
      <c r="AR15" s="312">
        <f>$A15*(1+Assumptions!$E$75)*'Beer Revenue'!AS92</f>
        <v>264.94107890625003</v>
      </c>
      <c r="AS15" s="315">
        <f t="shared" si="6"/>
        <v>3907.0796807656557</v>
      </c>
      <c r="AT15" s="320">
        <f>$A15*(1+Assumptions!$F$75)*'Beer Revenue'!AU92</f>
        <v>214.452307265625</v>
      </c>
      <c r="AU15" s="312">
        <f>$A15*(1+Assumptions!$F$75)*'Beer Revenue'!AV92</f>
        <v>227.9996976439642</v>
      </c>
      <c r="AV15" s="312">
        <f>$A15*(1+Assumptions!$F$75)*'Beer Revenue'!AW92</f>
        <v>321.67846089843755</v>
      </c>
      <c r="AW15" s="312">
        <f>$A15*(1+Assumptions!$F$75)*'Beer Revenue'!AX92</f>
        <v>380.47989998739922</v>
      </c>
      <c r="AX15" s="312">
        <f>$A15*(1+Assumptions!$F$75)*'Beer Revenue'!AY92</f>
        <v>428.90461453124999</v>
      </c>
      <c r="AY15" s="312">
        <f>$A15*(1+Assumptions!$F$75)*'Beer Revenue'!AZ92</f>
        <v>432.36352271295368</v>
      </c>
      <c r="AZ15" s="312">
        <f>$A15*(1+Assumptions!$F$75)*'Beer Revenue'!BA92</f>
        <v>446.77564013671878</v>
      </c>
      <c r="BA15" s="312">
        <f>$A15*(1+Assumptions!$F$75)*'Beer Revenue'!BB92</f>
        <v>428.90461453124999</v>
      </c>
      <c r="BB15" s="312">
        <f>$A15*(1+Assumptions!$F$75)*'Beer Revenue'!BC92</f>
        <v>380.47989998739922</v>
      </c>
      <c r="BC15" s="312">
        <f>$A15*(1+Assumptions!$F$75)*'Beer Revenue'!BD92</f>
        <v>357.42051210937507</v>
      </c>
      <c r="BD15" s="312">
        <f>$A15*(1+Assumptions!$F$75)*'Beer Revenue'!BE92</f>
        <v>311.30173635332665</v>
      </c>
      <c r="BE15" s="312">
        <f>$A15*(1+Assumptions!$F$75)*'Beer Revenue'!BF92</f>
        <v>285.93640968749997</v>
      </c>
      <c r="BF15" s="315">
        <f t="shared" si="7"/>
        <v>4216.6973158451992</v>
      </c>
      <c r="BG15" s="320">
        <f>$A15*(1+Assumptions!$F$75)*'Beer Revenue'!BH92</f>
        <v>235.89753799218752</v>
      </c>
      <c r="BH15" s="312">
        <f>$A15*(1+Assumptions!$F$75)*'Beer Revenue'!BI92</f>
        <v>250.79966740836068</v>
      </c>
      <c r="BI15" s="312">
        <f>$A15*(1+Assumptions!$F$75)*'Beer Revenue'!BJ92</f>
        <v>353.84630698828124</v>
      </c>
      <c r="BJ15" s="312">
        <f>$A15*(1+Assumptions!$F$75)*'Beer Revenue'!BK92</f>
        <v>418.52788998613909</v>
      </c>
      <c r="BK15" s="312">
        <f>$A15*(1+Assumptions!$F$75)*'Beer Revenue'!BL92</f>
        <v>471.79507598437505</v>
      </c>
      <c r="BL15" s="312">
        <f>$A15*(1+Assumptions!$F$75)*'Beer Revenue'!BM92</f>
        <v>475.59987498424903</v>
      </c>
      <c r="BM15" s="312">
        <f>$A15*(1+Assumptions!$F$75)*'Beer Revenue'!BN92</f>
        <v>491.45320415039072</v>
      </c>
      <c r="BN15" s="312">
        <f>$A15*(1+Assumptions!$F$75)*'Beer Revenue'!BO92</f>
        <v>471.79507598437505</v>
      </c>
      <c r="BO15" s="312">
        <f>$A15*(1+Assumptions!$F$75)*'Beer Revenue'!BP92</f>
        <v>418.52788998613909</v>
      </c>
      <c r="BP15" s="312">
        <f>$A15*(1+Assumptions!$F$75)*'Beer Revenue'!BQ92</f>
        <v>393.16256332031259</v>
      </c>
      <c r="BQ15" s="312">
        <f>$A15*(1+Assumptions!$F$75)*'Beer Revenue'!BR92</f>
        <v>342.43190998865936</v>
      </c>
      <c r="BR15" s="312">
        <f>$A15*(1+Assumptions!$F$75)*'Beer Revenue'!BS92</f>
        <v>314.53005065625007</v>
      </c>
      <c r="BS15" s="315">
        <f t="shared" si="8"/>
        <v>4638.3670474297196</v>
      </c>
      <c r="BT15" s="315">
        <f t="shared" si="9"/>
        <v>18787.828867534779</v>
      </c>
    </row>
    <row r="16" spans="1:72">
      <c r="A16" s="285">
        <f>'Recipe Costs'!B9</f>
        <v>70</v>
      </c>
      <c r="B16" s="115"/>
      <c r="C16" s="2" t="str">
        <f>'Beer Revenue'!F21</f>
        <v>Seasonal #2</v>
      </c>
      <c r="D16" s="2"/>
      <c r="E16" s="2"/>
      <c r="F16" s="2"/>
      <c r="G16" s="312">
        <f>$A16*'Beer Revenue'!H93</f>
        <v>41.65740234375</v>
      </c>
      <c r="H16" s="312">
        <f>$A16*'Beer Revenue'!I93</f>
        <v>44.288985556325592</v>
      </c>
      <c r="I16" s="312">
        <f>$A16*'Beer Revenue'!J93</f>
        <v>62.486103515624997</v>
      </c>
      <c r="J16" s="312">
        <f>$A16*'Beer Revenue'!K93</f>
        <v>73.908294480846777</v>
      </c>
      <c r="K16" s="312">
        <f>$A16*'Beer Revenue'!L93</f>
        <v>83.314804687500001</v>
      </c>
      <c r="L16" s="312">
        <f>$A16*'Beer Revenue'!M93</f>
        <v>83.986698273689498</v>
      </c>
      <c r="M16" s="312">
        <f>$A16*'Beer Revenue'!N93</f>
        <v>86.7862548828125</v>
      </c>
      <c r="N16" s="312">
        <f>$A16*'Beer Revenue'!O93</f>
        <v>83.314804687500001</v>
      </c>
      <c r="O16" s="312">
        <f>$A16*'Beer Revenue'!P93</f>
        <v>73.908294480846777</v>
      </c>
      <c r="P16" s="312">
        <f>$A16*'Beer Revenue'!Q93</f>
        <v>69.429003906250003</v>
      </c>
      <c r="Q16" s="312">
        <f>$A16*'Beer Revenue'!R93</f>
        <v>60.470422757056447</v>
      </c>
      <c r="R16" s="312">
        <f>$A16*'Beer Revenue'!S93</f>
        <v>55.543203124999998</v>
      </c>
      <c r="S16" s="315">
        <f t="shared" si="4"/>
        <v>819.09427269720254</v>
      </c>
      <c r="T16" s="320">
        <f>$A16*(1+Assumptions!$D$75)*'Beer Revenue'!U93</f>
        <v>56.237493164062499</v>
      </c>
      <c r="U16" s="312">
        <f>$A16*(1+Assumptions!$D$75)*'Beer Revenue'!V93</f>
        <v>59.790130501039563</v>
      </c>
      <c r="V16" s="312">
        <f>$A16*(1+Assumptions!$D$75)*'Beer Revenue'!W93</f>
        <v>84.356239746093749</v>
      </c>
      <c r="W16" s="312">
        <f>$A16*(1+Assumptions!$D$75)*'Beer Revenue'!X93</f>
        <v>99.776197549143163</v>
      </c>
      <c r="X16" s="312">
        <f>$A16*(1+Assumptions!$D$75)*'Beer Revenue'!Y93</f>
        <v>112.474986328125</v>
      </c>
      <c r="Y16" s="312">
        <f>$A16*(1+Assumptions!$D$75)*'Beer Revenue'!Z93</f>
        <v>113.38204266948085</v>
      </c>
      <c r="Z16" s="312">
        <f>$A16*(1+Assumptions!$D$75)*'Beer Revenue'!AA93</f>
        <v>117.16144409179688</v>
      </c>
      <c r="AA16" s="312">
        <f>$A16*(1+Assumptions!$D$75)*'Beer Revenue'!AB93</f>
        <v>112.474986328125</v>
      </c>
      <c r="AB16" s="312">
        <f>$A16*(1+Assumptions!$D$75)*'Beer Revenue'!AC93</f>
        <v>99.776197549143163</v>
      </c>
      <c r="AC16" s="312">
        <f>$A16*(1+Assumptions!$D$75)*'Beer Revenue'!AD93</f>
        <v>93.729155273437527</v>
      </c>
      <c r="AD16" s="312">
        <f>$A16*(1+Assumptions!$D$75)*'Beer Revenue'!AE93</f>
        <v>81.635070722026228</v>
      </c>
      <c r="AE16" s="312">
        <f>$A16*(1+Assumptions!$D$75)*'Beer Revenue'!AF93</f>
        <v>74.983324218750013</v>
      </c>
      <c r="AF16" s="315">
        <f t="shared" si="5"/>
        <v>1105.7772681412237</v>
      </c>
      <c r="AG16" s="320">
        <f>$A16*(1+Assumptions!$E$75)*'Beer Revenue'!AH93</f>
        <v>63.475466821289054</v>
      </c>
      <c r="AH16" s="312">
        <f>$A16*(1+Assumptions!$E$75)*'Beer Revenue'!AI93</f>
        <v>67.485341741451137</v>
      </c>
      <c r="AI16" s="312">
        <f>$A16*(1+Assumptions!$E$75)*'Beer Revenue'!AJ93</f>
        <v>95.213200231933584</v>
      </c>
      <c r="AJ16" s="312">
        <f>$A16*(1+Assumptions!$E$75)*'Beer Revenue'!AK93</f>
        <v>112.61776371519026</v>
      </c>
      <c r="AK16" s="312">
        <f>$A16*(1+Assumptions!$E$75)*'Beer Revenue'!AL93</f>
        <v>126.95093364257811</v>
      </c>
      <c r="AL16" s="312">
        <f>$A16*(1+Assumptions!$E$75)*'Beer Revenue'!AM93</f>
        <v>127.97473149453437</v>
      </c>
      <c r="AM16" s="312">
        <f>$A16*(1+Assumptions!$E$75)*'Beer Revenue'!AN93</f>
        <v>132.24055587768552</v>
      </c>
      <c r="AN16" s="312">
        <f>$A16*(1+Assumptions!$E$75)*'Beer Revenue'!AO93</f>
        <v>126.95093364257811</v>
      </c>
      <c r="AO16" s="312">
        <f>$A16*(1+Assumptions!$E$75)*'Beer Revenue'!AP93</f>
        <v>112.61776371519026</v>
      </c>
      <c r="AP16" s="312">
        <f>$A16*(1+Assumptions!$E$75)*'Beer Revenue'!AQ93</f>
        <v>105.79244470214843</v>
      </c>
      <c r="AQ16" s="312">
        <f>$A16*(1+Assumptions!$E$75)*'Beer Revenue'!AR93</f>
        <v>92.14180667606476</v>
      </c>
      <c r="AR16" s="312">
        <f>$A16*(1+Assumptions!$E$75)*'Beer Revenue'!AS93</f>
        <v>84.633955761718752</v>
      </c>
      <c r="AS16" s="315">
        <f t="shared" si="6"/>
        <v>1248.0948980223623</v>
      </c>
      <c r="AT16" s="320">
        <f>$A16*(1+Assumptions!$F$75)*'Beer Revenue'!AU93</f>
        <v>68.505598154296862</v>
      </c>
      <c r="AU16" s="312">
        <f>$A16*(1+Assumptions!$F$75)*'Beer Revenue'!AV93</f>
        <v>72.833236747377455</v>
      </c>
      <c r="AV16" s="312">
        <f>$A16*(1+Assumptions!$F$75)*'Beer Revenue'!AW93</f>
        <v>102.75839723144531</v>
      </c>
      <c r="AW16" s="312">
        <f>$A16*(1+Assumptions!$F$75)*'Beer Revenue'!AX93</f>
        <v>121.54219027375252</v>
      </c>
      <c r="AX16" s="312">
        <f>$A16*(1+Assumptions!$F$75)*'Beer Revenue'!AY93</f>
        <v>137.01119630859372</v>
      </c>
      <c r="AY16" s="312">
        <f>$A16*(1+Assumptions!$F$75)*'Beer Revenue'!AZ93</f>
        <v>138.11612531108238</v>
      </c>
      <c r="AZ16" s="312">
        <f>$A16*(1+Assumptions!$F$75)*'Beer Revenue'!BA93</f>
        <v>142.71999615478515</v>
      </c>
      <c r="BA16" s="312">
        <f>$A16*(1+Assumptions!$F$75)*'Beer Revenue'!BB93</f>
        <v>137.01119630859372</v>
      </c>
      <c r="BB16" s="312">
        <f>$A16*(1+Assumptions!$F$75)*'Beer Revenue'!BC93</f>
        <v>121.54219027375252</v>
      </c>
      <c r="BC16" s="312">
        <f>$A16*(1+Assumptions!$F$75)*'Beer Revenue'!BD93</f>
        <v>114.17599692382814</v>
      </c>
      <c r="BD16" s="312">
        <f>$A16*(1+Assumptions!$F$75)*'Beer Revenue'!BE93</f>
        <v>99.44361022397932</v>
      </c>
      <c r="BE16" s="312">
        <f>$A16*(1+Assumptions!$F$75)*'Beer Revenue'!BF93</f>
        <v>91.340797539062478</v>
      </c>
      <c r="BF16" s="315">
        <f t="shared" si="7"/>
        <v>1347.0005314505495</v>
      </c>
      <c r="BG16" s="320">
        <f>$A16*(1+Assumptions!$F$75)*'Beer Revenue'!BH93</f>
        <v>75.356157969726553</v>
      </c>
      <c r="BH16" s="312">
        <f>$A16*(1+Assumptions!$F$75)*'Beer Revenue'!BI93</f>
        <v>80.116560422115214</v>
      </c>
      <c r="BI16" s="312">
        <f>$A16*(1+Assumptions!$F$75)*'Beer Revenue'!BJ93</f>
        <v>113.03423695458983</v>
      </c>
      <c r="BJ16" s="312">
        <f>$A16*(1+Assumptions!$F$75)*'Beer Revenue'!BK93</f>
        <v>133.69640930112777</v>
      </c>
      <c r="BK16" s="312">
        <f>$A16*(1+Assumptions!$F$75)*'Beer Revenue'!BL93</f>
        <v>150.71231593945311</v>
      </c>
      <c r="BL16" s="312">
        <f>$A16*(1+Assumptions!$F$75)*'Beer Revenue'!BM93</f>
        <v>151.92773784219068</v>
      </c>
      <c r="BM16" s="312">
        <f>$A16*(1+Assumptions!$F$75)*'Beer Revenue'!BN93</f>
        <v>156.99199577026366</v>
      </c>
      <c r="BN16" s="312">
        <f>$A16*(1+Assumptions!$F$75)*'Beer Revenue'!BO93</f>
        <v>150.71231593945311</v>
      </c>
      <c r="BO16" s="312">
        <f>$A16*(1+Assumptions!$F$75)*'Beer Revenue'!BP93</f>
        <v>133.69640930112777</v>
      </c>
      <c r="BP16" s="312">
        <f>$A16*(1+Assumptions!$F$75)*'Beer Revenue'!BQ93</f>
        <v>125.59359661621095</v>
      </c>
      <c r="BQ16" s="312">
        <f>$A16*(1+Assumptions!$F$75)*'Beer Revenue'!BR93</f>
        <v>109.38797124637728</v>
      </c>
      <c r="BR16" s="312">
        <f>$A16*(1+Assumptions!$F$75)*'Beer Revenue'!BS93</f>
        <v>100.47487729296876</v>
      </c>
      <c r="BS16" s="315">
        <f t="shared" si="8"/>
        <v>1481.7005845956048</v>
      </c>
      <c r="BT16" s="315">
        <f t="shared" si="9"/>
        <v>6001.6675549069423</v>
      </c>
    </row>
    <row r="17" spans="1:72">
      <c r="A17" s="285">
        <v>100</v>
      </c>
      <c r="B17" s="115"/>
      <c r="C17" s="2" t="str">
        <f>'Beer Revenue'!F22</f>
        <v>Rotating IPA #1</v>
      </c>
      <c r="D17" s="2"/>
      <c r="E17" s="2"/>
      <c r="F17" s="2"/>
      <c r="G17" s="312">
        <f>$A17*'Beer Revenue'!H94</f>
        <v>59.510574776785717</v>
      </c>
      <c r="H17" s="312">
        <f>$A17*'Beer Revenue'!I94</f>
        <v>63.26997936617942</v>
      </c>
      <c r="I17" s="312">
        <f>$A17*'Beer Revenue'!J94</f>
        <v>89.265862165178561</v>
      </c>
      <c r="J17" s="312">
        <f>$A17*'Beer Revenue'!K94</f>
        <v>105.58327782978112</v>
      </c>
      <c r="K17" s="312">
        <f>$A17*'Beer Revenue'!L94</f>
        <v>119.02114955357143</v>
      </c>
      <c r="L17" s="312">
        <f>$A17*'Beer Revenue'!M94</f>
        <v>119.98099753384214</v>
      </c>
      <c r="M17" s="312">
        <f>$A17*'Beer Revenue'!N94</f>
        <v>123.98036411830358</v>
      </c>
      <c r="N17" s="312">
        <f>$A17*'Beer Revenue'!O94</f>
        <v>119.02114955357143</v>
      </c>
      <c r="O17" s="312">
        <f>$A17*'Beer Revenue'!P94</f>
        <v>105.58327782978112</v>
      </c>
      <c r="P17" s="312">
        <f>$A17*'Beer Revenue'!Q94</f>
        <v>99.184291294642861</v>
      </c>
      <c r="Q17" s="312">
        <f>$A17*'Beer Revenue'!R94</f>
        <v>86.386318224366349</v>
      </c>
      <c r="R17" s="312">
        <f>$A17*'Beer Revenue'!S94</f>
        <v>79.347433035714289</v>
      </c>
      <c r="S17" s="315">
        <f t="shared" si="4"/>
        <v>1170.134675281718</v>
      </c>
      <c r="T17" s="320">
        <f>$A17*(1+Assumptions!$D$75)*'Beer Revenue'!U94</f>
        <v>80.339275948660713</v>
      </c>
      <c r="U17" s="312">
        <f>$A17*(1+Assumptions!$D$75)*'Beer Revenue'!V94</f>
        <v>85.414472144342227</v>
      </c>
      <c r="V17" s="312">
        <f>$A17*(1+Assumptions!$D$75)*'Beer Revenue'!W94</f>
        <v>120.50891392299106</v>
      </c>
      <c r="W17" s="312">
        <f>$A17*(1+Assumptions!$D$75)*'Beer Revenue'!X94</f>
        <v>142.53742507020451</v>
      </c>
      <c r="X17" s="312">
        <f>$A17*(1+Assumptions!$D$75)*'Beer Revenue'!Y94</f>
        <v>160.67855189732143</v>
      </c>
      <c r="Y17" s="312">
        <f>$A17*(1+Assumptions!$D$75)*'Beer Revenue'!Z94</f>
        <v>161.97434667068691</v>
      </c>
      <c r="Z17" s="312">
        <f>$A17*(1+Assumptions!$D$75)*'Beer Revenue'!AA94</f>
        <v>167.37349155970981</v>
      </c>
      <c r="AA17" s="312">
        <f>$A17*(1+Assumptions!$D$75)*'Beer Revenue'!AB94</f>
        <v>160.67855189732143</v>
      </c>
      <c r="AB17" s="312">
        <f>$A17*(1+Assumptions!$D$75)*'Beer Revenue'!AC94</f>
        <v>142.53742507020451</v>
      </c>
      <c r="AC17" s="312">
        <f>$A17*(1+Assumptions!$D$75)*'Beer Revenue'!AD94</f>
        <v>133.89879324776788</v>
      </c>
      <c r="AD17" s="312">
        <f>$A17*(1+Assumptions!$D$75)*'Beer Revenue'!AE94</f>
        <v>116.62152960289458</v>
      </c>
      <c r="AE17" s="312">
        <f>$A17*(1+Assumptions!$D$75)*'Beer Revenue'!AF94</f>
        <v>107.11903459821428</v>
      </c>
      <c r="AF17" s="315">
        <f t="shared" si="5"/>
        <v>1579.6818116303191</v>
      </c>
      <c r="AG17" s="320">
        <f>$A17*(1+Assumptions!$E$75)*'Beer Revenue'!AH94</f>
        <v>90.679238316127211</v>
      </c>
      <c r="AH17" s="312">
        <f>$A17*(1+Assumptions!$E$75)*'Beer Revenue'!AI94</f>
        <v>96.407631059215902</v>
      </c>
      <c r="AI17" s="312">
        <f>$A17*(1+Assumptions!$E$75)*'Beer Revenue'!AJ94</f>
        <v>136.01885747419084</v>
      </c>
      <c r="AJ17" s="312">
        <f>$A17*(1+Assumptions!$E$75)*'Beer Revenue'!AK94</f>
        <v>160.88251959312896</v>
      </c>
      <c r="AK17" s="312">
        <f>$A17*(1+Assumptions!$E$75)*'Beer Revenue'!AL94</f>
        <v>181.35847663225442</v>
      </c>
      <c r="AL17" s="312">
        <f>$A17*(1+Assumptions!$E$75)*'Beer Revenue'!AM94</f>
        <v>182.82104499219193</v>
      </c>
      <c r="AM17" s="312">
        <f>$A17*(1+Assumptions!$E$75)*'Beer Revenue'!AN94</f>
        <v>188.91507982526505</v>
      </c>
      <c r="AN17" s="312">
        <f>$A17*(1+Assumptions!$E$75)*'Beer Revenue'!AO94</f>
        <v>181.35847663225442</v>
      </c>
      <c r="AO17" s="312">
        <f>$A17*(1+Assumptions!$E$75)*'Beer Revenue'!AP94</f>
        <v>160.88251959312896</v>
      </c>
      <c r="AP17" s="312">
        <f>$A17*(1+Assumptions!$E$75)*'Beer Revenue'!AQ94</f>
        <v>151.13206386021204</v>
      </c>
      <c r="AQ17" s="312">
        <f>$A17*(1+Assumptions!$E$75)*'Beer Revenue'!AR94</f>
        <v>131.6311523943782</v>
      </c>
      <c r="AR17" s="312">
        <f>$A17*(1+Assumptions!$E$75)*'Beer Revenue'!AS94</f>
        <v>120.90565108816963</v>
      </c>
      <c r="AS17" s="315">
        <f t="shared" si="6"/>
        <v>1782.9927114605175</v>
      </c>
      <c r="AT17" s="320">
        <f>$A17*(1+Assumptions!$F$75)*'Beer Revenue'!AU94</f>
        <v>97.865140220424095</v>
      </c>
      <c r="AU17" s="312">
        <f>$A17*(1+Assumptions!$F$75)*'Beer Revenue'!AV94</f>
        <v>104.04748106768209</v>
      </c>
      <c r="AV17" s="312">
        <f>$A17*(1+Assumptions!$F$75)*'Beer Revenue'!AW94</f>
        <v>146.79771033063616</v>
      </c>
      <c r="AW17" s="312">
        <f>$A17*(1+Assumptions!$F$75)*'Beer Revenue'!AX94</f>
        <v>173.63170039107504</v>
      </c>
      <c r="AX17" s="312">
        <f>$A17*(1+Assumptions!$F$75)*'Beer Revenue'!AY94</f>
        <v>195.73028044084819</v>
      </c>
      <c r="AY17" s="312">
        <f>$A17*(1+Assumptions!$F$75)*'Beer Revenue'!AZ94</f>
        <v>197.30875044440342</v>
      </c>
      <c r="AZ17" s="312">
        <f>$A17*(1+Assumptions!$F$75)*'Beer Revenue'!BA94</f>
        <v>203.88570879255022</v>
      </c>
      <c r="BA17" s="312">
        <f>$A17*(1+Assumptions!$F$75)*'Beer Revenue'!BB94</f>
        <v>195.73028044084819</v>
      </c>
      <c r="BB17" s="312">
        <f>$A17*(1+Assumptions!$F$75)*'Beer Revenue'!BC94</f>
        <v>173.63170039107504</v>
      </c>
      <c r="BC17" s="312">
        <f>$A17*(1+Assumptions!$F$75)*'Beer Revenue'!BD94</f>
        <v>163.10856703404019</v>
      </c>
      <c r="BD17" s="312">
        <f>$A17*(1+Assumptions!$F$75)*'Beer Revenue'!BE94</f>
        <v>142.06230031997046</v>
      </c>
      <c r="BE17" s="312">
        <f>$A17*(1+Assumptions!$F$75)*'Beer Revenue'!BF94</f>
        <v>130.48685362723214</v>
      </c>
      <c r="BF17" s="315">
        <f t="shared" si="7"/>
        <v>1924.2864735007854</v>
      </c>
      <c r="BG17" s="320">
        <f>$A17*(1+Assumptions!$F$75)*'Beer Revenue'!BH94</f>
        <v>107.65165424246652</v>
      </c>
      <c r="BH17" s="312">
        <f>$A17*(1+Assumptions!$F$75)*'Beer Revenue'!BI94</f>
        <v>114.45222917445031</v>
      </c>
      <c r="BI17" s="312">
        <f>$A17*(1+Assumptions!$F$75)*'Beer Revenue'!BJ94</f>
        <v>161.47748136369978</v>
      </c>
      <c r="BJ17" s="312">
        <f>$A17*(1+Assumptions!$F$75)*'Beer Revenue'!BK94</f>
        <v>190.99487043018252</v>
      </c>
      <c r="BK17" s="312">
        <f>$A17*(1+Assumptions!$F$75)*'Beer Revenue'!BL94</f>
        <v>215.30330848493304</v>
      </c>
      <c r="BL17" s="312">
        <f>$A17*(1+Assumptions!$F$75)*'Beer Revenue'!BM94</f>
        <v>217.03962548884382</v>
      </c>
      <c r="BM17" s="312">
        <f>$A17*(1+Assumptions!$F$75)*'Beer Revenue'!BN94</f>
        <v>224.27427967180523</v>
      </c>
      <c r="BN17" s="312">
        <f>$A17*(1+Assumptions!$F$75)*'Beer Revenue'!BO94</f>
        <v>215.30330848493304</v>
      </c>
      <c r="BO17" s="312">
        <f>$A17*(1+Assumptions!$F$75)*'Beer Revenue'!BP94</f>
        <v>190.99487043018252</v>
      </c>
      <c r="BP17" s="312">
        <f>$A17*(1+Assumptions!$F$75)*'Beer Revenue'!BQ94</f>
        <v>179.41942373744422</v>
      </c>
      <c r="BQ17" s="312">
        <f>$A17*(1+Assumptions!$F$75)*'Beer Revenue'!BR94</f>
        <v>156.26853035196754</v>
      </c>
      <c r="BR17" s="312">
        <f>$A17*(1+Assumptions!$F$75)*'Beer Revenue'!BS94</f>
        <v>143.53553898995537</v>
      </c>
      <c r="BS17" s="315">
        <f t="shared" si="8"/>
        <v>2116.715120850864</v>
      </c>
      <c r="BT17" s="315">
        <f t="shared" si="9"/>
        <v>8573.8107927242054</v>
      </c>
    </row>
    <row r="18" spans="1:72">
      <c r="A18" s="285">
        <v>160</v>
      </c>
      <c r="B18" s="115"/>
      <c r="C18" s="2" t="str">
        <f>'Beer Revenue'!F23</f>
        <v>Rotating IPA #2</v>
      </c>
      <c r="D18" s="2"/>
      <c r="E18" s="2"/>
      <c r="F18" s="2"/>
      <c r="G18" s="312">
        <f>$A18*'Beer Revenue'!H95</f>
        <v>142.8253794642857</v>
      </c>
      <c r="H18" s="312">
        <f>$A18*'Beer Revenue'!I95</f>
        <v>151.84795047883063</v>
      </c>
      <c r="I18" s="312">
        <f>$A18*'Beer Revenue'!J95</f>
        <v>214.23806919642854</v>
      </c>
      <c r="J18" s="312">
        <f>$A18*'Beer Revenue'!K95</f>
        <v>253.39986679147466</v>
      </c>
      <c r="K18" s="312">
        <f>$A18*'Beer Revenue'!L95</f>
        <v>285.65075892857141</v>
      </c>
      <c r="L18" s="312">
        <f>$A18*'Beer Revenue'!M95</f>
        <v>287.9543940812211</v>
      </c>
      <c r="M18" s="312">
        <f>$A18*'Beer Revenue'!N95</f>
        <v>297.5528738839285</v>
      </c>
      <c r="N18" s="312">
        <f>$A18*'Beer Revenue'!O95</f>
        <v>285.65075892857141</v>
      </c>
      <c r="O18" s="312">
        <f>$A18*'Beer Revenue'!P95</f>
        <v>253.39986679147466</v>
      </c>
      <c r="P18" s="312">
        <f>$A18*'Beer Revenue'!Q95</f>
        <v>238.04229910714284</v>
      </c>
      <c r="Q18" s="312">
        <f>$A18*'Beer Revenue'!R95</f>
        <v>207.32716373847924</v>
      </c>
      <c r="R18" s="312">
        <f>$A18*'Beer Revenue'!S95</f>
        <v>190.4338392857143</v>
      </c>
      <c r="S18" s="315">
        <f t="shared" si="4"/>
        <v>2808.3232206761227</v>
      </c>
      <c r="T18" s="320">
        <f>$A18*(1+Assumptions!$D$75)*'Beer Revenue'!U95</f>
        <v>192.81426227678571</v>
      </c>
      <c r="U18" s="312">
        <f>$A18*(1+Assumptions!$D$75)*'Beer Revenue'!V95</f>
        <v>204.99473314642131</v>
      </c>
      <c r="V18" s="312">
        <f>$A18*(1+Assumptions!$D$75)*'Beer Revenue'!W95</f>
        <v>289.22139341517857</v>
      </c>
      <c r="W18" s="312">
        <f>$A18*(1+Assumptions!$D$75)*'Beer Revenue'!X95</f>
        <v>342.08982016849075</v>
      </c>
      <c r="X18" s="312">
        <f>$A18*(1+Assumptions!$D$75)*'Beer Revenue'!Y95</f>
        <v>385.62852455357142</v>
      </c>
      <c r="Y18" s="312">
        <f>$A18*(1+Assumptions!$D$75)*'Beer Revenue'!Z95</f>
        <v>388.73843200964859</v>
      </c>
      <c r="Z18" s="312">
        <f>$A18*(1+Assumptions!$D$75)*'Beer Revenue'!AA95</f>
        <v>401.69637974330357</v>
      </c>
      <c r="AA18" s="312">
        <f>$A18*(1+Assumptions!$D$75)*'Beer Revenue'!AB95</f>
        <v>385.62852455357142</v>
      </c>
      <c r="AB18" s="312">
        <f>$A18*(1+Assumptions!$D$75)*'Beer Revenue'!AC95</f>
        <v>342.08982016849075</v>
      </c>
      <c r="AC18" s="312">
        <f>$A18*(1+Assumptions!$D$75)*'Beer Revenue'!AD95</f>
        <v>321.35710379464291</v>
      </c>
      <c r="AD18" s="312">
        <f>$A18*(1+Assumptions!$D$75)*'Beer Revenue'!AE95</f>
        <v>279.89167104694701</v>
      </c>
      <c r="AE18" s="312">
        <f>$A18*(1+Assumptions!$D$75)*'Beer Revenue'!AF95</f>
        <v>257.08568303571428</v>
      </c>
      <c r="AF18" s="315">
        <f t="shared" si="5"/>
        <v>3791.2363479127666</v>
      </c>
      <c r="AG18" s="320">
        <f>$A18*(1+Assumptions!$E$75)*'Beer Revenue'!AH95</f>
        <v>217.63017195870538</v>
      </c>
      <c r="AH18" s="312">
        <f>$A18*(1+Assumptions!$E$75)*'Beer Revenue'!AI95</f>
        <v>231.37831454211818</v>
      </c>
      <c r="AI18" s="312">
        <f>$A18*(1+Assumptions!$E$75)*'Beer Revenue'!AJ95</f>
        <v>326.44525793805798</v>
      </c>
      <c r="AJ18" s="312">
        <f>$A18*(1+Assumptions!$E$75)*'Beer Revenue'!AK95</f>
        <v>386.11804702350946</v>
      </c>
      <c r="AK18" s="312">
        <f>$A18*(1+Assumptions!$E$75)*'Beer Revenue'!AL95</f>
        <v>435.26034391741075</v>
      </c>
      <c r="AL18" s="312">
        <f>$A18*(1+Assumptions!$E$75)*'Beer Revenue'!AM95</f>
        <v>438.77050798126066</v>
      </c>
      <c r="AM18" s="312">
        <f>$A18*(1+Assumptions!$E$75)*'Beer Revenue'!AN95</f>
        <v>453.39619158063601</v>
      </c>
      <c r="AN18" s="312">
        <f>$A18*(1+Assumptions!$E$75)*'Beer Revenue'!AO95</f>
        <v>435.26034391741075</v>
      </c>
      <c r="AO18" s="312">
        <f>$A18*(1+Assumptions!$E$75)*'Beer Revenue'!AP95</f>
        <v>386.11804702350946</v>
      </c>
      <c r="AP18" s="312">
        <f>$A18*(1+Assumptions!$E$75)*'Beer Revenue'!AQ95</f>
        <v>362.71695326450896</v>
      </c>
      <c r="AQ18" s="312">
        <f>$A18*(1+Assumptions!$E$75)*'Beer Revenue'!AR95</f>
        <v>315.91476574650778</v>
      </c>
      <c r="AR18" s="312">
        <f>$A18*(1+Assumptions!$E$75)*'Beer Revenue'!AS95</f>
        <v>290.17356261160711</v>
      </c>
      <c r="AS18" s="315">
        <f t="shared" si="6"/>
        <v>4279.1825075052429</v>
      </c>
      <c r="AT18" s="320">
        <f>$A18*(1+Assumptions!$F$75)*'Beer Revenue'!AU95</f>
        <v>234.87633652901789</v>
      </c>
      <c r="AU18" s="312">
        <f>$A18*(1+Assumptions!$F$75)*'Beer Revenue'!AV95</f>
        <v>249.71395456243695</v>
      </c>
      <c r="AV18" s="312">
        <f>$A18*(1+Assumptions!$F$75)*'Beer Revenue'!AW95</f>
        <v>352.31450479352674</v>
      </c>
      <c r="AW18" s="312">
        <f>$A18*(1+Assumptions!$F$75)*'Beer Revenue'!AX95</f>
        <v>416.71608093857998</v>
      </c>
      <c r="AX18" s="312">
        <f>$A18*(1+Assumptions!$F$75)*'Beer Revenue'!AY95</f>
        <v>469.75267305803578</v>
      </c>
      <c r="AY18" s="312">
        <f>$A18*(1+Assumptions!$F$75)*'Beer Revenue'!AZ95</f>
        <v>473.54100106656813</v>
      </c>
      <c r="AZ18" s="312">
        <f>$A18*(1+Assumptions!$F$75)*'Beer Revenue'!BA95</f>
        <v>489.32570110212043</v>
      </c>
      <c r="BA18" s="312">
        <f>$A18*(1+Assumptions!$F$75)*'Beer Revenue'!BB95</f>
        <v>469.75267305803578</v>
      </c>
      <c r="BB18" s="312">
        <f>$A18*(1+Assumptions!$F$75)*'Beer Revenue'!BC95</f>
        <v>416.71608093857998</v>
      </c>
      <c r="BC18" s="312">
        <f>$A18*(1+Assumptions!$F$75)*'Beer Revenue'!BD95</f>
        <v>391.46056088169644</v>
      </c>
      <c r="BD18" s="312">
        <f>$A18*(1+Assumptions!$F$75)*'Beer Revenue'!BE95</f>
        <v>340.94952076792919</v>
      </c>
      <c r="BE18" s="312">
        <f>$A18*(1+Assumptions!$F$75)*'Beer Revenue'!BF95</f>
        <v>313.16844870535715</v>
      </c>
      <c r="BF18" s="315">
        <f t="shared" si="7"/>
        <v>4618.2875364018846</v>
      </c>
      <c r="BG18" s="320">
        <f>$A18*(1+Assumptions!$F$75)*'Beer Revenue'!BH95</f>
        <v>258.36397018191963</v>
      </c>
      <c r="BH18" s="312">
        <f>$A18*(1+Assumptions!$F$75)*'Beer Revenue'!BI95</f>
        <v>274.68535001868065</v>
      </c>
      <c r="BI18" s="312">
        <f>$A18*(1+Assumptions!$F$75)*'Beer Revenue'!BJ95</f>
        <v>387.54595527287944</v>
      </c>
      <c r="BJ18" s="312">
        <f>$A18*(1+Assumptions!$F$75)*'Beer Revenue'!BK95</f>
        <v>458.38768903243812</v>
      </c>
      <c r="BK18" s="312">
        <f>$A18*(1+Assumptions!$F$75)*'Beer Revenue'!BL95</f>
        <v>516.72794036383925</v>
      </c>
      <c r="BL18" s="312">
        <f>$A18*(1+Assumptions!$F$75)*'Beer Revenue'!BM95</f>
        <v>520.89510117322493</v>
      </c>
      <c r="BM18" s="312">
        <f>$A18*(1+Assumptions!$F$75)*'Beer Revenue'!BN95</f>
        <v>538.25827121233249</v>
      </c>
      <c r="BN18" s="312">
        <f>$A18*(1+Assumptions!$F$75)*'Beer Revenue'!BO95</f>
        <v>516.72794036383925</v>
      </c>
      <c r="BO18" s="312">
        <f>$A18*(1+Assumptions!$F$75)*'Beer Revenue'!BP95</f>
        <v>458.38768903243812</v>
      </c>
      <c r="BP18" s="312">
        <f>$A18*(1+Assumptions!$F$75)*'Beer Revenue'!BQ95</f>
        <v>430.60661696986614</v>
      </c>
      <c r="BQ18" s="312">
        <f>$A18*(1+Assumptions!$F$75)*'Beer Revenue'!BR95</f>
        <v>375.04447284472212</v>
      </c>
      <c r="BR18" s="312">
        <f>$A18*(1+Assumptions!$F$75)*'Beer Revenue'!BS95</f>
        <v>344.48529357589285</v>
      </c>
      <c r="BS18" s="315">
        <f t="shared" si="8"/>
        <v>5080.1162900420723</v>
      </c>
      <c r="BT18" s="315">
        <f t="shared" si="9"/>
        <v>20577.145902538086</v>
      </c>
    </row>
    <row r="19" spans="1:72">
      <c r="A19" s="285">
        <v>250</v>
      </c>
      <c r="B19" s="115"/>
      <c r="C19" s="2" t="str">
        <f>'Beer Revenue'!F24</f>
        <v>Special release</v>
      </c>
      <c r="D19" s="2"/>
      <c r="E19" s="2"/>
      <c r="F19" s="2"/>
      <c r="G19" s="312">
        <f>$A19*'Beer Revenue'!H96</f>
        <v>58.216866629464285</v>
      </c>
      <c r="H19" s="312">
        <f>$A19*'Beer Revenue'!I96</f>
        <v>61.894545032132044</v>
      </c>
      <c r="I19" s="312">
        <f>$A19*'Beer Revenue'!J96</f>
        <v>87.325299944196431</v>
      </c>
      <c r="J19" s="312">
        <f>$A19*'Beer Revenue'!K96</f>
        <v>103.28798918130761</v>
      </c>
      <c r="K19" s="312">
        <f>$A19*'Beer Revenue'!L96</f>
        <v>116.43373325892857</v>
      </c>
      <c r="L19" s="312">
        <f>$A19*'Beer Revenue'!M96</f>
        <v>117.37271497875862</v>
      </c>
      <c r="M19" s="312">
        <f>$A19*'Beer Revenue'!N96</f>
        <v>121.28513881138393</v>
      </c>
      <c r="N19" s="312">
        <f>$A19*'Beer Revenue'!O96</f>
        <v>116.43373325892857</v>
      </c>
      <c r="O19" s="312">
        <f>$A19*'Beer Revenue'!P96</f>
        <v>103.28798918130761</v>
      </c>
      <c r="P19" s="312">
        <f>$A19*'Beer Revenue'!Q96</f>
        <v>97.028111049107153</v>
      </c>
      <c r="Q19" s="312">
        <f>$A19*'Beer Revenue'!R96</f>
        <v>84.508354784706214</v>
      </c>
      <c r="R19" s="312">
        <f>$A19*'Beer Revenue'!S96</f>
        <v>77.622488839285722</v>
      </c>
      <c r="S19" s="315">
        <f t="shared" si="4"/>
        <v>1144.6969649495068</v>
      </c>
      <c r="T19" s="320">
        <f>$A19*(1+Assumptions!$D$75)*'Beer Revenue'!U96</f>
        <v>78.59276994977678</v>
      </c>
      <c r="U19" s="312">
        <f>$A19*(1+Assumptions!$D$75)*'Beer Revenue'!V96</f>
        <v>83.557635793378253</v>
      </c>
      <c r="V19" s="312">
        <f>$A19*(1+Assumptions!$D$75)*'Beer Revenue'!W96</f>
        <v>117.88915492466516</v>
      </c>
      <c r="W19" s="312">
        <f>$A19*(1+Assumptions!$D$75)*'Beer Revenue'!X96</f>
        <v>139.43878539476526</v>
      </c>
      <c r="X19" s="312">
        <f>$A19*(1+Assumptions!$D$75)*'Beer Revenue'!Y96</f>
        <v>157.18553989955356</v>
      </c>
      <c r="Y19" s="312">
        <f>$A19*(1+Assumptions!$D$75)*'Beer Revenue'!Z96</f>
        <v>158.45316522132416</v>
      </c>
      <c r="Z19" s="312">
        <f>$A19*(1+Assumptions!$D$75)*'Beer Revenue'!AA96</f>
        <v>163.73493739536829</v>
      </c>
      <c r="AA19" s="312">
        <f>$A19*(1+Assumptions!$D$75)*'Beer Revenue'!AB96</f>
        <v>157.18553989955356</v>
      </c>
      <c r="AB19" s="312">
        <f>$A19*(1+Assumptions!$D$75)*'Beer Revenue'!AC96</f>
        <v>139.43878539476526</v>
      </c>
      <c r="AC19" s="312">
        <f>$A19*(1+Assumptions!$D$75)*'Beer Revenue'!AD96</f>
        <v>130.98794991629467</v>
      </c>
      <c r="AD19" s="312">
        <f>$A19*(1+Assumptions!$D$75)*'Beer Revenue'!AE96</f>
        <v>114.08627895935338</v>
      </c>
      <c r="AE19" s="312">
        <f>$A19*(1+Assumptions!$D$75)*'Beer Revenue'!AF96</f>
        <v>104.79035993303572</v>
      </c>
      <c r="AF19" s="315">
        <f t="shared" si="5"/>
        <v>1545.3409026818342</v>
      </c>
      <c r="AG19" s="320">
        <f>$A19*(1+Assumptions!$E$75)*'Beer Revenue'!AH96</f>
        <v>88.707950526646201</v>
      </c>
      <c r="AH19" s="312">
        <f>$A19*(1+Assumptions!$E$75)*'Beer Revenue'!AI96</f>
        <v>94.311812992711197</v>
      </c>
      <c r="AI19" s="312">
        <f>$A19*(1+Assumptions!$E$75)*'Beer Revenue'!AJ96</f>
        <v>133.06192578996928</v>
      </c>
      <c r="AJ19" s="312">
        <f>$A19*(1+Assumptions!$E$75)*'Beer Revenue'!AK96</f>
        <v>157.38507351501741</v>
      </c>
      <c r="AK19" s="312">
        <f>$A19*(1+Assumptions!$E$75)*'Beer Revenue'!AL96</f>
        <v>177.4159010532924</v>
      </c>
      <c r="AL19" s="312">
        <f>$A19*(1+Assumptions!$E$75)*'Beer Revenue'!AM96</f>
        <v>178.84667444888342</v>
      </c>
      <c r="AM19" s="312">
        <f>$A19*(1+Assumptions!$E$75)*'Beer Revenue'!AN96</f>
        <v>184.80823026384621</v>
      </c>
      <c r="AN19" s="312">
        <f>$A19*(1+Assumptions!$E$75)*'Beer Revenue'!AO96</f>
        <v>177.4159010532924</v>
      </c>
      <c r="AO19" s="312">
        <f>$A19*(1+Assumptions!$E$75)*'Beer Revenue'!AP96</f>
        <v>157.38507351501741</v>
      </c>
      <c r="AP19" s="312">
        <f>$A19*(1+Assumptions!$E$75)*'Beer Revenue'!AQ96</f>
        <v>147.84658421107702</v>
      </c>
      <c r="AQ19" s="312">
        <f>$A19*(1+Assumptions!$E$75)*'Beer Revenue'!AR96</f>
        <v>128.76960560319608</v>
      </c>
      <c r="AR19" s="312">
        <f>$A19*(1+Assumptions!$E$75)*'Beer Revenue'!AS96</f>
        <v>118.2772673688616</v>
      </c>
      <c r="AS19" s="315">
        <f t="shared" si="6"/>
        <v>1744.2320003418108</v>
      </c>
      <c r="AT19" s="320">
        <f>$A19*(1+Assumptions!$F$75)*'Beer Revenue'!AU96</f>
        <v>95.73763717215401</v>
      </c>
      <c r="AU19" s="312">
        <f>$A19*(1+Assumptions!$F$75)*'Beer Revenue'!AV96</f>
        <v>101.78557930534117</v>
      </c>
      <c r="AV19" s="312">
        <f>$A19*(1+Assumptions!$F$75)*'Beer Revenue'!AW96</f>
        <v>143.60645575823102</v>
      </c>
      <c r="AW19" s="312">
        <f>$A19*(1+Assumptions!$F$75)*'Beer Revenue'!AX96</f>
        <v>169.85709820866032</v>
      </c>
      <c r="AX19" s="312">
        <f>$A19*(1+Assumptions!$F$75)*'Beer Revenue'!AY96</f>
        <v>191.47527434430802</v>
      </c>
      <c r="AY19" s="312">
        <f>$A19*(1+Assumptions!$F$75)*'Beer Revenue'!AZ96</f>
        <v>193.01942978256855</v>
      </c>
      <c r="AZ19" s="312">
        <f>$A19*(1+Assumptions!$F$75)*'Beer Revenue'!BA96</f>
        <v>199.45341077532086</v>
      </c>
      <c r="BA19" s="312">
        <f>$A19*(1+Assumptions!$F$75)*'Beer Revenue'!BB96</f>
        <v>191.47527434430802</v>
      </c>
      <c r="BB19" s="312">
        <f>$A19*(1+Assumptions!$F$75)*'Beer Revenue'!BC96</f>
        <v>169.85709820866032</v>
      </c>
      <c r="BC19" s="312">
        <f>$A19*(1+Assumptions!$F$75)*'Beer Revenue'!BD96</f>
        <v>159.56272862025673</v>
      </c>
      <c r="BD19" s="312">
        <f>$A19*(1+Assumptions!$F$75)*'Beer Revenue'!BE96</f>
        <v>138.9739894434494</v>
      </c>
      <c r="BE19" s="312">
        <f>$A19*(1+Assumptions!$F$75)*'Beer Revenue'!BF96</f>
        <v>127.65018289620535</v>
      </c>
      <c r="BF19" s="315">
        <f t="shared" si="7"/>
        <v>1882.4541588594634</v>
      </c>
      <c r="BG19" s="320">
        <f>$A19*(1+Assumptions!$F$75)*'Beer Revenue'!BH96</f>
        <v>105.31140088936941</v>
      </c>
      <c r="BH19" s="312">
        <f>$A19*(1+Assumptions!$F$75)*'Beer Revenue'!BI96</f>
        <v>111.96413723587528</v>
      </c>
      <c r="BI19" s="312">
        <f>$A19*(1+Assumptions!$F$75)*'Beer Revenue'!BJ96</f>
        <v>157.96710133405412</v>
      </c>
      <c r="BJ19" s="312">
        <f>$A19*(1+Assumptions!$F$75)*'Beer Revenue'!BK96</f>
        <v>186.8428080295264</v>
      </c>
      <c r="BK19" s="312">
        <f>$A19*(1+Assumptions!$F$75)*'Beer Revenue'!BL96</f>
        <v>210.62280177873882</v>
      </c>
      <c r="BL19" s="312">
        <f>$A19*(1+Assumptions!$F$75)*'Beer Revenue'!BM96</f>
        <v>212.32137276082545</v>
      </c>
      <c r="BM19" s="312">
        <f>$A19*(1+Assumptions!$F$75)*'Beer Revenue'!BN96</f>
        <v>219.39875185285297</v>
      </c>
      <c r="BN19" s="312">
        <f>$A19*(1+Assumptions!$F$75)*'Beer Revenue'!BO96</f>
        <v>210.62280177873882</v>
      </c>
      <c r="BO19" s="312">
        <f>$A19*(1+Assumptions!$F$75)*'Beer Revenue'!BP96</f>
        <v>186.8428080295264</v>
      </c>
      <c r="BP19" s="312">
        <f>$A19*(1+Assumptions!$F$75)*'Beer Revenue'!BQ96</f>
        <v>175.51900148228239</v>
      </c>
      <c r="BQ19" s="312">
        <f>$A19*(1+Assumptions!$F$75)*'Beer Revenue'!BR96</f>
        <v>152.87138838779433</v>
      </c>
      <c r="BR19" s="312">
        <f>$A19*(1+Assumptions!$F$75)*'Beer Revenue'!BS96</f>
        <v>140.41520118582591</v>
      </c>
      <c r="BS19" s="315">
        <f t="shared" si="8"/>
        <v>2070.6995747454102</v>
      </c>
      <c r="BT19" s="315">
        <f t="shared" si="9"/>
        <v>8387.4236015780261</v>
      </c>
    </row>
    <row r="20" spans="1:72">
      <c r="A20" s="285"/>
      <c r="B20" s="115"/>
      <c r="C20" s="2">
        <f>'Beer Revenue'!F25</f>
        <v>0</v>
      </c>
      <c r="D20" s="2"/>
      <c r="E20" s="2"/>
      <c r="F20" s="2"/>
      <c r="G20" s="312">
        <f>$A20*'Beer Revenue'!H97</f>
        <v>0</v>
      </c>
      <c r="H20" s="312">
        <f>$A20*'Beer Revenue'!I97</f>
        <v>0</v>
      </c>
      <c r="I20" s="312">
        <f>$A20*'Beer Revenue'!J97</f>
        <v>0</v>
      </c>
      <c r="J20" s="312">
        <f>$A20*'Beer Revenue'!K97</f>
        <v>0</v>
      </c>
      <c r="K20" s="312">
        <f>$A20*'Beer Revenue'!L97</f>
        <v>0</v>
      </c>
      <c r="L20" s="312">
        <f>$A20*'Beer Revenue'!M97</f>
        <v>0</v>
      </c>
      <c r="M20" s="312">
        <f>$A20*'Beer Revenue'!N97</f>
        <v>0</v>
      </c>
      <c r="N20" s="312">
        <f>$A20*'Beer Revenue'!O97</f>
        <v>0</v>
      </c>
      <c r="O20" s="312">
        <f>$A20*'Beer Revenue'!P97</f>
        <v>0</v>
      </c>
      <c r="P20" s="312">
        <f>$A20*'Beer Revenue'!Q97</f>
        <v>0</v>
      </c>
      <c r="Q20" s="312">
        <f>$A20*'Beer Revenue'!R97</f>
        <v>0</v>
      </c>
      <c r="R20" s="312">
        <f>$A20*'Beer Revenue'!S97</f>
        <v>0</v>
      </c>
      <c r="S20" s="315">
        <f t="shared" si="4"/>
        <v>0</v>
      </c>
      <c r="T20" s="320">
        <f>$A20*(1+Assumptions!$D$75)*'Beer Revenue'!U97</f>
        <v>0</v>
      </c>
      <c r="U20" s="312">
        <f>$A20*(1+Assumptions!$D$75)*'Beer Revenue'!V97</f>
        <v>0</v>
      </c>
      <c r="V20" s="312">
        <f>$A20*(1+Assumptions!$D$75)*'Beer Revenue'!W97</f>
        <v>0</v>
      </c>
      <c r="W20" s="312">
        <f>$A20*(1+Assumptions!$D$75)*'Beer Revenue'!X97</f>
        <v>0</v>
      </c>
      <c r="X20" s="312">
        <f>$A20*(1+Assumptions!$D$75)*'Beer Revenue'!Y97</f>
        <v>0</v>
      </c>
      <c r="Y20" s="312">
        <f>$A20*(1+Assumptions!$D$75)*'Beer Revenue'!Z97</f>
        <v>0</v>
      </c>
      <c r="Z20" s="312">
        <f>$A20*(1+Assumptions!$D$75)*'Beer Revenue'!AA97</f>
        <v>0</v>
      </c>
      <c r="AA20" s="312">
        <f>$A20*(1+Assumptions!$D$75)*'Beer Revenue'!AB97</f>
        <v>0</v>
      </c>
      <c r="AB20" s="312">
        <f>$A20*(1+Assumptions!$D$75)*'Beer Revenue'!AC97</f>
        <v>0</v>
      </c>
      <c r="AC20" s="312">
        <f>$A20*(1+Assumptions!$D$75)*'Beer Revenue'!AD97</f>
        <v>0</v>
      </c>
      <c r="AD20" s="312">
        <f>$A20*(1+Assumptions!$D$75)*'Beer Revenue'!AE97</f>
        <v>0</v>
      </c>
      <c r="AE20" s="312">
        <f>$A20*(1+Assumptions!$D$75)*'Beer Revenue'!AF97</f>
        <v>0</v>
      </c>
      <c r="AF20" s="315">
        <f t="shared" si="5"/>
        <v>0</v>
      </c>
      <c r="AG20" s="320">
        <f>$A20*(1+Assumptions!$E$75)*'Beer Revenue'!AH97</f>
        <v>0</v>
      </c>
      <c r="AH20" s="312">
        <f>$A20*(1+Assumptions!$E$75)*'Beer Revenue'!AI97</f>
        <v>0</v>
      </c>
      <c r="AI20" s="312">
        <f>$A20*(1+Assumptions!$E$75)*'Beer Revenue'!AJ97</f>
        <v>0</v>
      </c>
      <c r="AJ20" s="312">
        <f>$A20*(1+Assumptions!$E$75)*'Beer Revenue'!AK97</f>
        <v>0</v>
      </c>
      <c r="AK20" s="312">
        <f>$A20*(1+Assumptions!$E$75)*'Beer Revenue'!AL97</f>
        <v>0</v>
      </c>
      <c r="AL20" s="312">
        <f>$A20*(1+Assumptions!$E$75)*'Beer Revenue'!AM97</f>
        <v>0</v>
      </c>
      <c r="AM20" s="312">
        <f>$A20*(1+Assumptions!$E$75)*'Beer Revenue'!AN97</f>
        <v>0</v>
      </c>
      <c r="AN20" s="312">
        <f>$A20*(1+Assumptions!$E$75)*'Beer Revenue'!AO97</f>
        <v>0</v>
      </c>
      <c r="AO20" s="312">
        <f>$A20*(1+Assumptions!$E$75)*'Beer Revenue'!AP97</f>
        <v>0</v>
      </c>
      <c r="AP20" s="312">
        <f>$A20*(1+Assumptions!$E$75)*'Beer Revenue'!AQ97</f>
        <v>0</v>
      </c>
      <c r="AQ20" s="312">
        <f>$A20*(1+Assumptions!$E$75)*'Beer Revenue'!AR97</f>
        <v>0</v>
      </c>
      <c r="AR20" s="312">
        <f>$A20*(1+Assumptions!$E$75)*'Beer Revenue'!AS97</f>
        <v>0</v>
      </c>
      <c r="AS20" s="315">
        <f t="shared" si="6"/>
        <v>0</v>
      </c>
      <c r="AT20" s="320">
        <f>$A20*(1+Assumptions!$F$75)*'Beer Revenue'!AU97</f>
        <v>0</v>
      </c>
      <c r="AU20" s="312">
        <f>$A20*(1+Assumptions!$F$75)*'Beer Revenue'!AV97</f>
        <v>0</v>
      </c>
      <c r="AV20" s="312">
        <f>$A20*(1+Assumptions!$F$75)*'Beer Revenue'!AW97</f>
        <v>0</v>
      </c>
      <c r="AW20" s="312">
        <f>$A20*(1+Assumptions!$F$75)*'Beer Revenue'!AX97</f>
        <v>0</v>
      </c>
      <c r="AX20" s="312">
        <f>$A20*(1+Assumptions!$F$75)*'Beer Revenue'!AY97</f>
        <v>0</v>
      </c>
      <c r="AY20" s="312">
        <f>$A20*(1+Assumptions!$F$75)*'Beer Revenue'!AZ97</f>
        <v>0</v>
      </c>
      <c r="AZ20" s="312">
        <f>$A20*(1+Assumptions!$F$75)*'Beer Revenue'!BA97</f>
        <v>0</v>
      </c>
      <c r="BA20" s="312">
        <f>$A20*(1+Assumptions!$F$75)*'Beer Revenue'!BB97</f>
        <v>0</v>
      </c>
      <c r="BB20" s="312">
        <f>$A20*(1+Assumptions!$F$75)*'Beer Revenue'!BC97</f>
        <v>0</v>
      </c>
      <c r="BC20" s="312">
        <f>$A20*(1+Assumptions!$F$75)*'Beer Revenue'!BD97</f>
        <v>0</v>
      </c>
      <c r="BD20" s="312">
        <f>$A20*(1+Assumptions!$F$75)*'Beer Revenue'!BE97</f>
        <v>0</v>
      </c>
      <c r="BE20" s="312">
        <f>$A20*(1+Assumptions!$F$75)*'Beer Revenue'!BF97</f>
        <v>0</v>
      </c>
      <c r="BF20" s="315">
        <f t="shared" si="7"/>
        <v>0</v>
      </c>
      <c r="BG20" s="320">
        <f>$A20*(1+Assumptions!$F$75)*'Beer Revenue'!BH97</f>
        <v>0</v>
      </c>
      <c r="BH20" s="312">
        <f>$A20*(1+Assumptions!$F$75)*'Beer Revenue'!BI97</f>
        <v>0</v>
      </c>
      <c r="BI20" s="312">
        <f>$A20*(1+Assumptions!$F$75)*'Beer Revenue'!BJ97</f>
        <v>0</v>
      </c>
      <c r="BJ20" s="312">
        <f>$A20*(1+Assumptions!$F$75)*'Beer Revenue'!BK97</f>
        <v>0</v>
      </c>
      <c r="BK20" s="312">
        <f>$A20*(1+Assumptions!$F$75)*'Beer Revenue'!BL97</f>
        <v>0</v>
      </c>
      <c r="BL20" s="312">
        <f>$A20*(1+Assumptions!$F$75)*'Beer Revenue'!BM97</f>
        <v>0</v>
      </c>
      <c r="BM20" s="312">
        <f>$A20*(1+Assumptions!$F$75)*'Beer Revenue'!BN97</f>
        <v>0</v>
      </c>
      <c r="BN20" s="312">
        <f>$A20*(1+Assumptions!$F$75)*'Beer Revenue'!BO97</f>
        <v>0</v>
      </c>
      <c r="BO20" s="312">
        <f>$A20*(1+Assumptions!$F$75)*'Beer Revenue'!BP97</f>
        <v>0</v>
      </c>
      <c r="BP20" s="312">
        <f>$A20*(1+Assumptions!$F$75)*'Beer Revenue'!BQ97</f>
        <v>0</v>
      </c>
      <c r="BQ20" s="312">
        <f>$A20*(1+Assumptions!$F$75)*'Beer Revenue'!BR97</f>
        <v>0</v>
      </c>
      <c r="BR20" s="312">
        <f>$A20*(1+Assumptions!$F$75)*'Beer Revenue'!BS97</f>
        <v>0</v>
      </c>
      <c r="BS20" s="315">
        <f t="shared" si="8"/>
        <v>0</v>
      </c>
      <c r="BT20" s="315">
        <f t="shared" si="9"/>
        <v>0</v>
      </c>
    </row>
    <row r="21" spans="1:72">
      <c r="A21" s="285"/>
      <c r="B21" s="115"/>
      <c r="C21" s="2">
        <f>'Beer Revenue'!F26</f>
        <v>0</v>
      </c>
      <c r="D21" s="2"/>
      <c r="E21" s="2"/>
      <c r="F21" s="2"/>
      <c r="G21" s="312">
        <f>$A21*'Beer Revenue'!H98</f>
        <v>0</v>
      </c>
      <c r="H21" s="312">
        <f>$A21*'Beer Revenue'!I98</f>
        <v>0</v>
      </c>
      <c r="I21" s="312">
        <f>$A21*'Beer Revenue'!J98</f>
        <v>0</v>
      </c>
      <c r="J21" s="312">
        <f>$A21*'Beer Revenue'!K98</f>
        <v>0</v>
      </c>
      <c r="K21" s="312">
        <f>$A21*'Beer Revenue'!L98</f>
        <v>0</v>
      </c>
      <c r="L21" s="312">
        <f>$A21*'Beer Revenue'!M98</f>
        <v>0</v>
      </c>
      <c r="M21" s="312">
        <f>$A21*'Beer Revenue'!N98</f>
        <v>0</v>
      </c>
      <c r="N21" s="312">
        <f>$A21*'Beer Revenue'!O98</f>
        <v>0</v>
      </c>
      <c r="O21" s="312">
        <f>$A21*'Beer Revenue'!P98</f>
        <v>0</v>
      </c>
      <c r="P21" s="312">
        <f>$A21*'Beer Revenue'!Q98</f>
        <v>0</v>
      </c>
      <c r="Q21" s="312">
        <f>$A21*'Beer Revenue'!R98</f>
        <v>0</v>
      </c>
      <c r="R21" s="312">
        <f>$A21*'Beer Revenue'!S98</f>
        <v>0</v>
      </c>
      <c r="S21" s="315">
        <f t="shared" si="4"/>
        <v>0</v>
      </c>
      <c r="T21" s="320">
        <f>$A21*(1+Assumptions!$D$75)*'Beer Revenue'!U98</f>
        <v>0</v>
      </c>
      <c r="U21" s="312">
        <f>$A21*(1+Assumptions!$D$75)*'Beer Revenue'!V98</f>
        <v>0</v>
      </c>
      <c r="V21" s="312">
        <f>$A21*(1+Assumptions!$D$75)*'Beer Revenue'!W98</f>
        <v>0</v>
      </c>
      <c r="W21" s="312">
        <f>$A21*(1+Assumptions!$D$75)*'Beer Revenue'!X98</f>
        <v>0</v>
      </c>
      <c r="X21" s="312">
        <f>$A21*(1+Assumptions!$D$75)*'Beer Revenue'!Y98</f>
        <v>0</v>
      </c>
      <c r="Y21" s="312">
        <f>$A21*(1+Assumptions!$D$75)*'Beer Revenue'!Z98</f>
        <v>0</v>
      </c>
      <c r="Z21" s="312">
        <f>$A21*(1+Assumptions!$D$75)*'Beer Revenue'!AA98</f>
        <v>0</v>
      </c>
      <c r="AA21" s="312">
        <f>$A21*(1+Assumptions!$D$75)*'Beer Revenue'!AB98</f>
        <v>0</v>
      </c>
      <c r="AB21" s="312">
        <f>$A21*(1+Assumptions!$D$75)*'Beer Revenue'!AC98</f>
        <v>0</v>
      </c>
      <c r="AC21" s="312">
        <f>$A21*(1+Assumptions!$D$75)*'Beer Revenue'!AD98</f>
        <v>0</v>
      </c>
      <c r="AD21" s="312">
        <f>$A21*(1+Assumptions!$D$75)*'Beer Revenue'!AE98</f>
        <v>0</v>
      </c>
      <c r="AE21" s="312">
        <f>$A21*(1+Assumptions!$D$75)*'Beer Revenue'!AF98</f>
        <v>0</v>
      </c>
      <c r="AF21" s="315">
        <f t="shared" si="5"/>
        <v>0</v>
      </c>
      <c r="AG21" s="320">
        <f>$A21*(1+Assumptions!$E$75)*'Beer Revenue'!AH98</f>
        <v>0</v>
      </c>
      <c r="AH21" s="312">
        <f>$A21*(1+Assumptions!$E$75)*'Beer Revenue'!AI98</f>
        <v>0</v>
      </c>
      <c r="AI21" s="312">
        <f>$A21*(1+Assumptions!$E$75)*'Beer Revenue'!AJ98</f>
        <v>0</v>
      </c>
      <c r="AJ21" s="312">
        <f>$A21*(1+Assumptions!$E$75)*'Beer Revenue'!AK98</f>
        <v>0</v>
      </c>
      <c r="AK21" s="312">
        <f>$A21*(1+Assumptions!$E$75)*'Beer Revenue'!AL98</f>
        <v>0</v>
      </c>
      <c r="AL21" s="312">
        <f>$A21*(1+Assumptions!$E$75)*'Beer Revenue'!AM98</f>
        <v>0</v>
      </c>
      <c r="AM21" s="312">
        <f>$A21*(1+Assumptions!$E$75)*'Beer Revenue'!AN98</f>
        <v>0</v>
      </c>
      <c r="AN21" s="312">
        <f>$A21*(1+Assumptions!$E$75)*'Beer Revenue'!AO98</f>
        <v>0</v>
      </c>
      <c r="AO21" s="312">
        <f>$A21*(1+Assumptions!$E$75)*'Beer Revenue'!AP98</f>
        <v>0</v>
      </c>
      <c r="AP21" s="312">
        <f>$A21*(1+Assumptions!$E$75)*'Beer Revenue'!AQ98</f>
        <v>0</v>
      </c>
      <c r="AQ21" s="312">
        <f>$A21*(1+Assumptions!$E$75)*'Beer Revenue'!AR98</f>
        <v>0</v>
      </c>
      <c r="AR21" s="312">
        <f>$A21*(1+Assumptions!$E$75)*'Beer Revenue'!AS98</f>
        <v>0</v>
      </c>
      <c r="AS21" s="315">
        <f t="shared" si="6"/>
        <v>0</v>
      </c>
      <c r="AT21" s="320">
        <f>$A21*(1+Assumptions!$F$75)*'Beer Revenue'!AU98</f>
        <v>0</v>
      </c>
      <c r="AU21" s="312">
        <f>$A21*(1+Assumptions!$F$75)*'Beer Revenue'!AV98</f>
        <v>0</v>
      </c>
      <c r="AV21" s="312">
        <f>$A21*(1+Assumptions!$F$75)*'Beer Revenue'!AW98</f>
        <v>0</v>
      </c>
      <c r="AW21" s="312">
        <f>$A21*(1+Assumptions!$F$75)*'Beer Revenue'!AX98</f>
        <v>0</v>
      </c>
      <c r="AX21" s="312">
        <f>$A21*(1+Assumptions!$F$75)*'Beer Revenue'!AY98</f>
        <v>0</v>
      </c>
      <c r="AY21" s="312">
        <f>$A21*(1+Assumptions!$F$75)*'Beer Revenue'!AZ98</f>
        <v>0</v>
      </c>
      <c r="AZ21" s="312">
        <f>$A21*(1+Assumptions!$F$75)*'Beer Revenue'!BA98</f>
        <v>0</v>
      </c>
      <c r="BA21" s="312">
        <f>$A21*(1+Assumptions!$F$75)*'Beer Revenue'!BB98</f>
        <v>0</v>
      </c>
      <c r="BB21" s="312">
        <f>$A21*(1+Assumptions!$F$75)*'Beer Revenue'!BC98</f>
        <v>0</v>
      </c>
      <c r="BC21" s="312">
        <f>$A21*(1+Assumptions!$F$75)*'Beer Revenue'!BD98</f>
        <v>0</v>
      </c>
      <c r="BD21" s="312">
        <f>$A21*(1+Assumptions!$F$75)*'Beer Revenue'!BE98</f>
        <v>0</v>
      </c>
      <c r="BE21" s="312">
        <f>$A21*(1+Assumptions!$F$75)*'Beer Revenue'!BF98</f>
        <v>0</v>
      </c>
      <c r="BF21" s="315">
        <f t="shared" si="7"/>
        <v>0</v>
      </c>
      <c r="BG21" s="320">
        <f>$A21*(1+Assumptions!$F$75)*'Beer Revenue'!BH98</f>
        <v>0</v>
      </c>
      <c r="BH21" s="312">
        <f>$A21*(1+Assumptions!$F$75)*'Beer Revenue'!BI98</f>
        <v>0</v>
      </c>
      <c r="BI21" s="312">
        <f>$A21*(1+Assumptions!$F$75)*'Beer Revenue'!BJ98</f>
        <v>0</v>
      </c>
      <c r="BJ21" s="312">
        <f>$A21*(1+Assumptions!$F$75)*'Beer Revenue'!BK98</f>
        <v>0</v>
      </c>
      <c r="BK21" s="312">
        <f>$A21*(1+Assumptions!$F$75)*'Beer Revenue'!BL98</f>
        <v>0</v>
      </c>
      <c r="BL21" s="312">
        <f>$A21*(1+Assumptions!$F$75)*'Beer Revenue'!BM98</f>
        <v>0</v>
      </c>
      <c r="BM21" s="312">
        <f>$A21*(1+Assumptions!$F$75)*'Beer Revenue'!BN98</f>
        <v>0</v>
      </c>
      <c r="BN21" s="312">
        <f>$A21*(1+Assumptions!$F$75)*'Beer Revenue'!BO98</f>
        <v>0</v>
      </c>
      <c r="BO21" s="312">
        <f>$A21*(1+Assumptions!$F$75)*'Beer Revenue'!BP98</f>
        <v>0</v>
      </c>
      <c r="BP21" s="312">
        <f>$A21*(1+Assumptions!$F$75)*'Beer Revenue'!BQ98</f>
        <v>0</v>
      </c>
      <c r="BQ21" s="312">
        <f>$A21*(1+Assumptions!$F$75)*'Beer Revenue'!BR98</f>
        <v>0</v>
      </c>
      <c r="BR21" s="312">
        <f>$A21*(1+Assumptions!$F$75)*'Beer Revenue'!BS98</f>
        <v>0</v>
      </c>
      <c r="BS21" s="315">
        <f t="shared" si="8"/>
        <v>0</v>
      </c>
      <c r="BT21" s="315">
        <f t="shared" si="9"/>
        <v>0</v>
      </c>
    </row>
    <row r="22" spans="1:72">
      <c r="A22" s="285"/>
      <c r="B22" s="115"/>
      <c r="C22" s="2">
        <f>'Beer Revenue'!F27</f>
        <v>0</v>
      </c>
      <c r="D22" s="2"/>
      <c r="E22" s="2"/>
      <c r="F22" s="2"/>
      <c r="G22" s="312">
        <f>$A22*'Beer Revenue'!H99</f>
        <v>0</v>
      </c>
      <c r="H22" s="312">
        <f>$A22*'Beer Revenue'!I99</f>
        <v>0</v>
      </c>
      <c r="I22" s="312">
        <f>$A22*'Beer Revenue'!J99</f>
        <v>0</v>
      </c>
      <c r="J22" s="312">
        <f>$A22*'Beer Revenue'!K99</f>
        <v>0</v>
      </c>
      <c r="K22" s="312">
        <f>$A22*'Beer Revenue'!L99</f>
        <v>0</v>
      </c>
      <c r="L22" s="312">
        <f>$A22*'Beer Revenue'!M99</f>
        <v>0</v>
      </c>
      <c r="M22" s="312">
        <f>$A22*'Beer Revenue'!N99</f>
        <v>0</v>
      </c>
      <c r="N22" s="312">
        <f>$A22*'Beer Revenue'!O99</f>
        <v>0</v>
      </c>
      <c r="O22" s="312">
        <f>$A22*'Beer Revenue'!P99</f>
        <v>0</v>
      </c>
      <c r="P22" s="312">
        <f>$A22*'Beer Revenue'!Q99</f>
        <v>0</v>
      </c>
      <c r="Q22" s="312">
        <f>$A22*'Beer Revenue'!R99</f>
        <v>0</v>
      </c>
      <c r="R22" s="312">
        <f>$A22*'Beer Revenue'!S99</f>
        <v>0</v>
      </c>
      <c r="S22" s="315">
        <f t="shared" si="4"/>
        <v>0</v>
      </c>
      <c r="T22" s="320">
        <f>$A22*(1+Assumptions!$D$75)*'Beer Revenue'!U99</f>
        <v>0</v>
      </c>
      <c r="U22" s="312">
        <f>$A22*(1+Assumptions!$D$75)*'Beer Revenue'!V99</f>
        <v>0</v>
      </c>
      <c r="V22" s="312">
        <f>$A22*(1+Assumptions!$D$75)*'Beer Revenue'!W99</f>
        <v>0</v>
      </c>
      <c r="W22" s="312">
        <f>$A22*(1+Assumptions!$D$75)*'Beer Revenue'!X99</f>
        <v>0</v>
      </c>
      <c r="X22" s="312">
        <f>$A22*(1+Assumptions!$D$75)*'Beer Revenue'!Y99</f>
        <v>0</v>
      </c>
      <c r="Y22" s="312">
        <f>$A22*(1+Assumptions!$D$75)*'Beer Revenue'!Z99</f>
        <v>0</v>
      </c>
      <c r="Z22" s="312">
        <f>$A22*(1+Assumptions!$D$75)*'Beer Revenue'!AA99</f>
        <v>0</v>
      </c>
      <c r="AA22" s="312">
        <f>$A22*(1+Assumptions!$D$75)*'Beer Revenue'!AB99</f>
        <v>0</v>
      </c>
      <c r="AB22" s="312">
        <f>$A22*(1+Assumptions!$D$75)*'Beer Revenue'!AC99</f>
        <v>0</v>
      </c>
      <c r="AC22" s="312">
        <f>$A22*(1+Assumptions!$D$75)*'Beer Revenue'!AD99</f>
        <v>0</v>
      </c>
      <c r="AD22" s="312">
        <f>$A22*(1+Assumptions!$D$75)*'Beer Revenue'!AE99</f>
        <v>0</v>
      </c>
      <c r="AE22" s="312">
        <f>$A22*(1+Assumptions!$D$75)*'Beer Revenue'!AF99</f>
        <v>0</v>
      </c>
      <c r="AF22" s="315">
        <f t="shared" si="5"/>
        <v>0</v>
      </c>
      <c r="AG22" s="320">
        <f>$A22*(1+Assumptions!$E$75)*'Beer Revenue'!AH99</f>
        <v>0</v>
      </c>
      <c r="AH22" s="312">
        <f>$A22*(1+Assumptions!$E$75)*'Beer Revenue'!AI99</f>
        <v>0</v>
      </c>
      <c r="AI22" s="312">
        <f>$A22*(1+Assumptions!$E$75)*'Beer Revenue'!AJ99</f>
        <v>0</v>
      </c>
      <c r="AJ22" s="312">
        <f>$A22*(1+Assumptions!$E$75)*'Beer Revenue'!AK99</f>
        <v>0</v>
      </c>
      <c r="AK22" s="312">
        <f>$A22*(1+Assumptions!$E$75)*'Beer Revenue'!AL99</f>
        <v>0</v>
      </c>
      <c r="AL22" s="312">
        <f>$A22*(1+Assumptions!$E$75)*'Beer Revenue'!AM99</f>
        <v>0</v>
      </c>
      <c r="AM22" s="312">
        <f>$A22*(1+Assumptions!$E$75)*'Beer Revenue'!AN99</f>
        <v>0</v>
      </c>
      <c r="AN22" s="312">
        <f>$A22*(1+Assumptions!$E$75)*'Beer Revenue'!AO99</f>
        <v>0</v>
      </c>
      <c r="AO22" s="312">
        <f>$A22*(1+Assumptions!$E$75)*'Beer Revenue'!AP99</f>
        <v>0</v>
      </c>
      <c r="AP22" s="312">
        <f>$A22*(1+Assumptions!$E$75)*'Beer Revenue'!AQ99</f>
        <v>0</v>
      </c>
      <c r="AQ22" s="312">
        <f>$A22*(1+Assumptions!$E$75)*'Beer Revenue'!AR99</f>
        <v>0</v>
      </c>
      <c r="AR22" s="312">
        <f>$A22*(1+Assumptions!$E$75)*'Beer Revenue'!AS99</f>
        <v>0</v>
      </c>
      <c r="AS22" s="315">
        <f t="shared" si="6"/>
        <v>0</v>
      </c>
      <c r="AT22" s="320">
        <f>$A22*(1+Assumptions!$F$75)*'Beer Revenue'!AU99</f>
        <v>0</v>
      </c>
      <c r="AU22" s="312">
        <f>$A22*(1+Assumptions!$F$75)*'Beer Revenue'!AV99</f>
        <v>0</v>
      </c>
      <c r="AV22" s="312">
        <f>$A22*(1+Assumptions!$F$75)*'Beer Revenue'!AW99</f>
        <v>0</v>
      </c>
      <c r="AW22" s="312">
        <f>$A22*(1+Assumptions!$F$75)*'Beer Revenue'!AX99</f>
        <v>0</v>
      </c>
      <c r="AX22" s="312">
        <f>$A22*(1+Assumptions!$F$75)*'Beer Revenue'!AY99</f>
        <v>0</v>
      </c>
      <c r="AY22" s="312">
        <f>$A22*(1+Assumptions!$F$75)*'Beer Revenue'!AZ99</f>
        <v>0</v>
      </c>
      <c r="AZ22" s="312">
        <f>$A22*(1+Assumptions!$F$75)*'Beer Revenue'!BA99</f>
        <v>0</v>
      </c>
      <c r="BA22" s="312">
        <f>$A22*(1+Assumptions!$F$75)*'Beer Revenue'!BB99</f>
        <v>0</v>
      </c>
      <c r="BB22" s="312">
        <f>$A22*(1+Assumptions!$F$75)*'Beer Revenue'!BC99</f>
        <v>0</v>
      </c>
      <c r="BC22" s="312">
        <f>$A22*(1+Assumptions!$F$75)*'Beer Revenue'!BD99</f>
        <v>0</v>
      </c>
      <c r="BD22" s="312">
        <f>$A22*(1+Assumptions!$F$75)*'Beer Revenue'!BE99</f>
        <v>0</v>
      </c>
      <c r="BE22" s="312">
        <f>$A22*(1+Assumptions!$F$75)*'Beer Revenue'!BF99</f>
        <v>0</v>
      </c>
      <c r="BF22" s="315">
        <f t="shared" si="7"/>
        <v>0</v>
      </c>
      <c r="BG22" s="320">
        <f>$A22*(1+Assumptions!$F$75)*'Beer Revenue'!BH99</f>
        <v>0</v>
      </c>
      <c r="BH22" s="312">
        <f>$A22*(1+Assumptions!$F$75)*'Beer Revenue'!BI99</f>
        <v>0</v>
      </c>
      <c r="BI22" s="312">
        <f>$A22*(1+Assumptions!$F$75)*'Beer Revenue'!BJ99</f>
        <v>0</v>
      </c>
      <c r="BJ22" s="312">
        <f>$A22*(1+Assumptions!$F$75)*'Beer Revenue'!BK99</f>
        <v>0</v>
      </c>
      <c r="BK22" s="312">
        <f>$A22*(1+Assumptions!$F$75)*'Beer Revenue'!BL99</f>
        <v>0</v>
      </c>
      <c r="BL22" s="312">
        <f>$A22*(1+Assumptions!$F$75)*'Beer Revenue'!BM99</f>
        <v>0</v>
      </c>
      <c r="BM22" s="312">
        <f>$A22*(1+Assumptions!$F$75)*'Beer Revenue'!BN99</f>
        <v>0</v>
      </c>
      <c r="BN22" s="312">
        <f>$A22*(1+Assumptions!$F$75)*'Beer Revenue'!BO99</f>
        <v>0</v>
      </c>
      <c r="BO22" s="312">
        <f>$A22*(1+Assumptions!$F$75)*'Beer Revenue'!BP99</f>
        <v>0</v>
      </c>
      <c r="BP22" s="312">
        <f>$A22*(1+Assumptions!$F$75)*'Beer Revenue'!BQ99</f>
        <v>0</v>
      </c>
      <c r="BQ22" s="312">
        <f>$A22*(1+Assumptions!$F$75)*'Beer Revenue'!BR99</f>
        <v>0</v>
      </c>
      <c r="BR22" s="312">
        <f>$A22*(1+Assumptions!$F$75)*'Beer Revenue'!BS99</f>
        <v>0</v>
      </c>
      <c r="BS22" s="315">
        <f t="shared" si="8"/>
        <v>0</v>
      </c>
      <c r="BT22" s="315">
        <f t="shared" si="9"/>
        <v>0</v>
      </c>
    </row>
    <row r="23" spans="1:72">
      <c r="A23" s="285"/>
      <c r="B23" s="115"/>
      <c r="C23" s="2"/>
      <c r="D23" s="2"/>
      <c r="E23" s="2"/>
      <c r="F23" s="2"/>
      <c r="G23" s="312">
        <f>SUM(G10:G22)</f>
        <v>1309.2326450892858</v>
      </c>
      <c r="H23" s="312">
        <f t="shared" ref="H23:T23" si="10">SUM(H10:H22)</f>
        <v>1391.9395460559472</v>
      </c>
      <c r="I23" s="312">
        <f t="shared" si="10"/>
        <v>1963.8489676339286</v>
      </c>
      <c r="J23" s="312">
        <f t="shared" si="10"/>
        <v>2322.8321122551847</v>
      </c>
      <c r="K23" s="312">
        <f t="shared" si="10"/>
        <v>2618.4652901785716</v>
      </c>
      <c r="L23" s="312">
        <f t="shared" si="10"/>
        <v>2639.5819457445268</v>
      </c>
      <c r="M23" s="312">
        <f t="shared" si="10"/>
        <v>2727.568010602678</v>
      </c>
      <c r="N23" s="312">
        <f t="shared" si="10"/>
        <v>2618.4652901785716</v>
      </c>
      <c r="O23" s="312">
        <f t="shared" si="10"/>
        <v>2322.8321122551847</v>
      </c>
      <c r="P23" s="312">
        <f t="shared" si="10"/>
        <v>2182.0544084821427</v>
      </c>
      <c r="Q23" s="312">
        <f t="shared" si="10"/>
        <v>1900.4990009360592</v>
      </c>
      <c r="R23" s="312">
        <f t="shared" si="10"/>
        <v>1745.6435267857146</v>
      </c>
      <c r="S23" s="312">
        <f t="shared" si="10"/>
        <v>25742.962856197799</v>
      </c>
      <c r="T23" s="312">
        <f t="shared" si="10"/>
        <v>1767.4640708705358</v>
      </c>
      <c r="U23" s="312">
        <f t="shared" ref="U23:AZ23" si="11">SUM(U10:U22)</f>
        <v>1879.1183871755291</v>
      </c>
      <c r="V23" s="312">
        <f t="shared" si="11"/>
        <v>2651.1961063058038</v>
      </c>
      <c r="W23" s="312">
        <f t="shared" si="11"/>
        <v>3135.8233515444986</v>
      </c>
      <c r="X23" s="312">
        <f t="shared" si="11"/>
        <v>3534.9281417410716</v>
      </c>
      <c r="Y23" s="312">
        <f t="shared" si="11"/>
        <v>3563.435626755112</v>
      </c>
      <c r="Z23" s="312">
        <f t="shared" si="11"/>
        <v>3682.2168143136164</v>
      </c>
      <c r="AA23" s="312">
        <f t="shared" si="11"/>
        <v>3534.9281417410716</v>
      </c>
      <c r="AB23" s="312">
        <f t="shared" si="11"/>
        <v>3135.8233515444986</v>
      </c>
      <c r="AC23" s="312">
        <f t="shared" si="11"/>
        <v>2945.7734514508938</v>
      </c>
      <c r="AD23" s="312">
        <f t="shared" si="11"/>
        <v>2565.6736512636812</v>
      </c>
      <c r="AE23" s="312">
        <f t="shared" si="11"/>
        <v>2356.6187611607143</v>
      </c>
      <c r="AF23" s="312">
        <f t="shared" si="11"/>
        <v>34752.999855867027</v>
      </c>
      <c r="AG23" s="312">
        <f t="shared" si="11"/>
        <v>1994.9432429547992</v>
      </c>
      <c r="AH23" s="312">
        <f t="shared" si="11"/>
        <v>2120.9678833027497</v>
      </c>
      <c r="AI23" s="312">
        <f t="shared" si="11"/>
        <v>2992.414864432199</v>
      </c>
      <c r="AJ23" s="312">
        <f t="shared" si="11"/>
        <v>3539.4154310488361</v>
      </c>
      <c r="AK23" s="312">
        <f t="shared" si="11"/>
        <v>3989.8864859095984</v>
      </c>
      <c r="AL23" s="312">
        <f t="shared" si="11"/>
        <v>4022.0629898282227</v>
      </c>
      <c r="AM23" s="312">
        <f t="shared" si="11"/>
        <v>4156.1317561558299</v>
      </c>
      <c r="AN23" s="312">
        <f t="shared" si="11"/>
        <v>3989.8864859095984</v>
      </c>
      <c r="AO23" s="312">
        <f t="shared" si="11"/>
        <v>3539.4154310488361</v>
      </c>
      <c r="AP23" s="312">
        <f t="shared" si="11"/>
        <v>3324.9054049246643</v>
      </c>
      <c r="AQ23" s="312">
        <f t="shared" si="11"/>
        <v>2895.8853526763214</v>
      </c>
      <c r="AR23" s="312">
        <f t="shared" si="11"/>
        <v>2659.9243239397315</v>
      </c>
      <c r="AS23" s="312">
        <f t="shared" si="11"/>
        <v>39225.839652131384</v>
      </c>
      <c r="AT23" s="312">
        <f t="shared" si="11"/>
        <v>2153.0330848493304</v>
      </c>
      <c r="AU23" s="312">
        <f t="shared" si="11"/>
        <v>2289.0445834890061</v>
      </c>
      <c r="AV23" s="312">
        <f t="shared" si="11"/>
        <v>3229.5496272739956</v>
      </c>
      <c r="AW23" s="312">
        <f t="shared" si="11"/>
        <v>3819.8974086036505</v>
      </c>
      <c r="AX23" s="312">
        <f t="shared" si="11"/>
        <v>4306.0661696986608</v>
      </c>
      <c r="AY23" s="312">
        <f t="shared" si="11"/>
        <v>4340.7925097768739</v>
      </c>
      <c r="AZ23" s="312">
        <f t="shared" si="11"/>
        <v>4485.4855934361049</v>
      </c>
      <c r="BA23" s="312">
        <f t="shared" ref="BA23:BT23" si="12">SUM(BA10:BA22)</f>
        <v>4306.0661696986608</v>
      </c>
      <c r="BB23" s="312">
        <f t="shared" si="12"/>
        <v>3819.8974086036505</v>
      </c>
      <c r="BC23" s="312">
        <f t="shared" si="12"/>
        <v>3588.3884747488846</v>
      </c>
      <c r="BD23" s="312">
        <f t="shared" si="12"/>
        <v>3125.3706070393509</v>
      </c>
      <c r="BE23" s="312">
        <f t="shared" si="12"/>
        <v>2870.7107797991071</v>
      </c>
      <c r="BF23" s="312">
        <f t="shared" si="12"/>
        <v>42334.302417017272</v>
      </c>
      <c r="BG23" s="312">
        <f t="shared" si="12"/>
        <v>2368.3363933342639</v>
      </c>
      <c r="BH23" s="312">
        <f t="shared" si="12"/>
        <v>2517.9490418379064</v>
      </c>
      <c r="BI23" s="312">
        <f t="shared" si="12"/>
        <v>3552.5045900013943</v>
      </c>
      <c r="BJ23" s="312">
        <f t="shared" si="12"/>
        <v>4201.8871494640161</v>
      </c>
      <c r="BK23" s="312">
        <f t="shared" si="12"/>
        <v>4736.6727866685278</v>
      </c>
      <c r="BL23" s="312">
        <f t="shared" si="12"/>
        <v>4774.8717607545623</v>
      </c>
      <c r="BM23" s="312">
        <f t="shared" si="12"/>
        <v>4934.0341527797145</v>
      </c>
      <c r="BN23" s="312">
        <f t="shared" si="12"/>
        <v>4736.6727866685278</v>
      </c>
      <c r="BO23" s="312">
        <f t="shared" si="12"/>
        <v>4201.8871494640161</v>
      </c>
      <c r="BP23" s="312">
        <f t="shared" si="12"/>
        <v>3947.2273222237732</v>
      </c>
      <c r="BQ23" s="312">
        <f t="shared" si="12"/>
        <v>3437.9076677432868</v>
      </c>
      <c r="BR23" s="312">
        <f t="shared" si="12"/>
        <v>3157.7818577790181</v>
      </c>
      <c r="BS23" s="312">
        <f t="shared" si="12"/>
        <v>46567.732658719018</v>
      </c>
      <c r="BT23" s="312">
        <f t="shared" si="12"/>
        <v>188623.83743993248</v>
      </c>
    </row>
    <row r="24" spans="1:72">
      <c r="A24" s="59"/>
      <c r="B24" s="115"/>
      <c r="C24" s="2"/>
      <c r="D24" s="2"/>
      <c r="E24" s="2"/>
      <c r="F24" s="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5"/>
      <c r="T24" s="320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5"/>
      <c r="AG24" s="320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5"/>
      <c r="AT24" s="320"/>
      <c r="AU24" s="312"/>
      <c r="AV24" s="312"/>
      <c r="AW24" s="312"/>
      <c r="AX24" s="312"/>
      <c r="AY24" s="312"/>
      <c r="AZ24" s="312"/>
      <c r="BA24" s="312"/>
      <c r="BB24" s="312"/>
      <c r="BC24" s="312"/>
      <c r="BD24" s="312"/>
      <c r="BE24" s="312"/>
      <c r="BF24" s="315"/>
      <c r="BG24" s="320"/>
      <c r="BH24" s="312"/>
      <c r="BI24" s="312"/>
      <c r="BJ24" s="312"/>
      <c r="BK24" s="312"/>
      <c r="BL24" s="312"/>
      <c r="BM24" s="312"/>
      <c r="BN24" s="312"/>
      <c r="BO24" s="312"/>
      <c r="BP24" s="312"/>
      <c r="BQ24" s="312"/>
      <c r="BR24" s="312"/>
      <c r="BS24" s="315"/>
      <c r="BT24" s="315">
        <f t="shared" si="9"/>
        <v>0</v>
      </c>
    </row>
    <row r="25" spans="1:72">
      <c r="A25" s="36" t="s">
        <v>534</v>
      </c>
      <c r="B25" s="115"/>
      <c r="C25" s="2"/>
      <c r="D25" s="2"/>
      <c r="E25" s="2"/>
      <c r="F25" s="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5"/>
      <c r="T25" s="320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5"/>
      <c r="AG25" s="320"/>
      <c r="AH25" s="312"/>
      <c r="AI25" s="312"/>
      <c r="AJ25" s="312"/>
      <c r="AK25" s="312"/>
      <c r="AL25" s="312"/>
      <c r="AM25" s="312"/>
      <c r="AN25" s="312"/>
      <c r="AO25" s="312"/>
      <c r="AP25" s="312"/>
      <c r="AQ25" s="312"/>
      <c r="AR25" s="312"/>
      <c r="AS25" s="315"/>
      <c r="AT25" s="320"/>
      <c r="AU25" s="312"/>
      <c r="AV25" s="312"/>
      <c r="AW25" s="312"/>
      <c r="AX25" s="312"/>
      <c r="AY25" s="312"/>
      <c r="AZ25" s="312"/>
      <c r="BA25" s="312"/>
      <c r="BB25" s="312"/>
      <c r="BC25" s="312"/>
      <c r="BD25" s="312"/>
      <c r="BE25" s="312"/>
      <c r="BF25" s="315"/>
      <c r="BG25" s="320"/>
      <c r="BH25" s="312"/>
      <c r="BI25" s="312"/>
      <c r="BJ25" s="312"/>
      <c r="BK25" s="312"/>
      <c r="BL25" s="312"/>
      <c r="BM25" s="312"/>
      <c r="BN25" s="312"/>
      <c r="BO25" s="312"/>
      <c r="BP25" s="312"/>
      <c r="BQ25" s="312"/>
      <c r="BR25" s="312"/>
      <c r="BS25" s="315"/>
      <c r="BT25" s="315">
        <f t="shared" si="9"/>
        <v>0</v>
      </c>
    </row>
    <row r="26" spans="1:72">
      <c r="A26" s="59">
        <f>A10+'4pk costs'!$B$10</f>
        <v>191.49777777777697</v>
      </c>
      <c r="B26" s="115"/>
      <c r="C26" s="2" t="str">
        <f t="shared" ref="C26:C38" si="13">C10</f>
        <v>Core 1 - Lager</v>
      </c>
      <c r="D26" s="2"/>
      <c r="E26" s="2"/>
      <c r="F26" s="2"/>
      <c r="G26" s="312">
        <f>$A26*'Beer Revenue'!H103</f>
        <v>64.014971428571172</v>
      </c>
      <c r="H26" s="312">
        <f>$A26*'Beer Revenue'!I103</f>
        <v>68.058927956988967</v>
      </c>
      <c r="I26" s="312">
        <f>$A26*'Beer Revenue'!J103</f>
        <v>96.022457142856737</v>
      </c>
      <c r="J26" s="312">
        <f>$A26*'Beer Revenue'!K103</f>
        <v>113.57494930875529</v>
      </c>
      <c r="K26" s="312">
        <f>$A26*'Beer Revenue'!L103</f>
        <v>128.02994285714234</v>
      </c>
      <c r="L26" s="312">
        <f>$A26*'Beer Revenue'!M103</f>
        <v>129.0624423963128</v>
      </c>
      <c r="M26" s="312">
        <f>$A26*'Beer Revenue'!N103</f>
        <v>133.36452380952329</v>
      </c>
      <c r="N26" s="312">
        <f>$A26*'Beer Revenue'!O103</f>
        <v>128.02994285714234</v>
      </c>
      <c r="O26" s="312">
        <f>$A26*'Beer Revenue'!P103</f>
        <v>113.57494930875529</v>
      </c>
      <c r="P26" s="312">
        <f>$A26*'Beer Revenue'!Q103</f>
        <v>106.6916190476186</v>
      </c>
      <c r="Q26" s="312">
        <f>$A26*'Beer Revenue'!R103</f>
        <v>92.924958525345232</v>
      </c>
      <c r="R26" s="312">
        <f>$A26*'Beer Revenue'!S103</f>
        <v>85.353295238094887</v>
      </c>
      <c r="S26" s="315">
        <f t="shared" si="4"/>
        <v>1258.7029798771071</v>
      </c>
      <c r="T26" s="320">
        <f>$A26*(1+Assumptions!$D$75)*'Beer Revenue'!U103</f>
        <v>86.420211428571079</v>
      </c>
      <c r="U26" s="312">
        <f>$A26*(1+Assumptions!$D$75)*'Beer Revenue'!V103</f>
        <v>91.8795527419351</v>
      </c>
      <c r="V26" s="312">
        <f>$A26*(1+Assumptions!$D$75)*'Beer Revenue'!W103</f>
        <v>129.6303171428566</v>
      </c>
      <c r="W26" s="312">
        <f>$A26*(1+Assumptions!$D$75)*'Beer Revenue'!X103</f>
        <v>153.32618156681966</v>
      </c>
      <c r="X26" s="312">
        <f>$A26*(1+Assumptions!$D$75)*'Beer Revenue'!Y103</f>
        <v>172.84042285714216</v>
      </c>
      <c r="Y26" s="312">
        <f>$A26*(1+Assumptions!$D$75)*'Beer Revenue'!Z103</f>
        <v>174.2342972350223</v>
      </c>
      <c r="Z26" s="312">
        <f>$A26*(1+Assumptions!$D$75)*'Beer Revenue'!AA103</f>
        <v>180.04210714285645</v>
      </c>
      <c r="AA26" s="312">
        <f>$A26*(1+Assumptions!$D$75)*'Beer Revenue'!AB103</f>
        <v>172.84042285714216</v>
      </c>
      <c r="AB26" s="312">
        <f>$A26*(1+Assumptions!$D$75)*'Beer Revenue'!AC103</f>
        <v>153.32618156681966</v>
      </c>
      <c r="AC26" s="312">
        <f>$A26*(1+Assumptions!$D$75)*'Beer Revenue'!AD103</f>
        <v>144.03368571428513</v>
      </c>
      <c r="AD26" s="312">
        <f>$A26*(1+Assumptions!$D$75)*'Beer Revenue'!AE103</f>
        <v>125.44869400921607</v>
      </c>
      <c r="AE26" s="312">
        <f>$A26*(1+Assumptions!$D$75)*'Beer Revenue'!AF103</f>
        <v>115.2269485714281</v>
      </c>
      <c r="AF26" s="315">
        <f t="shared" ref="AF26:AF38" si="14">SUM(T26:AE26)</f>
        <v>1699.2490228340946</v>
      </c>
      <c r="AG26" s="320">
        <f>$A26*(1+Assumptions!$E$75)*'Beer Revenue'!AH103</f>
        <v>97.542812714285319</v>
      </c>
      <c r="AH26" s="312">
        <f>$A26*(1+Assumptions!$E$75)*'Beer Revenue'!AI103</f>
        <v>103.70479147446193</v>
      </c>
      <c r="AI26" s="312">
        <f>$A26*(1+Assumptions!$E$75)*'Beer Revenue'!AJ103</f>
        <v>146.31421907142794</v>
      </c>
      <c r="AJ26" s="312">
        <f>$A26*(1+Assumptions!$E$75)*'Beer Revenue'!AK103</f>
        <v>173.05982900921586</v>
      </c>
      <c r="AK26" s="312">
        <f>$A26*(1+Assumptions!$E$75)*'Beer Revenue'!AL103</f>
        <v>195.08562542857064</v>
      </c>
      <c r="AL26" s="312">
        <f>$A26*(1+Assumptions!$E$75)*'Beer Revenue'!AM103</f>
        <v>196.65889660138163</v>
      </c>
      <c r="AM26" s="312">
        <f>$A26*(1+Assumptions!$E$75)*'Beer Revenue'!AN103</f>
        <v>203.21419315476109</v>
      </c>
      <c r="AN26" s="312">
        <f>$A26*(1+Assumptions!$E$75)*'Beer Revenue'!AO103</f>
        <v>195.08562542857064</v>
      </c>
      <c r="AO26" s="312">
        <f>$A26*(1+Assumptions!$E$75)*'Beer Revenue'!AP103</f>
        <v>173.05982900921586</v>
      </c>
      <c r="AP26" s="312">
        <f>$A26*(1+Assumptions!$E$75)*'Beer Revenue'!AQ103</f>
        <v>162.57135452380882</v>
      </c>
      <c r="AQ26" s="312">
        <f>$A26*(1+Assumptions!$E$75)*'Beer Revenue'!AR103</f>
        <v>141.59440555299474</v>
      </c>
      <c r="AR26" s="312">
        <f>$A26*(1+Assumptions!$E$75)*'Beer Revenue'!AS103</f>
        <v>130.05708361904706</v>
      </c>
      <c r="AS26" s="315">
        <f t="shared" ref="AS26:AS38" si="15">SUM(AG26:AR26)</f>
        <v>1917.9486655877415</v>
      </c>
      <c r="AT26" s="320">
        <f>$A26*(1+Assumptions!$F$75)*'Beer Revenue'!AU103</f>
        <v>105.27262051428531</v>
      </c>
      <c r="AU26" s="312">
        <f>$A26*(1+Assumptions!$F$75)*'Beer Revenue'!AV103</f>
        <v>111.92290702526836</v>
      </c>
      <c r="AV26" s="312">
        <f>$A26*(1+Assumptions!$F$75)*'Beer Revenue'!AW103</f>
        <v>157.90893077142792</v>
      </c>
      <c r="AW26" s="312">
        <f>$A26*(1+Assumptions!$F$75)*'Beer Revenue'!AX103</f>
        <v>186.77400413824807</v>
      </c>
      <c r="AX26" s="312">
        <f>$A26*(1+Assumptions!$F$75)*'Beer Revenue'!AY103</f>
        <v>210.54524102857062</v>
      </c>
      <c r="AY26" s="312">
        <f>$A26*(1+Assumptions!$F$75)*'Beer Revenue'!AZ103</f>
        <v>212.24318652073643</v>
      </c>
      <c r="AZ26" s="312">
        <f>$A26*(1+Assumptions!$F$75)*'Beer Revenue'!BA103</f>
        <v>219.31795940476104</v>
      </c>
      <c r="BA26" s="312">
        <f>$A26*(1+Assumptions!$F$75)*'Beer Revenue'!BB103</f>
        <v>210.54524102857062</v>
      </c>
      <c r="BB26" s="312">
        <f>$A26*(1+Assumptions!$F$75)*'Beer Revenue'!BC103</f>
        <v>186.77400413824807</v>
      </c>
      <c r="BC26" s="312">
        <f>$A26*(1+Assumptions!$F$75)*'Beer Revenue'!BD103</f>
        <v>175.4543675238088</v>
      </c>
      <c r="BD26" s="312">
        <f>$A26*(1+Assumptions!$F$75)*'Beer Revenue'!BE103</f>
        <v>152.81509429493022</v>
      </c>
      <c r="BE26" s="312">
        <f>$A26*(1+Assumptions!$F$75)*'Beer Revenue'!BF103</f>
        <v>140.36349401904704</v>
      </c>
      <c r="BF26" s="315">
        <f t="shared" si="7"/>
        <v>2069.9370504079025</v>
      </c>
      <c r="BG26" s="320">
        <f>$A26*(1+Assumptions!$F$75)*'Beer Revenue'!BH103</f>
        <v>115.79988256571384</v>
      </c>
      <c r="BH26" s="312">
        <f>$A26*(1+Assumptions!$F$75)*'Beer Revenue'!BI103</f>
        <v>123.11519772779519</v>
      </c>
      <c r="BI26" s="312">
        <f>$A26*(1+Assumptions!$F$75)*'Beer Revenue'!BJ103</f>
        <v>173.69982384857073</v>
      </c>
      <c r="BJ26" s="312">
        <f>$A26*(1+Assumptions!$F$75)*'Beer Revenue'!BK103</f>
        <v>205.45140455207292</v>
      </c>
      <c r="BK26" s="312">
        <f>$A26*(1+Assumptions!$F$75)*'Beer Revenue'!BL103</f>
        <v>231.59976513142769</v>
      </c>
      <c r="BL26" s="312">
        <f>$A26*(1+Assumptions!$F$75)*'Beer Revenue'!BM103</f>
        <v>233.46750517281006</v>
      </c>
      <c r="BM26" s="312">
        <f>$A26*(1+Assumptions!$F$75)*'Beer Revenue'!BN103</f>
        <v>241.24975534523722</v>
      </c>
      <c r="BN26" s="312">
        <f>$A26*(1+Assumptions!$F$75)*'Beer Revenue'!BO103</f>
        <v>231.59976513142769</v>
      </c>
      <c r="BO26" s="312">
        <f>$A26*(1+Assumptions!$F$75)*'Beer Revenue'!BP103</f>
        <v>205.45140455207292</v>
      </c>
      <c r="BP26" s="312">
        <f>$A26*(1+Assumptions!$F$75)*'Beer Revenue'!BQ103</f>
        <v>192.99980427618971</v>
      </c>
      <c r="BQ26" s="312">
        <f>$A26*(1+Assumptions!$F$75)*'Beer Revenue'!BR103</f>
        <v>168.09660372442326</v>
      </c>
      <c r="BR26" s="312">
        <f>$A26*(1+Assumptions!$F$75)*'Beer Revenue'!BS103</f>
        <v>154.39984342095175</v>
      </c>
      <c r="BS26" s="315">
        <f t="shared" si="8"/>
        <v>2276.9307554486927</v>
      </c>
      <c r="BT26" s="315">
        <f t="shared" si="9"/>
        <v>9222.7684741555386</v>
      </c>
    </row>
    <row r="27" spans="1:72">
      <c r="A27" s="59">
        <f>A11+'4pk costs'!$B$10</f>
        <v>271.49777777777695</v>
      </c>
      <c r="B27" s="115"/>
      <c r="C27" s="2" t="str">
        <f t="shared" si="13"/>
        <v>Core 2 - Hoppy Pale</v>
      </c>
      <c r="D27" s="2"/>
      <c r="E27" s="2"/>
      <c r="F27" s="2"/>
      <c r="G27" s="312">
        <f>$A27*'Beer Revenue'!H104</f>
        <v>136.13674285714245</v>
      </c>
      <c r="H27" s="312">
        <f>$A27*'Beer Revenue'!I104</f>
        <v>144.73677903225757</v>
      </c>
      <c r="I27" s="312">
        <f>$A27*'Beer Revenue'!J104</f>
        <v>204.20511428571365</v>
      </c>
      <c r="J27" s="312">
        <f>$A27*'Beer Revenue'!K104</f>
        <v>241.53293087557529</v>
      </c>
      <c r="K27" s="312">
        <f>$A27*'Beer Revenue'!L104</f>
        <v>272.2734857142849</v>
      </c>
      <c r="L27" s="312">
        <f>$A27*'Beer Revenue'!M104</f>
        <v>274.46923963133554</v>
      </c>
      <c r="M27" s="312">
        <f>$A27*'Beer Revenue'!N104</f>
        <v>283.61821428571341</v>
      </c>
      <c r="N27" s="312">
        <f>$A27*'Beer Revenue'!O104</f>
        <v>272.2734857142849</v>
      </c>
      <c r="O27" s="312">
        <f>$A27*'Beer Revenue'!P104</f>
        <v>241.53293087557529</v>
      </c>
      <c r="P27" s="312">
        <f>$A27*'Beer Revenue'!Q104</f>
        <v>226.89457142857074</v>
      </c>
      <c r="Q27" s="312">
        <f>$A27*'Beer Revenue'!R104</f>
        <v>197.61785253456162</v>
      </c>
      <c r="R27" s="312">
        <f>$A27*'Beer Revenue'!S104</f>
        <v>181.51565714285658</v>
      </c>
      <c r="S27" s="315">
        <f t="shared" si="4"/>
        <v>2676.8070043778721</v>
      </c>
      <c r="T27" s="320">
        <f>$A27*(1+Assumptions!$D$75)*'Beer Revenue'!U104</f>
        <v>183.78460285714226</v>
      </c>
      <c r="U27" s="312">
        <f>$A27*(1+Assumptions!$D$75)*'Beer Revenue'!V104</f>
        <v>195.39465169354779</v>
      </c>
      <c r="V27" s="312">
        <f>$A27*(1+Assumptions!$D$75)*'Beer Revenue'!W104</f>
        <v>275.67690428571342</v>
      </c>
      <c r="W27" s="312">
        <f>$A27*(1+Assumptions!$D$75)*'Beer Revenue'!X104</f>
        <v>326.06945668202661</v>
      </c>
      <c r="X27" s="312">
        <f>$A27*(1+Assumptions!$D$75)*'Beer Revenue'!Y104</f>
        <v>367.56920571428452</v>
      </c>
      <c r="Y27" s="312">
        <f>$A27*(1+Assumptions!$D$75)*'Beer Revenue'!Z104</f>
        <v>370.53347350230297</v>
      </c>
      <c r="Z27" s="312">
        <f>$A27*(1+Assumptions!$D$75)*'Beer Revenue'!AA104</f>
        <v>382.88458928571316</v>
      </c>
      <c r="AA27" s="312">
        <f>$A27*(1+Assumptions!$D$75)*'Beer Revenue'!AB104</f>
        <v>367.56920571428452</v>
      </c>
      <c r="AB27" s="312">
        <f>$A27*(1+Assumptions!$D$75)*'Beer Revenue'!AC104</f>
        <v>326.06945668202661</v>
      </c>
      <c r="AC27" s="312">
        <f>$A27*(1+Assumptions!$D$75)*'Beer Revenue'!AD104</f>
        <v>306.30767142857042</v>
      </c>
      <c r="AD27" s="312">
        <f>$A27*(1+Assumptions!$D$75)*'Beer Revenue'!AE104</f>
        <v>266.78410092165814</v>
      </c>
      <c r="AE27" s="312">
        <f>$A27*(1+Assumptions!$D$75)*'Beer Revenue'!AF104</f>
        <v>245.0461371428564</v>
      </c>
      <c r="AF27" s="315">
        <f t="shared" si="14"/>
        <v>3613.6894559101265</v>
      </c>
      <c r="AG27" s="320">
        <f>$A27*(1+Assumptions!$E$75)*'Beer Revenue'!AH104</f>
        <v>207.43836192857077</v>
      </c>
      <c r="AH27" s="312">
        <f>$A27*(1+Assumptions!$E$75)*'Beer Revenue'!AI104</f>
        <v>220.54266705040254</v>
      </c>
      <c r="AI27" s="312">
        <f>$A27*(1+Assumptions!$E$75)*'Beer Revenue'!AJ104</f>
        <v>311.15754289285616</v>
      </c>
      <c r="AJ27" s="312">
        <f>$A27*(1+Assumptions!$E$75)*'Beer Revenue'!AK104</f>
        <v>368.03580342165787</v>
      </c>
      <c r="AK27" s="312">
        <f>$A27*(1+Assumptions!$E$75)*'Beer Revenue'!AL104</f>
        <v>414.87672385714154</v>
      </c>
      <c r="AL27" s="312">
        <f>$A27*(1+Assumptions!$E$75)*'Beer Revenue'!AM104</f>
        <v>418.2225038882475</v>
      </c>
      <c r="AM27" s="312">
        <f>$A27*(1+Assumptions!$E$75)*'Beer Revenue'!AN104</f>
        <v>432.16325401785588</v>
      </c>
      <c r="AN27" s="312">
        <f>$A27*(1+Assumptions!$E$75)*'Beer Revenue'!AO104</f>
        <v>414.87672385714154</v>
      </c>
      <c r="AO27" s="312">
        <f>$A27*(1+Assumptions!$E$75)*'Beer Revenue'!AP104</f>
        <v>368.03580342165787</v>
      </c>
      <c r="AP27" s="312">
        <f>$A27*(1+Assumptions!$E$75)*'Beer Revenue'!AQ104</f>
        <v>345.7306032142846</v>
      </c>
      <c r="AQ27" s="312">
        <f>$A27*(1+Assumptions!$E$75)*'Beer Revenue'!AR104</f>
        <v>301.12020279953822</v>
      </c>
      <c r="AR27" s="312">
        <f>$A27*(1+Assumptions!$E$75)*'Beer Revenue'!AS104</f>
        <v>276.58448257142771</v>
      </c>
      <c r="AS27" s="315">
        <f t="shared" si="15"/>
        <v>4078.7846729207822</v>
      </c>
      <c r="AT27" s="320">
        <f>$A27*(1+Assumptions!$F$75)*'Beer Revenue'!AU104</f>
        <v>223.87687362857071</v>
      </c>
      <c r="AU27" s="312">
        <f>$A27*(1+Assumptions!$F$75)*'Beer Revenue'!AV104</f>
        <v>238.01963311854763</v>
      </c>
      <c r="AV27" s="312">
        <f>$A27*(1+Assumptions!$F$75)*'Beer Revenue'!AW104</f>
        <v>335.81531044285612</v>
      </c>
      <c r="AW27" s="312">
        <f>$A27*(1+Assumptions!$F$75)*'Beer Revenue'!AX104</f>
        <v>397.20090482488365</v>
      </c>
      <c r="AX27" s="312">
        <f>$A27*(1+Assumptions!$F$75)*'Beer Revenue'!AY104</f>
        <v>447.75374725714141</v>
      </c>
      <c r="AY27" s="312">
        <f>$A27*(1+Assumptions!$F$75)*'Beer Revenue'!AZ104</f>
        <v>451.36466457373137</v>
      </c>
      <c r="AZ27" s="312">
        <f>$A27*(1+Assumptions!$F$75)*'Beer Revenue'!BA104</f>
        <v>466.41015339285582</v>
      </c>
      <c r="BA27" s="312">
        <f>$A27*(1+Assumptions!$F$75)*'Beer Revenue'!BB104</f>
        <v>447.75374725714141</v>
      </c>
      <c r="BB27" s="312">
        <f>$A27*(1+Assumptions!$F$75)*'Beer Revenue'!BC104</f>
        <v>397.20090482488365</v>
      </c>
      <c r="BC27" s="312">
        <f>$A27*(1+Assumptions!$F$75)*'Beer Revenue'!BD104</f>
        <v>373.12812271428464</v>
      </c>
      <c r="BD27" s="312">
        <f>$A27*(1+Assumptions!$F$75)*'Beer Revenue'!BE104</f>
        <v>324.98255849308663</v>
      </c>
      <c r="BE27" s="312">
        <f>$A27*(1+Assumptions!$F$75)*'Beer Revenue'!BF104</f>
        <v>298.5024981714277</v>
      </c>
      <c r="BF27" s="315">
        <f t="shared" si="7"/>
        <v>4402.0091186994105</v>
      </c>
      <c r="BG27" s="320">
        <f>$A27*(1+Assumptions!$F$75)*'Beer Revenue'!BH104</f>
        <v>246.26456099142783</v>
      </c>
      <c r="BH27" s="312">
        <f>$A27*(1+Assumptions!$F$75)*'Beer Revenue'!BI104</f>
        <v>261.82159643040245</v>
      </c>
      <c r="BI27" s="312">
        <f>$A27*(1+Assumptions!$F$75)*'Beer Revenue'!BJ104</f>
        <v>369.39684148714173</v>
      </c>
      <c r="BJ27" s="312">
        <f>$A27*(1+Assumptions!$F$75)*'Beer Revenue'!BK104</f>
        <v>436.92099530737198</v>
      </c>
      <c r="BK27" s="312">
        <f>$A27*(1+Assumptions!$F$75)*'Beer Revenue'!BL104</f>
        <v>492.52912198285566</v>
      </c>
      <c r="BL27" s="312">
        <f>$A27*(1+Assumptions!$F$75)*'Beer Revenue'!BM104</f>
        <v>496.50113103110459</v>
      </c>
      <c r="BM27" s="312">
        <f>$A27*(1+Assumptions!$F$75)*'Beer Revenue'!BN104</f>
        <v>513.05116873214138</v>
      </c>
      <c r="BN27" s="312">
        <f>$A27*(1+Assumptions!$F$75)*'Beer Revenue'!BO104</f>
        <v>492.52912198285566</v>
      </c>
      <c r="BO27" s="312">
        <f>$A27*(1+Assumptions!$F$75)*'Beer Revenue'!BP104</f>
        <v>436.92099530737198</v>
      </c>
      <c r="BP27" s="312">
        <f>$A27*(1+Assumptions!$F$75)*'Beer Revenue'!BQ104</f>
        <v>410.44093498571311</v>
      </c>
      <c r="BQ27" s="312">
        <f>$A27*(1+Assumptions!$F$75)*'Beer Revenue'!BR104</f>
        <v>357.48081434239526</v>
      </c>
      <c r="BR27" s="312">
        <f>$A27*(1+Assumptions!$F$75)*'Beer Revenue'!BS104</f>
        <v>328.35274798857051</v>
      </c>
      <c r="BS27" s="315">
        <f t="shared" si="8"/>
        <v>4842.2100305693521</v>
      </c>
      <c r="BT27" s="315">
        <f t="shared" si="9"/>
        <v>19613.500282477544</v>
      </c>
    </row>
    <row r="28" spans="1:72">
      <c r="A28" s="59">
        <f>A12+'4pk costs'!$B$10</f>
        <v>201.49777777777697</v>
      </c>
      <c r="B28" s="115"/>
      <c r="C28" s="2" t="str">
        <f t="shared" si="13"/>
        <v>Core 3 - Red Ale</v>
      </c>
      <c r="D28" s="2"/>
      <c r="E28" s="2"/>
      <c r="F28" s="2"/>
      <c r="G28" s="312">
        <f>$A28*'Beer Revenue'!H105</f>
        <v>33.678914285714157</v>
      </c>
      <c r="H28" s="312">
        <f>$A28*'Beer Revenue'!I105</f>
        <v>35.806480107526738</v>
      </c>
      <c r="I28" s="312">
        <f>$A28*'Beer Revenue'!J105</f>
        <v>50.518371428571228</v>
      </c>
      <c r="J28" s="312">
        <f>$A28*'Beer Revenue'!K105</f>
        <v>59.752912442396081</v>
      </c>
      <c r="K28" s="312">
        <f>$A28*'Beer Revenue'!L105</f>
        <v>67.357828571428314</v>
      </c>
      <c r="L28" s="312">
        <f>$A28*'Beer Revenue'!M105</f>
        <v>67.901036866359163</v>
      </c>
      <c r="M28" s="312">
        <f>$A28*'Beer Revenue'!N105</f>
        <v>70.164404761904507</v>
      </c>
      <c r="N28" s="312">
        <f>$A28*'Beer Revenue'!O105</f>
        <v>67.357828571428314</v>
      </c>
      <c r="O28" s="312">
        <f>$A28*'Beer Revenue'!P105</f>
        <v>59.752912442396081</v>
      </c>
      <c r="P28" s="312">
        <f>$A28*'Beer Revenue'!Q105</f>
        <v>56.131523809523586</v>
      </c>
      <c r="Q28" s="312">
        <f>$A28*'Beer Revenue'!R105</f>
        <v>48.888746543778609</v>
      </c>
      <c r="R28" s="312">
        <f>$A28*'Beer Revenue'!S105</f>
        <v>44.905219047618878</v>
      </c>
      <c r="S28" s="315">
        <f t="shared" si="4"/>
        <v>662.21617887864568</v>
      </c>
      <c r="T28" s="320">
        <f>$A28*(1+Assumptions!$D$75)*'Beer Revenue'!U105</f>
        <v>45.466534285714118</v>
      </c>
      <c r="U28" s="312">
        <f>$A28*(1+Assumptions!$D$75)*'Beer Revenue'!V105</f>
        <v>48.338748145161098</v>
      </c>
      <c r="V28" s="312">
        <f>$A28*(1+Assumptions!$D$75)*'Beer Revenue'!W105</f>
        <v>68.199801428571163</v>
      </c>
      <c r="W28" s="312">
        <f>$A28*(1+Assumptions!$D$75)*'Beer Revenue'!X105</f>
        <v>80.666431797234708</v>
      </c>
      <c r="X28" s="312">
        <f>$A28*(1+Assumptions!$D$75)*'Beer Revenue'!Y105</f>
        <v>90.933068571428237</v>
      </c>
      <c r="Y28" s="312">
        <f>$A28*(1+Assumptions!$D$75)*'Beer Revenue'!Z105</f>
        <v>91.666399769584885</v>
      </c>
      <c r="Z28" s="312">
        <f>$A28*(1+Assumptions!$D$75)*'Beer Revenue'!AA105</f>
        <v>94.721946428571087</v>
      </c>
      <c r="AA28" s="312">
        <f>$A28*(1+Assumptions!$D$75)*'Beer Revenue'!AB105</f>
        <v>90.933068571428237</v>
      </c>
      <c r="AB28" s="312">
        <f>$A28*(1+Assumptions!$D$75)*'Beer Revenue'!AC105</f>
        <v>80.666431797234708</v>
      </c>
      <c r="AC28" s="312">
        <f>$A28*(1+Assumptions!$D$75)*'Beer Revenue'!AD105</f>
        <v>75.777557142856864</v>
      </c>
      <c r="AD28" s="312">
        <f>$A28*(1+Assumptions!$D$75)*'Beer Revenue'!AE105</f>
        <v>65.999807834101119</v>
      </c>
      <c r="AE28" s="312">
        <f>$A28*(1+Assumptions!$D$75)*'Beer Revenue'!AF105</f>
        <v>60.622045714285484</v>
      </c>
      <c r="AF28" s="315">
        <f t="shared" si="14"/>
        <v>893.99184148617178</v>
      </c>
      <c r="AG28" s="320">
        <f>$A28*(1+Assumptions!$E$75)*'Beer Revenue'!AH105</f>
        <v>51.318245642856951</v>
      </c>
      <c r="AH28" s="312">
        <f>$A28*(1+Assumptions!$E$75)*'Beer Revenue'!AI105</f>
        <v>54.560124063843872</v>
      </c>
      <c r="AI28" s="312">
        <f>$A28*(1+Assumptions!$E$75)*'Beer Revenue'!AJ105</f>
        <v>76.977368464285419</v>
      </c>
      <c r="AJ28" s="312">
        <f>$A28*(1+Assumptions!$E$75)*'Beer Revenue'!AK105</f>
        <v>91.048500334101021</v>
      </c>
      <c r="AK28" s="312">
        <f>$A28*(1+Assumptions!$E$75)*'Beer Revenue'!AL105</f>
        <v>102.6364912857139</v>
      </c>
      <c r="AL28" s="312">
        <f>$A28*(1+Assumptions!$E$75)*'Beer Revenue'!AM105</f>
        <v>103.46420492511479</v>
      </c>
      <c r="AM28" s="312">
        <f>$A28*(1+Assumptions!$E$75)*'Beer Revenue'!AN105</f>
        <v>106.91301175595198</v>
      </c>
      <c r="AN28" s="312">
        <f>$A28*(1+Assumptions!$E$75)*'Beer Revenue'!AO105</f>
        <v>102.6364912857139</v>
      </c>
      <c r="AO28" s="312">
        <f>$A28*(1+Assumptions!$E$75)*'Beer Revenue'!AP105</f>
        <v>91.048500334101021</v>
      </c>
      <c r="AP28" s="312">
        <f>$A28*(1+Assumptions!$E$75)*'Beer Revenue'!AQ105</f>
        <v>85.530409404761571</v>
      </c>
      <c r="AQ28" s="312">
        <f>$A28*(1+Assumptions!$E$75)*'Beer Revenue'!AR105</f>
        <v>74.494227546082641</v>
      </c>
      <c r="AR28" s="312">
        <f>$A28*(1+Assumptions!$E$75)*'Beer Revenue'!AS105</f>
        <v>68.424327523809254</v>
      </c>
      <c r="AS28" s="315">
        <f t="shared" si="15"/>
        <v>1009.0519025663363</v>
      </c>
      <c r="AT28" s="320">
        <f>$A28*(1+Assumptions!$F$75)*'Beer Revenue'!AU105</f>
        <v>55.384974542856945</v>
      </c>
      <c r="AU28" s="312">
        <f>$A28*(1+Assumptions!$F$75)*'Beer Revenue'!AV105</f>
        <v>58.883756536827725</v>
      </c>
      <c r="AV28" s="312">
        <f>$A28*(1+Assumptions!$F$75)*'Beer Revenue'!AW105</f>
        <v>83.077461814285385</v>
      </c>
      <c r="AW28" s="312">
        <f>$A28*(1+Assumptions!$F$75)*'Beer Revenue'!AX105</f>
        <v>98.263664511520361</v>
      </c>
      <c r="AX28" s="312">
        <f>$A28*(1+Assumptions!$F$75)*'Beer Revenue'!AY105</f>
        <v>110.76994908571389</v>
      </c>
      <c r="AY28" s="312">
        <f>$A28*(1+Assumptions!$F$75)*'Beer Revenue'!AZ105</f>
        <v>111.66325512672766</v>
      </c>
      <c r="AZ28" s="312">
        <f>$A28*(1+Assumptions!$F$75)*'Beer Revenue'!BA105</f>
        <v>115.38536363095194</v>
      </c>
      <c r="BA28" s="312">
        <f>$A28*(1+Assumptions!$F$75)*'Beer Revenue'!BB105</f>
        <v>110.76994908571389</v>
      </c>
      <c r="BB28" s="312">
        <f>$A28*(1+Assumptions!$F$75)*'Beer Revenue'!BC105</f>
        <v>98.263664511520361</v>
      </c>
      <c r="BC28" s="312">
        <f>$A28*(1+Assumptions!$F$75)*'Beer Revenue'!BD105</f>
        <v>92.308290904761549</v>
      </c>
      <c r="BD28" s="312">
        <f>$A28*(1+Assumptions!$F$75)*'Beer Revenue'!BE105</f>
        <v>80.397543691243925</v>
      </c>
      <c r="BE28" s="312">
        <f>$A28*(1+Assumptions!$F$75)*'Beer Revenue'!BF105</f>
        <v>73.846632723809222</v>
      </c>
      <c r="BF28" s="315">
        <f t="shared" si="7"/>
        <v>1089.0145061659327</v>
      </c>
      <c r="BG28" s="320">
        <f>$A28*(1+Assumptions!$F$75)*'Beer Revenue'!BH105</f>
        <v>60.923471997142634</v>
      </c>
      <c r="BH28" s="312">
        <f>$A28*(1+Assumptions!$F$75)*'Beer Revenue'!BI105</f>
        <v>64.772132190510504</v>
      </c>
      <c r="BI28" s="312">
        <f>$A28*(1+Assumptions!$F$75)*'Beer Revenue'!BJ105</f>
        <v>91.385207995713927</v>
      </c>
      <c r="BJ28" s="312">
        <f>$A28*(1+Assumptions!$F$75)*'Beer Revenue'!BK105</f>
        <v>108.09003096267242</v>
      </c>
      <c r="BK28" s="312">
        <f>$A28*(1+Assumptions!$F$75)*'Beer Revenue'!BL105</f>
        <v>121.84694399428527</v>
      </c>
      <c r="BL28" s="312">
        <f>$A28*(1+Assumptions!$F$75)*'Beer Revenue'!BM105</f>
        <v>122.82958063940043</v>
      </c>
      <c r="BM28" s="312">
        <f>$A28*(1+Assumptions!$F$75)*'Beer Revenue'!BN105</f>
        <v>126.92389999404719</v>
      </c>
      <c r="BN28" s="312">
        <f>$A28*(1+Assumptions!$F$75)*'Beer Revenue'!BO105</f>
        <v>121.84694399428527</v>
      </c>
      <c r="BO28" s="312">
        <f>$A28*(1+Assumptions!$F$75)*'Beer Revenue'!BP105</f>
        <v>108.09003096267242</v>
      </c>
      <c r="BP28" s="312">
        <f>$A28*(1+Assumptions!$F$75)*'Beer Revenue'!BQ105</f>
        <v>101.53911999523771</v>
      </c>
      <c r="BQ28" s="312">
        <f>$A28*(1+Assumptions!$F$75)*'Beer Revenue'!BR105</f>
        <v>88.437298060368306</v>
      </c>
      <c r="BR28" s="312">
        <f>$A28*(1+Assumptions!$F$75)*'Beer Revenue'!BS105</f>
        <v>81.231295996190156</v>
      </c>
      <c r="BS28" s="315">
        <f t="shared" si="8"/>
        <v>1197.9159567825261</v>
      </c>
      <c r="BT28" s="315">
        <f t="shared" si="9"/>
        <v>4852.1903858796122</v>
      </c>
    </row>
    <row r="29" spans="1:72">
      <c r="A29" s="59">
        <f>A13+'4pk costs'!$B$10</f>
        <v>226.49777777777697</v>
      </c>
      <c r="B29" s="115"/>
      <c r="C29" s="2" t="str">
        <f t="shared" si="13"/>
        <v>Core 4 - Dark (Porter?)</v>
      </c>
      <c r="D29" s="2"/>
      <c r="E29" s="2"/>
      <c r="F29" s="2"/>
      <c r="G29" s="312">
        <f>$A29*'Beer Revenue'!H106</f>
        <v>37.857485714285588</v>
      </c>
      <c r="H29" s="312">
        <f>$A29*'Beer Revenue'!I106</f>
        <v>40.249020430107386</v>
      </c>
      <c r="I29" s="312">
        <f>$A29*'Beer Revenue'!J106</f>
        <v>56.786228571428374</v>
      </c>
      <c r="J29" s="312">
        <f>$A29*'Beer Revenue'!K106</f>
        <v>67.166506912442159</v>
      </c>
      <c r="K29" s="312">
        <f>$A29*'Beer Revenue'!L106</f>
        <v>75.714971428571175</v>
      </c>
      <c r="L29" s="312">
        <f>$A29*'Beer Revenue'!M106</f>
        <v>76.325576036866082</v>
      </c>
      <c r="M29" s="312">
        <f>$A29*'Beer Revenue'!N106</f>
        <v>78.869761904761646</v>
      </c>
      <c r="N29" s="312">
        <f>$A29*'Beer Revenue'!O106</f>
        <v>75.714971428571175</v>
      </c>
      <c r="O29" s="312">
        <f>$A29*'Beer Revenue'!P106</f>
        <v>67.166506912442159</v>
      </c>
      <c r="P29" s="312">
        <f>$A29*'Beer Revenue'!Q106</f>
        <v>63.095809523809301</v>
      </c>
      <c r="Q29" s="312">
        <f>$A29*'Beer Revenue'!R106</f>
        <v>54.954414746543584</v>
      </c>
      <c r="R29" s="312">
        <f>$A29*'Beer Revenue'!S106</f>
        <v>50.476647619047448</v>
      </c>
      <c r="S29" s="315">
        <f t="shared" si="4"/>
        <v>744.377901228876</v>
      </c>
      <c r="T29" s="320">
        <f>$A29*(1+Assumptions!$D$75)*'Beer Revenue'!U106</f>
        <v>51.107605714285548</v>
      </c>
      <c r="U29" s="312">
        <f>$A29*(1+Assumptions!$D$75)*'Beer Revenue'!V106</f>
        <v>54.336177580644971</v>
      </c>
      <c r="V29" s="312">
        <f>$A29*(1+Assumptions!$D$75)*'Beer Revenue'!W106</f>
        <v>76.661408571428311</v>
      </c>
      <c r="W29" s="312">
        <f>$A29*(1+Assumptions!$D$75)*'Beer Revenue'!X106</f>
        <v>90.674784331796928</v>
      </c>
      <c r="X29" s="312">
        <f>$A29*(1+Assumptions!$D$75)*'Beer Revenue'!Y106</f>
        <v>102.2152114285711</v>
      </c>
      <c r="Y29" s="312">
        <f>$A29*(1+Assumptions!$D$75)*'Beer Revenue'!Z106</f>
        <v>103.03952764976923</v>
      </c>
      <c r="Z29" s="312">
        <f>$A29*(1+Assumptions!$D$75)*'Beer Revenue'!AA106</f>
        <v>106.47417857142824</v>
      </c>
      <c r="AA29" s="312">
        <f>$A29*(1+Assumptions!$D$75)*'Beer Revenue'!AB106</f>
        <v>102.2152114285711</v>
      </c>
      <c r="AB29" s="312">
        <f>$A29*(1+Assumptions!$D$75)*'Beer Revenue'!AC106</f>
        <v>90.674784331796928</v>
      </c>
      <c r="AC29" s="312">
        <f>$A29*(1+Assumptions!$D$75)*'Beer Revenue'!AD106</f>
        <v>85.179342857142572</v>
      </c>
      <c r="AD29" s="312">
        <f>$A29*(1+Assumptions!$D$75)*'Beer Revenue'!AE106</f>
        <v>74.188459907833845</v>
      </c>
      <c r="AE29" s="312">
        <f>$A29*(1+Assumptions!$D$75)*'Beer Revenue'!AF106</f>
        <v>68.143474285714049</v>
      </c>
      <c r="AF29" s="315">
        <f t="shared" si="14"/>
        <v>1004.9101666589829</v>
      </c>
      <c r="AG29" s="320">
        <f>$A29*(1+Assumptions!$E$75)*'Beer Revenue'!AH106</f>
        <v>57.685343857142662</v>
      </c>
      <c r="AH29" s="312">
        <f>$A29*(1+Assumptions!$E$75)*'Beer Revenue'!AI106</f>
        <v>61.32944488037613</v>
      </c>
      <c r="AI29" s="312">
        <f>$A29*(1+Assumptions!$E$75)*'Beer Revenue'!AJ106</f>
        <v>86.52801578571399</v>
      </c>
      <c r="AJ29" s="312">
        <f>$A29*(1+Assumptions!$E$75)*'Beer Revenue'!AK106</f>
        <v>102.34496490783374</v>
      </c>
      <c r="AK29" s="312">
        <f>$A29*(1+Assumptions!$E$75)*'Beer Revenue'!AL106</f>
        <v>115.37068771428532</v>
      </c>
      <c r="AL29" s="312">
        <f>$A29*(1+Assumptions!$E$75)*'Beer Revenue'!AM106</f>
        <v>116.3010964861747</v>
      </c>
      <c r="AM29" s="312">
        <f>$A29*(1+Assumptions!$E$75)*'Beer Revenue'!AN106</f>
        <v>120.17779970238055</v>
      </c>
      <c r="AN29" s="312">
        <f>$A29*(1+Assumptions!$E$75)*'Beer Revenue'!AO106</f>
        <v>115.37068771428532</v>
      </c>
      <c r="AO29" s="312">
        <f>$A29*(1+Assumptions!$E$75)*'Beer Revenue'!AP106</f>
        <v>102.34496490783374</v>
      </c>
      <c r="AP29" s="312">
        <f>$A29*(1+Assumptions!$E$75)*'Beer Revenue'!AQ106</f>
        <v>96.14223976190442</v>
      </c>
      <c r="AQ29" s="312">
        <f>$A29*(1+Assumptions!$E$75)*'Beer Revenue'!AR106</f>
        <v>83.736789470045764</v>
      </c>
      <c r="AR29" s="312">
        <f>$A29*(1+Assumptions!$E$75)*'Beer Revenue'!AS106</f>
        <v>76.913791809523545</v>
      </c>
      <c r="AS29" s="315">
        <f t="shared" si="15"/>
        <v>1134.2458269974998</v>
      </c>
      <c r="AT29" s="320">
        <f>$A29*(1+Assumptions!$F$75)*'Beer Revenue'!AU106</f>
        <v>62.256635257142655</v>
      </c>
      <c r="AU29" s="312">
        <f>$A29*(1+Assumptions!$F$75)*'Beer Revenue'!AV106</f>
        <v>66.189514097311601</v>
      </c>
      <c r="AV29" s="312">
        <f>$A29*(1+Assumptions!$F$75)*'Beer Revenue'!AW106</f>
        <v>93.384952885713957</v>
      </c>
      <c r="AW29" s="312">
        <f>$A29*(1+Assumptions!$F$75)*'Beer Revenue'!AX106</f>
        <v>110.45532061751113</v>
      </c>
      <c r="AX29" s="312">
        <f>$A29*(1+Assumptions!$F$75)*'Beer Revenue'!AY106</f>
        <v>124.51327051428531</v>
      </c>
      <c r="AY29" s="312">
        <f>$A29*(1+Assumptions!$F$75)*'Beer Revenue'!AZ106</f>
        <v>125.51740979262628</v>
      </c>
      <c r="AZ29" s="312">
        <f>$A29*(1+Assumptions!$F$75)*'Beer Revenue'!BA106</f>
        <v>129.70132345238054</v>
      </c>
      <c r="BA29" s="312">
        <f>$A29*(1+Assumptions!$F$75)*'Beer Revenue'!BB106</f>
        <v>124.51327051428531</v>
      </c>
      <c r="BB29" s="312">
        <f>$A29*(1+Assumptions!$F$75)*'Beer Revenue'!BC106</f>
        <v>110.45532061751113</v>
      </c>
      <c r="BC29" s="312">
        <f>$A29*(1+Assumptions!$F$75)*'Beer Revenue'!BD106</f>
        <v>103.76105876190441</v>
      </c>
      <c r="BD29" s="312">
        <f>$A29*(1+Assumptions!$F$75)*'Beer Revenue'!BE106</f>
        <v>90.372535050690928</v>
      </c>
      <c r="BE29" s="312">
        <f>$A29*(1+Assumptions!$F$75)*'Beer Revenue'!BF106</f>
        <v>83.008847009523521</v>
      </c>
      <c r="BF29" s="315">
        <f t="shared" si="7"/>
        <v>1224.1294585708868</v>
      </c>
      <c r="BG29" s="320">
        <f>$A29*(1+Assumptions!$F$75)*'Beer Revenue'!BH106</f>
        <v>68.48229878285693</v>
      </c>
      <c r="BH29" s="312">
        <f>$A29*(1+Assumptions!$F$75)*'Beer Revenue'!BI106</f>
        <v>72.808465507042754</v>
      </c>
      <c r="BI29" s="312">
        <f>$A29*(1+Assumptions!$F$75)*'Beer Revenue'!BJ106</f>
        <v>102.72344817428537</v>
      </c>
      <c r="BJ29" s="312">
        <f>$A29*(1+Assumptions!$F$75)*'Beer Revenue'!BK106</f>
        <v>121.50085267926227</v>
      </c>
      <c r="BK29" s="312">
        <f>$A29*(1+Assumptions!$F$75)*'Beer Revenue'!BL106</f>
        <v>136.96459756571386</v>
      </c>
      <c r="BL29" s="312">
        <f>$A29*(1+Assumptions!$F$75)*'Beer Revenue'!BM106</f>
        <v>138.0691507718889</v>
      </c>
      <c r="BM29" s="312">
        <f>$A29*(1+Assumptions!$F$75)*'Beer Revenue'!BN106</f>
        <v>142.67145579761862</v>
      </c>
      <c r="BN29" s="312">
        <f>$A29*(1+Assumptions!$F$75)*'Beer Revenue'!BO106</f>
        <v>136.96459756571386</v>
      </c>
      <c r="BO29" s="312">
        <f>$A29*(1+Assumptions!$F$75)*'Beer Revenue'!BP106</f>
        <v>121.50085267926227</v>
      </c>
      <c r="BP29" s="312">
        <f>$A29*(1+Assumptions!$F$75)*'Beer Revenue'!BQ106</f>
        <v>114.13716463809486</v>
      </c>
      <c r="BQ29" s="312">
        <f>$A29*(1+Assumptions!$F$75)*'Beer Revenue'!BR106</f>
        <v>99.409788555760016</v>
      </c>
      <c r="BR29" s="312">
        <f>$A29*(1+Assumptions!$F$75)*'Beer Revenue'!BS106</f>
        <v>91.309731710475873</v>
      </c>
      <c r="BS29" s="315">
        <f t="shared" si="8"/>
        <v>1346.5424044279757</v>
      </c>
      <c r="BT29" s="315">
        <f t="shared" si="9"/>
        <v>5454.2057578842214</v>
      </c>
    </row>
    <row r="30" spans="1:72">
      <c r="A30" s="59">
        <f>A14+'4pk costs'!$B$10</f>
        <v>216.49777777777697</v>
      </c>
      <c r="B30" s="115"/>
      <c r="C30" s="2" t="str">
        <f t="shared" si="13"/>
        <v>Rotating Sour</v>
      </c>
      <c r="D30" s="2"/>
      <c r="E30" s="2"/>
      <c r="F30" s="2"/>
      <c r="G30" s="312">
        <f>$A30*'Beer Revenue'!H107</f>
        <v>18.093028571428508</v>
      </c>
      <c r="H30" s="312">
        <f>$A30*'Beer Revenue'!I107</f>
        <v>19.236002150537562</v>
      </c>
      <c r="I30" s="312">
        <f>$A30*'Beer Revenue'!J107</f>
        <v>27.139542857142757</v>
      </c>
      <c r="J30" s="312">
        <f>$A30*'Beer Revenue'!K107</f>
        <v>32.100534562211863</v>
      </c>
      <c r="K30" s="312">
        <f>$A30*'Beer Revenue'!L107</f>
        <v>36.186057142857017</v>
      </c>
      <c r="L30" s="312">
        <f>$A30*'Beer Revenue'!M107</f>
        <v>36.47788018433166</v>
      </c>
      <c r="M30" s="312">
        <f>$A30*'Beer Revenue'!N107</f>
        <v>37.693809523809392</v>
      </c>
      <c r="N30" s="312">
        <f>$A30*'Beer Revenue'!O107</f>
        <v>36.186057142857017</v>
      </c>
      <c r="O30" s="312">
        <f>$A30*'Beer Revenue'!P107</f>
        <v>32.100534562211863</v>
      </c>
      <c r="P30" s="312">
        <f>$A30*'Beer Revenue'!Q107</f>
        <v>30.155047619047508</v>
      </c>
      <c r="Q30" s="312">
        <f>$A30*'Beer Revenue'!R107</f>
        <v>26.264073732718796</v>
      </c>
      <c r="R30" s="312">
        <f>$A30*'Beer Revenue'!S107</f>
        <v>24.12403809523801</v>
      </c>
      <c r="S30" s="315">
        <f t="shared" si="4"/>
        <v>355.75660614439198</v>
      </c>
      <c r="T30" s="320">
        <f>$A30*(1+Assumptions!$D$75)*'Beer Revenue'!U107</f>
        <v>24.425588571428488</v>
      </c>
      <c r="U30" s="312">
        <f>$A30*(1+Assumptions!$D$75)*'Beer Revenue'!V107</f>
        <v>25.968602903225708</v>
      </c>
      <c r="V30" s="312">
        <f>$A30*(1+Assumptions!$D$75)*'Beer Revenue'!W107</f>
        <v>36.638382857142723</v>
      </c>
      <c r="W30" s="312">
        <f>$A30*(1+Assumptions!$D$75)*'Beer Revenue'!X107</f>
        <v>43.335721658986017</v>
      </c>
      <c r="X30" s="312">
        <f>$A30*(1+Assumptions!$D$75)*'Beer Revenue'!Y107</f>
        <v>48.851177142856976</v>
      </c>
      <c r="Y30" s="312">
        <f>$A30*(1+Assumptions!$D$75)*'Beer Revenue'!Z107</f>
        <v>49.245138248847745</v>
      </c>
      <c r="Z30" s="312">
        <f>$A30*(1+Assumptions!$D$75)*'Beer Revenue'!AA107</f>
        <v>50.886642857142682</v>
      </c>
      <c r="AA30" s="312">
        <f>$A30*(1+Assumptions!$D$75)*'Beer Revenue'!AB107</f>
        <v>48.851177142856976</v>
      </c>
      <c r="AB30" s="312">
        <f>$A30*(1+Assumptions!$D$75)*'Beer Revenue'!AC107</f>
        <v>43.335721658986017</v>
      </c>
      <c r="AC30" s="312">
        <f>$A30*(1+Assumptions!$D$75)*'Beer Revenue'!AD107</f>
        <v>40.709314285714143</v>
      </c>
      <c r="AD30" s="312">
        <f>$A30*(1+Assumptions!$D$75)*'Beer Revenue'!AE107</f>
        <v>35.456499539170373</v>
      </c>
      <c r="AE30" s="312">
        <f>$A30*(1+Assumptions!$D$75)*'Beer Revenue'!AF107</f>
        <v>32.56745142857131</v>
      </c>
      <c r="AF30" s="315">
        <f t="shared" si="14"/>
        <v>480.27141829492911</v>
      </c>
      <c r="AG30" s="320">
        <f>$A30*(1+Assumptions!$E$75)*'Beer Revenue'!AH107</f>
        <v>27.569252285714189</v>
      </c>
      <c r="AH30" s="312">
        <f>$A30*(1+Assumptions!$E$75)*'Beer Revenue'!AI107</f>
        <v>29.310858276881614</v>
      </c>
      <c r="AI30" s="312">
        <f>$A30*(1+Assumptions!$E$75)*'Beer Revenue'!AJ107</f>
        <v>41.353878428571278</v>
      </c>
      <c r="AJ30" s="312">
        <f>$A30*(1+Assumptions!$E$75)*'Beer Revenue'!AK107</f>
        <v>48.913189539170332</v>
      </c>
      <c r="AK30" s="312">
        <f>$A30*(1+Assumptions!$E$75)*'Beer Revenue'!AL107</f>
        <v>55.138504571428378</v>
      </c>
      <c r="AL30" s="312">
        <f>$A30*(1+Assumptions!$E$75)*'Beer Revenue'!AM107</f>
        <v>55.583169930875371</v>
      </c>
      <c r="AM30" s="312">
        <f>$A30*(1+Assumptions!$E$75)*'Beer Revenue'!AN107</f>
        <v>57.435942261904565</v>
      </c>
      <c r="AN30" s="312">
        <f>$A30*(1+Assumptions!$E$75)*'Beer Revenue'!AO107</f>
        <v>55.138504571428378</v>
      </c>
      <c r="AO30" s="312">
        <f>$A30*(1+Assumptions!$E$75)*'Beer Revenue'!AP107</f>
        <v>48.913189539170332</v>
      </c>
      <c r="AP30" s="312">
        <f>$A30*(1+Assumptions!$E$75)*'Beer Revenue'!AQ107</f>
        <v>45.948753809523637</v>
      </c>
      <c r="AQ30" s="312">
        <f>$A30*(1+Assumptions!$E$75)*'Beer Revenue'!AR107</f>
        <v>40.019882350230262</v>
      </c>
      <c r="AR30" s="312">
        <f>$A30*(1+Assumptions!$E$75)*'Beer Revenue'!AS107</f>
        <v>36.759003047618911</v>
      </c>
      <c r="AS30" s="315">
        <f t="shared" si="15"/>
        <v>542.08412861251725</v>
      </c>
      <c r="AT30" s="320">
        <f>$A30*(1+Assumptions!$F$75)*'Beer Revenue'!AU107</f>
        <v>29.753985485714185</v>
      </c>
      <c r="AU30" s="312">
        <f>$A30*(1+Assumptions!$F$75)*'Beer Revenue'!AV107</f>
        <v>31.633605536559024</v>
      </c>
      <c r="AV30" s="312">
        <f>$A30*(1+Assumptions!$F$75)*'Beer Revenue'!AW107</f>
        <v>44.630978228571259</v>
      </c>
      <c r="AW30" s="312">
        <f>$A30*(1+Assumptions!$F$75)*'Beer Revenue'!AX107</f>
        <v>52.789329087557412</v>
      </c>
      <c r="AX30" s="312">
        <f>$A30*(1+Assumptions!$F$75)*'Beer Revenue'!AY107</f>
        <v>59.507970971428371</v>
      </c>
      <c r="AY30" s="312">
        <f>$A30*(1+Assumptions!$F$75)*'Beer Revenue'!AZ107</f>
        <v>59.987873963133417</v>
      </c>
      <c r="AZ30" s="312">
        <f>$A30*(1+Assumptions!$F$75)*'Beer Revenue'!BA107</f>
        <v>61.987469761904542</v>
      </c>
      <c r="BA30" s="312">
        <f>$A30*(1+Assumptions!$F$75)*'Beer Revenue'!BB107</f>
        <v>59.507970971428371</v>
      </c>
      <c r="BB30" s="312">
        <f>$A30*(1+Assumptions!$F$75)*'Beer Revenue'!BC107</f>
        <v>52.789329087557412</v>
      </c>
      <c r="BC30" s="312">
        <f>$A30*(1+Assumptions!$F$75)*'Beer Revenue'!BD107</f>
        <v>49.589975809523629</v>
      </c>
      <c r="BD30" s="312">
        <f>$A30*(1+Assumptions!$F$75)*'Beer Revenue'!BE107</f>
        <v>43.191269253456063</v>
      </c>
      <c r="BE30" s="312">
        <f>$A30*(1+Assumptions!$F$75)*'Beer Revenue'!BF107</f>
        <v>39.671980647618902</v>
      </c>
      <c r="BF30" s="315">
        <f t="shared" si="7"/>
        <v>585.04173880445262</v>
      </c>
      <c r="BG30" s="320">
        <f>$A30*(1+Assumptions!$F$75)*'Beer Revenue'!BH107</f>
        <v>32.729384034285602</v>
      </c>
      <c r="BH30" s="312">
        <f>$A30*(1+Assumptions!$F$75)*'Beer Revenue'!BI107</f>
        <v>34.79696609021493</v>
      </c>
      <c r="BI30" s="312">
        <f>$A30*(1+Assumptions!$F$75)*'Beer Revenue'!BJ107</f>
        <v>49.094076051428395</v>
      </c>
      <c r="BJ30" s="312">
        <f>$A30*(1+Assumptions!$F$75)*'Beer Revenue'!BK107</f>
        <v>58.068261996313161</v>
      </c>
      <c r="BK30" s="312">
        <f>$A30*(1+Assumptions!$F$75)*'Beer Revenue'!BL107</f>
        <v>65.458768068571203</v>
      </c>
      <c r="BL30" s="312">
        <f>$A30*(1+Assumptions!$F$75)*'Beer Revenue'!BM107</f>
        <v>65.986661359446757</v>
      </c>
      <c r="BM30" s="312">
        <f>$A30*(1+Assumptions!$F$75)*'Beer Revenue'!BN107</f>
        <v>68.186216738095027</v>
      </c>
      <c r="BN30" s="312">
        <f>$A30*(1+Assumptions!$F$75)*'Beer Revenue'!BO107</f>
        <v>65.458768068571203</v>
      </c>
      <c r="BO30" s="312">
        <f>$A30*(1+Assumptions!$F$75)*'Beer Revenue'!BP107</f>
        <v>58.068261996313161</v>
      </c>
      <c r="BP30" s="312">
        <f>$A30*(1+Assumptions!$F$75)*'Beer Revenue'!BQ107</f>
        <v>54.548973390476</v>
      </c>
      <c r="BQ30" s="312">
        <f>$A30*(1+Assumptions!$F$75)*'Beer Revenue'!BR107</f>
        <v>47.510396178801663</v>
      </c>
      <c r="BR30" s="312">
        <f>$A30*(1+Assumptions!$F$75)*'Beer Revenue'!BS107</f>
        <v>43.63917871238079</v>
      </c>
      <c r="BS30" s="315">
        <f t="shared" si="8"/>
        <v>643.54591268489798</v>
      </c>
      <c r="BT30" s="315">
        <f t="shared" si="9"/>
        <v>2606.6998045411892</v>
      </c>
    </row>
    <row r="31" spans="1:72">
      <c r="A31" s="59">
        <f>A15+'4pk costs'!$B$10</f>
        <v>231.49777777777697</v>
      </c>
      <c r="B31" s="115"/>
      <c r="C31" s="2" t="str">
        <f t="shared" si="13"/>
        <v>Seasonal #1</v>
      </c>
      <c r="D31" s="2"/>
      <c r="E31" s="2"/>
      <c r="F31" s="2"/>
      <c r="G31" s="312">
        <f>$A31*'Beer Revenue'!H108</f>
        <v>19.346599999999938</v>
      </c>
      <c r="H31" s="312">
        <f>$A31*'Beer Revenue'!I108</f>
        <v>20.568764247311758</v>
      </c>
      <c r="I31" s="312">
        <f>$A31*'Beer Revenue'!J108</f>
        <v>29.0198999999999</v>
      </c>
      <c r="J31" s="312">
        <f>$A31*'Beer Revenue'!K108</f>
        <v>34.324612903225692</v>
      </c>
      <c r="K31" s="312">
        <f>$A31*'Beer Revenue'!L108</f>
        <v>38.693199999999877</v>
      </c>
      <c r="L31" s="312">
        <f>$A31*'Beer Revenue'!M108</f>
        <v>39.005241935483731</v>
      </c>
      <c r="M31" s="312">
        <f>$A31*'Beer Revenue'!N108</f>
        <v>40.305416666666538</v>
      </c>
      <c r="N31" s="312">
        <f>$A31*'Beer Revenue'!O108</f>
        <v>38.693199999999877</v>
      </c>
      <c r="O31" s="312">
        <f>$A31*'Beer Revenue'!P108</f>
        <v>34.324612903225692</v>
      </c>
      <c r="P31" s="312">
        <f>$A31*'Beer Revenue'!Q108</f>
        <v>32.244333333333223</v>
      </c>
      <c r="Q31" s="312">
        <f>$A31*'Beer Revenue'!R108</f>
        <v>28.08377419354829</v>
      </c>
      <c r="R31" s="312">
        <f>$A31*'Beer Revenue'!S108</f>
        <v>25.795466666666581</v>
      </c>
      <c r="S31" s="315">
        <f t="shared" si="4"/>
        <v>380.40512284946101</v>
      </c>
      <c r="T31" s="320">
        <f>$A31*(1+Assumptions!$D$75)*'Beer Revenue'!U108</f>
        <v>26.117909999999913</v>
      </c>
      <c r="U31" s="312">
        <f>$A31*(1+Assumptions!$D$75)*'Beer Revenue'!V108</f>
        <v>27.767831733870871</v>
      </c>
      <c r="V31" s="312">
        <f>$A31*(1+Assumptions!$D$75)*'Beer Revenue'!W108</f>
        <v>39.176864999999864</v>
      </c>
      <c r="W31" s="312">
        <f>$A31*(1+Assumptions!$D$75)*'Beer Revenue'!X108</f>
        <v>46.338227419354681</v>
      </c>
      <c r="X31" s="312">
        <f>$A31*(1+Assumptions!$D$75)*'Beer Revenue'!Y108</f>
        <v>52.235819999999826</v>
      </c>
      <c r="Y31" s="312">
        <f>$A31*(1+Assumptions!$D$75)*'Beer Revenue'!Z108</f>
        <v>52.65707661290304</v>
      </c>
      <c r="Z31" s="312">
        <f>$A31*(1+Assumptions!$D$75)*'Beer Revenue'!AA108</f>
        <v>54.412312499999828</v>
      </c>
      <c r="AA31" s="312">
        <f>$A31*(1+Assumptions!$D$75)*'Beer Revenue'!AB108</f>
        <v>52.235819999999826</v>
      </c>
      <c r="AB31" s="312">
        <f>$A31*(1+Assumptions!$D$75)*'Beer Revenue'!AC108</f>
        <v>46.338227419354681</v>
      </c>
      <c r="AC31" s="312">
        <f>$A31*(1+Assumptions!$D$75)*'Beer Revenue'!AD108</f>
        <v>43.529849999999854</v>
      </c>
      <c r="AD31" s="312">
        <f>$A31*(1+Assumptions!$D$75)*'Beer Revenue'!AE108</f>
        <v>37.913095161290187</v>
      </c>
      <c r="AE31" s="312">
        <f>$A31*(1+Assumptions!$D$75)*'Beer Revenue'!AF108</f>
        <v>34.823879999999882</v>
      </c>
      <c r="AF31" s="315">
        <f t="shared" si="14"/>
        <v>513.54691584677244</v>
      </c>
      <c r="AG31" s="320">
        <f>$A31*(1+Assumptions!$E$75)*'Beer Revenue'!AH108</f>
        <v>29.479381749999902</v>
      </c>
      <c r="AH31" s="312">
        <f>$A31*(1+Assumptions!$E$75)*'Beer Revenue'!AI108</f>
        <v>31.341654521841289</v>
      </c>
      <c r="AI31" s="312">
        <f>$A31*(1+Assumptions!$E$75)*'Beer Revenue'!AJ108</f>
        <v>44.219072624999846</v>
      </c>
      <c r="AJ31" s="312">
        <f>$A31*(1+Assumptions!$E$75)*'Beer Revenue'!AK108</f>
        <v>52.30212891129014</v>
      </c>
      <c r="AK31" s="312">
        <f>$A31*(1+Assumptions!$E$75)*'Beer Revenue'!AL108</f>
        <v>58.958763499999804</v>
      </c>
      <c r="AL31" s="312">
        <f>$A31*(1+Assumptions!$E$75)*'Beer Revenue'!AM108</f>
        <v>59.434237399193336</v>
      </c>
      <c r="AM31" s="312">
        <f>$A31*(1+Assumptions!$E$75)*'Beer Revenue'!AN108</f>
        <v>61.41537864583313</v>
      </c>
      <c r="AN31" s="312">
        <f>$A31*(1+Assumptions!$E$75)*'Beer Revenue'!AO108</f>
        <v>58.958763499999804</v>
      </c>
      <c r="AO31" s="312">
        <f>$A31*(1+Assumptions!$E$75)*'Beer Revenue'!AP108</f>
        <v>52.30212891129014</v>
      </c>
      <c r="AP31" s="312">
        <f>$A31*(1+Assumptions!$E$75)*'Beer Revenue'!AQ108</f>
        <v>49.13230291666649</v>
      </c>
      <c r="AQ31" s="312">
        <f>$A31*(1+Assumptions!$E$75)*'Beer Revenue'!AR108</f>
        <v>42.792650927419196</v>
      </c>
      <c r="AR31" s="312">
        <f>$A31*(1+Assumptions!$E$75)*'Beer Revenue'!AS108</f>
        <v>39.305842333333196</v>
      </c>
      <c r="AS31" s="315">
        <f t="shared" si="15"/>
        <v>579.64230594186631</v>
      </c>
      <c r="AT31" s="320">
        <f>$A31*(1+Assumptions!$F$75)*'Beer Revenue'!AU108</f>
        <v>31.815483699999898</v>
      </c>
      <c r="AU31" s="312">
        <f>$A31*(1+Assumptions!$F$75)*'Beer Revenue'!AV108</f>
        <v>33.825332804704182</v>
      </c>
      <c r="AV31" s="312">
        <f>$A31*(1+Assumptions!$F$75)*'Beer Revenue'!AW108</f>
        <v>47.723225549999832</v>
      </c>
      <c r="AW31" s="312">
        <f>$A31*(1+Assumptions!$F$75)*'Beer Revenue'!AX108</f>
        <v>56.446825919354644</v>
      </c>
      <c r="AX31" s="312">
        <f>$A31*(1+Assumptions!$F$75)*'Beer Revenue'!AY108</f>
        <v>63.630967399999797</v>
      </c>
      <c r="AY31" s="312">
        <f>$A31*(1+Assumptions!$F$75)*'Beer Revenue'!AZ108</f>
        <v>64.144120362902996</v>
      </c>
      <c r="AZ31" s="312">
        <f>$A31*(1+Assumptions!$F$75)*'Beer Revenue'!BA108</f>
        <v>66.28225770833312</v>
      </c>
      <c r="BA31" s="312">
        <f>$A31*(1+Assumptions!$F$75)*'Beer Revenue'!BB108</f>
        <v>63.630967399999797</v>
      </c>
      <c r="BB31" s="312">
        <f>$A31*(1+Assumptions!$F$75)*'Beer Revenue'!BC108</f>
        <v>56.446825919354644</v>
      </c>
      <c r="BC31" s="312">
        <f>$A31*(1+Assumptions!$F$75)*'Beer Revenue'!BD108</f>
        <v>53.025806166666484</v>
      </c>
      <c r="BD31" s="312">
        <f>$A31*(1+Assumptions!$F$75)*'Beer Revenue'!BE108</f>
        <v>46.183766661290157</v>
      </c>
      <c r="BE31" s="312">
        <f>$A31*(1+Assumptions!$F$75)*'Beer Revenue'!BF108</f>
        <v>42.420644933333186</v>
      </c>
      <c r="BF31" s="315">
        <f t="shared" si="7"/>
        <v>625.57622452593876</v>
      </c>
      <c r="BG31" s="320">
        <f>$A31*(1+Assumptions!$F$75)*'Beer Revenue'!BH108</f>
        <v>34.997032069999889</v>
      </c>
      <c r="BH31" s="312">
        <f>$A31*(1+Assumptions!$F$75)*'Beer Revenue'!BI108</f>
        <v>37.207866085174608</v>
      </c>
      <c r="BI31" s="312">
        <f>$A31*(1+Assumptions!$F$75)*'Beer Revenue'!BJ108</f>
        <v>52.49554810499982</v>
      </c>
      <c r="BJ31" s="312">
        <f>$A31*(1+Assumptions!$F$75)*'Beer Revenue'!BK108</f>
        <v>62.091508511290122</v>
      </c>
      <c r="BK31" s="312">
        <f>$A31*(1+Assumptions!$F$75)*'Beer Revenue'!BL108</f>
        <v>69.994064139999779</v>
      </c>
      <c r="BL31" s="312">
        <f>$A31*(1+Assumptions!$F$75)*'Beer Revenue'!BM108</f>
        <v>70.558532399193297</v>
      </c>
      <c r="BM31" s="312">
        <f>$A31*(1+Assumptions!$F$75)*'Beer Revenue'!BN108</f>
        <v>72.910483479166444</v>
      </c>
      <c r="BN31" s="312">
        <f>$A31*(1+Assumptions!$F$75)*'Beer Revenue'!BO108</f>
        <v>69.994064139999779</v>
      </c>
      <c r="BO31" s="312">
        <f>$A31*(1+Assumptions!$F$75)*'Beer Revenue'!BP108</f>
        <v>62.091508511290122</v>
      </c>
      <c r="BP31" s="312">
        <f>$A31*(1+Assumptions!$F$75)*'Beer Revenue'!BQ108</f>
        <v>58.328386783333144</v>
      </c>
      <c r="BQ31" s="312">
        <f>$A31*(1+Assumptions!$F$75)*'Beer Revenue'!BR108</f>
        <v>50.802143327419174</v>
      </c>
      <c r="BR31" s="312">
        <f>$A31*(1+Assumptions!$F$75)*'Beer Revenue'!BS108</f>
        <v>46.66270942666651</v>
      </c>
      <c r="BS31" s="315">
        <f t="shared" si="8"/>
        <v>688.13384697853269</v>
      </c>
      <c r="BT31" s="315">
        <f t="shared" si="9"/>
        <v>2787.3044161425714</v>
      </c>
    </row>
    <row r="32" spans="1:72">
      <c r="A32" s="59">
        <f>A16+'4pk costs'!$B$10</f>
        <v>211.49777777777697</v>
      </c>
      <c r="B32" s="115"/>
      <c r="C32" s="2" t="str">
        <f t="shared" si="13"/>
        <v>Seasonal #2</v>
      </c>
      <c r="D32" s="2"/>
      <c r="E32" s="2"/>
      <c r="F32" s="2"/>
      <c r="G32" s="312">
        <f>$A32*'Beer Revenue'!H109</f>
        <v>17.675171428571364</v>
      </c>
      <c r="H32" s="312">
        <f>$A32*'Beer Revenue'!I109</f>
        <v>18.7917481182795</v>
      </c>
      <c r="I32" s="312">
        <f>$A32*'Beer Revenue'!J109</f>
        <v>26.512757142857044</v>
      </c>
      <c r="J32" s="312">
        <f>$A32*'Beer Revenue'!K109</f>
        <v>31.359175115207258</v>
      </c>
      <c r="K32" s="312">
        <f>$A32*'Beer Revenue'!L109</f>
        <v>35.350342857142728</v>
      </c>
      <c r="L32" s="312">
        <f>$A32*'Beer Revenue'!M109</f>
        <v>35.63542626728097</v>
      </c>
      <c r="M32" s="312">
        <f>$A32*'Beer Revenue'!N109</f>
        <v>36.823273809523677</v>
      </c>
      <c r="N32" s="312">
        <f>$A32*'Beer Revenue'!O109</f>
        <v>35.350342857142728</v>
      </c>
      <c r="O32" s="312">
        <f>$A32*'Beer Revenue'!P109</f>
        <v>31.359175115207258</v>
      </c>
      <c r="P32" s="312">
        <f>$A32*'Beer Revenue'!Q109</f>
        <v>29.458619047618935</v>
      </c>
      <c r="Q32" s="312">
        <f>$A32*'Beer Revenue'!R109</f>
        <v>25.657506912442297</v>
      </c>
      <c r="R32" s="312">
        <f>$A32*'Beer Revenue'!S109</f>
        <v>23.566895238095153</v>
      </c>
      <c r="S32" s="315">
        <f t="shared" si="4"/>
        <v>347.5404339093688</v>
      </c>
      <c r="T32" s="320">
        <f>$A32*(1+Assumptions!$D$75)*'Beer Revenue'!U109</f>
        <v>23.861481428571341</v>
      </c>
      <c r="U32" s="312">
        <f>$A32*(1+Assumptions!$D$75)*'Beer Revenue'!V109</f>
        <v>25.368859959677323</v>
      </c>
      <c r="V32" s="312">
        <f>$A32*(1+Assumptions!$D$75)*'Beer Revenue'!W109</f>
        <v>35.792222142857007</v>
      </c>
      <c r="W32" s="312">
        <f>$A32*(1+Assumptions!$D$75)*'Beer Revenue'!X109</f>
        <v>42.334886405529794</v>
      </c>
      <c r="X32" s="312">
        <f>$A32*(1+Assumptions!$D$75)*'Beer Revenue'!Y109</f>
        <v>47.722962857142683</v>
      </c>
      <c r="Y32" s="312">
        <f>$A32*(1+Assumptions!$D$75)*'Beer Revenue'!Z109</f>
        <v>48.107825460829311</v>
      </c>
      <c r="Z32" s="312">
        <f>$A32*(1+Assumptions!$D$75)*'Beer Revenue'!AA109</f>
        <v>49.711419642856967</v>
      </c>
      <c r="AA32" s="312">
        <f>$A32*(1+Assumptions!$D$75)*'Beer Revenue'!AB109</f>
        <v>47.722962857142683</v>
      </c>
      <c r="AB32" s="312">
        <f>$A32*(1+Assumptions!$D$75)*'Beer Revenue'!AC109</f>
        <v>42.334886405529794</v>
      </c>
      <c r="AC32" s="312">
        <f>$A32*(1+Assumptions!$D$75)*'Beer Revenue'!AD109</f>
        <v>39.769135714285568</v>
      </c>
      <c r="AD32" s="312">
        <f>$A32*(1+Assumptions!$D$75)*'Beer Revenue'!AE109</f>
        <v>34.637634331797102</v>
      </c>
      <c r="AE32" s="312">
        <f>$A32*(1+Assumptions!$D$75)*'Beer Revenue'!AF109</f>
        <v>31.815308571428453</v>
      </c>
      <c r="AF32" s="315">
        <f t="shared" si="14"/>
        <v>469.17958577764807</v>
      </c>
      <c r="AG32" s="320">
        <f>$A32*(1+Assumptions!$E$75)*'Beer Revenue'!AH109</f>
        <v>26.932542464285618</v>
      </c>
      <c r="AH32" s="312">
        <f>$A32*(1+Assumptions!$E$75)*'Beer Revenue'!AI109</f>
        <v>28.633926195228387</v>
      </c>
      <c r="AI32" s="312">
        <f>$A32*(1+Assumptions!$E$75)*'Beer Revenue'!AJ109</f>
        <v>40.398813696428419</v>
      </c>
      <c r="AJ32" s="312">
        <f>$A32*(1+Assumptions!$E$75)*'Beer Revenue'!AK109</f>
        <v>47.783543081797056</v>
      </c>
      <c r="AK32" s="312">
        <f>$A32*(1+Assumptions!$E$75)*'Beer Revenue'!AL109</f>
        <v>53.865084928571235</v>
      </c>
      <c r="AL32" s="312">
        <f>$A32*(1+Assumptions!$E$75)*'Beer Revenue'!AM109</f>
        <v>54.299480774769378</v>
      </c>
      <c r="AM32" s="312">
        <f>$A32*(1+Assumptions!$E$75)*'Beer Revenue'!AN109</f>
        <v>56.109463467261705</v>
      </c>
      <c r="AN32" s="312">
        <f>$A32*(1+Assumptions!$E$75)*'Beer Revenue'!AO109</f>
        <v>53.865084928571235</v>
      </c>
      <c r="AO32" s="312">
        <f>$A32*(1+Assumptions!$E$75)*'Beer Revenue'!AP109</f>
        <v>47.783543081797056</v>
      </c>
      <c r="AP32" s="312">
        <f>$A32*(1+Assumptions!$E$75)*'Beer Revenue'!AQ109</f>
        <v>44.887570773809351</v>
      </c>
      <c r="AQ32" s="312">
        <f>$A32*(1+Assumptions!$E$75)*'Beer Revenue'!AR109</f>
        <v>39.095626157833941</v>
      </c>
      <c r="AR32" s="312">
        <f>$A32*(1+Assumptions!$E$75)*'Beer Revenue'!AS109</f>
        <v>35.910056619047481</v>
      </c>
      <c r="AS32" s="315">
        <f t="shared" si="15"/>
        <v>529.56473616940082</v>
      </c>
      <c r="AT32" s="320">
        <f>$A32*(1+Assumptions!$F$75)*'Beer Revenue'!AU109</f>
        <v>29.066819414285614</v>
      </c>
      <c r="AU32" s="312">
        <f>$A32*(1+Assumptions!$F$75)*'Beer Revenue'!AV109</f>
        <v>30.903029780510639</v>
      </c>
      <c r="AV32" s="312">
        <f>$A32*(1+Assumptions!$F$75)*'Beer Revenue'!AW109</f>
        <v>43.600229121428406</v>
      </c>
      <c r="AW32" s="312">
        <f>$A32*(1+Assumptions!$F$75)*'Beer Revenue'!AX109</f>
        <v>51.570163476958335</v>
      </c>
      <c r="AX32" s="312">
        <f>$A32*(1+Assumptions!$F$75)*'Beer Revenue'!AY109</f>
        <v>58.133638828571229</v>
      </c>
      <c r="AY32" s="312">
        <f>$A32*(1+Assumptions!$F$75)*'Beer Revenue'!AZ109</f>
        <v>58.602458496543555</v>
      </c>
      <c r="AZ32" s="312">
        <f>$A32*(1+Assumptions!$F$75)*'Beer Revenue'!BA109</f>
        <v>60.55587377976169</v>
      </c>
      <c r="BA32" s="312">
        <f>$A32*(1+Assumptions!$F$75)*'Beer Revenue'!BB109</f>
        <v>58.133638828571229</v>
      </c>
      <c r="BB32" s="312">
        <f>$A32*(1+Assumptions!$F$75)*'Beer Revenue'!BC109</f>
        <v>51.570163476958335</v>
      </c>
      <c r="BC32" s="312">
        <f>$A32*(1+Assumptions!$F$75)*'Beer Revenue'!BD109</f>
        <v>48.444699023809349</v>
      </c>
      <c r="BD32" s="312">
        <f>$A32*(1+Assumptions!$F$75)*'Beer Revenue'!BE109</f>
        <v>42.193770117511363</v>
      </c>
      <c r="BE32" s="312">
        <f>$A32*(1+Assumptions!$F$75)*'Beer Revenue'!BF109</f>
        <v>38.755759219047469</v>
      </c>
      <c r="BF32" s="315">
        <f t="shared" si="7"/>
        <v>571.53024356395724</v>
      </c>
      <c r="BG32" s="320">
        <f>$A32*(1+Assumptions!$F$75)*'Beer Revenue'!BH109</f>
        <v>31.973501355714177</v>
      </c>
      <c r="BH32" s="312">
        <f>$A32*(1+Assumptions!$F$75)*'Beer Revenue'!BI109</f>
        <v>33.993332758561706</v>
      </c>
      <c r="BI32" s="312">
        <f>$A32*(1+Assumptions!$F$75)*'Beer Revenue'!BJ109</f>
        <v>47.960252033571251</v>
      </c>
      <c r="BJ32" s="312">
        <f>$A32*(1+Assumptions!$F$75)*'Beer Revenue'!BK109</f>
        <v>56.727179824654179</v>
      </c>
      <c r="BK32" s="312">
        <f>$A32*(1+Assumptions!$F$75)*'Beer Revenue'!BL109</f>
        <v>63.947002711428354</v>
      </c>
      <c r="BL32" s="312">
        <f>$A32*(1+Assumptions!$F$75)*'Beer Revenue'!BM109</f>
        <v>64.46270434619791</v>
      </c>
      <c r="BM32" s="312">
        <f>$A32*(1+Assumptions!$F$75)*'Beer Revenue'!BN109</f>
        <v>66.611461157737878</v>
      </c>
      <c r="BN32" s="312">
        <f>$A32*(1+Assumptions!$F$75)*'Beer Revenue'!BO109</f>
        <v>63.947002711428354</v>
      </c>
      <c r="BO32" s="312">
        <f>$A32*(1+Assumptions!$F$75)*'Beer Revenue'!BP109</f>
        <v>56.727179824654179</v>
      </c>
      <c r="BP32" s="312">
        <f>$A32*(1+Assumptions!$F$75)*'Beer Revenue'!BQ109</f>
        <v>53.289168926190293</v>
      </c>
      <c r="BQ32" s="312">
        <f>$A32*(1+Assumptions!$F$75)*'Beer Revenue'!BR109</f>
        <v>46.413147129262498</v>
      </c>
      <c r="BR32" s="312">
        <f>$A32*(1+Assumptions!$F$75)*'Beer Revenue'!BS109</f>
        <v>42.631335140952224</v>
      </c>
      <c r="BS32" s="315">
        <f t="shared" si="8"/>
        <v>628.68326792035305</v>
      </c>
      <c r="BT32" s="315">
        <f t="shared" si="9"/>
        <v>2546.498267340728</v>
      </c>
    </row>
    <row r="33" spans="1:72">
      <c r="A33" s="59">
        <f>A17+'4pk costs'!$B$10</f>
        <v>241.49777777777697</v>
      </c>
      <c r="B33" s="115"/>
      <c r="C33" s="2" t="str">
        <f t="shared" si="13"/>
        <v>Rotating IPA #1</v>
      </c>
      <c r="D33" s="2"/>
      <c r="E33" s="2"/>
      <c r="F33" s="2"/>
      <c r="G33" s="312">
        <f>$A33*'Beer Revenue'!H110</f>
        <v>40.364628571428447</v>
      </c>
      <c r="H33" s="312">
        <f>$A33*'Beer Revenue'!I110</f>
        <v>42.914544623655772</v>
      </c>
      <c r="I33" s="312">
        <f>$A33*'Beer Revenue'!J110</f>
        <v>60.54694285714266</v>
      </c>
      <c r="J33" s="312">
        <f>$A33*'Beer Revenue'!K110</f>
        <v>71.614663594469818</v>
      </c>
      <c r="K33" s="312">
        <f>$A33*'Beer Revenue'!L110</f>
        <v>80.729257142856895</v>
      </c>
      <c r="L33" s="312">
        <f>$A33*'Beer Revenue'!M110</f>
        <v>81.380299539170224</v>
      </c>
      <c r="M33" s="312">
        <f>$A33*'Beer Revenue'!N110</f>
        <v>84.092976190475937</v>
      </c>
      <c r="N33" s="312">
        <f>$A33*'Beer Revenue'!O110</f>
        <v>80.729257142856895</v>
      </c>
      <c r="O33" s="312">
        <f>$A33*'Beer Revenue'!P110</f>
        <v>71.614663594469818</v>
      </c>
      <c r="P33" s="312">
        <f>$A33*'Beer Revenue'!Q110</f>
        <v>67.274380952380724</v>
      </c>
      <c r="Q33" s="312">
        <f>$A33*'Beer Revenue'!R110</f>
        <v>58.593815668202566</v>
      </c>
      <c r="R33" s="312">
        <f>$A33*'Beer Revenue'!S110</f>
        <v>53.819504761904589</v>
      </c>
      <c r="S33" s="315">
        <f t="shared" si="4"/>
        <v>793.67493463901428</v>
      </c>
      <c r="T33" s="320">
        <f>$A33*(1+Assumptions!$D$75)*'Beer Revenue'!U110</f>
        <v>54.492248571428405</v>
      </c>
      <c r="U33" s="312">
        <f>$A33*(1+Assumptions!$D$75)*'Beer Revenue'!V110</f>
        <v>57.934635241935297</v>
      </c>
      <c r="V33" s="312">
        <f>$A33*(1+Assumptions!$D$75)*'Beer Revenue'!W110</f>
        <v>81.738372857142593</v>
      </c>
      <c r="W33" s="312">
        <f>$A33*(1+Assumptions!$D$75)*'Beer Revenue'!X110</f>
        <v>96.679795852534255</v>
      </c>
      <c r="X33" s="312">
        <f>$A33*(1+Assumptions!$D$75)*'Beer Revenue'!Y110</f>
        <v>108.98449714285681</v>
      </c>
      <c r="Y33" s="312">
        <f>$A33*(1+Assumptions!$D$75)*'Beer Revenue'!Z110</f>
        <v>109.86340437787983</v>
      </c>
      <c r="Z33" s="312">
        <f>$A33*(1+Assumptions!$D$75)*'Beer Revenue'!AA110</f>
        <v>113.52551785714253</v>
      </c>
      <c r="AA33" s="312">
        <f>$A33*(1+Assumptions!$D$75)*'Beer Revenue'!AB110</f>
        <v>108.98449714285681</v>
      </c>
      <c r="AB33" s="312">
        <f>$A33*(1+Assumptions!$D$75)*'Beer Revenue'!AC110</f>
        <v>96.679795852534255</v>
      </c>
      <c r="AC33" s="312">
        <f>$A33*(1+Assumptions!$D$75)*'Beer Revenue'!AD110</f>
        <v>90.820414285714008</v>
      </c>
      <c r="AD33" s="312">
        <f>$A33*(1+Assumptions!$D$75)*'Beer Revenue'!AE110</f>
        <v>79.101651152073472</v>
      </c>
      <c r="AE33" s="312">
        <f>$A33*(1+Assumptions!$D$75)*'Beer Revenue'!AF110</f>
        <v>72.656331428571207</v>
      </c>
      <c r="AF33" s="315">
        <f t="shared" si="14"/>
        <v>1071.4611617626692</v>
      </c>
      <c r="AG33" s="320">
        <f>$A33*(1+Assumptions!$E$75)*'Beer Revenue'!AH110</f>
        <v>61.505602785714096</v>
      </c>
      <c r="AH33" s="312">
        <f>$A33*(1+Assumptions!$E$75)*'Beer Revenue'!AI110</f>
        <v>65.391037370295479</v>
      </c>
      <c r="AI33" s="312">
        <f>$A33*(1+Assumptions!$E$75)*'Beer Revenue'!AJ110</f>
        <v>92.258404178571126</v>
      </c>
      <c r="AJ33" s="312">
        <f>$A33*(1+Assumptions!$E$75)*'Beer Revenue'!AK110</f>
        <v>109.12284365207339</v>
      </c>
      <c r="AK33" s="312">
        <f>$A33*(1+Assumptions!$E$75)*'Beer Revenue'!AL110</f>
        <v>123.01120557142819</v>
      </c>
      <c r="AL33" s="312">
        <f>$A33*(1+Assumptions!$E$75)*'Beer Revenue'!AM110</f>
        <v>124.00323142281064</v>
      </c>
      <c r="AM33" s="312">
        <f>$A33*(1+Assumptions!$E$75)*'Beer Revenue'!AN110</f>
        <v>128.1366724702377</v>
      </c>
      <c r="AN33" s="312">
        <f>$A33*(1+Assumptions!$E$75)*'Beer Revenue'!AO110</f>
        <v>123.01120557142819</v>
      </c>
      <c r="AO33" s="312">
        <f>$A33*(1+Assumptions!$E$75)*'Beer Revenue'!AP110</f>
        <v>109.12284365207339</v>
      </c>
      <c r="AP33" s="312">
        <f>$A33*(1+Assumptions!$E$75)*'Beer Revenue'!AQ110</f>
        <v>102.50933797619014</v>
      </c>
      <c r="AQ33" s="312">
        <f>$A33*(1+Assumptions!$E$75)*'Beer Revenue'!AR110</f>
        <v>89.282326624423646</v>
      </c>
      <c r="AR33" s="312">
        <f>$A33*(1+Assumptions!$E$75)*'Beer Revenue'!AS110</f>
        <v>82.007470380952114</v>
      </c>
      <c r="AS33" s="315">
        <f t="shared" si="15"/>
        <v>1209.3621816561979</v>
      </c>
      <c r="AT33" s="320">
        <f>$A33*(1+Assumptions!$F$75)*'Beer Revenue'!AU110</f>
        <v>66.379631685714088</v>
      </c>
      <c r="AU33" s="312">
        <f>$A33*(1+Assumptions!$F$75)*'Beer Revenue'!AV110</f>
        <v>70.572968633601917</v>
      </c>
      <c r="AV33" s="312">
        <f>$A33*(1+Assumptions!$F$75)*'Beer Revenue'!AW110</f>
        <v>99.569447528571089</v>
      </c>
      <c r="AW33" s="312">
        <f>$A33*(1+Assumptions!$F$75)*'Beer Revenue'!AX110</f>
        <v>117.77031428110561</v>
      </c>
      <c r="AX33" s="312">
        <f>$A33*(1+Assumptions!$F$75)*'Beer Revenue'!AY110</f>
        <v>132.75926337142818</v>
      </c>
      <c r="AY33" s="312">
        <f>$A33*(1+Assumptions!$F$75)*'Beer Revenue'!AZ110</f>
        <v>133.82990259216544</v>
      </c>
      <c r="AZ33" s="312">
        <f>$A33*(1+Assumptions!$F$75)*'Beer Revenue'!BA110</f>
        <v>138.29089934523768</v>
      </c>
      <c r="BA33" s="312">
        <f>$A33*(1+Assumptions!$F$75)*'Beer Revenue'!BB110</f>
        <v>132.75926337142818</v>
      </c>
      <c r="BB33" s="312">
        <f>$A33*(1+Assumptions!$F$75)*'Beer Revenue'!BC110</f>
        <v>117.77031428110561</v>
      </c>
      <c r="BC33" s="312">
        <f>$A33*(1+Assumptions!$F$75)*'Beer Revenue'!BD110</f>
        <v>110.63271947619012</v>
      </c>
      <c r="BD33" s="312">
        <f>$A33*(1+Assumptions!$F$75)*'Beer Revenue'!BE110</f>
        <v>96.35752986635913</v>
      </c>
      <c r="BE33" s="312">
        <f>$A33*(1+Assumptions!$F$75)*'Beer Revenue'!BF110</f>
        <v>88.506175580952089</v>
      </c>
      <c r="BF33" s="315">
        <f t="shared" si="7"/>
        <v>1305.1984300138588</v>
      </c>
      <c r="BG33" s="320">
        <f>$A33*(1+Assumptions!$F$75)*'Beer Revenue'!BH110</f>
        <v>73.017594854285491</v>
      </c>
      <c r="BH33" s="312">
        <f>$A33*(1+Assumptions!$F$75)*'Beer Revenue'!BI110</f>
        <v>77.63026549696211</v>
      </c>
      <c r="BI33" s="312">
        <f>$A33*(1+Assumptions!$F$75)*'Beer Revenue'!BJ110</f>
        <v>109.52639228142822</v>
      </c>
      <c r="BJ33" s="312">
        <f>$A33*(1+Assumptions!$F$75)*'Beer Revenue'!BK110</f>
        <v>129.54734570921619</v>
      </c>
      <c r="BK33" s="312">
        <f>$A33*(1+Assumptions!$F$75)*'Beer Revenue'!BL110</f>
        <v>146.03518970857098</v>
      </c>
      <c r="BL33" s="312">
        <f>$A33*(1+Assumptions!$F$75)*'Beer Revenue'!BM110</f>
        <v>147.21289285138198</v>
      </c>
      <c r="BM33" s="312">
        <f>$A33*(1+Assumptions!$F$75)*'Beer Revenue'!BN110</f>
        <v>152.11998927976148</v>
      </c>
      <c r="BN33" s="312">
        <f>$A33*(1+Assumptions!$F$75)*'Beer Revenue'!BO110</f>
        <v>146.03518970857098</v>
      </c>
      <c r="BO33" s="312">
        <f>$A33*(1+Assumptions!$F$75)*'Beer Revenue'!BP110</f>
        <v>129.54734570921619</v>
      </c>
      <c r="BP33" s="312">
        <f>$A33*(1+Assumptions!$F$75)*'Beer Revenue'!BQ110</f>
        <v>121.69599142380915</v>
      </c>
      <c r="BQ33" s="312">
        <f>$A33*(1+Assumptions!$F$75)*'Beer Revenue'!BR110</f>
        <v>105.99328285299504</v>
      </c>
      <c r="BR33" s="312">
        <f>$A33*(1+Assumptions!$F$75)*'Beer Revenue'!BS110</f>
        <v>97.356793139047298</v>
      </c>
      <c r="BS33" s="315">
        <f t="shared" si="8"/>
        <v>1435.7182730152451</v>
      </c>
      <c r="BT33" s="315">
        <f t="shared" si="9"/>
        <v>5815.4149810869858</v>
      </c>
    </row>
    <row r="34" spans="1:72">
      <c r="A34" s="59">
        <f>A18+'4pk costs'!$B$10</f>
        <v>301.49777777777695</v>
      </c>
      <c r="B34" s="115"/>
      <c r="C34" s="2" t="str">
        <f t="shared" si="13"/>
        <v>Rotating IPA #2</v>
      </c>
      <c r="D34" s="2"/>
      <c r="E34" s="2"/>
      <c r="F34" s="2"/>
      <c r="G34" s="312">
        <f>$A34*'Beer Revenue'!H111</f>
        <v>25.196599999999936</v>
      </c>
      <c r="H34" s="312">
        <f>$A34*'Beer Revenue'!I111</f>
        <v>26.788320698924657</v>
      </c>
      <c r="I34" s="312">
        <f>$A34*'Beer Revenue'!J111</f>
        <v>37.794899999999899</v>
      </c>
      <c r="J34" s="312">
        <f>$A34*'Beer Revenue'!K111</f>
        <v>44.703645161290204</v>
      </c>
      <c r="K34" s="312">
        <f>$A34*'Beer Revenue'!L111</f>
        <v>50.393199999999872</v>
      </c>
      <c r="L34" s="312">
        <f>$A34*'Beer Revenue'!M111</f>
        <v>50.799596774193404</v>
      </c>
      <c r="M34" s="312">
        <f>$A34*'Beer Revenue'!N111</f>
        <v>52.492916666666538</v>
      </c>
      <c r="N34" s="312">
        <f>$A34*'Beer Revenue'!O111</f>
        <v>50.393199999999872</v>
      </c>
      <c r="O34" s="312">
        <f>$A34*'Beer Revenue'!P111</f>
        <v>44.703645161290204</v>
      </c>
      <c r="P34" s="312">
        <f>$A34*'Beer Revenue'!Q111</f>
        <v>41.994333333333216</v>
      </c>
      <c r="Q34" s="312">
        <f>$A34*'Beer Revenue'!R111</f>
        <v>36.575709677419255</v>
      </c>
      <c r="R34" s="312">
        <f>$A34*'Beer Revenue'!S111</f>
        <v>33.595466666666582</v>
      </c>
      <c r="S34" s="315">
        <f t="shared" si="4"/>
        <v>495.43153413978359</v>
      </c>
      <c r="T34" s="320">
        <f>$A34*(1+Assumptions!$D$75)*'Beer Revenue'!U111</f>
        <v>34.015409999999918</v>
      </c>
      <c r="U34" s="312">
        <f>$A34*(1+Assumptions!$D$75)*'Beer Revenue'!V111</f>
        <v>36.164232943548285</v>
      </c>
      <c r="V34" s="312">
        <f>$A34*(1+Assumptions!$D$75)*'Beer Revenue'!W111</f>
        <v>51.023114999999862</v>
      </c>
      <c r="W34" s="312">
        <f>$A34*(1+Assumptions!$D$75)*'Beer Revenue'!X111</f>
        <v>60.349920967741774</v>
      </c>
      <c r="X34" s="312">
        <f>$A34*(1+Assumptions!$D$75)*'Beer Revenue'!Y111</f>
        <v>68.030819999999835</v>
      </c>
      <c r="Y34" s="312">
        <f>$A34*(1+Assumptions!$D$75)*'Beer Revenue'!Z111</f>
        <v>68.579455645161104</v>
      </c>
      <c r="Z34" s="312">
        <f>$A34*(1+Assumptions!$D$75)*'Beer Revenue'!AA111</f>
        <v>70.865437499999828</v>
      </c>
      <c r="AA34" s="312">
        <f>$A34*(1+Assumptions!$D$75)*'Beer Revenue'!AB111</f>
        <v>68.030819999999835</v>
      </c>
      <c r="AB34" s="312">
        <f>$A34*(1+Assumptions!$D$75)*'Beer Revenue'!AC111</f>
        <v>60.349920967741774</v>
      </c>
      <c r="AC34" s="312">
        <f>$A34*(1+Assumptions!$D$75)*'Beer Revenue'!AD111</f>
        <v>56.692349999999855</v>
      </c>
      <c r="AD34" s="312">
        <f>$A34*(1+Assumptions!$D$75)*'Beer Revenue'!AE111</f>
        <v>49.377208064515997</v>
      </c>
      <c r="AE34" s="312">
        <f>$A34*(1+Assumptions!$D$75)*'Beer Revenue'!AF111</f>
        <v>45.353879999999883</v>
      </c>
      <c r="AF34" s="315">
        <f t="shared" si="14"/>
        <v>668.83257108870794</v>
      </c>
      <c r="AG34" s="320">
        <f>$A34*(1+Assumptions!$E$75)*'Beer Revenue'!AH111</f>
        <v>38.393319249999898</v>
      </c>
      <c r="AH34" s="312">
        <f>$A34*(1+Assumptions!$E$75)*'Beer Revenue'!AI111</f>
        <v>40.818703664986444</v>
      </c>
      <c r="AI34" s="312">
        <f>$A34*(1+Assumptions!$E$75)*'Beer Revenue'!AJ111</f>
        <v>57.589978874999844</v>
      </c>
      <c r="AJ34" s="312">
        <f>$A34*(1+Assumptions!$E$75)*'Beer Revenue'!AK111</f>
        <v>68.117179314515951</v>
      </c>
      <c r="AK34" s="312">
        <f>$A34*(1+Assumptions!$E$75)*'Beer Revenue'!AL111</f>
        <v>76.786638499999796</v>
      </c>
      <c r="AL34" s="312">
        <f>$A34*(1+Assumptions!$E$75)*'Beer Revenue'!AM111</f>
        <v>77.405885584677208</v>
      </c>
      <c r="AM34" s="312">
        <f>$A34*(1+Assumptions!$E$75)*'Beer Revenue'!AN111</f>
        <v>79.986081770833138</v>
      </c>
      <c r="AN34" s="312">
        <f>$A34*(1+Assumptions!$E$75)*'Beer Revenue'!AO111</f>
        <v>76.786638499999796</v>
      </c>
      <c r="AO34" s="312">
        <f>$A34*(1+Assumptions!$E$75)*'Beer Revenue'!AP111</f>
        <v>68.117179314515951</v>
      </c>
      <c r="AP34" s="312">
        <f>$A34*(1+Assumptions!$E$75)*'Beer Revenue'!AQ111</f>
        <v>63.988865416666492</v>
      </c>
      <c r="AQ34" s="312">
        <f>$A34*(1+Assumptions!$E$75)*'Beer Revenue'!AR111</f>
        <v>55.732237620967574</v>
      </c>
      <c r="AR34" s="312">
        <f>$A34*(1+Assumptions!$E$75)*'Beer Revenue'!AS111</f>
        <v>51.191092333333195</v>
      </c>
      <c r="AS34" s="315">
        <f t="shared" si="15"/>
        <v>754.91380014549532</v>
      </c>
      <c r="AT34" s="320">
        <f>$A34*(1+Assumptions!$F$75)*'Beer Revenue'!AU111</f>
        <v>41.435808699999903</v>
      </c>
      <c r="AU34" s="312">
        <f>$A34*(1+Assumptions!$F$75)*'Beer Revenue'!AV111</f>
        <v>44.053393389381604</v>
      </c>
      <c r="AV34" s="312">
        <f>$A34*(1+Assumptions!$F$75)*'Beer Revenue'!AW111</f>
        <v>62.15371304999983</v>
      </c>
      <c r="AW34" s="312">
        <f>$A34*(1+Assumptions!$F$75)*'Beer Revenue'!AX111</f>
        <v>73.515144467741735</v>
      </c>
      <c r="AX34" s="312">
        <f>$A34*(1+Assumptions!$F$75)*'Beer Revenue'!AY111</f>
        <v>82.871617399999806</v>
      </c>
      <c r="AY34" s="312">
        <f>$A34*(1+Assumptions!$F$75)*'Beer Revenue'!AZ111</f>
        <v>83.539936895161063</v>
      </c>
      <c r="AZ34" s="312">
        <f>$A34*(1+Assumptions!$F$75)*'Beer Revenue'!BA111</f>
        <v>86.32460145833312</v>
      </c>
      <c r="BA34" s="312">
        <f>$A34*(1+Assumptions!$F$75)*'Beer Revenue'!BB111</f>
        <v>82.871617399999806</v>
      </c>
      <c r="BB34" s="312">
        <f>$A34*(1+Assumptions!$F$75)*'Beer Revenue'!BC111</f>
        <v>73.515144467741735</v>
      </c>
      <c r="BC34" s="312">
        <f>$A34*(1+Assumptions!$F$75)*'Beer Revenue'!BD111</f>
        <v>69.059681166666479</v>
      </c>
      <c r="BD34" s="312">
        <f>$A34*(1+Assumptions!$F$75)*'Beer Revenue'!BE111</f>
        <v>60.148754564515961</v>
      </c>
      <c r="BE34" s="312">
        <f>$A34*(1+Assumptions!$F$75)*'Beer Revenue'!BF111</f>
        <v>55.24774493333318</v>
      </c>
      <c r="BF34" s="315">
        <f t="shared" si="7"/>
        <v>814.73715789287405</v>
      </c>
      <c r="BG34" s="320">
        <f>$A34*(1+Assumptions!$F$75)*'Beer Revenue'!BH111</f>
        <v>45.57938956999989</v>
      </c>
      <c r="BH34" s="312">
        <f>$A34*(1+Assumptions!$F$75)*'Beer Revenue'!BI111</f>
        <v>48.458732728319767</v>
      </c>
      <c r="BI34" s="312">
        <f>$A34*(1+Assumptions!$F$75)*'Beer Revenue'!BJ111</f>
        <v>68.369084354999814</v>
      </c>
      <c r="BJ34" s="312">
        <f>$A34*(1+Assumptions!$F$75)*'Beer Revenue'!BK111</f>
        <v>80.866658914515924</v>
      </c>
      <c r="BK34" s="312">
        <f>$A34*(1+Assumptions!$F$75)*'Beer Revenue'!BL111</f>
        <v>91.15877913999978</v>
      </c>
      <c r="BL34" s="312">
        <f>$A34*(1+Assumptions!$F$75)*'Beer Revenue'!BM111</f>
        <v>91.893930584677165</v>
      </c>
      <c r="BM34" s="312">
        <f>$A34*(1+Assumptions!$F$75)*'Beer Revenue'!BN111</f>
        <v>94.957061604166455</v>
      </c>
      <c r="BN34" s="312">
        <f>$A34*(1+Assumptions!$F$75)*'Beer Revenue'!BO111</f>
        <v>91.15877913999978</v>
      </c>
      <c r="BO34" s="312">
        <f>$A34*(1+Assumptions!$F$75)*'Beer Revenue'!BP111</f>
        <v>80.866658914515924</v>
      </c>
      <c r="BP34" s="312">
        <f>$A34*(1+Assumptions!$F$75)*'Beer Revenue'!BQ111</f>
        <v>75.965649283333136</v>
      </c>
      <c r="BQ34" s="312">
        <f>$A34*(1+Assumptions!$F$75)*'Beer Revenue'!BR111</f>
        <v>66.16363002096756</v>
      </c>
      <c r="BR34" s="312">
        <f>$A34*(1+Assumptions!$F$75)*'Beer Revenue'!BS111</f>
        <v>60.772519426666506</v>
      </c>
      <c r="BS34" s="315">
        <f t="shared" si="8"/>
        <v>896.2108736821616</v>
      </c>
      <c r="BT34" s="315">
        <f t="shared" si="9"/>
        <v>3630.1259369490226</v>
      </c>
    </row>
    <row r="35" spans="1:72">
      <c r="A35" s="59">
        <f>A19+'4pk costs'!$B$10</f>
        <v>391.49777777777695</v>
      </c>
      <c r="B35" s="115"/>
      <c r="C35" s="2" t="str">
        <f t="shared" si="13"/>
        <v>Special release</v>
      </c>
      <c r="D35" s="2"/>
      <c r="E35" s="2"/>
      <c r="F35" s="2"/>
      <c r="G35" s="312">
        <f>$A35*'Beer Revenue'!H112</f>
        <v>0</v>
      </c>
      <c r="H35" s="312">
        <f>$A35*'Beer Revenue'!I112</f>
        <v>0</v>
      </c>
      <c r="I35" s="312">
        <f>$A35*'Beer Revenue'!J112</f>
        <v>0</v>
      </c>
      <c r="J35" s="312">
        <f>$A35*'Beer Revenue'!K112</f>
        <v>0</v>
      </c>
      <c r="K35" s="312">
        <f>$A35*'Beer Revenue'!L112</f>
        <v>0</v>
      </c>
      <c r="L35" s="312">
        <f>$A35*'Beer Revenue'!M112</f>
        <v>0</v>
      </c>
      <c r="M35" s="312">
        <f>$A35*'Beer Revenue'!N112</f>
        <v>0</v>
      </c>
      <c r="N35" s="312">
        <f>$A35*'Beer Revenue'!O112</f>
        <v>0</v>
      </c>
      <c r="O35" s="312">
        <f>$A35*'Beer Revenue'!P112</f>
        <v>0</v>
      </c>
      <c r="P35" s="312">
        <f>$A35*'Beer Revenue'!Q112</f>
        <v>0</v>
      </c>
      <c r="Q35" s="312">
        <f>$A35*'Beer Revenue'!R112</f>
        <v>0</v>
      </c>
      <c r="R35" s="312">
        <f>$A35*'Beer Revenue'!S112</f>
        <v>0</v>
      </c>
      <c r="S35" s="315">
        <f t="shared" si="4"/>
        <v>0</v>
      </c>
      <c r="T35" s="320">
        <f>$A35*(1+Assumptions!$D$75)*'Beer Revenue'!U112</f>
        <v>0</v>
      </c>
      <c r="U35" s="312">
        <f>$A35*(1+Assumptions!$D$75)*'Beer Revenue'!V112</f>
        <v>0</v>
      </c>
      <c r="V35" s="312">
        <f>$A35*(1+Assumptions!$D$75)*'Beer Revenue'!W112</f>
        <v>0</v>
      </c>
      <c r="W35" s="312">
        <f>$A35*(1+Assumptions!$D$75)*'Beer Revenue'!X112</f>
        <v>0</v>
      </c>
      <c r="X35" s="312">
        <f>$A35*(1+Assumptions!$D$75)*'Beer Revenue'!Y112</f>
        <v>0</v>
      </c>
      <c r="Y35" s="312">
        <f>$A35*(1+Assumptions!$D$75)*'Beer Revenue'!Z112</f>
        <v>0</v>
      </c>
      <c r="Z35" s="312">
        <f>$A35*(1+Assumptions!$D$75)*'Beer Revenue'!AA112</f>
        <v>0</v>
      </c>
      <c r="AA35" s="312">
        <f>$A35*(1+Assumptions!$D$75)*'Beer Revenue'!AB112</f>
        <v>0</v>
      </c>
      <c r="AB35" s="312">
        <f>$A35*(1+Assumptions!$D$75)*'Beer Revenue'!AC112</f>
        <v>0</v>
      </c>
      <c r="AC35" s="312">
        <f>$A35*(1+Assumptions!$D$75)*'Beer Revenue'!AD112</f>
        <v>0</v>
      </c>
      <c r="AD35" s="312">
        <f>$A35*(1+Assumptions!$D$75)*'Beer Revenue'!AE112</f>
        <v>0</v>
      </c>
      <c r="AE35" s="312">
        <f>$A35*(1+Assumptions!$D$75)*'Beer Revenue'!AF112</f>
        <v>0</v>
      </c>
      <c r="AF35" s="315">
        <f t="shared" si="14"/>
        <v>0</v>
      </c>
      <c r="AG35" s="320">
        <f>$A35*(1+Assumptions!$E$75)*'Beer Revenue'!AH112</f>
        <v>0</v>
      </c>
      <c r="AH35" s="312">
        <f>$A35*(1+Assumptions!$E$75)*'Beer Revenue'!AI112</f>
        <v>0</v>
      </c>
      <c r="AI35" s="312">
        <f>$A35*(1+Assumptions!$E$75)*'Beer Revenue'!AJ112</f>
        <v>0</v>
      </c>
      <c r="AJ35" s="312">
        <f>$A35*(1+Assumptions!$E$75)*'Beer Revenue'!AK112</f>
        <v>0</v>
      </c>
      <c r="AK35" s="312">
        <f>$A35*(1+Assumptions!$E$75)*'Beer Revenue'!AL112</f>
        <v>0</v>
      </c>
      <c r="AL35" s="312">
        <f>$A35*(1+Assumptions!$E$75)*'Beer Revenue'!AM112</f>
        <v>0</v>
      </c>
      <c r="AM35" s="312">
        <f>$A35*(1+Assumptions!$E$75)*'Beer Revenue'!AN112</f>
        <v>0</v>
      </c>
      <c r="AN35" s="312">
        <f>$A35*(1+Assumptions!$E$75)*'Beer Revenue'!AO112</f>
        <v>0</v>
      </c>
      <c r="AO35" s="312">
        <f>$A35*(1+Assumptions!$E$75)*'Beer Revenue'!AP112</f>
        <v>0</v>
      </c>
      <c r="AP35" s="312">
        <f>$A35*(1+Assumptions!$E$75)*'Beer Revenue'!AQ112</f>
        <v>0</v>
      </c>
      <c r="AQ35" s="312">
        <f>$A35*(1+Assumptions!$E$75)*'Beer Revenue'!AR112</f>
        <v>0</v>
      </c>
      <c r="AR35" s="312">
        <f>$A35*(1+Assumptions!$E$75)*'Beer Revenue'!AS112</f>
        <v>0</v>
      </c>
      <c r="AS35" s="315">
        <f t="shared" si="15"/>
        <v>0</v>
      </c>
      <c r="AT35" s="320">
        <f>$A35*(1+Assumptions!$F$75)*'Beer Revenue'!AU112</f>
        <v>0</v>
      </c>
      <c r="AU35" s="312">
        <f>$A35*(1+Assumptions!$F$75)*'Beer Revenue'!AV112</f>
        <v>0</v>
      </c>
      <c r="AV35" s="312">
        <f>$A35*(1+Assumptions!$F$75)*'Beer Revenue'!AW112</f>
        <v>0</v>
      </c>
      <c r="AW35" s="312">
        <f>$A35*(1+Assumptions!$F$75)*'Beer Revenue'!AX112</f>
        <v>0</v>
      </c>
      <c r="AX35" s="312">
        <f>$A35*(1+Assumptions!$F$75)*'Beer Revenue'!AY112</f>
        <v>0</v>
      </c>
      <c r="AY35" s="312">
        <f>$A35*(1+Assumptions!$F$75)*'Beer Revenue'!AZ112</f>
        <v>0</v>
      </c>
      <c r="AZ35" s="312">
        <f>$A35*(1+Assumptions!$F$75)*'Beer Revenue'!BA112</f>
        <v>0</v>
      </c>
      <c r="BA35" s="312">
        <f>$A35*(1+Assumptions!$F$75)*'Beer Revenue'!BB112</f>
        <v>0</v>
      </c>
      <c r="BB35" s="312">
        <f>$A35*(1+Assumptions!$F$75)*'Beer Revenue'!BC112</f>
        <v>0</v>
      </c>
      <c r="BC35" s="312">
        <f>$A35*(1+Assumptions!$F$75)*'Beer Revenue'!BD112</f>
        <v>0</v>
      </c>
      <c r="BD35" s="312">
        <f>$A35*(1+Assumptions!$F$75)*'Beer Revenue'!BE112</f>
        <v>0</v>
      </c>
      <c r="BE35" s="312">
        <f>$A35*(1+Assumptions!$F$75)*'Beer Revenue'!BF112</f>
        <v>0</v>
      </c>
      <c r="BF35" s="315">
        <f t="shared" si="7"/>
        <v>0</v>
      </c>
      <c r="BG35" s="320">
        <f>$A35*(1+Assumptions!$F$75)*'Beer Revenue'!BH112</f>
        <v>0</v>
      </c>
      <c r="BH35" s="312">
        <f>$A35*(1+Assumptions!$F$75)*'Beer Revenue'!BI112</f>
        <v>0</v>
      </c>
      <c r="BI35" s="312">
        <f>$A35*(1+Assumptions!$F$75)*'Beer Revenue'!BJ112</f>
        <v>0</v>
      </c>
      <c r="BJ35" s="312">
        <f>$A35*(1+Assumptions!$F$75)*'Beer Revenue'!BK112</f>
        <v>0</v>
      </c>
      <c r="BK35" s="312">
        <f>$A35*(1+Assumptions!$F$75)*'Beer Revenue'!BL112</f>
        <v>0</v>
      </c>
      <c r="BL35" s="312">
        <f>$A35*(1+Assumptions!$F$75)*'Beer Revenue'!BM112</f>
        <v>0</v>
      </c>
      <c r="BM35" s="312">
        <f>$A35*(1+Assumptions!$F$75)*'Beer Revenue'!BN112</f>
        <v>0</v>
      </c>
      <c r="BN35" s="312">
        <f>$A35*(1+Assumptions!$F$75)*'Beer Revenue'!BO112</f>
        <v>0</v>
      </c>
      <c r="BO35" s="312">
        <f>$A35*(1+Assumptions!$F$75)*'Beer Revenue'!BP112</f>
        <v>0</v>
      </c>
      <c r="BP35" s="312">
        <f>$A35*(1+Assumptions!$F$75)*'Beer Revenue'!BQ112</f>
        <v>0</v>
      </c>
      <c r="BQ35" s="312">
        <f>$A35*(1+Assumptions!$F$75)*'Beer Revenue'!BR112</f>
        <v>0</v>
      </c>
      <c r="BR35" s="312">
        <f>$A35*(1+Assumptions!$F$75)*'Beer Revenue'!BS112</f>
        <v>0</v>
      </c>
      <c r="BS35" s="315">
        <f t="shared" si="8"/>
        <v>0</v>
      </c>
      <c r="BT35" s="315">
        <f t="shared" si="9"/>
        <v>0</v>
      </c>
    </row>
    <row r="36" spans="1:72">
      <c r="A36" s="59"/>
      <c r="B36" s="115"/>
      <c r="C36" s="2">
        <f t="shared" si="13"/>
        <v>0</v>
      </c>
      <c r="D36" s="2"/>
      <c r="E36" s="2"/>
      <c r="F36" s="2"/>
      <c r="G36" s="313">
        <f>$A36*'Beer Revenue'!H113</f>
        <v>0</v>
      </c>
      <c r="H36" s="313">
        <f>$A36*'Beer Revenue'!I113</f>
        <v>0</v>
      </c>
      <c r="I36" s="313">
        <f>$A36*'Beer Revenue'!J113</f>
        <v>0</v>
      </c>
      <c r="J36" s="313">
        <f>$A36*'Beer Revenue'!K113</f>
        <v>0</v>
      </c>
      <c r="K36" s="313">
        <f>$A36*'Beer Revenue'!L113</f>
        <v>0</v>
      </c>
      <c r="L36" s="313">
        <f>$A36*'Beer Revenue'!M113</f>
        <v>0</v>
      </c>
      <c r="M36" s="313">
        <f>$A36*'Beer Revenue'!N113</f>
        <v>0</v>
      </c>
      <c r="N36" s="313">
        <f>$A36*'Beer Revenue'!O113</f>
        <v>0</v>
      </c>
      <c r="O36" s="313">
        <f>$A36*'Beer Revenue'!P113</f>
        <v>0</v>
      </c>
      <c r="P36" s="313">
        <f>$A36*'Beer Revenue'!Q113</f>
        <v>0</v>
      </c>
      <c r="Q36" s="313">
        <f>$A36*'Beer Revenue'!R113</f>
        <v>0</v>
      </c>
      <c r="R36" s="313">
        <f>$A36*'Beer Revenue'!S113</f>
        <v>0</v>
      </c>
      <c r="S36" s="311">
        <f t="shared" si="4"/>
        <v>0</v>
      </c>
      <c r="T36" s="321">
        <f>$A36*(1+Assumptions!$D$75)*'Beer Revenue'!U113</f>
        <v>0</v>
      </c>
      <c r="U36" s="313">
        <f>$A36*(1+Assumptions!$D$75)*'Beer Revenue'!V113</f>
        <v>0</v>
      </c>
      <c r="V36" s="313">
        <f>$A36*(1+Assumptions!$D$75)*'Beer Revenue'!W113</f>
        <v>0</v>
      </c>
      <c r="W36" s="313">
        <f>$A36*(1+Assumptions!$D$75)*'Beer Revenue'!X113</f>
        <v>0</v>
      </c>
      <c r="X36" s="313">
        <f>$A36*(1+Assumptions!$D$75)*'Beer Revenue'!Y113</f>
        <v>0</v>
      </c>
      <c r="Y36" s="313">
        <f>$A36*(1+Assumptions!$D$75)*'Beer Revenue'!Z113</f>
        <v>0</v>
      </c>
      <c r="Z36" s="313">
        <f>$A36*(1+Assumptions!$D$75)*'Beer Revenue'!AA113</f>
        <v>0</v>
      </c>
      <c r="AA36" s="313">
        <f>$A36*(1+Assumptions!$D$75)*'Beer Revenue'!AB113</f>
        <v>0</v>
      </c>
      <c r="AB36" s="313">
        <f>$A36*(1+Assumptions!$D$75)*'Beer Revenue'!AC113</f>
        <v>0</v>
      </c>
      <c r="AC36" s="313">
        <f>$A36*(1+Assumptions!$D$75)*'Beer Revenue'!AD113</f>
        <v>0</v>
      </c>
      <c r="AD36" s="313">
        <f>$A36*(1+Assumptions!$D$75)*'Beer Revenue'!AE113</f>
        <v>0</v>
      </c>
      <c r="AE36" s="313">
        <f>$A36*(1+Assumptions!$D$75)*'Beer Revenue'!AF113</f>
        <v>0</v>
      </c>
      <c r="AF36" s="311">
        <f t="shared" si="14"/>
        <v>0</v>
      </c>
      <c r="AG36" s="321">
        <f>$A36*(1+Assumptions!$E$75)*'Beer Revenue'!AH113</f>
        <v>0</v>
      </c>
      <c r="AH36" s="313">
        <f>$A36*(1+Assumptions!$E$75)*'Beer Revenue'!AI113</f>
        <v>0</v>
      </c>
      <c r="AI36" s="313">
        <f>$A36*(1+Assumptions!$E$75)*'Beer Revenue'!AJ113</f>
        <v>0</v>
      </c>
      <c r="AJ36" s="313">
        <f>$A36*(1+Assumptions!$E$75)*'Beer Revenue'!AK113</f>
        <v>0</v>
      </c>
      <c r="AK36" s="313">
        <f>$A36*(1+Assumptions!$E$75)*'Beer Revenue'!AL113</f>
        <v>0</v>
      </c>
      <c r="AL36" s="313">
        <f>$A36*(1+Assumptions!$E$75)*'Beer Revenue'!AM113</f>
        <v>0</v>
      </c>
      <c r="AM36" s="313">
        <f>$A36*(1+Assumptions!$E$75)*'Beer Revenue'!AN113</f>
        <v>0</v>
      </c>
      <c r="AN36" s="313">
        <f>$A36*(1+Assumptions!$E$75)*'Beer Revenue'!AO113</f>
        <v>0</v>
      </c>
      <c r="AO36" s="313">
        <f>$A36*(1+Assumptions!$E$75)*'Beer Revenue'!AP113</f>
        <v>0</v>
      </c>
      <c r="AP36" s="313">
        <f>$A36*(1+Assumptions!$E$75)*'Beer Revenue'!AQ113</f>
        <v>0</v>
      </c>
      <c r="AQ36" s="313">
        <f>$A36*(1+Assumptions!$E$75)*'Beer Revenue'!AR113</f>
        <v>0</v>
      </c>
      <c r="AR36" s="313">
        <f>$A36*(1+Assumptions!$E$75)*'Beer Revenue'!AS113</f>
        <v>0</v>
      </c>
      <c r="AS36" s="311">
        <f t="shared" si="15"/>
        <v>0</v>
      </c>
      <c r="AT36" s="321">
        <f>$A36*(1+Assumptions!$F$75)*'Beer Revenue'!AU113</f>
        <v>0</v>
      </c>
      <c r="AU36" s="313">
        <f>$A36*(1+Assumptions!$F$75)*'Beer Revenue'!AV113</f>
        <v>0</v>
      </c>
      <c r="AV36" s="313">
        <f>$A36*(1+Assumptions!$F$75)*'Beer Revenue'!AW113</f>
        <v>0</v>
      </c>
      <c r="AW36" s="313">
        <f>$A36*(1+Assumptions!$F$75)*'Beer Revenue'!AX113</f>
        <v>0</v>
      </c>
      <c r="AX36" s="313">
        <f>$A36*(1+Assumptions!$F$75)*'Beer Revenue'!AY113</f>
        <v>0</v>
      </c>
      <c r="AY36" s="313">
        <f>$A36*(1+Assumptions!$F$75)*'Beer Revenue'!AZ113</f>
        <v>0</v>
      </c>
      <c r="AZ36" s="313">
        <f>$A36*(1+Assumptions!$F$75)*'Beer Revenue'!BA113</f>
        <v>0</v>
      </c>
      <c r="BA36" s="313">
        <f>$A36*(1+Assumptions!$F$75)*'Beer Revenue'!BB113</f>
        <v>0</v>
      </c>
      <c r="BB36" s="313">
        <f>$A36*(1+Assumptions!$F$75)*'Beer Revenue'!BC113</f>
        <v>0</v>
      </c>
      <c r="BC36" s="313">
        <f>$A36*(1+Assumptions!$F$75)*'Beer Revenue'!BD113</f>
        <v>0</v>
      </c>
      <c r="BD36" s="313">
        <f>$A36*(1+Assumptions!$F$75)*'Beer Revenue'!BE113</f>
        <v>0</v>
      </c>
      <c r="BE36" s="313">
        <f>$A36*(1+Assumptions!$F$75)*'Beer Revenue'!BF113</f>
        <v>0</v>
      </c>
      <c r="BF36" s="311">
        <f t="shared" si="7"/>
        <v>0</v>
      </c>
      <c r="BG36" s="321">
        <f>$A36*(1+Assumptions!$F$75)*'Beer Revenue'!BH113</f>
        <v>0</v>
      </c>
      <c r="BH36" s="313">
        <f>$A36*(1+Assumptions!$F$75)*'Beer Revenue'!BI113</f>
        <v>0</v>
      </c>
      <c r="BI36" s="313">
        <f>$A36*(1+Assumptions!$F$75)*'Beer Revenue'!BJ113</f>
        <v>0</v>
      </c>
      <c r="BJ36" s="313">
        <f>$A36*(1+Assumptions!$F$75)*'Beer Revenue'!BK113</f>
        <v>0</v>
      </c>
      <c r="BK36" s="313">
        <f>$A36*(1+Assumptions!$F$75)*'Beer Revenue'!BL113</f>
        <v>0</v>
      </c>
      <c r="BL36" s="313">
        <f>$A36*(1+Assumptions!$F$75)*'Beer Revenue'!BM113</f>
        <v>0</v>
      </c>
      <c r="BM36" s="313">
        <f>$A36*(1+Assumptions!$F$75)*'Beer Revenue'!BN113</f>
        <v>0</v>
      </c>
      <c r="BN36" s="313">
        <f>$A36*(1+Assumptions!$F$75)*'Beer Revenue'!BO113</f>
        <v>0</v>
      </c>
      <c r="BO36" s="313">
        <f>$A36*(1+Assumptions!$F$75)*'Beer Revenue'!BP113</f>
        <v>0</v>
      </c>
      <c r="BP36" s="313">
        <f>$A36*(1+Assumptions!$F$75)*'Beer Revenue'!BQ113</f>
        <v>0</v>
      </c>
      <c r="BQ36" s="313">
        <f>$A36*(1+Assumptions!$F$75)*'Beer Revenue'!BR113</f>
        <v>0</v>
      </c>
      <c r="BR36" s="313">
        <f>$A36*(1+Assumptions!$F$75)*'Beer Revenue'!BS113</f>
        <v>0</v>
      </c>
      <c r="BS36" s="311">
        <f>SUM(BG36:BR36)</f>
        <v>0</v>
      </c>
      <c r="BT36" s="311">
        <f t="shared" si="9"/>
        <v>0</v>
      </c>
    </row>
    <row r="37" spans="1:72" ht="15.75" customHeight="1">
      <c r="A37" s="59"/>
      <c r="B37" s="115"/>
      <c r="C37" s="2">
        <f t="shared" si="13"/>
        <v>0</v>
      </c>
      <c r="D37" s="2"/>
      <c r="E37" s="2"/>
      <c r="F37" s="2"/>
      <c r="G37" s="313">
        <f>$A37*'Beer Revenue'!H114</f>
        <v>0</v>
      </c>
      <c r="H37" s="313">
        <f>$A37*'Beer Revenue'!I114</f>
        <v>0</v>
      </c>
      <c r="I37" s="313">
        <f>$A37*'Beer Revenue'!J114</f>
        <v>0</v>
      </c>
      <c r="J37" s="313">
        <f>$A37*'Beer Revenue'!K114</f>
        <v>0</v>
      </c>
      <c r="K37" s="313">
        <f>$A37*'Beer Revenue'!L114</f>
        <v>0</v>
      </c>
      <c r="L37" s="313">
        <f>$A37*'Beer Revenue'!M114</f>
        <v>0</v>
      </c>
      <c r="M37" s="313">
        <f>$A37*'Beer Revenue'!N114</f>
        <v>0</v>
      </c>
      <c r="N37" s="313">
        <f>$A37*'Beer Revenue'!O114</f>
        <v>0</v>
      </c>
      <c r="O37" s="313">
        <f>$A37*'Beer Revenue'!P114</f>
        <v>0</v>
      </c>
      <c r="P37" s="313">
        <f>$A37*'Beer Revenue'!Q114</f>
        <v>0</v>
      </c>
      <c r="Q37" s="313">
        <f>$A37*'Beer Revenue'!R114</f>
        <v>0</v>
      </c>
      <c r="R37" s="313">
        <f>$A37*'Beer Revenue'!S114</f>
        <v>0</v>
      </c>
      <c r="S37" s="311">
        <f t="shared" si="4"/>
        <v>0</v>
      </c>
      <c r="T37" s="321">
        <f>$A37*(1+Assumptions!$D$75)*'Beer Revenue'!U114</f>
        <v>0</v>
      </c>
      <c r="U37" s="313">
        <f>$A37*(1+Assumptions!$D$75)*'Beer Revenue'!V114</f>
        <v>0</v>
      </c>
      <c r="V37" s="313">
        <f>$A37*(1+Assumptions!$D$75)*'Beer Revenue'!W114</f>
        <v>0</v>
      </c>
      <c r="W37" s="313">
        <f>$A37*(1+Assumptions!$D$75)*'Beer Revenue'!X114</f>
        <v>0</v>
      </c>
      <c r="X37" s="313">
        <f>$A37*(1+Assumptions!$D$75)*'Beer Revenue'!Y114</f>
        <v>0</v>
      </c>
      <c r="Y37" s="313">
        <f>$A37*(1+Assumptions!$D$75)*'Beer Revenue'!Z114</f>
        <v>0</v>
      </c>
      <c r="Z37" s="313">
        <f>$A37*(1+Assumptions!$D$75)*'Beer Revenue'!AA114</f>
        <v>0</v>
      </c>
      <c r="AA37" s="313">
        <f>$A37*(1+Assumptions!$D$75)*'Beer Revenue'!AB114</f>
        <v>0</v>
      </c>
      <c r="AB37" s="313">
        <f>$A37*(1+Assumptions!$D$75)*'Beer Revenue'!AC114</f>
        <v>0</v>
      </c>
      <c r="AC37" s="313">
        <f>$A37*(1+Assumptions!$D$75)*'Beer Revenue'!AD114</f>
        <v>0</v>
      </c>
      <c r="AD37" s="313">
        <f>$A37*(1+Assumptions!$D$75)*'Beer Revenue'!AE114</f>
        <v>0</v>
      </c>
      <c r="AE37" s="313">
        <f>$A37*(1+Assumptions!$D$75)*'Beer Revenue'!AF114</f>
        <v>0</v>
      </c>
      <c r="AF37" s="311">
        <f t="shared" si="14"/>
        <v>0</v>
      </c>
      <c r="AG37" s="321">
        <f>$A37*(1+Assumptions!$E$75)*'Beer Revenue'!AH114</f>
        <v>0</v>
      </c>
      <c r="AH37" s="313">
        <f>$A37*(1+Assumptions!$E$75)*'Beer Revenue'!AI114</f>
        <v>0</v>
      </c>
      <c r="AI37" s="313">
        <f>$A37*(1+Assumptions!$E$75)*'Beer Revenue'!AJ114</f>
        <v>0</v>
      </c>
      <c r="AJ37" s="313">
        <f>$A37*(1+Assumptions!$E$75)*'Beer Revenue'!AK114</f>
        <v>0</v>
      </c>
      <c r="AK37" s="313">
        <f>$A37*(1+Assumptions!$E$75)*'Beer Revenue'!AL114</f>
        <v>0</v>
      </c>
      <c r="AL37" s="313">
        <f>$A37*(1+Assumptions!$E$75)*'Beer Revenue'!AM114</f>
        <v>0</v>
      </c>
      <c r="AM37" s="313">
        <f>$A37*(1+Assumptions!$E$75)*'Beer Revenue'!AN114</f>
        <v>0</v>
      </c>
      <c r="AN37" s="313">
        <f>$A37*(1+Assumptions!$E$75)*'Beer Revenue'!AO114</f>
        <v>0</v>
      </c>
      <c r="AO37" s="313">
        <f>$A37*(1+Assumptions!$E$75)*'Beer Revenue'!AP114</f>
        <v>0</v>
      </c>
      <c r="AP37" s="313">
        <f>$A37*(1+Assumptions!$E$75)*'Beer Revenue'!AQ114</f>
        <v>0</v>
      </c>
      <c r="AQ37" s="313">
        <f>$A37*(1+Assumptions!$E$75)*'Beer Revenue'!AR114</f>
        <v>0</v>
      </c>
      <c r="AR37" s="313">
        <f>$A37*(1+Assumptions!$E$75)*'Beer Revenue'!AS114</f>
        <v>0</v>
      </c>
      <c r="AS37" s="311">
        <f t="shared" si="15"/>
        <v>0</v>
      </c>
      <c r="AT37" s="321">
        <f>$A37*(1+Assumptions!$F$75)*'Beer Revenue'!AU114</f>
        <v>0</v>
      </c>
      <c r="AU37" s="313">
        <f>$A37*(1+Assumptions!$F$75)*'Beer Revenue'!AV114</f>
        <v>0</v>
      </c>
      <c r="AV37" s="313">
        <f>$A37*(1+Assumptions!$F$75)*'Beer Revenue'!AW114</f>
        <v>0</v>
      </c>
      <c r="AW37" s="313">
        <f>$A37*(1+Assumptions!$F$75)*'Beer Revenue'!AX114</f>
        <v>0</v>
      </c>
      <c r="AX37" s="313">
        <f>$A37*(1+Assumptions!$F$75)*'Beer Revenue'!AY114</f>
        <v>0</v>
      </c>
      <c r="AY37" s="313">
        <f>$A37*(1+Assumptions!$F$75)*'Beer Revenue'!AZ114</f>
        <v>0</v>
      </c>
      <c r="AZ37" s="313">
        <f>$A37*(1+Assumptions!$F$75)*'Beer Revenue'!BA114</f>
        <v>0</v>
      </c>
      <c r="BA37" s="313">
        <f>$A37*(1+Assumptions!$F$75)*'Beer Revenue'!BB114</f>
        <v>0</v>
      </c>
      <c r="BB37" s="313">
        <f>$A37*(1+Assumptions!$F$75)*'Beer Revenue'!BC114</f>
        <v>0</v>
      </c>
      <c r="BC37" s="313">
        <f>$A37*(1+Assumptions!$F$75)*'Beer Revenue'!BD114</f>
        <v>0</v>
      </c>
      <c r="BD37" s="313">
        <f>$A37*(1+Assumptions!$F$75)*'Beer Revenue'!BE114</f>
        <v>0</v>
      </c>
      <c r="BE37" s="313">
        <f>$A37*(1+Assumptions!$F$75)*'Beer Revenue'!BF114</f>
        <v>0</v>
      </c>
      <c r="BF37" s="311">
        <f t="shared" si="7"/>
        <v>0</v>
      </c>
      <c r="BG37" s="321">
        <f>$A37*(1+Assumptions!$F$75)*'Beer Revenue'!BH114</f>
        <v>0</v>
      </c>
      <c r="BH37" s="313">
        <f>$A37*(1+Assumptions!$F$75)*'Beer Revenue'!BI114</f>
        <v>0</v>
      </c>
      <c r="BI37" s="313">
        <f>$A37*(1+Assumptions!$F$75)*'Beer Revenue'!BJ114</f>
        <v>0</v>
      </c>
      <c r="BJ37" s="313">
        <f>$A37*(1+Assumptions!$F$75)*'Beer Revenue'!BK114</f>
        <v>0</v>
      </c>
      <c r="BK37" s="313">
        <f>$A37*(1+Assumptions!$F$75)*'Beer Revenue'!BL114</f>
        <v>0</v>
      </c>
      <c r="BL37" s="313">
        <f>$A37*(1+Assumptions!$F$75)*'Beer Revenue'!BM114</f>
        <v>0</v>
      </c>
      <c r="BM37" s="313">
        <f>$A37*(1+Assumptions!$F$75)*'Beer Revenue'!BN114</f>
        <v>0</v>
      </c>
      <c r="BN37" s="313">
        <f>$A37*(1+Assumptions!$F$75)*'Beer Revenue'!BO114</f>
        <v>0</v>
      </c>
      <c r="BO37" s="313">
        <f>$A37*(1+Assumptions!$F$75)*'Beer Revenue'!BP114</f>
        <v>0</v>
      </c>
      <c r="BP37" s="313">
        <f>$A37*(1+Assumptions!$F$75)*'Beer Revenue'!BQ114</f>
        <v>0</v>
      </c>
      <c r="BQ37" s="313">
        <f>$A37*(1+Assumptions!$F$75)*'Beer Revenue'!BR114</f>
        <v>0</v>
      </c>
      <c r="BR37" s="313">
        <f>$A37*(1+Assumptions!$F$75)*'Beer Revenue'!BS114</f>
        <v>0</v>
      </c>
      <c r="BS37" s="311">
        <f>SUM(BG37:BR37)</f>
        <v>0</v>
      </c>
      <c r="BT37" s="311">
        <f t="shared" si="9"/>
        <v>0</v>
      </c>
    </row>
    <row r="38" spans="1:72" ht="15.75" customHeight="1">
      <c r="A38" s="59"/>
      <c r="B38" s="115"/>
      <c r="C38" s="2">
        <f t="shared" si="13"/>
        <v>0</v>
      </c>
      <c r="D38" s="2"/>
      <c r="E38" s="2"/>
      <c r="F38" s="2"/>
      <c r="G38" s="313">
        <f>$A38*'Beer Revenue'!H115</f>
        <v>0</v>
      </c>
      <c r="H38" s="313">
        <f>$A38*'Beer Revenue'!I115</f>
        <v>0</v>
      </c>
      <c r="I38" s="313">
        <f>$A38*'Beer Revenue'!J115</f>
        <v>0</v>
      </c>
      <c r="J38" s="313">
        <f>$A38*'Beer Revenue'!K115</f>
        <v>0</v>
      </c>
      <c r="K38" s="313">
        <f>$A38*'Beer Revenue'!L115</f>
        <v>0</v>
      </c>
      <c r="L38" s="313">
        <f>$A38*'Beer Revenue'!M115</f>
        <v>0</v>
      </c>
      <c r="M38" s="313">
        <f>$A38*'Beer Revenue'!N115</f>
        <v>0</v>
      </c>
      <c r="N38" s="313">
        <f>$A38*'Beer Revenue'!O115</f>
        <v>0</v>
      </c>
      <c r="O38" s="313">
        <f>$A38*'Beer Revenue'!P115</f>
        <v>0</v>
      </c>
      <c r="P38" s="313">
        <f>$A38*'Beer Revenue'!Q115</f>
        <v>0</v>
      </c>
      <c r="Q38" s="313">
        <f>$A38*'Beer Revenue'!R115</f>
        <v>0</v>
      </c>
      <c r="R38" s="313">
        <f>$A38*'Beer Revenue'!S115</f>
        <v>0</v>
      </c>
      <c r="S38" s="311">
        <f t="shared" si="4"/>
        <v>0</v>
      </c>
      <c r="T38" s="321">
        <f>$A38*(1+Assumptions!$D$75)*'Beer Revenue'!U115</f>
        <v>0</v>
      </c>
      <c r="U38" s="313">
        <f>$A38*(1+Assumptions!$D$75)*'Beer Revenue'!V115</f>
        <v>0</v>
      </c>
      <c r="V38" s="313">
        <f>$A38*(1+Assumptions!$D$75)*'Beer Revenue'!W115</f>
        <v>0</v>
      </c>
      <c r="W38" s="313">
        <f>$A38*(1+Assumptions!$D$75)*'Beer Revenue'!X115</f>
        <v>0</v>
      </c>
      <c r="X38" s="313">
        <f>$A38*(1+Assumptions!$D$75)*'Beer Revenue'!Y115</f>
        <v>0</v>
      </c>
      <c r="Y38" s="313">
        <f>$A38*(1+Assumptions!$D$75)*'Beer Revenue'!Z115</f>
        <v>0</v>
      </c>
      <c r="Z38" s="313">
        <f>$A38*(1+Assumptions!$D$75)*'Beer Revenue'!AA115</f>
        <v>0</v>
      </c>
      <c r="AA38" s="313">
        <f>$A38*(1+Assumptions!$D$75)*'Beer Revenue'!AB115</f>
        <v>0</v>
      </c>
      <c r="AB38" s="313">
        <f>$A38*(1+Assumptions!$D$75)*'Beer Revenue'!AC115</f>
        <v>0</v>
      </c>
      <c r="AC38" s="313">
        <f>$A38*(1+Assumptions!$D$75)*'Beer Revenue'!AD115</f>
        <v>0</v>
      </c>
      <c r="AD38" s="313">
        <f>$A38*(1+Assumptions!$D$75)*'Beer Revenue'!AE115</f>
        <v>0</v>
      </c>
      <c r="AE38" s="313">
        <f>$A38*(1+Assumptions!$D$75)*'Beer Revenue'!AF115</f>
        <v>0</v>
      </c>
      <c r="AF38" s="311">
        <f t="shared" si="14"/>
        <v>0</v>
      </c>
      <c r="AG38" s="321">
        <f>$A38*(1+Assumptions!$E$75)*'Beer Revenue'!AH115</f>
        <v>0</v>
      </c>
      <c r="AH38" s="313">
        <f>$A38*(1+Assumptions!$E$75)*'Beer Revenue'!AI115</f>
        <v>0</v>
      </c>
      <c r="AI38" s="313">
        <f>$A38*(1+Assumptions!$E$75)*'Beer Revenue'!AJ115</f>
        <v>0</v>
      </c>
      <c r="AJ38" s="313">
        <f>$A38*(1+Assumptions!$E$75)*'Beer Revenue'!AK115</f>
        <v>0</v>
      </c>
      <c r="AK38" s="313">
        <f>$A38*(1+Assumptions!$E$75)*'Beer Revenue'!AL115</f>
        <v>0</v>
      </c>
      <c r="AL38" s="313">
        <f>$A38*(1+Assumptions!$E$75)*'Beer Revenue'!AM115</f>
        <v>0</v>
      </c>
      <c r="AM38" s="313">
        <f>$A38*(1+Assumptions!$E$75)*'Beer Revenue'!AN115</f>
        <v>0</v>
      </c>
      <c r="AN38" s="313">
        <f>$A38*(1+Assumptions!$E$75)*'Beer Revenue'!AO115</f>
        <v>0</v>
      </c>
      <c r="AO38" s="313">
        <f>$A38*(1+Assumptions!$E$75)*'Beer Revenue'!AP115</f>
        <v>0</v>
      </c>
      <c r="AP38" s="313">
        <f>$A38*(1+Assumptions!$E$75)*'Beer Revenue'!AQ115</f>
        <v>0</v>
      </c>
      <c r="AQ38" s="313">
        <f>$A38*(1+Assumptions!$E$75)*'Beer Revenue'!AR115</f>
        <v>0</v>
      </c>
      <c r="AR38" s="313">
        <f>$A38*(1+Assumptions!$E$75)*'Beer Revenue'!AS115</f>
        <v>0</v>
      </c>
      <c r="AS38" s="311">
        <f t="shared" si="15"/>
        <v>0</v>
      </c>
      <c r="AT38" s="321">
        <f>$A38*(1+Assumptions!$F$75)*'Beer Revenue'!AU115</f>
        <v>0</v>
      </c>
      <c r="AU38" s="313">
        <f>$A38*(1+Assumptions!$F$75)*'Beer Revenue'!AV115</f>
        <v>0</v>
      </c>
      <c r="AV38" s="313">
        <f>$A38*(1+Assumptions!$F$75)*'Beer Revenue'!AW115</f>
        <v>0</v>
      </c>
      <c r="AW38" s="313">
        <f>$A38*(1+Assumptions!$F$75)*'Beer Revenue'!AX115</f>
        <v>0</v>
      </c>
      <c r="AX38" s="313">
        <f>$A38*(1+Assumptions!$F$75)*'Beer Revenue'!AY115</f>
        <v>0</v>
      </c>
      <c r="AY38" s="313">
        <f>$A38*(1+Assumptions!$F$75)*'Beer Revenue'!AZ115</f>
        <v>0</v>
      </c>
      <c r="AZ38" s="313">
        <f>$A38*(1+Assumptions!$F$75)*'Beer Revenue'!BA115</f>
        <v>0</v>
      </c>
      <c r="BA38" s="313">
        <f>$A38*(1+Assumptions!$F$75)*'Beer Revenue'!BB115</f>
        <v>0</v>
      </c>
      <c r="BB38" s="313">
        <f>$A38*(1+Assumptions!$F$75)*'Beer Revenue'!BC115</f>
        <v>0</v>
      </c>
      <c r="BC38" s="313">
        <f>$A38*(1+Assumptions!$F$75)*'Beer Revenue'!BD115</f>
        <v>0</v>
      </c>
      <c r="BD38" s="313">
        <f>$A38*(1+Assumptions!$F$75)*'Beer Revenue'!BE115</f>
        <v>0</v>
      </c>
      <c r="BE38" s="313">
        <f>$A38*(1+Assumptions!$F$75)*'Beer Revenue'!BF115</f>
        <v>0</v>
      </c>
      <c r="BF38" s="311">
        <f t="shared" si="7"/>
        <v>0</v>
      </c>
      <c r="BG38" s="321">
        <f>$A38*(1+Assumptions!$F$75)*'Beer Revenue'!BH115</f>
        <v>0</v>
      </c>
      <c r="BH38" s="313">
        <f>$A38*(1+Assumptions!$F$75)*'Beer Revenue'!BI115</f>
        <v>0</v>
      </c>
      <c r="BI38" s="313">
        <f>$A38*(1+Assumptions!$F$75)*'Beer Revenue'!BJ115</f>
        <v>0</v>
      </c>
      <c r="BJ38" s="313">
        <f>$A38*(1+Assumptions!$F$75)*'Beer Revenue'!BK115</f>
        <v>0</v>
      </c>
      <c r="BK38" s="313">
        <f>$A38*(1+Assumptions!$F$75)*'Beer Revenue'!BL115</f>
        <v>0</v>
      </c>
      <c r="BL38" s="313">
        <f>$A38*(1+Assumptions!$F$75)*'Beer Revenue'!BM115</f>
        <v>0</v>
      </c>
      <c r="BM38" s="313">
        <f>$A38*(1+Assumptions!$F$75)*'Beer Revenue'!BN115</f>
        <v>0</v>
      </c>
      <c r="BN38" s="313">
        <f>$A38*(1+Assumptions!$F$75)*'Beer Revenue'!BO115</f>
        <v>0</v>
      </c>
      <c r="BO38" s="313">
        <f>$A38*(1+Assumptions!$F$75)*'Beer Revenue'!BP115</f>
        <v>0</v>
      </c>
      <c r="BP38" s="313">
        <f>$A38*(1+Assumptions!$F$75)*'Beer Revenue'!BQ115</f>
        <v>0</v>
      </c>
      <c r="BQ38" s="313">
        <f>$A38*(1+Assumptions!$F$75)*'Beer Revenue'!BR115</f>
        <v>0</v>
      </c>
      <c r="BR38" s="313">
        <f>$A38*(1+Assumptions!$F$75)*'Beer Revenue'!BS115</f>
        <v>0</v>
      </c>
      <c r="BS38" s="311">
        <f>SUM(BG38:BR38)</f>
        <v>0</v>
      </c>
      <c r="BT38" s="311">
        <f t="shared" si="9"/>
        <v>0</v>
      </c>
    </row>
    <row r="39" spans="1:72" ht="15.75" customHeight="1">
      <c r="A39" s="59"/>
      <c r="B39" s="115"/>
      <c r="C39" s="2"/>
      <c r="D39" s="2"/>
      <c r="E39" s="2"/>
      <c r="F39" s="2"/>
      <c r="G39" s="312">
        <f>SUM(G26:G38)</f>
        <v>392.36414285714159</v>
      </c>
      <c r="H39" s="312">
        <f t="shared" ref="H39:S39" si="16">SUM(H26:H38)</f>
        <v>417.15058736558996</v>
      </c>
      <c r="I39" s="312">
        <f t="shared" si="16"/>
        <v>588.54621428571227</v>
      </c>
      <c r="J39" s="312">
        <f t="shared" si="16"/>
        <v>696.12993087557368</v>
      </c>
      <c r="K39" s="312">
        <f t="shared" si="16"/>
        <v>784.72828571428317</v>
      </c>
      <c r="L39" s="312">
        <f t="shared" si="16"/>
        <v>791.05673963133358</v>
      </c>
      <c r="M39" s="312">
        <f t="shared" si="16"/>
        <v>817.42529761904507</v>
      </c>
      <c r="N39" s="312">
        <f t="shared" si="16"/>
        <v>784.72828571428317</v>
      </c>
      <c r="O39" s="312">
        <f t="shared" si="16"/>
        <v>696.12993087557368</v>
      </c>
      <c r="P39" s="312">
        <f t="shared" si="16"/>
        <v>653.94023809523583</v>
      </c>
      <c r="Q39" s="312">
        <f t="shared" si="16"/>
        <v>569.56085253456013</v>
      </c>
      <c r="R39" s="312">
        <f t="shared" si="16"/>
        <v>523.15219047618859</v>
      </c>
      <c r="S39" s="312">
        <f t="shared" si="16"/>
        <v>7714.9126960445192</v>
      </c>
      <c r="T39" s="312">
        <f t="shared" ref="T39:AY39" si="17">SUM(T26:T38)</f>
        <v>529.69159285714113</v>
      </c>
      <c r="U39" s="312">
        <f t="shared" si="17"/>
        <v>563.15329294354649</v>
      </c>
      <c r="V39" s="312">
        <f t="shared" si="17"/>
        <v>794.53738928571158</v>
      </c>
      <c r="W39" s="312">
        <f t="shared" si="17"/>
        <v>939.77540668202437</v>
      </c>
      <c r="X39" s="312">
        <f t="shared" si="17"/>
        <v>1059.3831857142823</v>
      </c>
      <c r="Y39" s="312">
        <f t="shared" si="17"/>
        <v>1067.9265985023003</v>
      </c>
      <c r="Z39" s="312">
        <f t="shared" si="17"/>
        <v>1103.5241517857107</v>
      </c>
      <c r="AA39" s="312">
        <f t="shared" si="17"/>
        <v>1059.3831857142823</v>
      </c>
      <c r="AB39" s="312">
        <f t="shared" si="17"/>
        <v>939.77540668202437</v>
      </c>
      <c r="AC39" s="312">
        <f t="shared" si="17"/>
        <v>882.81932142856851</v>
      </c>
      <c r="AD39" s="312">
        <f t="shared" si="17"/>
        <v>768.90715092165647</v>
      </c>
      <c r="AE39" s="312">
        <f t="shared" si="17"/>
        <v>706.25545714285477</v>
      </c>
      <c r="AF39" s="312">
        <f t="shared" si="17"/>
        <v>10415.132139660103</v>
      </c>
      <c r="AG39" s="312">
        <f t="shared" si="17"/>
        <v>597.86486267856935</v>
      </c>
      <c r="AH39" s="312">
        <f t="shared" si="17"/>
        <v>635.63320749831769</v>
      </c>
      <c r="AI39" s="312">
        <f t="shared" si="17"/>
        <v>896.79729401785403</v>
      </c>
      <c r="AJ39" s="312">
        <f t="shared" si="17"/>
        <v>1060.7279821716552</v>
      </c>
      <c r="AK39" s="312">
        <f t="shared" si="17"/>
        <v>1195.7297253571387</v>
      </c>
      <c r="AL39" s="312">
        <f t="shared" si="17"/>
        <v>1205.3727070132445</v>
      </c>
      <c r="AM39" s="312">
        <f t="shared" si="17"/>
        <v>1245.5517972470197</v>
      </c>
      <c r="AN39" s="312">
        <f t="shared" si="17"/>
        <v>1195.7297253571387</v>
      </c>
      <c r="AO39" s="312">
        <f t="shared" si="17"/>
        <v>1060.7279821716552</v>
      </c>
      <c r="AP39" s="312">
        <f t="shared" si="17"/>
        <v>996.44143779761555</v>
      </c>
      <c r="AQ39" s="312">
        <f t="shared" si="17"/>
        <v>867.86834904953616</v>
      </c>
      <c r="AR39" s="312">
        <f t="shared" si="17"/>
        <v>797.15315023809251</v>
      </c>
      <c r="AS39" s="312">
        <f t="shared" si="17"/>
        <v>11755.598220597838</v>
      </c>
      <c r="AT39" s="312">
        <f t="shared" si="17"/>
        <v>645.24283292856933</v>
      </c>
      <c r="AU39" s="312">
        <f t="shared" si="17"/>
        <v>686.00414092271274</v>
      </c>
      <c r="AV39" s="312">
        <f t="shared" si="17"/>
        <v>967.86424939285371</v>
      </c>
      <c r="AW39" s="312">
        <f t="shared" si="17"/>
        <v>1144.7856713248809</v>
      </c>
      <c r="AX39" s="312">
        <f t="shared" si="17"/>
        <v>1290.4856658571387</v>
      </c>
      <c r="AY39" s="312">
        <f t="shared" si="17"/>
        <v>1300.8928083237281</v>
      </c>
      <c r="AZ39" s="312">
        <f t="shared" ref="AZ39:BS39" si="18">SUM(AZ26:AZ38)</f>
        <v>1344.2559019345194</v>
      </c>
      <c r="BA39" s="312">
        <f t="shared" si="18"/>
        <v>1290.4856658571387</v>
      </c>
      <c r="BB39" s="312">
        <f t="shared" si="18"/>
        <v>1144.7856713248809</v>
      </c>
      <c r="BC39" s="312">
        <f t="shared" si="18"/>
        <v>1075.4047215476155</v>
      </c>
      <c r="BD39" s="312">
        <f t="shared" si="18"/>
        <v>936.64282199308445</v>
      </c>
      <c r="BE39" s="312">
        <f t="shared" si="18"/>
        <v>860.32377723809225</v>
      </c>
      <c r="BF39" s="312">
        <f t="shared" si="18"/>
        <v>12687.173928645216</v>
      </c>
      <c r="BG39" s="312">
        <f t="shared" si="18"/>
        <v>709.76711622142636</v>
      </c>
      <c r="BH39" s="312">
        <f t="shared" si="18"/>
        <v>754.60455501498404</v>
      </c>
      <c r="BI39" s="312">
        <f t="shared" si="18"/>
        <v>1064.6506743321393</v>
      </c>
      <c r="BJ39" s="312">
        <f t="shared" si="18"/>
        <v>1259.2642384573692</v>
      </c>
      <c r="BK39" s="312">
        <f t="shared" si="18"/>
        <v>1419.5342324428527</v>
      </c>
      <c r="BL39" s="312">
        <f t="shared" si="18"/>
        <v>1430.982089156101</v>
      </c>
      <c r="BM39" s="312">
        <f t="shared" si="18"/>
        <v>1478.6814921279718</v>
      </c>
      <c r="BN39" s="312">
        <f t="shared" si="18"/>
        <v>1419.5342324428527</v>
      </c>
      <c r="BO39" s="312">
        <f t="shared" si="18"/>
        <v>1259.2642384573692</v>
      </c>
      <c r="BP39" s="312">
        <f t="shared" si="18"/>
        <v>1182.9451937023771</v>
      </c>
      <c r="BQ39" s="312">
        <f t="shared" si="18"/>
        <v>1030.3071041923927</v>
      </c>
      <c r="BR39" s="312">
        <f t="shared" si="18"/>
        <v>946.35615496190167</v>
      </c>
      <c r="BS39" s="312">
        <f t="shared" si="18"/>
        <v>13955.891321509736</v>
      </c>
      <c r="BT39" s="3"/>
    </row>
    <row r="40" spans="1:72" ht="15.75" customHeight="1">
      <c r="A40" s="59"/>
      <c r="B40" s="115"/>
      <c r="C40" s="2"/>
      <c r="D40" s="2"/>
      <c r="E40" s="2"/>
      <c r="F40" s="2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1"/>
      <c r="T40" s="321"/>
      <c r="U40" s="313"/>
      <c r="V40" s="313"/>
      <c r="W40" s="313"/>
      <c r="X40" s="313"/>
      <c r="Y40" s="313"/>
      <c r="Z40" s="313"/>
      <c r="AA40" s="313"/>
      <c r="AB40" s="313"/>
      <c r="AC40" s="313"/>
      <c r="AD40" s="313"/>
      <c r="AE40" s="313"/>
      <c r="AF40" s="311"/>
      <c r="AG40" s="321"/>
      <c r="AH40" s="313"/>
      <c r="AI40" s="313"/>
      <c r="AJ40" s="313"/>
      <c r="AK40" s="313"/>
      <c r="AL40" s="313"/>
      <c r="AM40" s="313"/>
      <c r="AN40" s="313"/>
      <c r="AO40" s="313"/>
      <c r="AP40" s="313"/>
      <c r="AQ40" s="313"/>
      <c r="AR40" s="313"/>
      <c r="AS40" s="311"/>
      <c r="AT40" s="321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1"/>
      <c r="BG40" s="321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1"/>
      <c r="BT40" s="3"/>
    </row>
    <row r="41" spans="1:72" ht="15.75" customHeight="1">
      <c r="A41" s="59"/>
      <c r="B41" s="115"/>
      <c r="C41" s="2"/>
      <c r="D41" s="2"/>
      <c r="E41" s="2"/>
      <c r="F41" s="2"/>
      <c r="G41" s="313"/>
      <c r="H41" s="313"/>
      <c r="I41" s="313"/>
      <c r="J41" s="313"/>
      <c r="K41" s="313"/>
      <c r="L41" s="313"/>
      <c r="M41" s="313"/>
      <c r="N41" s="313"/>
      <c r="O41" s="313"/>
      <c r="P41" s="313"/>
      <c r="Q41" s="313"/>
      <c r="R41" s="313"/>
      <c r="S41" s="311"/>
      <c r="T41" s="321"/>
      <c r="U41" s="313"/>
      <c r="V41" s="313"/>
      <c r="W41" s="313"/>
      <c r="X41" s="313"/>
      <c r="Y41" s="313"/>
      <c r="Z41" s="313"/>
      <c r="AA41" s="313"/>
      <c r="AB41" s="313"/>
      <c r="AC41" s="313"/>
      <c r="AD41" s="313"/>
      <c r="AE41" s="313"/>
      <c r="AF41" s="311"/>
      <c r="AG41" s="321"/>
      <c r="AH41" s="313"/>
      <c r="AI41" s="313"/>
      <c r="AJ41" s="313"/>
      <c r="AK41" s="313"/>
      <c r="AL41" s="313"/>
      <c r="AM41" s="313"/>
      <c r="AN41" s="313"/>
      <c r="AO41" s="313"/>
      <c r="AP41" s="313"/>
      <c r="AQ41" s="313"/>
      <c r="AR41" s="313"/>
      <c r="AS41" s="311"/>
      <c r="AT41" s="321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1"/>
      <c r="BG41" s="321"/>
      <c r="BH41" s="313"/>
      <c r="BI41" s="313"/>
      <c r="BJ41" s="313"/>
      <c r="BK41" s="313"/>
      <c r="BL41" s="313"/>
      <c r="BM41" s="313"/>
      <c r="BN41" s="313"/>
      <c r="BO41" s="313"/>
      <c r="BP41" s="313"/>
      <c r="BQ41" s="313"/>
      <c r="BR41" s="313"/>
      <c r="BS41" s="311"/>
      <c r="BT41" s="3"/>
    </row>
    <row r="42" spans="1:72" ht="15.75" customHeight="1">
      <c r="A42" s="59"/>
      <c r="B42" s="115"/>
      <c r="C42" s="2"/>
      <c r="D42" s="2"/>
      <c r="E42" s="2"/>
      <c r="F42" s="2"/>
      <c r="G42" s="313"/>
      <c r="H42" s="313"/>
      <c r="I42" s="313"/>
      <c r="J42" s="313"/>
      <c r="K42" s="313"/>
      <c r="L42" s="313"/>
      <c r="M42" s="313"/>
      <c r="N42" s="313"/>
      <c r="O42" s="313"/>
      <c r="P42" s="313"/>
      <c r="Q42" s="313"/>
      <c r="R42" s="313"/>
      <c r="S42" s="311"/>
      <c r="T42" s="321"/>
      <c r="U42" s="313"/>
      <c r="V42" s="313"/>
      <c r="W42" s="313"/>
      <c r="X42" s="313"/>
      <c r="Y42" s="313"/>
      <c r="Z42" s="313"/>
      <c r="AA42" s="313"/>
      <c r="AB42" s="313"/>
      <c r="AC42" s="313"/>
      <c r="AD42" s="313"/>
      <c r="AE42" s="313"/>
      <c r="AF42" s="311"/>
      <c r="AG42" s="321"/>
      <c r="AH42" s="313"/>
      <c r="AI42" s="313"/>
      <c r="AJ42" s="313"/>
      <c r="AK42" s="313"/>
      <c r="AL42" s="313"/>
      <c r="AM42" s="313"/>
      <c r="AN42" s="313"/>
      <c r="AO42" s="313"/>
      <c r="AP42" s="313"/>
      <c r="AQ42" s="313"/>
      <c r="AR42" s="313"/>
      <c r="AS42" s="311"/>
      <c r="AT42" s="321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1"/>
      <c r="BG42" s="321"/>
      <c r="BH42" s="313"/>
      <c r="BI42" s="313"/>
      <c r="BJ42" s="313"/>
      <c r="BK42" s="313"/>
      <c r="BL42" s="313"/>
      <c r="BM42" s="313"/>
      <c r="BN42" s="313"/>
      <c r="BO42" s="313"/>
      <c r="BP42" s="313"/>
      <c r="BQ42" s="313"/>
      <c r="BR42" s="313"/>
      <c r="BS42" s="311"/>
      <c r="BT42" s="3"/>
    </row>
    <row r="43" spans="1:72" ht="15.75" customHeight="1">
      <c r="A43" s="2"/>
      <c r="B43" s="2"/>
      <c r="C43" s="2"/>
      <c r="D43" s="2"/>
      <c r="E43" s="2"/>
      <c r="F43" s="2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11"/>
      <c r="T43" s="319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</row>
    <row r="44" spans="1:72" ht="15.75" customHeight="1"/>
    <row r="45" spans="1:72" ht="15.75" customHeight="1"/>
    <row r="46" spans="1:72" ht="15.75" customHeight="1"/>
    <row r="47" spans="1:72" ht="15.75" customHeight="1"/>
    <row r="48" spans="1:7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</sheetData>
  <sheetProtection sheet="1"/>
  <protectedRanges>
    <protectedRange sqref="A10:A23" name="Range1"/>
  </protectedRanges>
  <mergeCells count="1">
    <mergeCell ref="A7:B7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0519-DF51-443C-A217-F20E921A495C}">
  <dimension ref="A1:B10"/>
  <sheetViews>
    <sheetView workbookViewId="0">
      <selection activeCell="B10" sqref="B10"/>
    </sheetView>
  </sheetViews>
  <sheetFormatPr defaultRowHeight="15"/>
  <cols>
    <col min="1" max="1" width="16.140625" bestFit="1" customWidth="1"/>
  </cols>
  <sheetData>
    <row r="1" spans="1:2">
      <c r="A1" s="269"/>
      <c r="B1" s="269" t="s">
        <v>527</v>
      </c>
    </row>
    <row r="2" spans="1:2">
      <c r="A2" s="269" t="s">
        <v>523</v>
      </c>
      <c r="B2" s="270">
        <v>0.2</v>
      </c>
    </row>
    <row r="3" spans="1:2">
      <c r="A3" s="269" t="s">
        <v>526</v>
      </c>
      <c r="B3" s="270">
        <v>0.06</v>
      </c>
    </row>
    <row r="4" spans="1:2">
      <c r="A4" s="269" t="s">
        <v>524</v>
      </c>
      <c r="B4" s="270">
        <v>0.19</v>
      </c>
    </row>
    <row r="5" spans="1:2">
      <c r="A5" s="269" t="s">
        <v>525</v>
      </c>
      <c r="B5" s="270">
        <v>0.11</v>
      </c>
    </row>
    <row r="6" spans="1:2">
      <c r="A6" s="269" t="s">
        <v>425</v>
      </c>
      <c r="B6" s="270">
        <v>0.25</v>
      </c>
    </row>
    <row r="8" spans="1:2">
      <c r="A8" s="269" t="s">
        <v>530</v>
      </c>
      <c r="B8" s="257">
        <f>B9/6</f>
        <v>1.7116666666666667</v>
      </c>
    </row>
    <row r="9" spans="1:2">
      <c r="A9" s="269" t="s">
        <v>528</v>
      </c>
      <c r="B9" s="257">
        <f>(B2+B3+B5)*24+B4*6+B6</f>
        <v>10.27</v>
      </c>
    </row>
    <row r="10" spans="1:2">
      <c r="A10" s="269" t="s">
        <v>529</v>
      </c>
      <c r="B10" s="257">
        <f>B9*13.7777777777777</f>
        <v>141.49777777777697</v>
      </c>
    </row>
  </sheetData>
  <sheetProtection sheet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U1000"/>
  <sheetViews>
    <sheetView zoomScaleNormal="100" workbookViewId="0">
      <pane xSplit="7" ySplit="5" topLeftCell="H6" activePane="bottomRight" state="frozen"/>
      <selection pane="topRight" activeCell="H1" sqref="H1"/>
      <selection pane="bottomLeft" activeCell="A6" sqref="A6"/>
      <selection pane="bottomRight" activeCell="U34" sqref="U34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24.42578125" customWidth="1"/>
    <col min="4" max="5" width="8.7109375" customWidth="1"/>
    <col min="6" max="6" width="9.140625" customWidth="1"/>
    <col min="7" max="7" width="2.7109375" customWidth="1"/>
    <col min="8" max="19" width="11.5703125" customWidth="1"/>
    <col min="20" max="20" width="12.5703125" customWidth="1"/>
    <col min="21" max="21" width="11.5703125" customWidth="1"/>
    <col min="22" max="32" width="9.5703125" customWidth="1"/>
    <col min="33" max="33" width="12.5703125" bestFit="1" customWidth="1"/>
    <col min="34" max="34" width="11.5703125" customWidth="1"/>
    <col min="35" max="45" width="9.5703125" customWidth="1"/>
    <col min="46" max="46" width="12.5703125" bestFit="1" customWidth="1"/>
    <col min="47" max="47" width="11.5703125" customWidth="1"/>
    <col min="48" max="59" width="9.5703125" customWidth="1"/>
    <col min="60" max="60" width="11.5703125" customWidth="1"/>
    <col min="61" max="72" width="9.5703125" customWidth="1"/>
    <col min="73" max="73" width="12.5703125" customWidth="1"/>
  </cols>
  <sheetData>
    <row r="1" spans="1:73">
      <c r="A1" s="1" t="str">
        <f>Assumptions!A1</f>
        <v>Central Brewing Company</v>
      </c>
      <c r="B1" s="2"/>
      <c r="C1" s="2"/>
      <c r="D1" s="2"/>
      <c r="E1" s="2"/>
      <c r="F1" s="147"/>
      <c r="G1" s="14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</row>
    <row r="2" spans="1:73">
      <c r="A2" s="2" t="s">
        <v>274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</row>
    <row r="3" spans="1:73" ht="15.75" customHeight="1">
      <c r="A3" s="6"/>
      <c r="B3" s="7"/>
      <c r="C3" s="7"/>
      <c r="D3" s="2"/>
      <c r="E3" s="2"/>
      <c r="F3" s="2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2"/>
    </row>
    <row r="4" spans="1:73">
      <c r="A4" s="11"/>
      <c r="B4" s="11"/>
      <c r="C4" s="11"/>
      <c r="D4" s="368" t="s">
        <v>275</v>
      </c>
      <c r="E4" s="366"/>
      <c r="F4" s="366"/>
      <c r="G4" s="11"/>
      <c r="H4" s="31"/>
      <c r="I4" s="32"/>
      <c r="J4" s="32"/>
      <c r="K4" s="32"/>
      <c r="L4" s="32"/>
      <c r="M4" s="32"/>
      <c r="N4" s="33" t="s">
        <v>98</v>
      </c>
      <c r="O4" s="32"/>
      <c r="P4" s="32"/>
      <c r="Q4" s="32"/>
      <c r="R4" s="32"/>
      <c r="S4" s="32"/>
      <c r="T4" s="34"/>
      <c r="U4" s="31"/>
      <c r="V4" s="32"/>
      <c r="W4" s="32"/>
      <c r="X4" s="32"/>
      <c r="Y4" s="32"/>
      <c r="Z4" s="32"/>
      <c r="AA4" s="33" t="s">
        <v>99</v>
      </c>
      <c r="AB4" s="32"/>
      <c r="AC4" s="32"/>
      <c r="AD4" s="32"/>
      <c r="AE4" s="32"/>
      <c r="AF4" s="32"/>
      <c r="AG4" s="34"/>
      <c r="AH4" s="31"/>
      <c r="AI4" s="32"/>
      <c r="AJ4" s="32"/>
      <c r="AK4" s="32"/>
      <c r="AL4" s="32"/>
      <c r="AM4" s="32"/>
      <c r="AN4" s="33" t="s">
        <v>100</v>
      </c>
      <c r="AO4" s="32"/>
      <c r="AP4" s="32"/>
      <c r="AQ4" s="32"/>
      <c r="AR4" s="32"/>
      <c r="AS4" s="32"/>
      <c r="AT4" s="34"/>
      <c r="AU4" s="31"/>
      <c r="AV4" s="32"/>
      <c r="AW4" s="32"/>
      <c r="AX4" s="32"/>
      <c r="AY4" s="32"/>
      <c r="AZ4" s="32"/>
      <c r="BA4" s="33" t="s">
        <v>101</v>
      </c>
      <c r="BB4" s="32"/>
      <c r="BC4" s="32"/>
      <c r="BD4" s="32"/>
      <c r="BE4" s="32"/>
      <c r="BF4" s="32"/>
      <c r="BG4" s="34"/>
      <c r="BH4" s="31"/>
      <c r="BI4" s="32"/>
      <c r="BJ4" s="32"/>
      <c r="BK4" s="32"/>
      <c r="BL4" s="32"/>
      <c r="BM4" s="32"/>
      <c r="BN4" s="33" t="s">
        <v>102</v>
      </c>
      <c r="BO4" s="32"/>
      <c r="BP4" s="32"/>
      <c r="BQ4" s="32"/>
      <c r="BR4" s="32"/>
      <c r="BS4" s="32"/>
      <c r="BT4" s="34"/>
      <c r="BU4" s="2"/>
    </row>
    <row r="5" spans="1:73" ht="30" customHeight="1">
      <c r="A5" s="1"/>
      <c r="B5" s="1"/>
      <c r="C5" s="1"/>
      <c r="D5" s="36" t="s">
        <v>276</v>
      </c>
      <c r="E5" s="122" t="s">
        <v>277</v>
      </c>
      <c r="F5" s="36" t="s">
        <v>221</v>
      </c>
      <c r="G5" s="1"/>
      <c r="H5" s="35" t="str">
        <f>SOFP!F5</f>
        <v>Jan</v>
      </c>
      <c r="I5" s="35" t="str">
        <f>SOFP!G5</f>
        <v>Feb</v>
      </c>
      <c r="J5" s="35" t="str">
        <f>SOFP!H5</f>
        <v>Mar</v>
      </c>
      <c r="K5" s="35" t="str">
        <f>SOFP!I5</f>
        <v>Apr</v>
      </c>
      <c r="L5" s="35" t="str">
        <f>SOFP!J5</f>
        <v>May</v>
      </c>
      <c r="M5" s="35" t="str">
        <f>SOFP!K5</f>
        <v>Jun</v>
      </c>
      <c r="N5" s="35" t="str">
        <f>SOFP!L5</f>
        <v>Jul</v>
      </c>
      <c r="O5" s="35" t="str">
        <f>SOFP!M5</f>
        <v>Aug</v>
      </c>
      <c r="P5" s="35" t="str">
        <f>SOFP!N5</f>
        <v>Sep</v>
      </c>
      <c r="Q5" s="35" t="str">
        <f>SOFP!O5</f>
        <v>Oct</v>
      </c>
      <c r="R5" s="35" t="str">
        <f>SOFP!P5</f>
        <v>Nov</v>
      </c>
      <c r="S5" s="35" t="str">
        <f>SOFP!Q5</f>
        <v>Dec</v>
      </c>
      <c r="T5" s="36" t="s">
        <v>116</v>
      </c>
      <c r="U5" s="35" t="str">
        <f t="shared" ref="U5:AF5" si="0">H5</f>
        <v>Jan</v>
      </c>
      <c r="V5" s="35" t="str">
        <f t="shared" si="0"/>
        <v>Feb</v>
      </c>
      <c r="W5" s="35" t="str">
        <f t="shared" si="0"/>
        <v>Mar</v>
      </c>
      <c r="X5" s="35" t="str">
        <f t="shared" si="0"/>
        <v>Apr</v>
      </c>
      <c r="Y5" s="35" t="str">
        <f t="shared" si="0"/>
        <v>May</v>
      </c>
      <c r="Z5" s="35" t="str">
        <f t="shared" si="0"/>
        <v>Jun</v>
      </c>
      <c r="AA5" s="35" t="str">
        <f t="shared" si="0"/>
        <v>Jul</v>
      </c>
      <c r="AB5" s="35" t="str">
        <f t="shared" si="0"/>
        <v>Aug</v>
      </c>
      <c r="AC5" s="35" t="str">
        <f t="shared" si="0"/>
        <v>Sep</v>
      </c>
      <c r="AD5" s="35" t="str">
        <f t="shared" si="0"/>
        <v>Oct</v>
      </c>
      <c r="AE5" s="35" t="str">
        <f t="shared" si="0"/>
        <v>Nov</v>
      </c>
      <c r="AF5" s="35" t="str">
        <f t="shared" si="0"/>
        <v>Dec</v>
      </c>
      <c r="AG5" s="36" t="s">
        <v>116</v>
      </c>
      <c r="AH5" s="35" t="str">
        <f t="shared" ref="AH5:AS5" si="1">U5</f>
        <v>Jan</v>
      </c>
      <c r="AI5" s="35" t="str">
        <f t="shared" si="1"/>
        <v>Feb</v>
      </c>
      <c r="AJ5" s="35" t="str">
        <f t="shared" si="1"/>
        <v>Mar</v>
      </c>
      <c r="AK5" s="35" t="str">
        <f t="shared" si="1"/>
        <v>Apr</v>
      </c>
      <c r="AL5" s="35" t="str">
        <f t="shared" si="1"/>
        <v>May</v>
      </c>
      <c r="AM5" s="35" t="str">
        <f t="shared" si="1"/>
        <v>Jun</v>
      </c>
      <c r="AN5" s="35" t="str">
        <f t="shared" si="1"/>
        <v>Jul</v>
      </c>
      <c r="AO5" s="35" t="str">
        <f t="shared" si="1"/>
        <v>Aug</v>
      </c>
      <c r="AP5" s="35" t="str">
        <f t="shared" si="1"/>
        <v>Sep</v>
      </c>
      <c r="AQ5" s="35" t="str">
        <f t="shared" si="1"/>
        <v>Oct</v>
      </c>
      <c r="AR5" s="35" t="str">
        <f t="shared" si="1"/>
        <v>Nov</v>
      </c>
      <c r="AS5" s="35" t="str">
        <f t="shared" si="1"/>
        <v>Dec</v>
      </c>
      <c r="AT5" s="36" t="s">
        <v>116</v>
      </c>
      <c r="AU5" s="35" t="str">
        <f t="shared" ref="AU5:BF5" si="2">AH5</f>
        <v>Jan</v>
      </c>
      <c r="AV5" s="35" t="str">
        <f t="shared" si="2"/>
        <v>Feb</v>
      </c>
      <c r="AW5" s="35" t="str">
        <f t="shared" si="2"/>
        <v>Mar</v>
      </c>
      <c r="AX5" s="35" t="str">
        <f t="shared" si="2"/>
        <v>Apr</v>
      </c>
      <c r="AY5" s="35" t="str">
        <f t="shared" si="2"/>
        <v>May</v>
      </c>
      <c r="AZ5" s="35" t="str">
        <f t="shared" si="2"/>
        <v>Jun</v>
      </c>
      <c r="BA5" s="35" t="str">
        <f t="shared" si="2"/>
        <v>Jul</v>
      </c>
      <c r="BB5" s="35" t="str">
        <f t="shared" si="2"/>
        <v>Aug</v>
      </c>
      <c r="BC5" s="35" t="str">
        <f t="shared" si="2"/>
        <v>Sep</v>
      </c>
      <c r="BD5" s="35" t="str">
        <f t="shared" si="2"/>
        <v>Oct</v>
      </c>
      <c r="BE5" s="35" t="str">
        <f t="shared" si="2"/>
        <v>Nov</v>
      </c>
      <c r="BF5" s="35" t="str">
        <f t="shared" si="2"/>
        <v>Dec</v>
      </c>
      <c r="BG5" s="36" t="s">
        <v>116</v>
      </c>
      <c r="BH5" s="35" t="str">
        <f t="shared" ref="BH5:BS5" si="3">AU5</f>
        <v>Jan</v>
      </c>
      <c r="BI5" s="35" t="str">
        <f t="shared" si="3"/>
        <v>Feb</v>
      </c>
      <c r="BJ5" s="35" t="str">
        <f t="shared" si="3"/>
        <v>Mar</v>
      </c>
      <c r="BK5" s="35" t="str">
        <f t="shared" si="3"/>
        <v>Apr</v>
      </c>
      <c r="BL5" s="35" t="str">
        <f t="shared" si="3"/>
        <v>May</v>
      </c>
      <c r="BM5" s="35" t="str">
        <f t="shared" si="3"/>
        <v>Jun</v>
      </c>
      <c r="BN5" s="35" t="str">
        <f t="shared" si="3"/>
        <v>Jul</v>
      </c>
      <c r="BO5" s="35" t="str">
        <f t="shared" si="3"/>
        <v>Aug</v>
      </c>
      <c r="BP5" s="35" t="str">
        <f t="shared" si="3"/>
        <v>Sep</v>
      </c>
      <c r="BQ5" s="35" t="str">
        <f t="shared" si="3"/>
        <v>Oct</v>
      </c>
      <c r="BR5" s="35" t="str">
        <f t="shared" si="3"/>
        <v>Nov</v>
      </c>
      <c r="BS5" s="35" t="str">
        <f t="shared" si="3"/>
        <v>Dec</v>
      </c>
      <c r="BT5" s="36" t="s">
        <v>116</v>
      </c>
      <c r="BU5" s="36" t="s">
        <v>117</v>
      </c>
    </row>
    <row r="6" spans="1:73">
      <c r="B6" s="2" t="s">
        <v>278</v>
      </c>
      <c r="C6" s="2"/>
      <c r="D6" s="2"/>
      <c r="E6" s="322">
        <v>0.25</v>
      </c>
      <c r="F6" s="147"/>
      <c r="G6" s="147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</row>
    <row r="7" spans="1:73">
      <c r="B7" s="2"/>
      <c r="C7" s="148" t="s">
        <v>538</v>
      </c>
      <c r="D7" s="323">
        <v>50000</v>
      </c>
      <c r="E7" s="3">
        <f>E$6*$D7</f>
        <v>12500</v>
      </c>
      <c r="F7" s="149">
        <f>SUM(D7:E7)</f>
        <v>62500</v>
      </c>
      <c r="G7" s="150"/>
      <c r="H7" s="3">
        <f t="shared" ref="H7:S7" si="4">ROUND(($F7/12)*H8,0)</f>
        <v>5208</v>
      </c>
      <c r="I7" s="3">
        <f t="shared" si="4"/>
        <v>5208</v>
      </c>
      <c r="J7" s="3">
        <f t="shared" si="4"/>
        <v>5208</v>
      </c>
      <c r="K7" s="3">
        <f t="shared" si="4"/>
        <v>5208</v>
      </c>
      <c r="L7" s="3">
        <f t="shared" si="4"/>
        <v>5208</v>
      </c>
      <c r="M7" s="3">
        <f t="shared" si="4"/>
        <v>5208</v>
      </c>
      <c r="N7" s="3">
        <f t="shared" si="4"/>
        <v>5208</v>
      </c>
      <c r="O7" s="3">
        <f t="shared" si="4"/>
        <v>5208</v>
      </c>
      <c r="P7" s="3">
        <f t="shared" si="4"/>
        <v>5208</v>
      </c>
      <c r="Q7" s="3">
        <f t="shared" si="4"/>
        <v>5208</v>
      </c>
      <c r="R7" s="3">
        <f t="shared" si="4"/>
        <v>5208</v>
      </c>
      <c r="S7" s="3">
        <f t="shared" si="4"/>
        <v>5208</v>
      </c>
      <c r="T7" s="3">
        <f>SUM(H7:S7)</f>
        <v>62496</v>
      </c>
      <c r="U7" s="3">
        <f>ROUND(($F7/12)*U8,0)</f>
        <v>5208</v>
      </c>
      <c r="V7" s="3">
        <f t="shared" ref="V7:AF7" si="5">ROUND(($F7/12)*V8,0)</f>
        <v>5208</v>
      </c>
      <c r="W7" s="3">
        <f t="shared" si="5"/>
        <v>5208</v>
      </c>
      <c r="X7" s="3">
        <f t="shared" si="5"/>
        <v>5208</v>
      </c>
      <c r="Y7" s="3">
        <f t="shared" si="5"/>
        <v>5208</v>
      </c>
      <c r="Z7" s="3">
        <f t="shared" si="5"/>
        <v>5208</v>
      </c>
      <c r="AA7" s="3">
        <f t="shared" si="5"/>
        <v>5208</v>
      </c>
      <c r="AB7" s="3">
        <f t="shared" si="5"/>
        <v>5208</v>
      </c>
      <c r="AC7" s="3">
        <f t="shared" si="5"/>
        <v>5208</v>
      </c>
      <c r="AD7" s="3">
        <f t="shared" si="5"/>
        <v>5208</v>
      </c>
      <c r="AE7" s="3">
        <f t="shared" si="5"/>
        <v>5208</v>
      </c>
      <c r="AF7" s="3">
        <f t="shared" si="5"/>
        <v>5208</v>
      </c>
      <c r="AG7" s="3">
        <f>SUM(U7:AF7)</f>
        <v>62496</v>
      </c>
      <c r="AH7" s="3">
        <f t="shared" ref="AH7:AS7" si="6">ROUND(($F7/12)*AH8,0)</f>
        <v>5208</v>
      </c>
      <c r="AI7" s="3">
        <f t="shared" si="6"/>
        <v>5208</v>
      </c>
      <c r="AJ7" s="3">
        <f t="shared" si="6"/>
        <v>5208</v>
      </c>
      <c r="AK7" s="3">
        <f t="shared" si="6"/>
        <v>5208</v>
      </c>
      <c r="AL7" s="3">
        <f t="shared" si="6"/>
        <v>5208</v>
      </c>
      <c r="AM7" s="3">
        <f t="shared" si="6"/>
        <v>5208</v>
      </c>
      <c r="AN7" s="3">
        <f t="shared" si="6"/>
        <v>5208</v>
      </c>
      <c r="AO7" s="3">
        <f t="shared" si="6"/>
        <v>5208</v>
      </c>
      <c r="AP7" s="3">
        <f t="shared" si="6"/>
        <v>5208</v>
      </c>
      <c r="AQ7" s="3">
        <f t="shared" si="6"/>
        <v>5208</v>
      </c>
      <c r="AR7" s="3">
        <f t="shared" si="6"/>
        <v>5208</v>
      </c>
      <c r="AS7" s="3">
        <f t="shared" si="6"/>
        <v>5208</v>
      </c>
      <c r="AT7" s="3">
        <f>SUM(AH7:AS7)</f>
        <v>62496</v>
      </c>
      <c r="AU7" s="3">
        <f t="shared" ref="AU7:BF7" si="7">ROUND(($F7/12)*AU8,0)</f>
        <v>5208</v>
      </c>
      <c r="AV7" s="3">
        <f t="shared" si="7"/>
        <v>5208</v>
      </c>
      <c r="AW7" s="3">
        <f t="shared" si="7"/>
        <v>5208</v>
      </c>
      <c r="AX7" s="3">
        <f t="shared" si="7"/>
        <v>5208</v>
      </c>
      <c r="AY7" s="3">
        <f t="shared" si="7"/>
        <v>5208</v>
      </c>
      <c r="AZ7" s="3">
        <f t="shared" si="7"/>
        <v>5208</v>
      </c>
      <c r="BA7" s="3">
        <f t="shared" si="7"/>
        <v>5208</v>
      </c>
      <c r="BB7" s="3">
        <f t="shared" si="7"/>
        <v>5208</v>
      </c>
      <c r="BC7" s="3">
        <f t="shared" si="7"/>
        <v>5208</v>
      </c>
      <c r="BD7" s="3">
        <f t="shared" si="7"/>
        <v>5208</v>
      </c>
      <c r="BE7" s="3">
        <f t="shared" si="7"/>
        <v>5208</v>
      </c>
      <c r="BF7" s="3">
        <f t="shared" si="7"/>
        <v>5208</v>
      </c>
      <c r="BG7" s="3">
        <f>SUM(AU7:BF7)</f>
        <v>62496</v>
      </c>
      <c r="BH7" s="3">
        <f t="shared" ref="BH7:BS7" si="8">ROUND(($F7/12)*BH8,0)</f>
        <v>5208</v>
      </c>
      <c r="BI7" s="3">
        <f t="shared" si="8"/>
        <v>5208</v>
      </c>
      <c r="BJ7" s="3">
        <f t="shared" si="8"/>
        <v>5208</v>
      </c>
      <c r="BK7" s="3">
        <f t="shared" si="8"/>
        <v>5208</v>
      </c>
      <c r="BL7" s="3">
        <f t="shared" si="8"/>
        <v>5208</v>
      </c>
      <c r="BM7" s="3">
        <f t="shared" si="8"/>
        <v>5208</v>
      </c>
      <c r="BN7" s="3">
        <f t="shared" si="8"/>
        <v>5208</v>
      </c>
      <c r="BO7" s="3">
        <f t="shared" si="8"/>
        <v>5208</v>
      </c>
      <c r="BP7" s="3">
        <f t="shared" si="8"/>
        <v>5208</v>
      </c>
      <c r="BQ7" s="3">
        <f t="shared" si="8"/>
        <v>5208</v>
      </c>
      <c r="BR7" s="3">
        <f t="shared" si="8"/>
        <v>5208</v>
      </c>
      <c r="BS7" s="3">
        <f t="shared" si="8"/>
        <v>5208</v>
      </c>
      <c r="BT7" s="3">
        <f>SUM(BH7:BS7)</f>
        <v>62496</v>
      </c>
      <c r="BU7" s="3">
        <f>T7+AG7+AT7+BG7+BT7</f>
        <v>312480</v>
      </c>
    </row>
    <row r="8" spans="1:73">
      <c r="A8" s="2"/>
      <c r="B8" s="2"/>
      <c r="C8" s="2"/>
      <c r="D8" s="38"/>
      <c r="E8" s="2"/>
      <c r="F8" s="150"/>
      <c r="G8" s="150"/>
      <c r="H8" s="322">
        <v>1</v>
      </c>
      <c r="I8" s="60">
        <f t="shared" ref="I8:S8" si="9">H8</f>
        <v>1</v>
      </c>
      <c r="J8" s="60">
        <f t="shared" si="9"/>
        <v>1</v>
      </c>
      <c r="K8" s="60">
        <f t="shared" si="9"/>
        <v>1</v>
      </c>
      <c r="L8" s="60">
        <f t="shared" si="9"/>
        <v>1</v>
      </c>
      <c r="M8" s="60">
        <f t="shared" si="9"/>
        <v>1</v>
      </c>
      <c r="N8" s="60">
        <f t="shared" si="9"/>
        <v>1</v>
      </c>
      <c r="O8" s="60">
        <f t="shared" si="9"/>
        <v>1</v>
      </c>
      <c r="P8" s="60">
        <f t="shared" si="9"/>
        <v>1</v>
      </c>
      <c r="Q8" s="60">
        <f t="shared" si="9"/>
        <v>1</v>
      </c>
      <c r="R8" s="60">
        <f t="shared" si="9"/>
        <v>1</v>
      </c>
      <c r="S8" s="60">
        <f t="shared" si="9"/>
        <v>1</v>
      </c>
      <c r="T8" s="60"/>
      <c r="U8" s="322">
        <v>1</v>
      </c>
      <c r="V8" s="60">
        <f t="shared" ref="V8:AF8" si="10">U8</f>
        <v>1</v>
      </c>
      <c r="W8" s="60">
        <f t="shared" si="10"/>
        <v>1</v>
      </c>
      <c r="X8" s="60">
        <f t="shared" si="10"/>
        <v>1</v>
      </c>
      <c r="Y8" s="60">
        <f t="shared" si="10"/>
        <v>1</v>
      </c>
      <c r="Z8" s="60">
        <f t="shared" si="10"/>
        <v>1</v>
      </c>
      <c r="AA8" s="60">
        <f t="shared" si="10"/>
        <v>1</v>
      </c>
      <c r="AB8" s="60">
        <f t="shared" si="10"/>
        <v>1</v>
      </c>
      <c r="AC8" s="60">
        <f t="shared" si="10"/>
        <v>1</v>
      </c>
      <c r="AD8" s="60">
        <f t="shared" si="10"/>
        <v>1</v>
      </c>
      <c r="AE8" s="60">
        <f t="shared" si="10"/>
        <v>1</v>
      </c>
      <c r="AF8" s="60">
        <f t="shared" si="10"/>
        <v>1</v>
      </c>
      <c r="AG8" s="60"/>
      <c r="AH8" s="322">
        <v>1</v>
      </c>
      <c r="AI8" s="60">
        <f t="shared" ref="AI8:AS8" si="11">AH8</f>
        <v>1</v>
      </c>
      <c r="AJ8" s="60">
        <f t="shared" si="11"/>
        <v>1</v>
      </c>
      <c r="AK8" s="60">
        <f t="shared" si="11"/>
        <v>1</v>
      </c>
      <c r="AL8" s="60">
        <f t="shared" si="11"/>
        <v>1</v>
      </c>
      <c r="AM8" s="60">
        <f t="shared" si="11"/>
        <v>1</v>
      </c>
      <c r="AN8" s="60">
        <f t="shared" si="11"/>
        <v>1</v>
      </c>
      <c r="AO8" s="60">
        <f t="shared" si="11"/>
        <v>1</v>
      </c>
      <c r="AP8" s="60">
        <f t="shared" si="11"/>
        <v>1</v>
      </c>
      <c r="AQ8" s="60">
        <f t="shared" si="11"/>
        <v>1</v>
      </c>
      <c r="AR8" s="60">
        <f t="shared" si="11"/>
        <v>1</v>
      </c>
      <c r="AS8" s="60">
        <f t="shared" si="11"/>
        <v>1</v>
      </c>
      <c r="AT8" s="60"/>
      <c r="AU8" s="322">
        <v>1</v>
      </c>
      <c r="AV8" s="60">
        <f t="shared" ref="AV8:BF8" si="12">AU8</f>
        <v>1</v>
      </c>
      <c r="AW8" s="60">
        <f t="shared" si="12"/>
        <v>1</v>
      </c>
      <c r="AX8" s="60">
        <f t="shared" si="12"/>
        <v>1</v>
      </c>
      <c r="AY8" s="60">
        <f t="shared" si="12"/>
        <v>1</v>
      </c>
      <c r="AZ8" s="60">
        <f t="shared" si="12"/>
        <v>1</v>
      </c>
      <c r="BA8" s="60">
        <f t="shared" si="12"/>
        <v>1</v>
      </c>
      <c r="BB8" s="60">
        <f t="shared" si="12"/>
        <v>1</v>
      </c>
      <c r="BC8" s="60">
        <f t="shared" si="12"/>
        <v>1</v>
      </c>
      <c r="BD8" s="60">
        <f t="shared" si="12"/>
        <v>1</v>
      </c>
      <c r="BE8" s="60">
        <f t="shared" si="12"/>
        <v>1</v>
      </c>
      <c r="BF8" s="60">
        <f t="shared" si="12"/>
        <v>1</v>
      </c>
      <c r="BG8" s="60"/>
      <c r="BH8" s="322">
        <v>1</v>
      </c>
      <c r="BI8" s="60">
        <f t="shared" ref="BI8:BS8" si="13">BH8</f>
        <v>1</v>
      </c>
      <c r="BJ8" s="60">
        <f t="shared" si="13"/>
        <v>1</v>
      </c>
      <c r="BK8" s="60">
        <f t="shared" si="13"/>
        <v>1</v>
      </c>
      <c r="BL8" s="60">
        <f t="shared" si="13"/>
        <v>1</v>
      </c>
      <c r="BM8" s="60">
        <f t="shared" si="13"/>
        <v>1</v>
      </c>
      <c r="BN8" s="60">
        <f t="shared" si="13"/>
        <v>1</v>
      </c>
      <c r="BO8" s="60">
        <f t="shared" si="13"/>
        <v>1</v>
      </c>
      <c r="BP8" s="60">
        <f t="shared" si="13"/>
        <v>1</v>
      </c>
      <c r="BQ8" s="60">
        <f t="shared" si="13"/>
        <v>1</v>
      </c>
      <c r="BR8" s="60">
        <f t="shared" si="13"/>
        <v>1</v>
      </c>
      <c r="BS8" s="60">
        <f t="shared" si="13"/>
        <v>1</v>
      </c>
      <c r="BT8" s="60"/>
      <c r="BU8" s="60"/>
    </row>
    <row r="9" spans="1:73">
      <c r="B9" s="2"/>
      <c r="C9" s="148" t="s">
        <v>541</v>
      </c>
      <c r="D9" s="323">
        <v>35000</v>
      </c>
      <c r="E9" s="3">
        <f>E$6*$D9</f>
        <v>8750</v>
      </c>
      <c r="F9" s="149">
        <f>SUM(D9:E9)</f>
        <v>43750</v>
      </c>
      <c r="G9" s="60"/>
      <c r="H9" s="3">
        <f t="shared" ref="H9:S9" si="14">ROUND(($F9/12)*H10,0)</f>
        <v>0</v>
      </c>
      <c r="I9" s="3">
        <f t="shared" si="14"/>
        <v>0</v>
      </c>
      <c r="J9" s="3">
        <f t="shared" si="14"/>
        <v>0</v>
      </c>
      <c r="K9" s="3">
        <f t="shared" si="14"/>
        <v>0</v>
      </c>
      <c r="L9" s="3">
        <f t="shared" si="14"/>
        <v>0</v>
      </c>
      <c r="M9" s="3">
        <f t="shared" si="14"/>
        <v>0</v>
      </c>
      <c r="N9" s="3">
        <f t="shared" si="14"/>
        <v>0</v>
      </c>
      <c r="O9" s="3">
        <f t="shared" si="14"/>
        <v>0</v>
      </c>
      <c r="P9" s="3">
        <f t="shared" si="14"/>
        <v>0</v>
      </c>
      <c r="Q9" s="3">
        <f t="shared" si="14"/>
        <v>0</v>
      </c>
      <c r="R9" s="3">
        <f t="shared" si="14"/>
        <v>0</v>
      </c>
      <c r="S9" s="3">
        <f t="shared" si="14"/>
        <v>0</v>
      </c>
      <c r="T9" s="3">
        <f>SUM(H9:S9)</f>
        <v>0</v>
      </c>
      <c r="U9" s="3">
        <f t="shared" ref="U9:AF9" si="15">ROUND(($F9/12)*U10,0)</f>
        <v>911</v>
      </c>
      <c r="V9" s="3">
        <f t="shared" si="15"/>
        <v>911</v>
      </c>
      <c r="W9" s="3">
        <f t="shared" si="15"/>
        <v>911</v>
      </c>
      <c r="X9" s="3">
        <f t="shared" si="15"/>
        <v>911</v>
      </c>
      <c r="Y9" s="3">
        <f t="shared" si="15"/>
        <v>911</v>
      </c>
      <c r="Z9" s="3">
        <f t="shared" si="15"/>
        <v>911</v>
      </c>
      <c r="AA9" s="3">
        <f t="shared" si="15"/>
        <v>911</v>
      </c>
      <c r="AB9" s="3">
        <f t="shared" si="15"/>
        <v>911</v>
      </c>
      <c r="AC9" s="3">
        <f t="shared" si="15"/>
        <v>911</v>
      </c>
      <c r="AD9" s="3">
        <f t="shared" si="15"/>
        <v>911</v>
      </c>
      <c r="AE9" s="3">
        <f t="shared" si="15"/>
        <v>911</v>
      </c>
      <c r="AF9" s="3">
        <f t="shared" si="15"/>
        <v>911</v>
      </c>
      <c r="AG9" s="3">
        <f>SUM(U9:AF9)</f>
        <v>10932</v>
      </c>
      <c r="AH9" s="3">
        <f t="shared" ref="AH9:AS9" si="16">ROUND(($F9/12)*AH10,0)</f>
        <v>1823</v>
      </c>
      <c r="AI9" s="3">
        <f t="shared" si="16"/>
        <v>1823</v>
      </c>
      <c r="AJ9" s="3">
        <f t="shared" si="16"/>
        <v>1823</v>
      </c>
      <c r="AK9" s="3">
        <f t="shared" si="16"/>
        <v>1823</v>
      </c>
      <c r="AL9" s="3">
        <f t="shared" si="16"/>
        <v>1823</v>
      </c>
      <c r="AM9" s="3">
        <f t="shared" si="16"/>
        <v>1823</v>
      </c>
      <c r="AN9" s="3">
        <f t="shared" si="16"/>
        <v>1823</v>
      </c>
      <c r="AO9" s="3">
        <f t="shared" si="16"/>
        <v>1823</v>
      </c>
      <c r="AP9" s="3">
        <f t="shared" si="16"/>
        <v>1823</v>
      </c>
      <c r="AQ9" s="3">
        <f t="shared" si="16"/>
        <v>1823</v>
      </c>
      <c r="AR9" s="3">
        <f t="shared" si="16"/>
        <v>1823</v>
      </c>
      <c r="AS9" s="3">
        <f t="shared" si="16"/>
        <v>1823</v>
      </c>
      <c r="AT9" s="3">
        <f>SUM(AH9:AS9)</f>
        <v>21876</v>
      </c>
      <c r="AU9" s="3">
        <f t="shared" ref="AU9:BF9" si="17">ROUND(($F9/12)*AU10,0)</f>
        <v>1823</v>
      </c>
      <c r="AV9" s="3">
        <f t="shared" si="17"/>
        <v>1823</v>
      </c>
      <c r="AW9" s="3">
        <f t="shared" si="17"/>
        <v>1823</v>
      </c>
      <c r="AX9" s="3">
        <f t="shared" si="17"/>
        <v>1823</v>
      </c>
      <c r="AY9" s="3">
        <f t="shared" si="17"/>
        <v>1823</v>
      </c>
      <c r="AZ9" s="3">
        <f t="shared" si="17"/>
        <v>1823</v>
      </c>
      <c r="BA9" s="3">
        <f t="shared" si="17"/>
        <v>1823</v>
      </c>
      <c r="BB9" s="3">
        <f t="shared" si="17"/>
        <v>1823</v>
      </c>
      <c r="BC9" s="3">
        <f t="shared" si="17"/>
        <v>1823</v>
      </c>
      <c r="BD9" s="3">
        <f t="shared" si="17"/>
        <v>1823</v>
      </c>
      <c r="BE9" s="3">
        <f t="shared" si="17"/>
        <v>1823</v>
      </c>
      <c r="BF9" s="3">
        <f t="shared" si="17"/>
        <v>1823</v>
      </c>
      <c r="BG9" s="3">
        <f>SUM(AU9:BF9)</f>
        <v>21876</v>
      </c>
      <c r="BH9" s="3">
        <f t="shared" ref="BH9:BS9" si="18">ROUND(($F9/12)*BH10,0)</f>
        <v>3646</v>
      </c>
      <c r="BI9" s="3">
        <f t="shared" si="18"/>
        <v>3646</v>
      </c>
      <c r="BJ9" s="3">
        <f t="shared" si="18"/>
        <v>3646</v>
      </c>
      <c r="BK9" s="3">
        <f t="shared" si="18"/>
        <v>3646</v>
      </c>
      <c r="BL9" s="3">
        <f t="shared" si="18"/>
        <v>3646</v>
      </c>
      <c r="BM9" s="3">
        <f t="shared" si="18"/>
        <v>3646</v>
      </c>
      <c r="BN9" s="3">
        <f t="shared" si="18"/>
        <v>3646</v>
      </c>
      <c r="BO9" s="3">
        <f t="shared" si="18"/>
        <v>3646</v>
      </c>
      <c r="BP9" s="3">
        <f t="shared" si="18"/>
        <v>3646</v>
      </c>
      <c r="BQ9" s="3">
        <f t="shared" si="18"/>
        <v>3646</v>
      </c>
      <c r="BR9" s="3">
        <f t="shared" si="18"/>
        <v>3646</v>
      </c>
      <c r="BS9" s="3">
        <f t="shared" si="18"/>
        <v>3646</v>
      </c>
      <c r="BT9" s="3">
        <f>SUM(BH9:BS9)</f>
        <v>43752</v>
      </c>
      <c r="BU9" s="3">
        <f>T9+AG9+AT9+BG9+BT9</f>
        <v>98436</v>
      </c>
    </row>
    <row r="10" spans="1:73">
      <c r="A10" s="2"/>
      <c r="B10" s="2"/>
      <c r="C10" s="2"/>
      <c r="D10" s="38"/>
      <c r="E10" s="2"/>
      <c r="F10" s="60"/>
      <c r="G10" s="60"/>
      <c r="H10" s="322">
        <v>0</v>
      </c>
      <c r="I10" s="60">
        <f t="shared" ref="I10:S10" si="19">H10</f>
        <v>0</v>
      </c>
      <c r="J10" s="60">
        <f t="shared" si="19"/>
        <v>0</v>
      </c>
      <c r="K10" s="60">
        <f t="shared" si="19"/>
        <v>0</v>
      </c>
      <c r="L10" s="60">
        <f t="shared" si="19"/>
        <v>0</v>
      </c>
      <c r="M10" s="60">
        <f t="shared" si="19"/>
        <v>0</v>
      </c>
      <c r="N10" s="60">
        <f t="shared" si="19"/>
        <v>0</v>
      </c>
      <c r="O10" s="60">
        <f t="shared" si="19"/>
        <v>0</v>
      </c>
      <c r="P10" s="60">
        <f t="shared" si="19"/>
        <v>0</v>
      </c>
      <c r="Q10" s="60">
        <f t="shared" si="19"/>
        <v>0</v>
      </c>
      <c r="R10" s="60">
        <f t="shared" si="19"/>
        <v>0</v>
      </c>
      <c r="S10" s="60">
        <f t="shared" si="19"/>
        <v>0</v>
      </c>
      <c r="T10" s="60"/>
      <c r="U10" s="322">
        <v>0.25</v>
      </c>
      <c r="V10" s="60">
        <f t="shared" ref="V10:AF10" si="20">U10</f>
        <v>0.25</v>
      </c>
      <c r="W10" s="60">
        <f t="shared" si="20"/>
        <v>0.25</v>
      </c>
      <c r="X10" s="60">
        <f t="shared" si="20"/>
        <v>0.25</v>
      </c>
      <c r="Y10" s="60">
        <f t="shared" si="20"/>
        <v>0.25</v>
      </c>
      <c r="Z10" s="60">
        <f t="shared" si="20"/>
        <v>0.25</v>
      </c>
      <c r="AA10" s="60">
        <f t="shared" si="20"/>
        <v>0.25</v>
      </c>
      <c r="AB10" s="60">
        <f t="shared" si="20"/>
        <v>0.25</v>
      </c>
      <c r="AC10" s="60">
        <f t="shared" si="20"/>
        <v>0.25</v>
      </c>
      <c r="AD10" s="60">
        <f t="shared" si="20"/>
        <v>0.25</v>
      </c>
      <c r="AE10" s="60">
        <f t="shared" si="20"/>
        <v>0.25</v>
      </c>
      <c r="AF10" s="60">
        <f t="shared" si="20"/>
        <v>0.25</v>
      </c>
      <c r="AG10" s="60"/>
      <c r="AH10" s="322">
        <v>0.5</v>
      </c>
      <c r="AI10" s="60">
        <f t="shared" ref="AI10:AS10" si="21">AH10</f>
        <v>0.5</v>
      </c>
      <c r="AJ10" s="60">
        <f t="shared" si="21"/>
        <v>0.5</v>
      </c>
      <c r="AK10" s="60">
        <f t="shared" si="21"/>
        <v>0.5</v>
      </c>
      <c r="AL10" s="60">
        <f t="shared" si="21"/>
        <v>0.5</v>
      </c>
      <c r="AM10" s="60">
        <f t="shared" si="21"/>
        <v>0.5</v>
      </c>
      <c r="AN10" s="60">
        <f t="shared" si="21"/>
        <v>0.5</v>
      </c>
      <c r="AO10" s="60">
        <f t="shared" si="21"/>
        <v>0.5</v>
      </c>
      <c r="AP10" s="60">
        <f t="shared" si="21"/>
        <v>0.5</v>
      </c>
      <c r="AQ10" s="60">
        <f t="shared" si="21"/>
        <v>0.5</v>
      </c>
      <c r="AR10" s="60">
        <f t="shared" si="21"/>
        <v>0.5</v>
      </c>
      <c r="AS10" s="60">
        <f t="shared" si="21"/>
        <v>0.5</v>
      </c>
      <c r="AT10" s="60"/>
      <c r="AU10" s="322">
        <v>0.5</v>
      </c>
      <c r="AV10" s="60">
        <f t="shared" ref="AV10:BF10" si="22">AU10</f>
        <v>0.5</v>
      </c>
      <c r="AW10" s="60">
        <f t="shared" si="22"/>
        <v>0.5</v>
      </c>
      <c r="AX10" s="60">
        <f t="shared" si="22"/>
        <v>0.5</v>
      </c>
      <c r="AY10" s="60">
        <f t="shared" si="22"/>
        <v>0.5</v>
      </c>
      <c r="AZ10" s="60">
        <f t="shared" si="22"/>
        <v>0.5</v>
      </c>
      <c r="BA10" s="60">
        <f t="shared" si="22"/>
        <v>0.5</v>
      </c>
      <c r="BB10" s="60">
        <f t="shared" si="22"/>
        <v>0.5</v>
      </c>
      <c r="BC10" s="60">
        <f t="shared" si="22"/>
        <v>0.5</v>
      </c>
      <c r="BD10" s="60">
        <f t="shared" si="22"/>
        <v>0.5</v>
      </c>
      <c r="BE10" s="60">
        <f t="shared" si="22"/>
        <v>0.5</v>
      </c>
      <c r="BF10" s="60">
        <f t="shared" si="22"/>
        <v>0.5</v>
      </c>
      <c r="BG10" s="60"/>
      <c r="BH10" s="322">
        <v>1</v>
      </c>
      <c r="BI10" s="60">
        <f t="shared" ref="BI10:BS10" si="23">BH10</f>
        <v>1</v>
      </c>
      <c r="BJ10" s="60">
        <f t="shared" si="23"/>
        <v>1</v>
      </c>
      <c r="BK10" s="60">
        <f t="shared" si="23"/>
        <v>1</v>
      </c>
      <c r="BL10" s="60">
        <f t="shared" si="23"/>
        <v>1</v>
      </c>
      <c r="BM10" s="60">
        <f t="shared" si="23"/>
        <v>1</v>
      </c>
      <c r="BN10" s="60">
        <f t="shared" si="23"/>
        <v>1</v>
      </c>
      <c r="BO10" s="60">
        <f t="shared" si="23"/>
        <v>1</v>
      </c>
      <c r="BP10" s="60">
        <f t="shared" si="23"/>
        <v>1</v>
      </c>
      <c r="BQ10" s="60">
        <f t="shared" si="23"/>
        <v>1</v>
      </c>
      <c r="BR10" s="60">
        <f t="shared" si="23"/>
        <v>1</v>
      </c>
      <c r="BS10" s="60">
        <f t="shared" si="23"/>
        <v>1</v>
      </c>
      <c r="BT10" s="60"/>
      <c r="BU10" s="60"/>
    </row>
    <row r="11" spans="1:73">
      <c r="B11" s="2"/>
      <c r="C11" s="148" t="s">
        <v>545</v>
      </c>
      <c r="D11" s="323">
        <v>40000</v>
      </c>
      <c r="E11" s="3">
        <f>$E6*D$11</f>
        <v>10000</v>
      </c>
      <c r="F11" s="149">
        <f>SUM(D11:E11)</f>
        <v>50000</v>
      </c>
      <c r="G11" s="60"/>
      <c r="H11" s="77">
        <f t="shared" ref="H11:S11" si="24">ROUND(($F11/12)*H12,0)</f>
        <v>0</v>
      </c>
      <c r="I11" s="77">
        <f t="shared" si="24"/>
        <v>0</v>
      </c>
      <c r="J11" s="77">
        <f t="shared" si="24"/>
        <v>0</v>
      </c>
      <c r="K11" s="77">
        <f t="shared" si="24"/>
        <v>0</v>
      </c>
      <c r="L11" s="77">
        <f t="shared" si="24"/>
        <v>0</v>
      </c>
      <c r="M11" s="77">
        <f t="shared" si="24"/>
        <v>0</v>
      </c>
      <c r="N11" s="77">
        <f t="shared" si="24"/>
        <v>0</v>
      </c>
      <c r="O11" s="77">
        <f t="shared" si="24"/>
        <v>0</v>
      </c>
      <c r="P11" s="77">
        <f t="shared" si="24"/>
        <v>0</v>
      </c>
      <c r="Q11" s="77">
        <f t="shared" si="24"/>
        <v>0</v>
      </c>
      <c r="R11" s="77">
        <f t="shared" si="24"/>
        <v>0</v>
      </c>
      <c r="S11" s="77">
        <f t="shared" si="24"/>
        <v>0</v>
      </c>
      <c r="T11" s="77">
        <f>SUM(H11:S11)</f>
        <v>0</v>
      </c>
      <c r="U11" s="77">
        <f t="shared" ref="U11:AF11" si="25">ROUND(($F11/12)*U12,0)</f>
        <v>0</v>
      </c>
      <c r="V11" s="77">
        <f t="shared" si="25"/>
        <v>0</v>
      </c>
      <c r="W11" s="77">
        <f t="shared" si="25"/>
        <v>0</v>
      </c>
      <c r="X11" s="77">
        <f t="shared" si="25"/>
        <v>0</v>
      </c>
      <c r="Y11" s="77">
        <f t="shared" si="25"/>
        <v>0</v>
      </c>
      <c r="Z11" s="77">
        <f t="shared" si="25"/>
        <v>0</v>
      </c>
      <c r="AA11" s="77">
        <f t="shared" si="25"/>
        <v>0</v>
      </c>
      <c r="AB11" s="77">
        <f t="shared" si="25"/>
        <v>0</v>
      </c>
      <c r="AC11" s="77">
        <f t="shared" si="25"/>
        <v>0</v>
      </c>
      <c r="AD11" s="77">
        <f t="shared" si="25"/>
        <v>0</v>
      </c>
      <c r="AE11" s="77">
        <f t="shared" si="25"/>
        <v>0</v>
      </c>
      <c r="AF11" s="77">
        <f t="shared" si="25"/>
        <v>0</v>
      </c>
      <c r="AG11" s="77">
        <f>SUM(U11:AF11)</f>
        <v>0</v>
      </c>
      <c r="AH11" s="77">
        <f t="shared" ref="AH11:AS11" si="26">ROUND(($F11/12)*AH12,0)</f>
        <v>4167</v>
      </c>
      <c r="AI11" s="3">
        <f t="shared" si="26"/>
        <v>4167</v>
      </c>
      <c r="AJ11" s="3">
        <f t="shared" si="26"/>
        <v>4167</v>
      </c>
      <c r="AK11" s="3">
        <f t="shared" si="26"/>
        <v>4167</v>
      </c>
      <c r="AL11" s="3">
        <f t="shared" si="26"/>
        <v>4167</v>
      </c>
      <c r="AM11" s="3">
        <f t="shared" si="26"/>
        <v>4167</v>
      </c>
      <c r="AN11" s="3">
        <f t="shared" si="26"/>
        <v>4167</v>
      </c>
      <c r="AO11" s="3">
        <f t="shared" si="26"/>
        <v>4167</v>
      </c>
      <c r="AP11" s="3">
        <f t="shared" si="26"/>
        <v>4167</v>
      </c>
      <c r="AQ11" s="3">
        <f t="shared" si="26"/>
        <v>4167</v>
      </c>
      <c r="AR11" s="3">
        <f t="shared" si="26"/>
        <v>4167</v>
      </c>
      <c r="AS11" s="3">
        <f t="shared" si="26"/>
        <v>4167</v>
      </c>
      <c r="AT11" s="3">
        <f>SUM(AH11:AS11)</f>
        <v>50004</v>
      </c>
      <c r="AU11" s="77">
        <f t="shared" ref="AU11:BF11" si="27">ROUND(($F11/12)*AU12,0)</f>
        <v>4167</v>
      </c>
      <c r="AV11" s="3">
        <f t="shared" si="27"/>
        <v>4167</v>
      </c>
      <c r="AW11" s="3">
        <f t="shared" si="27"/>
        <v>4167</v>
      </c>
      <c r="AX11" s="3">
        <f t="shared" si="27"/>
        <v>4167</v>
      </c>
      <c r="AY11" s="3">
        <f t="shared" si="27"/>
        <v>4167</v>
      </c>
      <c r="AZ11" s="3">
        <f t="shared" si="27"/>
        <v>4167</v>
      </c>
      <c r="BA11" s="3">
        <f t="shared" si="27"/>
        <v>4167</v>
      </c>
      <c r="BB11" s="3">
        <f t="shared" si="27"/>
        <v>4167</v>
      </c>
      <c r="BC11" s="3">
        <f t="shared" si="27"/>
        <v>4167</v>
      </c>
      <c r="BD11" s="3">
        <f t="shared" si="27"/>
        <v>4167</v>
      </c>
      <c r="BE11" s="3">
        <f t="shared" si="27"/>
        <v>4167</v>
      </c>
      <c r="BF11" s="3">
        <f t="shared" si="27"/>
        <v>4167</v>
      </c>
      <c r="BG11" s="3">
        <f>SUM(AU11:BF11)</f>
        <v>50004</v>
      </c>
      <c r="BH11" s="77">
        <f t="shared" ref="BH11:BS11" si="28">ROUND(($F11/12)*BH12,0)</f>
        <v>4167</v>
      </c>
      <c r="BI11" s="3">
        <f t="shared" si="28"/>
        <v>4167</v>
      </c>
      <c r="BJ11" s="3">
        <f t="shared" si="28"/>
        <v>4167</v>
      </c>
      <c r="BK11" s="3">
        <f t="shared" si="28"/>
        <v>4167</v>
      </c>
      <c r="BL11" s="3">
        <f t="shared" si="28"/>
        <v>4167</v>
      </c>
      <c r="BM11" s="3">
        <f t="shared" si="28"/>
        <v>4167</v>
      </c>
      <c r="BN11" s="3">
        <f t="shared" si="28"/>
        <v>4167</v>
      </c>
      <c r="BO11" s="3">
        <f t="shared" si="28"/>
        <v>4167</v>
      </c>
      <c r="BP11" s="3">
        <f t="shared" si="28"/>
        <v>4167</v>
      </c>
      <c r="BQ11" s="3">
        <f t="shared" si="28"/>
        <v>4167</v>
      </c>
      <c r="BR11" s="3">
        <f t="shared" si="28"/>
        <v>4167</v>
      </c>
      <c r="BS11" s="3">
        <f t="shared" si="28"/>
        <v>4167</v>
      </c>
      <c r="BT11" s="3">
        <f>SUM(BH11:BS11)</f>
        <v>50004</v>
      </c>
      <c r="BU11" s="3">
        <f>T11+AG11+AT11+BG11+BT11</f>
        <v>150012</v>
      </c>
    </row>
    <row r="12" spans="1:73">
      <c r="A12" s="2"/>
      <c r="B12" s="2"/>
      <c r="C12" s="2"/>
      <c r="D12" s="38"/>
      <c r="E12" s="2"/>
      <c r="F12" s="60"/>
      <c r="G12" s="60"/>
      <c r="H12" s="322">
        <v>0</v>
      </c>
      <c r="I12" s="60">
        <f t="shared" ref="I12:S12" si="29">H12</f>
        <v>0</v>
      </c>
      <c r="J12" s="60">
        <f t="shared" si="29"/>
        <v>0</v>
      </c>
      <c r="K12" s="60">
        <f t="shared" si="29"/>
        <v>0</v>
      </c>
      <c r="L12" s="60">
        <f t="shared" si="29"/>
        <v>0</v>
      </c>
      <c r="M12" s="60">
        <f t="shared" si="29"/>
        <v>0</v>
      </c>
      <c r="N12" s="60">
        <f t="shared" si="29"/>
        <v>0</v>
      </c>
      <c r="O12" s="60">
        <f t="shared" si="29"/>
        <v>0</v>
      </c>
      <c r="P12" s="60">
        <f t="shared" si="29"/>
        <v>0</v>
      </c>
      <c r="Q12" s="60">
        <f t="shared" si="29"/>
        <v>0</v>
      </c>
      <c r="R12" s="60">
        <f t="shared" si="29"/>
        <v>0</v>
      </c>
      <c r="S12" s="60">
        <f t="shared" si="29"/>
        <v>0</v>
      </c>
      <c r="T12" s="60"/>
      <c r="U12" s="322">
        <f t="shared" ref="U12:AF12" si="30">T12</f>
        <v>0</v>
      </c>
      <c r="V12" s="60">
        <f t="shared" si="30"/>
        <v>0</v>
      </c>
      <c r="W12" s="60">
        <f t="shared" si="30"/>
        <v>0</v>
      </c>
      <c r="X12" s="60">
        <f t="shared" si="30"/>
        <v>0</v>
      </c>
      <c r="Y12" s="60">
        <f t="shared" si="30"/>
        <v>0</v>
      </c>
      <c r="Z12" s="60">
        <f t="shared" si="30"/>
        <v>0</v>
      </c>
      <c r="AA12" s="60">
        <f t="shared" si="30"/>
        <v>0</v>
      </c>
      <c r="AB12" s="60">
        <f t="shared" si="30"/>
        <v>0</v>
      </c>
      <c r="AC12" s="60">
        <f t="shared" si="30"/>
        <v>0</v>
      </c>
      <c r="AD12" s="60">
        <f t="shared" si="30"/>
        <v>0</v>
      </c>
      <c r="AE12" s="60">
        <f t="shared" si="30"/>
        <v>0</v>
      </c>
      <c r="AF12" s="60">
        <f t="shared" si="30"/>
        <v>0</v>
      </c>
      <c r="AG12" s="60"/>
      <c r="AH12" s="322">
        <v>1</v>
      </c>
      <c r="AI12" s="60">
        <f t="shared" ref="AI12:AS12" si="31">AH12</f>
        <v>1</v>
      </c>
      <c r="AJ12" s="60">
        <f t="shared" si="31"/>
        <v>1</v>
      </c>
      <c r="AK12" s="60">
        <f t="shared" si="31"/>
        <v>1</v>
      </c>
      <c r="AL12" s="60">
        <f t="shared" si="31"/>
        <v>1</v>
      </c>
      <c r="AM12" s="60">
        <f t="shared" si="31"/>
        <v>1</v>
      </c>
      <c r="AN12" s="60">
        <f t="shared" si="31"/>
        <v>1</v>
      </c>
      <c r="AO12" s="60">
        <f t="shared" si="31"/>
        <v>1</v>
      </c>
      <c r="AP12" s="60">
        <f t="shared" si="31"/>
        <v>1</v>
      </c>
      <c r="AQ12" s="60">
        <f t="shared" si="31"/>
        <v>1</v>
      </c>
      <c r="AR12" s="60">
        <f t="shared" si="31"/>
        <v>1</v>
      </c>
      <c r="AS12" s="60">
        <f t="shared" si="31"/>
        <v>1</v>
      </c>
      <c r="AT12" s="60"/>
      <c r="AU12" s="322">
        <v>1</v>
      </c>
      <c r="AV12" s="60">
        <f t="shared" ref="AV12:BF12" si="32">AU12</f>
        <v>1</v>
      </c>
      <c r="AW12" s="60">
        <f t="shared" si="32"/>
        <v>1</v>
      </c>
      <c r="AX12" s="60">
        <f t="shared" si="32"/>
        <v>1</v>
      </c>
      <c r="AY12" s="60">
        <f t="shared" si="32"/>
        <v>1</v>
      </c>
      <c r="AZ12" s="60">
        <f t="shared" si="32"/>
        <v>1</v>
      </c>
      <c r="BA12" s="60">
        <f t="shared" si="32"/>
        <v>1</v>
      </c>
      <c r="BB12" s="60">
        <f t="shared" si="32"/>
        <v>1</v>
      </c>
      <c r="BC12" s="60">
        <f t="shared" si="32"/>
        <v>1</v>
      </c>
      <c r="BD12" s="60">
        <f t="shared" si="32"/>
        <v>1</v>
      </c>
      <c r="BE12" s="60">
        <f t="shared" si="32"/>
        <v>1</v>
      </c>
      <c r="BF12" s="60">
        <f t="shared" si="32"/>
        <v>1</v>
      </c>
      <c r="BG12" s="60"/>
      <c r="BH12" s="322">
        <v>1</v>
      </c>
      <c r="BI12" s="60">
        <f t="shared" ref="BI12:BS12" si="33">BH12</f>
        <v>1</v>
      </c>
      <c r="BJ12" s="60">
        <f t="shared" si="33"/>
        <v>1</v>
      </c>
      <c r="BK12" s="60">
        <f t="shared" si="33"/>
        <v>1</v>
      </c>
      <c r="BL12" s="60">
        <f t="shared" si="33"/>
        <v>1</v>
      </c>
      <c r="BM12" s="60">
        <f t="shared" si="33"/>
        <v>1</v>
      </c>
      <c r="BN12" s="60">
        <f t="shared" si="33"/>
        <v>1</v>
      </c>
      <c r="BO12" s="60">
        <f t="shared" si="33"/>
        <v>1</v>
      </c>
      <c r="BP12" s="60">
        <f t="shared" si="33"/>
        <v>1</v>
      </c>
      <c r="BQ12" s="60">
        <f t="shared" si="33"/>
        <v>1</v>
      </c>
      <c r="BR12" s="60">
        <f t="shared" si="33"/>
        <v>1</v>
      </c>
      <c r="BS12" s="60">
        <f t="shared" si="33"/>
        <v>1</v>
      </c>
      <c r="BT12" s="60"/>
      <c r="BU12" s="60"/>
    </row>
    <row r="13" spans="1:73">
      <c r="B13" s="2"/>
      <c r="C13" s="148" t="s">
        <v>556</v>
      </c>
      <c r="D13" s="323">
        <v>40000</v>
      </c>
      <c r="E13" s="3">
        <f>$E6*D$13</f>
        <v>10000</v>
      </c>
      <c r="F13" s="149">
        <f>SUM(D13:E13)</f>
        <v>50000</v>
      </c>
      <c r="G13" s="60"/>
      <c r="H13" s="3">
        <f t="shared" ref="H13:S13" si="34">ROUND(($F13/12)*H14,0)</f>
        <v>1042</v>
      </c>
      <c r="I13" s="3">
        <f t="shared" si="34"/>
        <v>1042</v>
      </c>
      <c r="J13" s="3">
        <f t="shared" si="34"/>
        <v>1042</v>
      </c>
      <c r="K13" s="3">
        <f t="shared" si="34"/>
        <v>1042</v>
      </c>
      <c r="L13" s="3">
        <f t="shared" si="34"/>
        <v>1042</v>
      </c>
      <c r="M13" s="3">
        <f t="shared" si="34"/>
        <v>1042</v>
      </c>
      <c r="N13" s="3">
        <f t="shared" si="34"/>
        <v>1042</v>
      </c>
      <c r="O13" s="3">
        <f t="shared" si="34"/>
        <v>1042</v>
      </c>
      <c r="P13" s="3">
        <f t="shared" si="34"/>
        <v>1042</v>
      </c>
      <c r="Q13" s="3">
        <f t="shared" si="34"/>
        <v>1042</v>
      </c>
      <c r="R13" s="3">
        <f t="shared" si="34"/>
        <v>1042</v>
      </c>
      <c r="S13" s="3">
        <f t="shared" si="34"/>
        <v>1042</v>
      </c>
      <c r="T13" s="3">
        <f>SUM(H13:S13)</f>
        <v>12504</v>
      </c>
      <c r="U13" s="3">
        <f t="shared" ref="U13:AF13" si="35">ROUND(($F13/12)*U14,0)</f>
        <v>1042</v>
      </c>
      <c r="V13" s="3">
        <f t="shared" si="35"/>
        <v>1042</v>
      </c>
      <c r="W13" s="3">
        <f t="shared" si="35"/>
        <v>1042</v>
      </c>
      <c r="X13" s="3">
        <f t="shared" si="35"/>
        <v>1042</v>
      </c>
      <c r="Y13" s="3">
        <f t="shared" si="35"/>
        <v>1042</v>
      </c>
      <c r="Z13" s="3">
        <f t="shared" si="35"/>
        <v>1042</v>
      </c>
      <c r="AA13" s="3">
        <f t="shared" si="35"/>
        <v>1042</v>
      </c>
      <c r="AB13" s="3">
        <f t="shared" si="35"/>
        <v>1042</v>
      </c>
      <c r="AC13" s="3">
        <f t="shared" si="35"/>
        <v>1042</v>
      </c>
      <c r="AD13" s="3">
        <f t="shared" si="35"/>
        <v>1042</v>
      </c>
      <c r="AE13" s="3">
        <f t="shared" si="35"/>
        <v>1042</v>
      </c>
      <c r="AF13" s="3">
        <f t="shared" si="35"/>
        <v>1042</v>
      </c>
      <c r="AG13" s="3">
        <f>SUM(U13:AF13)</f>
        <v>12504</v>
      </c>
      <c r="AH13" s="3">
        <f t="shared" ref="AH13:AS13" si="36">ROUND(($F13/12)*AH14,0)</f>
        <v>1042</v>
      </c>
      <c r="AI13" s="3">
        <f t="shared" si="36"/>
        <v>1042</v>
      </c>
      <c r="AJ13" s="3">
        <f t="shared" si="36"/>
        <v>1042</v>
      </c>
      <c r="AK13" s="3">
        <f t="shared" si="36"/>
        <v>1042</v>
      </c>
      <c r="AL13" s="3">
        <f t="shared" si="36"/>
        <v>1042</v>
      </c>
      <c r="AM13" s="3">
        <f t="shared" si="36"/>
        <v>1042</v>
      </c>
      <c r="AN13" s="3">
        <f t="shared" si="36"/>
        <v>1042</v>
      </c>
      <c r="AO13" s="3">
        <f t="shared" si="36"/>
        <v>1042</v>
      </c>
      <c r="AP13" s="3">
        <f t="shared" si="36"/>
        <v>1042</v>
      </c>
      <c r="AQ13" s="3">
        <f t="shared" si="36"/>
        <v>1042</v>
      </c>
      <c r="AR13" s="3">
        <f t="shared" si="36"/>
        <v>1042</v>
      </c>
      <c r="AS13" s="3">
        <f t="shared" si="36"/>
        <v>1042</v>
      </c>
      <c r="AT13" s="3">
        <f>SUM(AH13:AS13)</f>
        <v>12504</v>
      </c>
      <c r="AU13" s="3">
        <f t="shared" ref="AU13:BF13" si="37">ROUND(($F13/12)*AU14,0)</f>
        <v>1042</v>
      </c>
      <c r="AV13" s="3">
        <f t="shared" si="37"/>
        <v>1042</v>
      </c>
      <c r="AW13" s="3">
        <f t="shared" si="37"/>
        <v>1042</v>
      </c>
      <c r="AX13" s="3">
        <f t="shared" si="37"/>
        <v>1042</v>
      </c>
      <c r="AY13" s="3">
        <f t="shared" si="37"/>
        <v>1042</v>
      </c>
      <c r="AZ13" s="3">
        <f t="shared" si="37"/>
        <v>1042</v>
      </c>
      <c r="BA13" s="3">
        <f t="shared" si="37"/>
        <v>1042</v>
      </c>
      <c r="BB13" s="3">
        <f t="shared" si="37"/>
        <v>1042</v>
      </c>
      <c r="BC13" s="3">
        <f t="shared" si="37"/>
        <v>1042</v>
      </c>
      <c r="BD13" s="3">
        <f t="shared" si="37"/>
        <v>1042</v>
      </c>
      <c r="BE13" s="3">
        <f t="shared" si="37"/>
        <v>1042</v>
      </c>
      <c r="BF13" s="3">
        <f t="shared" si="37"/>
        <v>1042</v>
      </c>
      <c r="BG13" s="3">
        <f>SUM(AU13:BF13)</f>
        <v>12504</v>
      </c>
      <c r="BH13" s="3">
        <f t="shared" ref="BH13:BS13" si="38">ROUND(($F13/12)*BH14,0)</f>
        <v>1042</v>
      </c>
      <c r="BI13" s="3">
        <f t="shared" si="38"/>
        <v>1042</v>
      </c>
      <c r="BJ13" s="3">
        <f t="shared" si="38"/>
        <v>1042</v>
      </c>
      <c r="BK13" s="3">
        <f t="shared" si="38"/>
        <v>1042</v>
      </c>
      <c r="BL13" s="3">
        <f t="shared" si="38"/>
        <v>1042</v>
      </c>
      <c r="BM13" s="3">
        <f t="shared" si="38"/>
        <v>1042</v>
      </c>
      <c r="BN13" s="3">
        <f t="shared" si="38"/>
        <v>1042</v>
      </c>
      <c r="BO13" s="3">
        <f t="shared" si="38"/>
        <v>1042</v>
      </c>
      <c r="BP13" s="3">
        <f t="shared" si="38"/>
        <v>1042</v>
      </c>
      <c r="BQ13" s="3">
        <f t="shared" si="38"/>
        <v>1042</v>
      </c>
      <c r="BR13" s="3">
        <f t="shared" si="38"/>
        <v>1042</v>
      </c>
      <c r="BS13" s="3">
        <f t="shared" si="38"/>
        <v>1042</v>
      </c>
      <c r="BT13" s="3">
        <f>SUM(BH13:BS13)</f>
        <v>12504</v>
      </c>
      <c r="BU13" s="3">
        <f>T13+AG13+AT13+BG13+BT13</f>
        <v>62520</v>
      </c>
    </row>
    <row r="14" spans="1:73">
      <c r="A14" s="2"/>
      <c r="B14" s="2"/>
      <c r="C14" s="2"/>
      <c r="D14" s="38"/>
      <c r="E14" s="2"/>
      <c r="F14" s="60"/>
      <c r="G14" s="60"/>
      <c r="H14" s="322">
        <v>0.25</v>
      </c>
      <c r="I14" s="60">
        <f t="shared" ref="I14:S14" si="39">H14</f>
        <v>0.25</v>
      </c>
      <c r="J14" s="60">
        <f t="shared" si="39"/>
        <v>0.25</v>
      </c>
      <c r="K14" s="60">
        <f t="shared" si="39"/>
        <v>0.25</v>
      </c>
      <c r="L14" s="60">
        <f t="shared" si="39"/>
        <v>0.25</v>
      </c>
      <c r="M14" s="60">
        <f t="shared" si="39"/>
        <v>0.25</v>
      </c>
      <c r="N14" s="60">
        <f t="shared" si="39"/>
        <v>0.25</v>
      </c>
      <c r="O14" s="60">
        <f t="shared" si="39"/>
        <v>0.25</v>
      </c>
      <c r="P14" s="60">
        <f t="shared" si="39"/>
        <v>0.25</v>
      </c>
      <c r="Q14" s="60">
        <f t="shared" si="39"/>
        <v>0.25</v>
      </c>
      <c r="R14" s="60">
        <f t="shared" si="39"/>
        <v>0.25</v>
      </c>
      <c r="S14" s="60">
        <f t="shared" si="39"/>
        <v>0.25</v>
      </c>
      <c r="T14" s="60"/>
      <c r="U14" s="322">
        <v>0.25</v>
      </c>
      <c r="V14" s="60">
        <f t="shared" ref="V14:AF14" si="40">U14</f>
        <v>0.25</v>
      </c>
      <c r="W14" s="60">
        <f t="shared" si="40"/>
        <v>0.25</v>
      </c>
      <c r="X14" s="60">
        <f t="shared" si="40"/>
        <v>0.25</v>
      </c>
      <c r="Y14" s="60">
        <f t="shared" si="40"/>
        <v>0.25</v>
      </c>
      <c r="Z14" s="60">
        <f t="shared" si="40"/>
        <v>0.25</v>
      </c>
      <c r="AA14" s="60">
        <f t="shared" si="40"/>
        <v>0.25</v>
      </c>
      <c r="AB14" s="60">
        <f t="shared" si="40"/>
        <v>0.25</v>
      </c>
      <c r="AC14" s="60">
        <f t="shared" si="40"/>
        <v>0.25</v>
      </c>
      <c r="AD14" s="60">
        <f t="shared" si="40"/>
        <v>0.25</v>
      </c>
      <c r="AE14" s="60">
        <f t="shared" si="40"/>
        <v>0.25</v>
      </c>
      <c r="AF14" s="60">
        <f t="shared" si="40"/>
        <v>0.25</v>
      </c>
      <c r="AG14" s="60"/>
      <c r="AH14" s="322">
        <v>0.25</v>
      </c>
      <c r="AI14" s="60">
        <f t="shared" ref="AI14:AS14" si="41">AH14</f>
        <v>0.25</v>
      </c>
      <c r="AJ14" s="60">
        <f t="shared" si="41"/>
        <v>0.25</v>
      </c>
      <c r="AK14" s="60">
        <f t="shared" si="41"/>
        <v>0.25</v>
      </c>
      <c r="AL14" s="60">
        <f t="shared" si="41"/>
        <v>0.25</v>
      </c>
      <c r="AM14" s="60">
        <f t="shared" si="41"/>
        <v>0.25</v>
      </c>
      <c r="AN14" s="60">
        <f t="shared" si="41"/>
        <v>0.25</v>
      </c>
      <c r="AO14" s="60">
        <f t="shared" si="41"/>
        <v>0.25</v>
      </c>
      <c r="AP14" s="60">
        <f t="shared" si="41"/>
        <v>0.25</v>
      </c>
      <c r="AQ14" s="60">
        <f t="shared" si="41"/>
        <v>0.25</v>
      </c>
      <c r="AR14" s="60">
        <f t="shared" si="41"/>
        <v>0.25</v>
      </c>
      <c r="AS14" s="60">
        <f t="shared" si="41"/>
        <v>0.25</v>
      </c>
      <c r="AT14" s="60"/>
      <c r="AU14" s="322">
        <v>0.25</v>
      </c>
      <c r="AV14" s="60">
        <f t="shared" ref="AV14:BF14" si="42">AU14</f>
        <v>0.25</v>
      </c>
      <c r="AW14" s="60">
        <f t="shared" si="42"/>
        <v>0.25</v>
      </c>
      <c r="AX14" s="60">
        <f t="shared" si="42"/>
        <v>0.25</v>
      </c>
      <c r="AY14" s="60">
        <f t="shared" si="42"/>
        <v>0.25</v>
      </c>
      <c r="AZ14" s="60">
        <f t="shared" si="42"/>
        <v>0.25</v>
      </c>
      <c r="BA14" s="60">
        <f t="shared" si="42"/>
        <v>0.25</v>
      </c>
      <c r="BB14" s="60">
        <f t="shared" si="42"/>
        <v>0.25</v>
      </c>
      <c r="BC14" s="60">
        <f t="shared" si="42"/>
        <v>0.25</v>
      </c>
      <c r="BD14" s="60">
        <f t="shared" si="42"/>
        <v>0.25</v>
      </c>
      <c r="BE14" s="60">
        <f t="shared" si="42"/>
        <v>0.25</v>
      </c>
      <c r="BF14" s="60">
        <f t="shared" si="42"/>
        <v>0.25</v>
      </c>
      <c r="BG14" s="60"/>
      <c r="BH14" s="322">
        <v>0.25</v>
      </c>
      <c r="BI14" s="60">
        <f t="shared" ref="BI14:BS14" si="43">BH14</f>
        <v>0.25</v>
      </c>
      <c r="BJ14" s="60">
        <f t="shared" si="43"/>
        <v>0.25</v>
      </c>
      <c r="BK14" s="60">
        <f t="shared" si="43"/>
        <v>0.25</v>
      </c>
      <c r="BL14" s="60">
        <f t="shared" si="43"/>
        <v>0.25</v>
      </c>
      <c r="BM14" s="60">
        <f t="shared" si="43"/>
        <v>0.25</v>
      </c>
      <c r="BN14" s="60">
        <f t="shared" si="43"/>
        <v>0.25</v>
      </c>
      <c r="BO14" s="60">
        <f t="shared" si="43"/>
        <v>0.25</v>
      </c>
      <c r="BP14" s="60">
        <f t="shared" si="43"/>
        <v>0.25</v>
      </c>
      <c r="BQ14" s="60">
        <f t="shared" si="43"/>
        <v>0.25</v>
      </c>
      <c r="BR14" s="60">
        <f t="shared" si="43"/>
        <v>0.25</v>
      </c>
      <c r="BS14" s="60">
        <f t="shared" si="43"/>
        <v>0.25</v>
      </c>
      <c r="BT14" s="60"/>
      <c r="BU14" s="60"/>
    </row>
    <row r="15" spans="1:73">
      <c r="B15" s="2"/>
      <c r="C15" s="148"/>
      <c r="D15" s="323">
        <v>0</v>
      </c>
      <c r="E15" s="3">
        <f>$E14*D$7</f>
        <v>0</v>
      </c>
      <c r="F15" s="149">
        <f>SUM(D15:E15)</f>
        <v>0</v>
      </c>
      <c r="G15" s="60"/>
      <c r="H15" s="77">
        <f t="shared" ref="H15:S15" si="44">ROUND(($F15/12)*H16,0)</f>
        <v>0</v>
      </c>
      <c r="I15" s="77">
        <f t="shared" si="44"/>
        <v>0</v>
      </c>
      <c r="J15" s="77">
        <f t="shared" si="44"/>
        <v>0</v>
      </c>
      <c r="K15" s="77">
        <f t="shared" si="44"/>
        <v>0</v>
      </c>
      <c r="L15" s="77">
        <f t="shared" si="44"/>
        <v>0</v>
      </c>
      <c r="M15" s="77">
        <f t="shared" si="44"/>
        <v>0</v>
      </c>
      <c r="N15" s="77">
        <f t="shared" si="44"/>
        <v>0</v>
      </c>
      <c r="O15" s="77">
        <f t="shared" si="44"/>
        <v>0</v>
      </c>
      <c r="P15" s="77">
        <f t="shared" si="44"/>
        <v>0</v>
      </c>
      <c r="Q15" s="77">
        <f t="shared" si="44"/>
        <v>0</v>
      </c>
      <c r="R15" s="77">
        <f t="shared" si="44"/>
        <v>0</v>
      </c>
      <c r="S15" s="77">
        <f t="shared" si="44"/>
        <v>0</v>
      </c>
      <c r="T15" s="77">
        <f>SUM(H15:S15)</f>
        <v>0</v>
      </c>
      <c r="U15" s="77">
        <f t="shared" ref="U15:AF15" si="45">ROUND(($F15/12)*U16,0)</f>
        <v>0</v>
      </c>
      <c r="V15" s="77">
        <f t="shared" si="45"/>
        <v>0</v>
      </c>
      <c r="W15" s="77">
        <f t="shared" si="45"/>
        <v>0</v>
      </c>
      <c r="X15" s="77">
        <f t="shared" si="45"/>
        <v>0</v>
      </c>
      <c r="Y15" s="77">
        <f t="shared" si="45"/>
        <v>0</v>
      </c>
      <c r="Z15" s="77">
        <f t="shared" si="45"/>
        <v>0</v>
      </c>
      <c r="AA15" s="77">
        <f t="shared" si="45"/>
        <v>0</v>
      </c>
      <c r="AB15" s="77">
        <f t="shared" si="45"/>
        <v>0</v>
      </c>
      <c r="AC15" s="77">
        <f t="shared" si="45"/>
        <v>0</v>
      </c>
      <c r="AD15" s="77">
        <f t="shared" si="45"/>
        <v>0</v>
      </c>
      <c r="AE15" s="77">
        <f t="shared" si="45"/>
        <v>0</v>
      </c>
      <c r="AF15" s="77">
        <f t="shared" si="45"/>
        <v>0</v>
      </c>
      <c r="AG15" s="77">
        <f>SUM(U15:AF15)</f>
        <v>0</v>
      </c>
      <c r="AH15" s="77">
        <f t="shared" ref="AH15:AS15" si="46">ROUND(($F15/12)*AH16,0)</f>
        <v>0</v>
      </c>
      <c r="AI15" s="77">
        <f t="shared" si="46"/>
        <v>0</v>
      </c>
      <c r="AJ15" s="77">
        <f t="shared" si="46"/>
        <v>0</v>
      </c>
      <c r="AK15" s="77">
        <f t="shared" si="46"/>
        <v>0</v>
      </c>
      <c r="AL15" s="77">
        <f t="shared" si="46"/>
        <v>0</v>
      </c>
      <c r="AM15" s="77">
        <f t="shared" si="46"/>
        <v>0</v>
      </c>
      <c r="AN15" s="77">
        <f t="shared" si="46"/>
        <v>0</v>
      </c>
      <c r="AO15" s="77">
        <f t="shared" si="46"/>
        <v>0</v>
      </c>
      <c r="AP15" s="77">
        <f t="shared" si="46"/>
        <v>0</v>
      </c>
      <c r="AQ15" s="77">
        <f t="shared" si="46"/>
        <v>0</v>
      </c>
      <c r="AR15" s="77">
        <f t="shared" si="46"/>
        <v>0</v>
      </c>
      <c r="AS15" s="77">
        <f t="shared" si="46"/>
        <v>0</v>
      </c>
      <c r="AT15" s="77">
        <f>SUM(AH15:AS15)</f>
        <v>0</v>
      </c>
      <c r="AU15" s="77">
        <f t="shared" ref="AU15:BF15" si="47">ROUND(($F15/12)*AU16,0)</f>
        <v>0</v>
      </c>
      <c r="AV15" s="77">
        <f t="shared" si="47"/>
        <v>0</v>
      </c>
      <c r="AW15" s="77">
        <f t="shared" si="47"/>
        <v>0</v>
      </c>
      <c r="AX15" s="77">
        <f t="shared" si="47"/>
        <v>0</v>
      </c>
      <c r="AY15" s="77">
        <f t="shared" si="47"/>
        <v>0</v>
      </c>
      <c r="AZ15" s="77">
        <f t="shared" si="47"/>
        <v>0</v>
      </c>
      <c r="BA15" s="77">
        <f t="shared" si="47"/>
        <v>0</v>
      </c>
      <c r="BB15" s="77">
        <f t="shared" si="47"/>
        <v>0</v>
      </c>
      <c r="BC15" s="77">
        <f t="shared" si="47"/>
        <v>0</v>
      </c>
      <c r="BD15" s="77">
        <f t="shared" si="47"/>
        <v>0</v>
      </c>
      <c r="BE15" s="77">
        <f t="shared" si="47"/>
        <v>0</v>
      </c>
      <c r="BF15" s="77">
        <f t="shared" si="47"/>
        <v>0</v>
      </c>
      <c r="BG15" s="77">
        <f>SUM(AU15:BF15)</f>
        <v>0</v>
      </c>
      <c r="BH15" s="77">
        <f t="shared" ref="BH15:BS15" si="48">ROUND(($F15/12)*BH16,0)</f>
        <v>0</v>
      </c>
      <c r="BI15" s="77">
        <f t="shared" si="48"/>
        <v>0</v>
      </c>
      <c r="BJ15" s="77">
        <f t="shared" si="48"/>
        <v>0</v>
      </c>
      <c r="BK15" s="77">
        <f t="shared" si="48"/>
        <v>0</v>
      </c>
      <c r="BL15" s="77">
        <f t="shared" si="48"/>
        <v>0</v>
      </c>
      <c r="BM15" s="77">
        <f t="shared" si="48"/>
        <v>0</v>
      </c>
      <c r="BN15" s="77">
        <f t="shared" si="48"/>
        <v>0</v>
      </c>
      <c r="BO15" s="77">
        <f t="shared" si="48"/>
        <v>0</v>
      </c>
      <c r="BP15" s="77">
        <f t="shared" si="48"/>
        <v>0</v>
      </c>
      <c r="BQ15" s="77">
        <f t="shared" si="48"/>
        <v>0</v>
      </c>
      <c r="BR15" s="77">
        <f t="shared" si="48"/>
        <v>0</v>
      </c>
      <c r="BS15" s="77">
        <f t="shared" si="48"/>
        <v>0</v>
      </c>
      <c r="BT15" s="77">
        <f>SUM(BH15:BS15)</f>
        <v>0</v>
      </c>
      <c r="BU15" s="3">
        <f>T15+AG15+AT15+BG15+BT15</f>
        <v>0</v>
      </c>
    </row>
    <row r="16" spans="1:73">
      <c r="A16" s="2"/>
      <c r="B16" s="2"/>
      <c r="C16" s="2"/>
      <c r="D16" s="38"/>
      <c r="E16" s="2"/>
      <c r="F16" s="60"/>
      <c r="G16" s="60"/>
      <c r="H16" s="322">
        <v>0</v>
      </c>
      <c r="I16" s="60">
        <f t="shared" ref="I16:S16" si="49">H16</f>
        <v>0</v>
      </c>
      <c r="J16" s="60">
        <f t="shared" si="49"/>
        <v>0</v>
      </c>
      <c r="K16" s="60">
        <f t="shared" si="49"/>
        <v>0</v>
      </c>
      <c r="L16" s="60">
        <f t="shared" si="49"/>
        <v>0</v>
      </c>
      <c r="M16" s="60">
        <f t="shared" si="49"/>
        <v>0</v>
      </c>
      <c r="N16" s="60">
        <f t="shared" si="49"/>
        <v>0</v>
      </c>
      <c r="O16" s="60">
        <f t="shared" si="49"/>
        <v>0</v>
      </c>
      <c r="P16" s="60">
        <f t="shared" si="49"/>
        <v>0</v>
      </c>
      <c r="Q16" s="60">
        <f t="shared" si="49"/>
        <v>0</v>
      </c>
      <c r="R16" s="60">
        <f t="shared" si="49"/>
        <v>0</v>
      </c>
      <c r="S16" s="60">
        <f t="shared" si="49"/>
        <v>0</v>
      </c>
      <c r="T16" s="60"/>
      <c r="U16" s="322">
        <f t="shared" ref="U16:AF16" si="50">T16</f>
        <v>0</v>
      </c>
      <c r="V16" s="60">
        <f t="shared" si="50"/>
        <v>0</v>
      </c>
      <c r="W16" s="60">
        <f t="shared" si="50"/>
        <v>0</v>
      </c>
      <c r="X16" s="60">
        <f t="shared" si="50"/>
        <v>0</v>
      </c>
      <c r="Y16" s="60">
        <f t="shared" si="50"/>
        <v>0</v>
      </c>
      <c r="Z16" s="60">
        <f t="shared" si="50"/>
        <v>0</v>
      </c>
      <c r="AA16" s="60">
        <f t="shared" si="50"/>
        <v>0</v>
      </c>
      <c r="AB16" s="60">
        <f t="shared" si="50"/>
        <v>0</v>
      </c>
      <c r="AC16" s="60">
        <f t="shared" si="50"/>
        <v>0</v>
      </c>
      <c r="AD16" s="60">
        <f t="shared" si="50"/>
        <v>0</v>
      </c>
      <c r="AE16" s="60">
        <f t="shared" si="50"/>
        <v>0</v>
      </c>
      <c r="AF16" s="60">
        <f t="shared" si="50"/>
        <v>0</v>
      </c>
      <c r="AG16" s="60"/>
      <c r="AH16" s="322">
        <f t="shared" ref="AH16:AS16" si="51">AG16</f>
        <v>0</v>
      </c>
      <c r="AI16" s="60">
        <f t="shared" si="51"/>
        <v>0</v>
      </c>
      <c r="AJ16" s="60">
        <f t="shared" si="51"/>
        <v>0</v>
      </c>
      <c r="AK16" s="60">
        <f t="shared" si="51"/>
        <v>0</v>
      </c>
      <c r="AL16" s="60">
        <f t="shared" si="51"/>
        <v>0</v>
      </c>
      <c r="AM16" s="60">
        <f t="shared" si="51"/>
        <v>0</v>
      </c>
      <c r="AN16" s="60">
        <f t="shared" si="51"/>
        <v>0</v>
      </c>
      <c r="AO16" s="60">
        <f t="shared" si="51"/>
        <v>0</v>
      </c>
      <c r="AP16" s="60">
        <f t="shared" si="51"/>
        <v>0</v>
      </c>
      <c r="AQ16" s="60">
        <f t="shared" si="51"/>
        <v>0</v>
      </c>
      <c r="AR16" s="60">
        <f t="shared" si="51"/>
        <v>0</v>
      </c>
      <c r="AS16" s="60">
        <f t="shared" si="51"/>
        <v>0</v>
      </c>
      <c r="AT16" s="60"/>
      <c r="AU16" s="322">
        <f t="shared" ref="AU16:BF16" si="52">AT16</f>
        <v>0</v>
      </c>
      <c r="AV16" s="60">
        <f t="shared" si="52"/>
        <v>0</v>
      </c>
      <c r="AW16" s="60">
        <f t="shared" si="52"/>
        <v>0</v>
      </c>
      <c r="AX16" s="60">
        <f t="shared" si="52"/>
        <v>0</v>
      </c>
      <c r="AY16" s="60">
        <f t="shared" si="52"/>
        <v>0</v>
      </c>
      <c r="AZ16" s="60">
        <f t="shared" si="52"/>
        <v>0</v>
      </c>
      <c r="BA16" s="60">
        <f t="shared" si="52"/>
        <v>0</v>
      </c>
      <c r="BB16" s="60">
        <f t="shared" si="52"/>
        <v>0</v>
      </c>
      <c r="BC16" s="60">
        <f t="shared" si="52"/>
        <v>0</v>
      </c>
      <c r="BD16" s="60">
        <f t="shared" si="52"/>
        <v>0</v>
      </c>
      <c r="BE16" s="60">
        <f t="shared" si="52"/>
        <v>0</v>
      </c>
      <c r="BF16" s="60">
        <f t="shared" si="52"/>
        <v>0</v>
      </c>
      <c r="BG16" s="60"/>
      <c r="BH16" s="322">
        <f t="shared" ref="BH16:BS16" si="53">BG16</f>
        <v>0</v>
      </c>
      <c r="BI16" s="60">
        <f t="shared" si="53"/>
        <v>0</v>
      </c>
      <c r="BJ16" s="60">
        <f t="shared" si="53"/>
        <v>0</v>
      </c>
      <c r="BK16" s="60">
        <f t="shared" si="53"/>
        <v>0</v>
      </c>
      <c r="BL16" s="60">
        <f t="shared" si="53"/>
        <v>0</v>
      </c>
      <c r="BM16" s="60">
        <f t="shared" si="53"/>
        <v>0</v>
      </c>
      <c r="BN16" s="60">
        <f t="shared" si="53"/>
        <v>0</v>
      </c>
      <c r="BO16" s="60">
        <f t="shared" si="53"/>
        <v>0</v>
      </c>
      <c r="BP16" s="60">
        <f t="shared" si="53"/>
        <v>0</v>
      </c>
      <c r="BQ16" s="60">
        <f t="shared" si="53"/>
        <v>0</v>
      </c>
      <c r="BR16" s="60">
        <f t="shared" si="53"/>
        <v>0</v>
      </c>
      <c r="BS16" s="60">
        <f t="shared" si="53"/>
        <v>0</v>
      </c>
      <c r="BT16" s="60"/>
      <c r="BU16" s="60"/>
    </row>
    <row r="17" spans="1:73">
      <c r="A17" s="2"/>
      <c r="B17" s="2"/>
      <c r="C17" s="48" t="str">
        <f>CONCATENATE("   Sub-total ",B6)</f>
        <v xml:space="preserve">   Sub-total Admin</v>
      </c>
      <c r="D17" s="38"/>
      <c r="E17" s="2"/>
      <c r="F17" s="60"/>
      <c r="G17" s="60"/>
      <c r="H17" s="18">
        <f t="shared" ref="H17:BT17" si="54">H7+H9+H11+H13+H15</f>
        <v>6250</v>
      </c>
      <c r="I17" s="18">
        <f t="shared" si="54"/>
        <v>6250</v>
      </c>
      <c r="J17" s="18">
        <f t="shared" si="54"/>
        <v>6250</v>
      </c>
      <c r="K17" s="18">
        <f t="shared" si="54"/>
        <v>6250</v>
      </c>
      <c r="L17" s="18">
        <f t="shared" si="54"/>
        <v>6250</v>
      </c>
      <c r="M17" s="18">
        <f t="shared" si="54"/>
        <v>6250</v>
      </c>
      <c r="N17" s="18">
        <f t="shared" si="54"/>
        <v>6250</v>
      </c>
      <c r="O17" s="18">
        <f t="shared" si="54"/>
        <v>6250</v>
      </c>
      <c r="P17" s="18">
        <f t="shared" si="54"/>
        <v>6250</v>
      </c>
      <c r="Q17" s="18">
        <f t="shared" si="54"/>
        <v>6250</v>
      </c>
      <c r="R17" s="18">
        <f t="shared" si="54"/>
        <v>6250</v>
      </c>
      <c r="S17" s="18">
        <f t="shared" si="54"/>
        <v>6250</v>
      </c>
      <c r="T17" s="18">
        <f t="shared" si="54"/>
        <v>75000</v>
      </c>
      <c r="U17" s="18">
        <f t="shared" si="54"/>
        <v>7161</v>
      </c>
      <c r="V17" s="18">
        <f t="shared" si="54"/>
        <v>7161</v>
      </c>
      <c r="W17" s="18">
        <f t="shared" si="54"/>
        <v>7161</v>
      </c>
      <c r="X17" s="18">
        <f t="shared" si="54"/>
        <v>7161</v>
      </c>
      <c r="Y17" s="18">
        <f t="shared" si="54"/>
        <v>7161</v>
      </c>
      <c r="Z17" s="18">
        <f t="shared" si="54"/>
        <v>7161</v>
      </c>
      <c r="AA17" s="18">
        <f t="shared" si="54"/>
        <v>7161</v>
      </c>
      <c r="AB17" s="18">
        <f t="shared" si="54"/>
        <v>7161</v>
      </c>
      <c r="AC17" s="18">
        <f t="shared" si="54"/>
        <v>7161</v>
      </c>
      <c r="AD17" s="18">
        <f t="shared" si="54"/>
        <v>7161</v>
      </c>
      <c r="AE17" s="18">
        <f t="shared" si="54"/>
        <v>7161</v>
      </c>
      <c r="AF17" s="18">
        <f t="shared" si="54"/>
        <v>7161</v>
      </c>
      <c r="AG17" s="18">
        <f t="shared" si="54"/>
        <v>85932</v>
      </c>
      <c r="AH17" s="18">
        <f t="shared" si="54"/>
        <v>12240</v>
      </c>
      <c r="AI17" s="18">
        <f t="shared" si="54"/>
        <v>12240</v>
      </c>
      <c r="AJ17" s="18">
        <f t="shared" si="54"/>
        <v>12240</v>
      </c>
      <c r="AK17" s="18">
        <f t="shared" si="54"/>
        <v>12240</v>
      </c>
      <c r="AL17" s="18">
        <f t="shared" si="54"/>
        <v>12240</v>
      </c>
      <c r="AM17" s="18">
        <f t="shared" si="54"/>
        <v>12240</v>
      </c>
      <c r="AN17" s="18">
        <f t="shared" si="54"/>
        <v>12240</v>
      </c>
      <c r="AO17" s="18">
        <f t="shared" si="54"/>
        <v>12240</v>
      </c>
      <c r="AP17" s="18">
        <f t="shared" si="54"/>
        <v>12240</v>
      </c>
      <c r="AQ17" s="18">
        <f t="shared" si="54"/>
        <v>12240</v>
      </c>
      <c r="AR17" s="18">
        <f t="shared" si="54"/>
        <v>12240</v>
      </c>
      <c r="AS17" s="18">
        <f t="shared" si="54"/>
        <v>12240</v>
      </c>
      <c r="AT17" s="18">
        <f t="shared" si="54"/>
        <v>146880</v>
      </c>
      <c r="AU17" s="18">
        <f t="shared" si="54"/>
        <v>12240</v>
      </c>
      <c r="AV17" s="18">
        <f t="shared" si="54"/>
        <v>12240</v>
      </c>
      <c r="AW17" s="18">
        <f t="shared" si="54"/>
        <v>12240</v>
      </c>
      <c r="AX17" s="18">
        <f t="shared" si="54"/>
        <v>12240</v>
      </c>
      <c r="AY17" s="18">
        <f t="shared" si="54"/>
        <v>12240</v>
      </c>
      <c r="AZ17" s="18">
        <f t="shared" si="54"/>
        <v>12240</v>
      </c>
      <c r="BA17" s="18">
        <f t="shared" si="54"/>
        <v>12240</v>
      </c>
      <c r="BB17" s="18">
        <f t="shared" si="54"/>
        <v>12240</v>
      </c>
      <c r="BC17" s="18">
        <f t="shared" si="54"/>
        <v>12240</v>
      </c>
      <c r="BD17" s="18">
        <f t="shared" si="54"/>
        <v>12240</v>
      </c>
      <c r="BE17" s="18">
        <f t="shared" si="54"/>
        <v>12240</v>
      </c>
      <c r="BF17" s="18">
        <f t="shared" si="54"/>
        <v>12240</v>
      </c>
      <c r="BG17" s="18">
        <f t="shared" si="54"/>
        <v>146880</v>
      </c>
      <c r="BH17" s="18">
        <f t="shared" si="54"/>
        <v>14063</v>
      </c>
      <c r="BI17" s="18">
        <f t="shared" si="54"/>
        <v>14063</v>
      </c>
      <c r="BJ17" s="18">
        <f t="shared" si="54"/>
        <v>14063</v>
      </c>
      <c r="BK17" s="18">
        <f t="shared" si="54"/>
        <v>14063</v>
      </c>
      <c r="BL17" s="18">
        <f t="shared" si="54"/>
        <v>14063</v>
      </c>
      <c r="BM17" s="18">
        <f t="shared" si="54"/>
        <v>14063</v>
      </c>
      <c r="BN17" s="18">
        <f t="shared" si="54"/>
        <v>14063</v>
      </c>
      <c r="BO17" s="18">
        <f t="shared" si="54"/>
        <v>14063</v>
      </c>
      <c r="BP17" s="18">
        <f t="shared" si="54"/>
        <v>14063</v>
      </c>
      <c r="BQ17" s="18">
        <f t="shared" si="54"/>
        <v>14063</v>
      </c>
      <c r="BR17" s="18">
        <f t="shared" si="54"/>
        <v>14063</v>
      </c>
      <c r="BS17" s="18">
        <f t="shared" si="54"/>
        <v>14063</v>
      </c>
      <c r="BT17" s="18">
        <f t="shared" si="54"/>
        <v>168756</v>
      </c>
      <c r="BU17" s="18">
        <f>SUM(BU7:BU16)</f>
        <v>623448</v>
      </c>
    </row>
    <row r="18" spans="1:73">
      <c r="B18" s="2" t="s">
        <v>173</v>
      </c>
      <c r="C18" s="2"/>
      <c r="D18" s="38"/>
      <c r="E18" s="2"/>
      <c r="F18" s="60"/>
      <c r="G18" s="6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>
      <c r="B19" s="2"/>
      <c r="C19" s="148" t="s">
        <v>459</v>
      </c>
      <c r="D19" s="323">
        <v>60000</v>
      </c>
      <c r="E19" s="3">
        <f>E$6*$D19</f>
        <v>15000</v>
      </c>
      <c r="F19" s="149">
        <f>SUM(D19:E19)</f>
        <v>75000</v>
      </c>
      <c r="G19" s="60"/>
      <c r="H19" s="3">
        <f t="shared" ref="H19:S19" si="55">ROUND(($F19/12)*H20,0)</f>
        <v>6250</v>
      </c>
      <c r="I19" s="3">
        <f t="shared" si="55"/>
        <v>6250</v>
      </c>
      <c r="J19" s="3">
        <f t="shared" si="55"/>
        <v>6250</v>
      </c>
      <c r="K19" s="3">
        <f t="shared" si="55"/>
        <v>6250</v>
      </c>
      <c r="L19" s="3">
        <f t="shared" si="55"/>
        <v>6250</v>
      </c>
      <c r="M19" s="3">
        <f t="shared" si="55"/>
        <v>6250</v>
      </c>
      <c r="N19" s="3">
        <f t="shared" si="55"/>
        <v>6250</v>
      </c>
      <c r="O19" s="3">
        <f t="shared" si="55"/>
        <v>6250</v>
      </c>
      <c r="P19" s="3">
        <f t="shared" si="55"/>
        <v>6250</v>
      </c>
      <c r="Q19" s="3">
        <f t="shared" si="55"/>
        <v>6250</v>
      </c>
      <c r="R19" s="3">
        <f t="shared" si="55"/>
        <v>6250</v>
      </c>
      <c r="S19" s="3">
        <f t="shared" si="55"/>
        <v>6250</v>
      </c>
      <c r="T19" s="3">
        <f>SUM(H19:S19)</f>
        <v>75000</v>
      </c>
      <c r="U19" s="3">
        <f t="shared" ref="U19:AF19" si="56">ROUND(($F19/12)*U20,0)</f>
        <v>6250</v>
      </c>
      <c r="V19" s="3">
        <f t="shared" si="56"/>
        <v>6250</v>
      </c>
      <c r="W19" s="3">
        <f t="shared" si="56"/>
        <v>6250</v>
      </c>
      <c r="X19" s="3">
        <f t="shared" si="56"/>
        <v>6250</v>
      </c>
      <c r="Y19" s="3">
        <f t="shared" si="56"/>
        <v>6250</v>
      </c>
      <c r="Z19" s="3">
        <f t="shared" si="56"/>
        <v>6250</v>
      </c>
      <c r="AA19" s="3">
        <f t="shared" si="56"/>
        <v>6250</v>
      </c>
      <c r="AB19" s="3">
        <f t="shared" si="56"/>
        <v>6250</v>
      </c>
      <c r="AC19" s="3">
        <f t="shared" si="56"/>
        <v>6250</v>
      </c>
      <c r="AD19" s="3">
        <f t="shared" si="56"/>
        <v>6250</v>
      </c>
      <c r="AE19" s="3">
        <f t="shared" si="56"/>
        <v>6250</v>
      </c>
      <c r="AF19" s="3">
        <f t="shared" si="56"/>
        <v>6250</v>
      </c>
      <c r="AG19" s="3">
        <f>SUM(U19:AF19)</f>
        <v>75000</v>
      </c>
      <c r="AH19" s="3">
        <f t="shared" ref="AH19:AS19" si="57">ROUND(($F19/12)*AH20,0)</f>
        <v>6250</v>
      </c>
      <c r="AI19" s="3">
        <f t="shared" si="57"/>
        <v>6250</v>
      </c>
      <c r="AJ19" s="3">
        <f t="shared" si="57"/>
        <v>6250</v>
      </c>
      <c r="AK19" s="3">
        <f t="shared" si="57"/>
        <v>6250</v>
      </c>
      <c r="AL19" s="3">
        <f t="shared" si="57"/>
        <v>6250</v>
      </c>
      <c r="AM19" s="3">
        <f t="shared" si="57"/>
        <v>6250</v>
      </c>
      <c r="AN19" s="3">
        <f t="shared" si="57"/>
        <v>6250</v>
      </c>
      <c r="AO19" s="3">
        <f t="shared" si="57"/>
        <v>6250</v>
      </c>
      <c r="AP19" s="3">
        <f t="shared" si="57"/>
        <v>6250</v>
      </c>
      <c r="AQ19" s="3">
        <f t="shared" si="57"/>
        <v>6250</v>
      </c>
      <c r="AR19" s="3">
        <f t="shared" si="57"/>
        <v>6250</v>
      </c>
      <c r="AS19" s="3">
        <f t="shared" si="57"/>
        <v>6250</v>
      </c>
      <c r="AT19" s="3">
        <f>SUM(AH19:AS19)</f>
        <v>75000</v>
      </c>
      <c r="AU19" s="3">
        <f t="shared" ref="AU19:BF19" si="58">ROUND(($F19/12)*AU20,0)</f>
        <v>6250</v>
      </c>
      <c r="AV19" s="3">
        <f t="shared" si="58"/>
        <v>6250</v>
      </c>
      <c r="AW19" s="3">
        <f t="shared" si="58"/>
        <v>6250</v>
      </c>
      <c r="AX19" s="3">
        <f t="shared" si="58"/>
        <v>6250</v>
      </c>
      <c r="AY19" s="3">
        <f t="shared" si="58"/>
        <v>6250</v>
      </c>
      <c r="AZ19" s="3">
        <f t="shared" si="58"/>
        <v>6250</v>
      </c>
      <c r="BA19" s="3">
        <f t="shared" si="58"/>
        <v>6250</v>
      </c>
      <c r="BB19" s="3">
        <f t="shared" si="58"/>
        <v>6250</v>
      </c>
      <c r="BC19" s="3">
        <f t="shared" si="58"/>
        <v>6250</v>
      </c>
      <c r="BD19" s="3">
        <f t="shared" si="58"/>
        <v>6250</v>
      </c>
      <c r="BE19" s="3">
        <f t="shared" si="58"/>
        <v>6250</v>
      </c>
      <c r="BF19" s="3">
        <f t="shared" si="58"/>
        <v>6250</v>
      </c>
      <c r="BG19" s="3">
        <f>SUM(AU19:BF19)</f>
        <v>75000</v>
      </c>
      <c r="BH19" s="3">
        <f t="shared" ref="BH19:BS19" si="59">ROUND(($F19/12)*BH20,0)</f>
        <v>6250</v>
      </c>
      <c r="BI19" s="3">
        <f t="shared" si="59"/>
        <v>6250</v>
      </c>
      <c r="BJ19" s="3">
        <f t="shared" si="59"/>
        <v>6250</v>
      </c>
      <c r="BK19" s="3">
        <f t="shared" si="59"/>
        <v>6250</v>
      </c>
      <c r="BL19" s="3">
        <f t="shared" si="59"/>
        <v>6250</v>
      </c>
      <c r="BM19" s="3">
        <f t="shared" si="59"/>
        <v>6250</v>
      </c>
      <c r="BN19" s="3">
        <f t="shared" si="59"/>
        <v>6250</v>
      </c>
      <c r="BO19" s="3">
        <f t="shared" si="59"/>
        <v>6250</v>
      </c>
      <c r="BP19" s="3">
        <f t="shared" si="59"/>
        <v>6250</v>
      </c>
      <c r="BQ19" s="3">
        <f t="shared" si="59"/>
        <v>6250</v>
      </c>
      <c r="BR19" s="3">
        <f t="shared" si="59"/>
        <v>6250</v>
      </c>
      <c r="BS19" s="3">
        <f t="shared" si="59"/>
        <v>6250</v>
      </c>
      <c r="BT19" s="3">
        <f>SUM(BH19:BS19)</f>
        <v>75000</v>
      </c>
      <c r="BU19" s="3">
        <f>T19+AG19+AT19+BG19+BT19</f>
        <v>375000</v>
      </c>
    </row>
    <row r="20" spans="1:73">
      <c r="B20" s="2"/>
      <c r="C20" s="2"/>
      <c r="D20" s="38"/>
      <c r="E20" s="3"/>
      <c r="F20" s="150"/>
      <c r="G20" s="60"/>
      <c r="H20" s="322">
        <v>1</v>
      </c>
      <c r="I20" s="60">
        <f t="shared" ref="I20:S20" si="60">H20</f>
        <v>1</v>
      </c>
      <c r="J20" s="60">
        <f t="shared" si="60"/>
        <v>1</v>
      </c>
      <c r="K20" s="60">
        <f t="shared" si="60"/>
        <v>1</v>
      </c>
      <c r="L20" s="60">
        <f t="shared" si="60"/>
        <v>1</v>
      </c>
      <c r="M20" s="60">
        <f t="shared" si="60"/>
        <v>1</v>
      </c>
      <c r="N20" s="60">
        <f t="shared" si="60"/>
        <v>1</v>
      </c>
      <c r="O20" s="60">
        <f t="shared" si="60"/>
        <v>1</v>
      </c>
      <c r="P20" s="60">
        <f t="shared" si="60"/>
        <v>1</v>
      </c>
      <c r="Q20" s="60">
        <f t="shared" si="60"/>
        <v>1</v>
      </c>
      <c r="R20" s="60">
        <f t="shared" si="60"/>
        <v>1</v>
      </c>
      <c r="S20" s="60">
        <f t="shared" si="60"/>
        <v>1</v>
      </c>
      <c r="T20" s="60"/>
      <c r="U20" s="322">
        <v>1</v>
      </c>
      <c r="V20" s="60">
        <f t="shared" ref="V20:AF20" si="61">U20</f>
        <v>1</v>
      </c>
      <c r="W20" s="60">
        <f t="shared" si="61"/>
        <v>1</v>
      </c>
      <c r="X20" s="60">
        <f t="shared" si="61"/>
        <v>1</v>
      </c>
      <c r="Y20" s="60">
        <f t="shared" si="61"/>
        <v>1</v>
      </c>
      <c r="Z20" s="60">
        <f t="shared" si="61"/>
        <v>1</v>
      </c>
      <c r="AA20" s="60">
        <f t="shared" si="61"/>
        <v>1</v>
      </c>
      <c r="AB20" s="60">
        <f t="shared" si="61"/>
        <v>1</v>
      </c>
      <c r="AC20" s="60">
        <f t="shared" si="61"/>
        <v>1</v>
      </c>
      <c r="AD20" s="60">
        <f t="shared" si="61"/>
        <v>1</v>
      </c>
      <c r="AE20" s="60">
        <f t="shared" si="61"/>
        <v>1</v>
      </c>
      <c r="AF20" s="60">
        <f t="shared" si="61"/>
        <v>1</v>
      </c>
      <c r="AG20" s="60"/>
      <c r="AH20" s="322">
        <v>1</v>
      </c>
      <c r="AI20" s="60">
        <f t="shared" ref="AI20:AS20" si="62">AH20</f>
        <v>1</v>
      </c>
      <c r="AJ20" s="60">
        <f t="shared" si="62"/>
        <v>1</v>
      </c>
      <c r="AK20" s="60">
        <f t="shared" si="62"/>
        <v>1</v>
      </c>
      <c r="AL20" s="60">
        <f t="shared" si="62"/>
        <v>1</v>
      </c>
      <c r="AM20" s="60">
        <f t="shared" si="62"/>
        <v>1</v>
      </c>
      <c r="AN20" s="60">
        <f t="shared" si="62"/>
        <v>1</v>
      </c>
      <c r="AO20" s="60">
        <f t="shared" si="62"/>
        <v>1</v>
      </c>
      <c r="AP20" s="60">
        <f t="shared" si="62"/>
        <v>1</v>
      </c>
      <c r="AQ20" s="60">
        <f t="shared" si="62"/>
        <v>1</v>
      </c>
      <c r="AR20" s="60">
        <f t="shared" si="62"/>
        <v>1</v>
      </c>
      <c r="AS20" s="60">
        <f t="shared" si="62"/>
        <v>1</v>
      </c>
      <c r="AT20" s="60"/>
      <c r="AU20" s="322">
        <v>1</v>
      </c>
      <c r="AV20" s="60">
        <f t="shared" ref="AV20:BF20" si="63">AU20</f>
        <v>1</v>
      </c>
      <c r="AW20" s="60">
        <f t="shared" si="63"/>
        <v>1</v>
      </c>
      <c r="AX20" s="60">
        <f t="shared" si="63"/>
        <v>1</v>
      </c>
      <c r="AY20" s="60">
        <f t="shared" si="63"/>
        <v>1</v>
      </c>
      <c r="AZ20" s="60">
        <f t="shared" si="63"/>
        <v>1</v>
      </c>
      <c r="BA20" s="60">
        <f t="shared" si="63"/>
        <v>1</v>
      </c>
      <c r="BB20" s="60">
        <f t="shared" si="63"/>
        <v>1</v>
      </c>
      <c r="BC20" s="60">
        <f t="shared" si="63"/>
        <v>1</v>
      </c>
      <c r="BD20" s="60">
        <f t="shared" si="63"/>
        <v>1</v>
      </c>
      <c r="BE20" s="60">
        <f t="shared" si="63"/>
        <v>1</v>
      </c>
      <c r="BF20" s="60">
        <f t="shared" si="63"/>
        <v>1</v>
      </c>
      <c r="BG20" s="60"/>
      <c r="BH20" s="322">
        <v>1</v>
      </c>
      <c r="BI20" s="60">
        <f t="shared" ref="BI20:BS20" si="64">BH20</f>
        <v>1</v>
      </c>
      <c r="BJ20" s="60">
        <f t="shared" si="64"/>
        <v>1</v>
      </c>
      <c r="BK20" s="60">
        <f t="shared" si="64"/>
        <v>1</v>
      </c>
      <c r="BL20" s="60">
        <f t="shared" si="64"/>
        <v>1</v>
      </c>
      <c r="BM20" s="60">
        <f t="shared" si="64"/>
        <v>1</v>
      </c>
      <c r="BN20" s="60">
        <f t="shared" si="64"/>
        <v>1</v>
      </c>
      <c r="BO20" s="60">
        <f t="shared" si="64"/>
        <v>1</v>
      </c>
      <c r="BP20" s="60">
        <f t="shared" si="64"/>
        <v>1</v>
      </c>
      <c r="BQ20" s="60">
        <f t="shared" si="64"/>
        <v>1</v>
      </c>
      <c r="BR20" s="60">
        <f t="shared" si="64"/>
        <v>1</v>
      </c>
      <c r="BS20" s="60">
        <f t="shared" si="64"/>
        <v>1</v>
      </c>
      <c r="BT20" s="60"/>
      <c r="BU20" s="60"/>
    </row>
    <row r="21" spans="1:73" ht="15.75" customHeight="1">
      <c r="B21" s="2"/>
      <c r="C21" s="148" t="s">
        <v>544</v>
      </c>
      <c r="D21" s="323">
        <v>45000</v>
      </c>
      <c r="E21" s="3">
        <f>E$6*$D21</f>
        <v>11250</v>
      </c>
      <c r="F21" s="149">
        <f>SUM(D21:E21)</f>
        <v>56250</v>
      </c>
      <c r="G21" s="60"/>
      <c r="H21" s="3">
        <f t="shared" ref="H21:S21" si="65">ROUND(($F21/12)*H22,0)</f>
        <v>0</v>
      </c>
      <c r="I21" s="3">
        <f t="shared" si="65"/>
        <v>0</v>
      </c>
      <c r="J21" s="3">
        <f t="shared" si="65"/>
        <v>0</v>
      </c>
      <c r="K21" s="3">
        <f t="shared" si="65"/>
        <v>0</v>
      </c>
      <c r="L21" s="3">
        <f t="shared" si="65"/>
        <v>0</v>
      </c>
      <c r="M21" s="3">
        <f t="shared" si="65"/>
        <v>0</v>
      </c>
      <c r="N21" s="3">
        <f t="shared" si="65"/>
        <v>0</v>
      </c>
      <c r="O21" s="3">
        <f t="shared" si="65"/>
        <v>0</v>
      </c>
      <c r="P21" s="3">
        <f t="shared" si="65"/>
        <v>0</v>
      </c>
      <c r="Q21" s="3">
        <f t="shared" si="65"/>
        <v>0</v>
      </c>
      <c r="R21" s="3">
        <f t="shared" si="65"/>
        <v>0</v>
      </c>
      <c r="S21" s="3">
        <f t="shared" si="65"/>
        <v>0</v>
      </c>
      <c r="T21" s="3">
        <f>SUM(H21:S21)</f>
        <v>0</v>
      </c>
      <c r="U21" s="3">
        <f t="shared" ref="U21:AF21" si="66">ROUND(($F21/12)*U22,0)</f>
        <v>0</v>
      </c>
      <c r="V21" s="3">
        <f t="shared" si="66"/>
        <v>0</v>
      </c>
      <c r="W21" s="3">
        <f t="shared" si="66"/>
        <v>0</v>
      </c>
      <c r="X21" s="3">
        <f t="shared" si="66"/>
        <v>0</v>
      </c>
      <c r="Y21" s="3">
        <f t="shared" si="66"/>
        <v>0</v>
      </c>
      <c r="Z21" s="3">
        <f t="shared" si="66"/>
        <v>0</v>
      </c>
      <c r="AA21" s="3">
        <f t="shared" si="66"/>
        <v>0</v>
      </c>
      <c r="AB21" s="3">
        <f t="shared" si="66"/>
        <v>0</v>
      </c>
      <c r="AC21" s="3">
        <f t="shared" si="66"/>
        <v>0</v>
      </c>
      <c r="AD21" s="3">
        <f t="shared" si="66"/>
        <v>0</v>
      </c>
      <c r="AE21" s="3">
        <f t="shared" si="66"/>
        <v>0</v>
      </c>
      <c r="AF21" s="3">
        <f t="shared" si="66"/>
        <v>0</v>
      </c>
      <c r="AG21" s="3">
        <f>SUM(U21:AF21)</f>
        <v>0</v>
      </c>
      <c r="AH21" s="3">
        <f t="shared" ref="AH21:AS21" si="67">ROUND(($F21/12)*AH22,0)</f>
        <v>4688</v>
      </c>
      <c r="AI21" s="3">
        <f t="shared" si="67"/>
        <v>4688</v>
      </c>
      <c r="AJ21" s="3">
        <f t="shared" si="67"/>
        <v>4688</v>
      </c>
      <c r="AK21" s="3">
        <f t="shared" si="67"/>
        <v>4688</v>
      </c>
      <c r="AL21" s="3">
        <f t="shared" si="67"/>
        <v>4688</v>
      </c>
      <c r="AM21" s="3">
        <f t="shared" si="67"/>
        <v>4688</v>
      </c>
      <c r="AN21" s="3">
        <f t="shared" si="67"/>
        <v>4688</v>
      </c>
      <c r="AO21" s="3">
        <f t="shared" si="67"/>
        <v>4688</v>
      </c>
      <c r="AP21" s="3">
        <f t="shared" si="67"/>
        <v>4688</v>
      </c>
      <c r="AQ21" s="3">
        <f t="shared" si="67"/>
        <v>4688</v>
      </c>
      <c r="AR21" s="3">
        <f t="shared" si="67"/>
        <v>4688</v>
      </c>
      <c r="AS21" s="3">
        <f t="shared" si="67"/>
        <v>4688</v>
      </c>
      <c r="AT21" s="3">
        <f>SUM(AH21:AS21)</f>
        <v>56256</v>
      </c>
      <c r="AU21" s="3">
        <f t="shared" ref="AU21:BF21" si="68">ROUND(($F21/12)*AU22,0)</f>
        <v>4688</v>
      </c>
      <c r="AV21" s="3">
        <f t="shared" si="68"/>
        <v>4688</v>
      </c>
      <c r="AW21" s="3">
        <f t="shared" si="68"/>
        <v>4688</v>
      </c>
      <c r="AX21" s="3">
        <f t="shared" si="68"/>
        <v>4688</v>
      </c>
      <c r="AY21" s="3">
        <f t="shared" si="68"/>
        <v>4688</v>
      </c>
      <c r="AZ21" s="3">
        <f t="shared" si="68"/>
        <v>4688</v>
      </c>
      <c r="BA21" s="3">
        <f t="shared" si="68"/>
        <v>4688</v>
      </c>
      <c r="BB21" s="3">
        <f t="shared" si="68"/>
        <v>4688</v>
      </c>
      <c r="BC21" s="3">
        <f t="shared" si="68"/>
        <v>4688</v>
      </c>
      <c r="BD21" s="3">
        <f t="shared" si="68"/>
        <v>4688</v>
      </c>
      <c r="BE21" s="3">
        <f t="shared" si="68"/>
        <v>4688</v>
      </c>
      <c r="BF21" s="3">
        <f t="shared" si="68"/>
        <v>4688</v>
      </c>
      <c r="BG21" s="3">
        <f>SUM(AU21:BF21)</f>
        <v>56256</v>
      </c>
      <c r="BH21" s="3">
        <f t="shared" ref="BH21:BS21" si="69">ROUND(($F21/12)*BH22,0)</f>
        <v>4688</v>
      </c>
      <c r="BI21" s="3">
        <f t="shared" si="69"/>
        <v>4688</v>
      </c>
      <c r="BJ21" s="3">
        <f t="shared" si="69"/>
        <v>4688</v>
      </c>
      <c r="BK21" s="3">
        <f t="shared" si="69"/>
        <v>4688</v>
      </c>
      <c r="BL21" s="3">
        <f t="shared" si="69"/>
        <v>4688</v>
      </c>
      <c r="BM21" s="3">
        <f t="shared" si="69"/>
        <v>4688</v>
      </c>
      <c r="BN21" s="3">
        <f t="shared" si="69"/>
        <v>4688</v>
      </c>
      <c r="BO21" s="3">
        <f t="shared" si="69"/>
        <v>4688</v>
      </c>
      <c r="BP21" s="3">
        <f t="shared" si="69"/>
        <v>4688</v>
      </c>
      <c r="BQ21" s="3">
        <f t="shared" si="69"/>
        <v>4688</v>
      </c>
      <c r="BR21" s="3">
        <f t="shared" si="69"/>
        <v>4688</v>
      </c>
      <c r="BS21" s="3">
        <f t="shared" si="69"/>
        <v>4688</v>
      </c>
      <c r="BT21" s="3">
        <f>SUM(BH21:BS21)</f>
        <v>56256</v>
      </c>
      <c r="BU21" s="3">
        <f>T21+AG21+AT21+BG21+BT21</f>
        <v>168768</v>
      </c>
    </row>
    <row r="22" spans="1:73" ht="15.75" customHeight="1">
      <c r="A22" s="2"/>
      <c r="B22" s="2"/>
      <c r="C22" s="2"/>
      <c r="D22" s="38"/>
      <c r="E22" s="3"/>
      <c r="F22" s="60"/>
      <c r="G22" s="60"/>
      <c r="H22" s="322">
        <v>0</v>
      </c>
      <c r="I22" s="60">
        <f t="shared" ref="I22:S22" si="70">H22</f>
        <v>0</v>
      </c>
      <c r="J22" s="60">
        <f>I22</f>
        <v>0</v>
      </c>
      <c r="K22" s="60">
        <f t="shared" si="70"/>
        <v>0</v>
      </c>
      <c r="L22" s="60">
        <f t="shared" si="70"/>
        <v>0</v>
      </c>
      <c r="M22" s="60">
        <f t="shared" si="70"/>
        <v>0</v>
      </c>
      <c r="N22" s="60">
        <f t="shared" si="70"/>
        <v>0</v>
      </c>
      <c r="O22" s="60">
        <f t="shared" si="70"/>
        <v>0</v>
      </c>
      <c r="P22" s="60">
        <f t="shared" si="70"/>
        <v>0</v>
      </c>
      <c r="Q22" s="60">
        <f t="shared" si="70"/>
        <v>0</v>
      </c>
      <c r="R22" s="60">
        <f t="shared" si="70"/>
        <v>0</v>
      </c>
      <c r="S22" s="60">
        <f t="shared" si="70"/>
        <v>0</v>
      </c>
      <c r="T22" s="60"/>
      <c r="U22" s="322">
        <f t="shared" ref="U22:AF22" si="71">T22</f>
        <v>0</v>
      </c>
      <c r="V22" s="60">
        <f t="shared" si="71"/>
        <v>0</v>
      </c>
      <c r="W22" s="60">
        <f t="shared" si="71"/>
        <v>0</v>
      </c>
      <c r="X22" s="60">
        <f t="shared" si="71"/>
        <v>0</v>
      </c>
      <c r="Y22" s="60">
        <f t="shared" si="71"/>
        <v>0</v>
      </c>
      <c r="Z22" s="60">
        <f t="shared" si="71"/>
        <v>0</v>
      </c>
      <c r="AA22" s="60">
        <f t="shared" si="71"/>
        <v>0</v>
      </c>
      <c r="AB22" s="60">
        <f t="shared" si="71"/>
        <v>0</v>
      </c>
      <c r="AC22" s="60">
        <f t="shared" si="71"/>
        <v>0</v>
      </c>
      <c r="AD22" s="60">
        <f t="shared" si="71"/>
        <v>0</v>
      </c>
      <c r="AE22" s="60">
        <f t="shared" si="71"/>
        <v>0</v>
      </c>
      <c r="AF22" s="60">
        <f t="shared" si="71"/>
        <v>0</v>
      </c>
      <c r="AG22" s="60"/>
      <c r="AH22" s="322">
        <v>1</v>
      </c>
      <c r="AI22" s="60">
        <f t="shared" ref="AI22:AS22" si="72">AH22</f>
        <v>1</v>
      </c>
      <c r="AJ22" s="60">
        <f t="shared" si="72"/>
        <v>1</v>
      </c>
      <c r="AK22" s="60">
        <f t="shared" si="72"/>
        <v>1</v>
      </c>
      <c r="AL22" s="60">
        <f t="shared" si="72"/>
        <v>1</v>
      </c>
      <c r="AM22" s="60">
        <f t="shared" si="72"/>
        <v>1</v>
      </c>
      <c r="AN22" s="60">
        <f t="shared" si="72"/>
        <v>1</v>
      </c>
      <c r="AO22" s="60">
        <f t="shared" si="72"/>
        <v>1</v>
      </c>
      <c r="AP22" s="60">
        <f t="shared" si="72"/>
        <v>1</v>
      </c>
      <c r="AQ22" s="60">
        <f t="shared" si="72"/>
        <v>1</v>
      </c>
      <c r="AR22" s="60">
        <f t="shared" si="72"/>
        <v>1</v>
      </c>
      <c r="AS22" s="60">
        <f t="shared" si="72"/>
        <v>1</v>
      </c>
      <c r="AT22" s="60"/>
      <c r="AU22" s="322">
        <v>1</v>
      </c>
      <c r="AV22" s="60">
        <f t="shared" ref="AV22:BF22" si="73">AU22</f>
        <v>1</v>
      </c>
      <c r="AW22" s="60">
        <f t="shared" si="73"/>
        <v>1</v>
      </c>
      <c r="AX22" s="60">
        <f t="shared" si="73"/>
        <v>1</v>
      </c>
      <c r="AY22" s="60">
        <f t="shared" si="73"/>
        <v>1</v>
      </c>
      <c r="AZ22" s="60">
        <f t="shared" si="73"/>
        <v>1</v>
      </c>
      <c r="BA22" s="60">
        <f t="shared" si="73"/>
        <v>1</v>
      </c>
      <c r="BB22" s="60">
        <f t="shared" si="73"/>
        <v>1</v>
      </c>
      <c r="BC22" s="60">
        <f t="shared" si="73"/>
        <v>1</v>
      </c>
      <c r="BD22" s="60">
        <f t="shared" si="73"/>
        <v>1</v>
      </c>
      <c r="BE22" s="60">
        <f t="shared" si="73"/>
        <v>1</v>
      </c>
      <c r="BF22" s="60">
        <f t="shared" si="73"/>
        <v>1</v>
      </c>
      <c r="BG22" s="60"/>
      <c r="BH22" s="322">
        <v>1</v>
      </c>
      <c r="BI22" s="60">
        <f t="shared" ref="BI22:BS22" si="74">BH22</f>
        <v>1</v>
      </c>
      <c r="BJ22" s="60">
        <f t="shared" si="74"/>
        <v>1</v>
      </c>
      <c r="BK22" s="60">
        <f t="shared" si="74"/>
        <v>1</v>
      </c>
      <c r="BL22" s="60">
        <f t="shared" si="74"/>
        <v>1</v>
      </c>
      <c r="BM22" s="60">
        <f t="shared" si="74"/>
        <v>1</v>
      </c>
      <c r="BN22" s="60">
        <f t="shared" si="74"/>
        <v>1</v>
      </c>
      <c r="BO22" s="60">
        <f t="shared" si="74"/>
        <v>1</v>
      </c>
      <c r="BP22" s="60">
        <f t="shared" si="74"/>
        <v>1</v>
      </c>
      <c r="BQ22" s="60">
        <f t="shared" si="74"/>
        <v>1</v>
      </c>
      <c r="BR22" s="60">
        <f t="shared" si="74"/>
        <v>1</v>
      </c>
      <c r="BS22" s="60">
        <f t="shared" si="74"/>
        <v>1</v>
      </c>
      <c r="BT22" s="60"/>
      <c r="BU22" s="60"/>
    </row>
    <row r="23" spans="1:73" ht="15.75" customHeight="1">
      <c r="B23" s="2"/>
      <c r="C23" s="148"/>
      <c r="D23" s="323"/>
      <c r="E23" s="3">
        <f>E$6*$D23</f>
        <v>0</v>
      </c>
      <c r="F23" s="149">
        <f>SUM(D23:E23)</f>
        <v>0</v>
      </c>
      <c r="G23" s="60"/>
      <c r="H23" s="3">
        <f t="shared" ref="H23:S23" si="75">ROUND(($F23/12)*H24,0)</f>
        <v>0</v>
      </c>
      <c r="I23" s="3">
        <f t="shared" si="75"/>
        <v>0</v>
      </c>
      <c r="J23" s="3">
        <f t="shared" si="75"/>
        <v>0</v>
      </c>
      <c r="K23" s="3">
        <f t="shared" si="75"/>
        <v>0</v>
      </c>
      <c r="L23" s="3">
        <f t="shared" si="75"/>
        <v>0</v>
      </c>
      <c r="M23" s="3">
        <f t="shared" si="75"/>
        <v>0</v>
      </c>
      <c r="N23" s="3">
        <f t="shared" si="75"/>
        <v>0</v>
      </c>
      <c r="O23" s="3">
        <f t="shared" si="75"/>
        <v>0</v>
      </c>
      <c r="P23" s="3">
        <f t="shared" si="75"/>
        <v>0</v>
      </c>
      <c r="Q23" s="3">
        <f t="shared" si="75"/>
        <v>0</v>
      </c>
      <c r="R23" s="3">
        <f t="shared" si="75"/>
        <v>0</v>
      </c>
      <c r="S23" s="3">
        <f t="shared" si="75"/>
        <v>0</v>
      </c>
      <c r="T23" s="3">
        <f>SUM(H23:S23)</f>
        <v>0</v>
      </c>
      <c r="U23" s="3">
        <f t="shared" ref="U23:AF23" si="76">ROUND(($F23/12)*U24,0)</f>
        <v>0</v>
      </c>
      <c r="V23" s="77">
        <f t="shared" si="76"/>
        <v>0</v>
      </c>
      <c r="W23" s="77">
        <f t="shared" si="76"/>
        <v>0</v>
      </c>
      <c r="X23" s="77">
        <f t="shared" si="76"/>
        <v>0</v>
      </c>
      <c r="Y23" s="77">
        <f t="shared" si="76"/>
        <v>0</v>
      </c>
      <c r="Z23" s="77">
        <f t="shared" si="76"/>
        <v>0</v>
      </c>
      <c r="AA23" s="77">
        <f t="shared" si="76"/>
        <v>0</v>
      </c>
      <c r="AB23" s="77">
        <f t="shared" si="76"/>
        <v>0</v>
      </c>
      <c r="AC23" s="77">
        <f t="shared" si="76"/>
        <v>0</v>
      </c>
      <c r="AD23" s="77">
        <f t="shared" si="76"/>
        <v>0</v>
      </c>
      <c r="AE23" s="77">
        <f t="shared" si="76"/>
        <v>0</v>
      </c>
      <c r="AF23" s="77">
        <f t="shared" si="76"/>
        <v>0</v>
      </c>
      <c r="AG23" s="77">
        <f>SUM(U23:AF23)</f>
        <v>0</v>
      </c>
      <c r="AH23" s="3">
        <f t="shared" ref="AH23:AS23" si="77">ROUND(($F23/12)*AH24,0)</f>
        <v>0</v>
      </c>
      <c r="AI23" s="77">
        <f t="shared" si="77"/>
        <v>0</v>
      </c>
      <c r="AJ23" s="77">
        <f t="shared" si="77"/>
        <v>0</v>
      </c>
      <c r="AK23" s="77">
        <f t="shared" si="77"/>
        <v>0</v>
      </c>
      <c r="AL23" s="77">
        <f t="shared" si="77"/>
        <v>0</v>
      </c>
      <c r="AM23" s="77">
        <f t="shared" si="77"/>
        <v>0</v>
      </c>
      <c r="AN23" s="77">
        <f t="shared" si="77"/>
        <v>0</v>
      </c>
      <c r="AO23" s="77">
        <f t="shared" si="77"/>
        <v>0</v>
      </c>
      <c r="AP23" s="77">
        <f t="shared" si="77"/>
        <v>0</v>
      </c>
      <c r="AQ23" s="77">
        <f t="shared" si="77"/>
        <v>0</v>
      </c>
      <c r="AR23" s="77">
        <f t="shared" si="77"/>
        <v>0</v>
      </c>
      <c r="AS23" s="77">
        <f t="shared" si="77"/>
        <v>0</v>
      </c>
      <c r="AT23" s="77">
        <f>SUM(AH23:AS23)</f>
        <v>0</v>
      </c>
      <c r="AU23" s="3">
        <f t="shared" ref="AU23:BF23" si="78">ROUND(($F23/12)*AU24,0)</f>
        <v>0</v>
      </c>
      <c r="AV23" s="77">
        <f t="shared" si="78"/>
        <v>0</v>
      </c>
      <c r="AW23" s="77">
        <f t="shared" si="78"/>
        <v>0</v>
      </c>
      <c r="AX23" s="77">
        <f t="shared" si="78"/>
        <v>0</v>
      </c>
      <c r="AY23" s="77">
        <f t="shared" si="78"/>
        <v>0</v>
      </c>
      <c r="AZ23" s="77">
        <f t="shared" si="78"/>
        <v>0</v>
      </c>
      <c r="BA23" s="77">
        <f t="shared" si="78"/>
        <v>0</v>
      </c>
      <c r="BB23" s="77">
        <f t="shared" si="78"/>
        <v>0</v>
      </c>
      <c r="BC23" s="77">
        <f t="shared" si="78"/>
        <v>0</v>
      </c>
      <c r="BD23" s="77">
        <f t="shared" si="78"/>
        <v>0</v>
      </c>
      <c r="BE23" s="77">
        <f t="shared" si="78"/>
        <v>0</v>
      </c>
      <c r="BF23" s="77">
        <f t="shared" si="78"/>
        <v>0</v>
      </c>
      <c r="BG23" s="77">
        <f>SUM(AU23:BF23)</f>
        <v>0</v>
      </c>
      <c r="BH23" s="3">
        <f t="shared" ref="BH23:BS23" si="79">ROUND(($F23/12)*BH24,0)</f>
        <v>0</v>
      </c>
      <c r="BI23" s="77">
        <f t="shared" si="79"/>
        <v>0</v>
      </c>
      <c r="BJ23" s="77">
        <f t="shared" si="79"/>
        <v>0</v>
      </c>
      <c r="BK23" s="77">
        <f t="shared" si="79"/>
        <v>0</v>
      </c>
      <c r="BL23" s="77">
        <f t="shared" si="79"/>
        <v>0</v>
      </c>
      <c r="BM23" s="77">
        <f t="shared" si="79"/>
        <v>0</v>
      </c>
      <c r="BN23" s="77">
        <f t="shared" si="79"/>
        <v>0</v>
      </c>
      <c r="BO23" s="77">
        <f t="shared" si="79"/>
        <v>0</v>
      </c>
      <c r="BP23" s="77">
        <f t="shared" si="79"/>
        <v>0</v>
      </c>
      <c r="BQ23" s="77">
        <f t="shared" si="79"/>
        <v>0</v>
      </c>
      <c r="BR23" s="77">
        <f t="shared" si="79"/>
        <v>0</v>
      </c>
      <c r="BS23" s="77">
        <f t="shared" si="79"/>
        <v>0</v>
      </c>
      <c r="BT23" s="77">
        <f>SUM(BH23:BS23)</f>
        <v>0</v>
      </c>
      <c r="BU23" s="3">
        <f>T23+AG23+AT23+BG23+BT23</f>
        <v>0</v>
      </c>
    </row>
    <row r="24" spans="1:73" ht="15.75" customHeight="1">
      <c r="A24" s="2"/>
      <c r="B24" s="2"/>
      <c r="C24" s="2"/>
      <c r="D24" s="38"/>
      <c r="E24" s="2"/>
      <c r="F24" s="60"/>
      <c r="G24" s="60"/>
      <c r="H24" s="322">
        <v>0</v>
      </c>
      <c r="I24" s="60">
        <f t="shared" ref="I24:S24" si="80">H24</f>
        <v>0</v>
      </c>
      <c r="J24" s="60">
        <f t="shared" si="80"/>
        <v>0</v>
      </c>
      <c r="K24" s="60">
        <f t="shared" si="80"/>
        <v>0</v>
      </c>
      <c r="L24" s="60">
        <f t="shared" si="80"/>
        <v>0</v>
      </c>
      <c r="M24" s="60">
        <f t="shared" si="80"/>
        <v>0</v>
      </c>
      <c r="N24" s="60">
        <f t="shared" si="80"/>
        <v>0</v>
      </c>
      <c r="O24" s="60">
        <f t="shared" si="80"/>
        <v>0</v>
      </c>
      <c r="P24" s="60">
        <f t="shared" si="80"/>
        <v>0</v>
      </c>
      <c r="Q24" s="60">
        <f t="shared" si="80"/>
        <v>0</v>
      </c>
      <c r="R24" s="60">
        <f t="shared" si="80"/>
        <v>0</v>
      </c>
      <c r="S24" s="60">
        <f t="shared" si="80"/>
        <v>0</v>
      </c>
      <c r="T24" s="60"/>
      <c r="U24" s="322">
        <f t="shared" ref="U24:AF24" si="81">T24</f>
        <v>0</v>
      </c>
      <c r="V24" s="60">
        <f t="shared" si="81"/>
        <v>0</v>
      </c>
      <c r="W24" s="60">
        <f t="shared" si="81"/>
        <v>0</v>
      </c>
      <c r="X24" s="60">
        <f t="shared" si="81"/>
        <v>0</v>
      </c>
      <c r="Y24" s="60">
        <f t="shared" si="81"/>
        <v>0</v>
      </c>
      <c r="Z24" s="60">
        <f t="shared" si="81"/>
        <v>0</v>
      </c>
      <c r="AA24" s="60">
        <f t="shared" si="81"/>
        <v>0</v>
      </c>
      <c r="AB24" s="60">
        <f t="shared" si="81"/>
        <v>0</v>
      </c>
      <c r="AC24" s="60">
        <f t="shared" si="81"/>
        <v>0</v>
      </c>
      <c r="AD24" s="60">
        <f t="shared" si="81"/>
        <v>0</v>
      </c>
      <c r="AE24" s="60">
        <f t="shared" si="81"/>
        <v>0</v>
      </c>
      <c r="AF24" s="60">
        <f t="shared" si="81"/>
        <v>0</v>
      </c>
      <c r="AG24" s="60"/>
      <c r="AH24" s="322">
        <f t="shared" ref="AH24:AS24" si="82">AG24</f>
        <v>0</v>
      </c>
      <c r="AI24" s="60">
        <f t="shared" si="82"/>
        <v>0</v>
      </c>
      <c r="AJ24" s="60">
        <f t="shared" si="82"/>
        <v>0</v>
      </c>
      <c r="AK24" s="60">
        <f t="shared" si="82"/>
        <v>0</v>
      </c>
      <c r="AL24" s="60">
        <f t="shared" si="82"/>
        <v>0</v>
      </c>
      <c r="AM24" s="60">
        <f t="shared" si="82"/>
        <v>0</v>
      </c>
      <c r="AN24" s="60">
        <f t="shared" si="82"/>
        <v>0</v>
      </c>
      <c r="AO24" s="60">
        <f t="shared" si="82"/>
        <v>0</v>
      </c>
      <c r="AP24" s="60">
        <f t="shared" si="82"/>
        <v>0</v>
      </c>
      <c r="AQ24" s="60">
        <f t="shared" si="82"/>
        <v>0</v>
      </c>
      <c r="AR24" s="60">
        <f t="shared" si="82"/>
        <v>0</v>
      </c>
      <c r="AS24" s="60">
        <f t="shared" si="82"/>
        <v>0</v>
      </c>
      <c r="AT24" s="60"/>
      <c r="AU24" s="322">
        <f t="shared" ref="AU24:BF24" si="83">AT24</f>
        <v>0</v>
      </c>
      <c r="AV24" s="60">
        <f t="shared" si="83"/>
        <v>0</v>
      </c>
      <c r="AW24" s="60">
        <f t="shared" si="83"/>
        <v>0</v>
      </c>
      <c r="AX24" s="60">
        <f t="shared" si="83"/>
        <v>0</v>
      </c>
      <c r="AY24" s="60">
        <f t="shared" si="83"/>
        <v>0</v>
      </c>
      <c r="AZ24" s="60">
        <f t="shared" si="83"/>
        <v>0</v>
      </c>
      <c r="BA24" s="60">
        <f t="shared" si="83"/>
        <v>0</v>
      </c>
      <c r="BB24" s="60">
        <f t="shared" si="83"/>
        <v>0</v>
      </c>
      <c r="BC24" s="60">
        <f t="shared" si="83"/>
        <v>0</v>
      </c>
      <c r="BD24" s="60">
        <f t="shared" si="83"/>
        <v>0</v>
      </c>
      <c r="BE24" s="60">
        <f t="shared" si="83"/>
        <v>0</v>
      </c>
      <c r="BF24" s="60">
        <f t="shared" si="83"/>
        <v>0</v>
      </c>
      <c r="BG24" s="60"/>
      <c r="BH24" s="322">
        <f t="shared" ref="BH24:BS24" si="84">BG24</f>
        <v>0</v>
      </c>
      <c r="BI24" s="60">
        <f t="shared" si="84"/>
        <v>0</v>
      </c>
      <c r="BJ24" s="60">
        <f t="shared" si="84"/>
        <v>0</v>
      </c>
      <c r="BK24" s="60">
        <f t="shared" si="84"/>
        <v>0</v>
      </c>
      <c r="BL24" s="60">
        <f t="shared" si="84"/>
        <v>0</v>
      </c>
      <c r="BM24" s="60">
        <f t="shared" si="84"/>
        <v>0</v>
      </c>
      <c r="BN24" s="60">
        <f t="shared" si="84"/>
        <v>0</v>
      </c>
      <c r="BO24" s="60">
        <f t="shared" si="84"/>
        <v>0</v>
      </c>
      <c r="BP24" s="60">
        <f t="shared" si="84"/>
        <v>0</v>
      </c>
      <c r="BQ24" s="60">
        <f t="shared" si="84"/>
        <v>0</v>
      </c>
      <c r="BR24" s="60">
        <f t="shared" si="84"/>
        <v>0</v>
      </c>
      <c r="BS24" s="60">
        <f t="shared" si="84"/>
        <v>0</v>
      </c>
      <c r="BT24" s="60"/>
      <c r="BU24" s="60"/>
    </row>
    <row r="25" spans="1:73" ht="15.75" customHeight="1">
      <c r="B25" s="2"/>
      <c r="C25" s="148"/>
      <c r="D25" s="323">
        <v>0</v>
      </c>
      <c r="E25" s="3">
        <f>$E24*D$7</f>
        <v>0</v>
      </c>
      <c r="F25" s="149">
        <f>SUM(D25:E25)</f>
        <v>0</v>
      </c>
      <c r="G25" s="60"/>
      <c r="H25" s="77">
        <f t="shared" ref="H25:S25" si="85">ROUND(($F25/12)*H26,0)</f>
        <v>0</v>
      </c>
      <c r="I25" s="77">
        <f t="shared" si="85"/>
        <v>0</v>
      </c>
      <c r="J25" s="77">
        <f t="shared" si="85"/>
        <v>0</v>
      </c>
      <c r="K25" s="77">
        <f t="shared" si="85"/>
        <v>0</v>
      </c>
      <c r="L25" s="77">
        <f t="shared" si="85"/>
        <v>0</v>
      </c>
      <c r="M25" s="77">
        <f t="shared" si="85"/>
        <v>0</v>
      </c>
      <c r="N25" s="77">
        <f t="shared" si="85"/>
        <v>0</v>
      </c>
      <c r="O25" s="77">
        <f t="shared" si="85"/>
        <v>0</v>
      </c>
      <c r="P25" s="77">
        <f t="shared" si="85"/>
        <v>0</v>
      </c>
      <c r="Q25" s="77">
        <f t="shared" si="85"/>
        <v>0</v>
      </c>
      <c r="R25" s="77">
        <f t="shared" si="85"/>
        <v>0</v>
      </c>
      <c r="S25" s="77">
        <f t="shared" si="85"/>
        <v>0</v>
      </c>
      <c r="T25" s="77">
        <f>SUM(H25:S25)</f>
        <v>0</v>
      </c>
      <c r="U25" s="77">
        <f t="shared" ref="U25:AF25" si="86">ROUND(($F25/12)*U26,0)</f>
        <v>0</v>
      </c>
      <c r="V25" s="77">
        <f t="shared" si="86"/>
        <v>0</v>
      </c>
      <c r="W25" s="77">
        <f t="shared" si="86"/>
        <v>0</v>
      </c>
      <c r="X25" s="77">
        <f t="shared" si="86"/>
        <v>0</v>
      </c>
      <c r="Y25" s="77">
        <f t="shared" si="86"/>
        <v>0</v>
      </c>
      <c r="Z25" s="77">
        <f t="shared" si="86"/>
        <v>0</v>
      </c>
      <c r="AA25" s="77">
        <f t="shared" si="86"/>
        <v>0</v>
      </c>
      <c r="AB25" s="77">
        <f t="shared" si="86"/>
        <v>0</v>
      </c>
      <c r="AC25" s="77">
        <f t="shared" si="86"/>
        <v>0</v>
      </c>
      <c r="AD25" s="77">
        <f t="shared" si="86"/>
        <v>0</v>
      </c>
      <c r="AE25" s="77">
        <f t="shared" si="86"/>
        <v>0</v>
      </c>
      <c r="AF25" s="77">
        <f t="shared" si="86"/>
        <v>0</v>
      </c>
      <c r="AG25" s="77">
        <f>SUM(U25:AF25)</f>
        <v>0</v>
      </c>
      <c r="AH25" s="77">
        <f t="shared" ref="AH25:AS25" si="87">ROUND(($F25/12)*AH26,0)</f>
        <v>0</v>
      </c>
      <c r="AI25" s="77">
        <f t="shared" si="87"/>
        <v>0</v>
      </c>
      <c r="AJ25" s="77">
        <f t="shared" si="87"/>
        <v>0</v>
      </c>
      <c r="AK25" s="77">
        <f t="shared" si="87"/>
        <v>0</v>
      </c>
      <c r="AL25" s="77">
        <f t="shared" si="87"/>
        <v>0</v>
      </c>
      <c r="AM25" s="77">
        <f t="shared" si="87"/>
        <v>0</v>
      </c>
      <c r="AN25" s="77">
        <f t="shared" si="87"/>
        <v>0</v>
      </c>
      <c r="AO25" s="77">
        <f t="shared" si="87"/>
        <v>0</v>
      </c>
      <c r="AP25" s="77">
        <f t="shared" si="87"/>
        <v>0</v>
      </c>
      <c r="AQ25" s="77">
        <f t="shared" si="87"/>
        <v>0</v>
      </c>
      <c r="AR25" s="77">
        <f t="shared" si="87"/>
        <v>0</v>
      </c>
      <c r="AS25" s="77">
        <f t="shared" si="87"/>
        <v>0</v>
      </c>
      <c r="AT25" s="77">
        <f>SUM(AH25:AS25)</f>
        <v>0</v>
      </c>
      <c r="AU25" s="77">
        <f t="shared" ref="AU25:BF25" si="88">ROUND(($F25/12)*AU26,0)</f>
        <v>0</v>
      </c>
      <c r="AV25" s="77">
        <f t="shared" si="88"/>
        <v>0</v>
      </c>
      <c r="AW25" s="77">
        <f t="shared" si="88"/>
        <v>0</v>
      </c>
      <c r="AX25" s="77">
        <f t="shared" si="88"/>
        <v>0</v>
      </c>
      <c r="AY25" s="77">
        <f t="shared" si="88"/>
        <v>0</v>
      </c>
      <c r="AZ25" s="77">
        <f t="shared" si="88"/>
        <v>0</v>
      </c>
      <c r="BA25" s="77">
        <f t="shared" si="88"/>
        <v>0</v>
      </c>
      <c r="BB25" s="77">
        <f t="shared" si="88"/>
        <v>0</v>
      </c>
      <c r="BC25" s="77">
        <f t="shared" si="88"/>
        <v>0</v>
      </c>
      <c r="BD25" s="77">
        <f t="shared" si="88"/>
        <v>0</v>
      </c>
      <c r="BE25" s="77">
        <f t="shared" si="88"/>
        <v>0</v>
      </c>
      <c r="BF25" s="77">
        <f t="shared" si="88"/>
        <v>0</v>
      </c>
      <c r="BG25" s="77">
        <f>SUM(AU25:BF25)</f>
        <v>0</v>
      </c>
      <c r="BH25" s="77">
        <f t="shared" ref="BH25:BS25" si="89">ROUND(($F25/12)*BH26,0)</f>
        <v>0</v>
      </c>
      <c r="BI25" s="77">
        <f t="shared" si="89"/>
        <v>0</v>
      </c>
      <c r="BJ25" s="77">
        <f t="shared" si="89"/>
        <v>0</v>
      </c>
      <c r="BK25" s="77">
        <f t="shared" si="89"/>
        <v>0</v>
      </c>
      <c r="BL25" s="77">
        <f t="shared" si="89"/>
        <v>0</v>
      </c>
      <c r="BM25" s="77">
        <f t="shared" si="89"/>
        <v>0</v>
      </c>
      <c r="BN25" s="77">
        <f t="shared" si="89"/>
        <v>0</v>
      </c>
      <c r="BO25" s="77">
        <f t="shared" si="89"/>
        <v>0</v>
      </c>
      <c r="BP25" s="77">
        <f t="shared" si="89"/>
        <v>0</v>
      </c>
      <c r="BQ25" s="77">
        <f t="shared" si="89"/>
        <v>0</v>
      </c>
      <c r="BR25" s="77">
        <f t="shared" si="89"/>
        <v>0</v>
      </c>
      <c r="BS25" s="77">
        <f t="shared" si="89"/>
        <v>0</v>
      </c>
      <c r="BT25" s="77">
        <f>SUM(BH25:BS25)</f>
        <v>0</v>
      </c>
      <c r="BU25" s="3">
        <f>T25+AG25+AT25+BG25+BT25</f>
        <v>0</v>
      </c>
    </row>
    <row r="26" spans="1:73" ht="15.75" customHeight="1">
      <c r="A26" s="2"/>
      <c r="B26" s="2"/>
      <c r="C26" s="2"/>
      <c r="D26" s="38"/>
      <c r="E26" s="2"/>
      <c r="F26" s="60"/>
      <c r="G26" s="60"/>
      <c r="H26" s="322">
        <v>0</v>
      </c>
      <c r="I26" s="60">
        <f t="shared" ref="I26:S26" si="90">H26</f>
        <v>0</v>
      </c>
      <c r="J26" s="60">
        <f t="shared" si="90"/>
        <v>0</v>
      </c>
      <c r="K26" s="60">
        <f t="shared" si="90"/>
        <v>0</v>
      </c>
      <c r="L26" s="60">
        <f t="shared" si="90"/>
        <v>0</v>
      </c>
      <c r="M26" s="60">
        <f t="shared" si="90"/>
        <v>0</v>
      </c>
      <c r="N26" s="60">
        <f t="shared" si="90"/>
        <v>0</v>
      </c>
      <c r="O26" s="60">
        <f t="shared" si="90"/>
        <v>0</v>
      </c>
      <c r="P26" s="60">
        <f t="shared" si="90"/>
        <v>0</v>
      </c>
      <c r="Q26" s="60">
        <f t="shared" si="90"/>
        <v>0</v>
      </c>
      <c r="R26" s="60">
        <f t="shared" si="90"/>
        <v>0</v>
      </c>
      <c r="S26" s="60">
        <f t="shared" si="90"/>
        <v>0</v>
      </c>
      <c r="T26" s="60"/>
      <c r="U26" s="322">
        <f t="shared" ref="U26:AF26" si="91">T26</f>
        <v>0</v>
      </c>
      <c r="V26" s="60">
        <f t="shared" si="91"/>
        <v>0</v>
      </c>
      <c r="W26" s="60">
        <f t="shared" si="91"/>
        <v>0</v>
      </c>
      <c r="X26" s="60">
        <f t="shared" si="91"/>
        <v>0</v>
      </c>
      <c r="Y26" s="60">
        <f t="shared" si="91"/>
        <v>0</v>
      </c>
      <c r="Z26" s="60">
        <f t="shared" si="91"/>
        <v>0</v>
      </c>
      <c r="AA26" s="60">
        <f t="shared" si="91"/>
        <v>0</v>
      </c>
      <c r="AB26" s="60">
        <f t="shared" si="91"/>
        <v>0</v>
      </c>
      <c r="AC26" s="60">
        <f t="shared" si="91"/>
        <v>0</v>
      </c>
      <c r="AD26" s="60">
        <f t="shared" si="91"/>
        <v>0</v>
      </c>
      <c r="AE26" s="60">
        <f t="shared" si="91"/>
        <v>0</v>
      </c>
      <c r="AF26" s="60">
        <f t="shared" si="91"/>
        <v>0</v>
      </c>
      <c r="AG26" s="60"/>
      <c r="AH26" s="322">
        <f t="shared" ref="AH26:AS26" si="92">AG26</f>
        <v>0</v>
      </c>
      <c r="AI26" s="60">
        <f t="shared" si="92"/>
        <v>0</v>
      </c>
      <c r="AJ26" s="60">
        <f t="shared" si="92"/>
        <v>0</v>
      </c>
      <c r="AK26" s="60">
        <f t="shared" si="92"/>
        <v>0</v>
      </c>
      <c r="AL26" s="60">
        <f t="shared" si="92"/>
        <v>0</v>
      </c>
      <c r="AM26" s="60">
        <f t="shared" si="92"/>
        <v>0</v>
      </c>
      <c r="AN26" s="60">
        <f t="shared" si="92"/>
        <v>0</v>
      </c>
      <c r="AO26" s="60">
        <f t="shared" si="92"/>
        <v>0</v>
      </c>
      <c r="AP26" s="60">
        <f t="shared" si="92"/>
        <v>0</v>
      </c>
      <c r="AQ26" s="60">
        <f t="shared" si="92"/>
        <v>0</v>
      </c>
      <c r="AR26" s="60">
        <f t="shared" si="92"/>
        <v>0</v>
      </c>
      <c r="AS26" s="60">
        <f t="shared" si="92"/>
        <v>0</v>
      </c>
      <c r="AT26" s="60"/>
      <c r="AU26" s="322">
        <f t="shared" ref="AU26:BF26" si="93">AT26</f>
        <v>0</v>
      </c>
      <c r="AV26" s="60">
        <f t="shared" si="93"/>
        <v>0</v>
      </c>
      <c r="AW26" s="60">
        <f t="shared" si="93"/>
        <v>0</v>
      </c>
      <c r="AX26" s="60">
        <f t="shared" si="93"/>
        <v>0</v>
      </c>
      <c r="AY26" s="60">
        <f t="shared" si="93"/>
        <v>0</v>
      </c>
      <c r="AZ26" s="60">
        <f t="shared" si="93"/>
        <v>0</v>
      </c>
      <c r="BA26" s="60">
        <f t="shared" si="93"/>
        <v>0</v>
      </c>
      <c r="BB26" s="60">
        <f t="shared" si="93"/>
        <v>0</v>
      </c>
      <c r="BC26" s="60">
        <f t="shared" si="93"/>
        <v>0</v>
      </c>
      <c r="BD26" s="60">
        <f t="shared" si="93"/>
        <v>0</v>
      </c>
      <c r="BE26" s="60">
        <f t="shared" si="93"/>
        <v>0</v>
      </c>
      <c r="BF26" s="60">
        <f t="shared" si="93"/>
        <v>0</v>
      </c>
      <c r="BG26" s="60"/>
      <c r="BH26" s="322">
        <f t="shared" ref="BH26:BS26" si="94">BG26</f>
        <v>0</v>
      </c>
      <c r="BI26" s="60">
        <f t="shared" si="94"/>
        <v>0</v>
      </c>
      <c r="BJ26" s="60">
        <f t="shared" si="94"/>
        <v>0</v>
      </c>
      <c r="BK26" s="60">
        <f t="shared" si="94"/>
        <v>0</v>
      </c>
      <c r="BL26" s="60">
        <f t="shared" si="94"/>
        <v>0</v>
      </c>
      <c r="BM26" s="60">
        <f t="shared" si="94"/>
        <v>0</v>
      </c>
      <c r="BN26" s="60">
        <f t="shared" si="94"/>
        <v>0</v>
      </c>
      <c r="BO26" s="60">
        <f t="shared" si="94"/>
        <v>0</v>
      </c>
      <c r="BP26" s="60">
        <f t="shared" si="94"/>
        <v>0</v>
      </c>
      <c r="BQ26" s="60">
        <f t="shared" si="94"/>
        <v>0</v>
      </c>
      <c r="BR26" s="60">
        <f t="shared" si="94"/>
        <v>0</v>
      </c>
      <c r="BS26" s="60">
        <f t="shared" si="94"/>
        <v>0</v>
      </c>
      <c r="BT26" s="60"/>
      <c r="BU26" s="60"/>
    </row>
    <row r="27" spans="1:73" ht="15.75" customHeight="1">
      <c r="B27" s="2"/>
      <c r="C27" s="148"/>
      <c r="D27" s="323">
        <v>0</v>
      </c>
      <c r="E27" s="3">
        <f>$E26*D$7</f>
        <v>0</v>
      </c>
      <c r="F27" s="149">
        <f>SUM(D27:E27)</f>
        <v>0</v>
      </c>
      <c r="G27" s="60"/>
      <c r="H27" s="77">
        <f t="shared" ref="H27:S27" si="95">ROUND(($F27/12)*H28,0)</f>
        <v>0</v>
      </c>
      <c r="I27" s="77">
        <f t="shared" si="95"/>
        <v>0</v>
      </c>
      <c r="J27" s="77">
        <f t="shared" si="95"/>
        <v>0</v>
      </c>
      <c r="K27" s="77">
        <f t="shared" si="95"/>
        <v>0</v>
      </c>
      <c r="L27" s="77">
        <f t="shared" si="95"/>
        <v>0</v>
      </c>
      <c r="M27" s="77">
        <f t="shared" si="95"/>
        <v>0</v>
      </c>
      <c r="N27" s="77">
        <f t="shared" si="95"/>
        <v>0</v>
      </c>
      <c r="O27" s="77">
        <f t="shared" si="95"/>
        <v>0</v>
      </c>
      <c r="P27" s="77">
        <f t="shared" si="95"/>
        <v>0</v>
      </c>
      <c r="Q27" s="77">
        <f t="shared" si="95"/>
        <v>0</v>
      </c>
      <c r="R27" s="77">
        <f t="shared" si="95"/>
        <v>0</v>
      </c>
      <c r="S27" s="77">
        <f t="shared" si="95"/>
        <v>0</v>
      </c>
      <c r="T27" s="77">
        <f>SUM(H27:S27)</f>
        <v>0</v>
      </c>
      <c r="U27" s="77">
        <f t="shared" ref="U27:AF27" si="96">ROUND(($F27/12)*U28,0)</f>
        <v>0</v>
      </c>
      <c r="V27" s="77">
        <f t="shared" si="96"/>
        <v>0</v>
      </c>
      <c r="W27" s="77">
        <f t="shared" si="96"/>
        <v>0</v>
      </c>
      <c r="X27" s="77">
        <f t="shared" si="96"/>
        <v>0</v>
      </c>
      <c r="Y27" s="77">
        <f t="shared" si="96"/>
        <v>0</v>
      </c>
      <c r="Z27" s="77">
        <f t="shared" si="96"/>
        <v>0</v>
      </c>
      <c r="AA27" s="77">
        <f t="shared" si="96"/>
        <v>0</v>
      </c>
      <c r="AB27" s="77">
        <f t="shared" si="96"/>
        <v>0</v>
      </c>
      <c r="AC27" s="77">
        <f t="shared" si="96"/>
        <v>0</v>
      </c>
      <c r="AD27" s="77">
        <f t="shared" si="96"/>
        <v>0</v>
      </c>
      <c r="AE27" s="77">
        <f t="shared" si="96"/>
        <v>0</v>
      </c>
      <c r="AF27" s="77">
        <f t="shared" si="96"/>
        <v>0</v>
      </c>
      <c r="AG27" s="77">
        <f>SUM(U27:AF27)</f>
        <v>0</v>
      </c>
      <c r="AH27" s="77">
        <f t="shared" ref="AH27:AS27" si="97">ROUND(($F27/12)*AH28,0)</f>
        <v>0</v>
      </c>
      <c r="AI27" s="77">
        <f t="shared" si="97"/>
        <v>0</v>
      </c>
      <c r="AJ27" s="77">
        <f t="shared" si="97"/>
        <v>0</v>
      </c>
      <c r="AK27" s="77">
        <f t="shared" si="97"/>
        <v>0</v>
      </c>
      <c r="AL27" s="77">
        <f t="shared" si="97"/>
        <v>0</v>
      </c>
      <c r="AM27" s="77">
        <f t="shared" si="97"/>
        <v>0</v>
      </c>
      <c r="AN27" s="77">
        <f t="shared" si="97"/>
        <v>0</v>
      </c>
      <c r="AO27" s="77">
        <f t="shared" si="97"/>
        <v>0</v>
      </c>
      <c r="AP27" s="77">
        <f t="shared" si="97"/>
        <v>0</v>
      </c>
      <c r="AQ27" s="77">
        <f t="shared" si="97"/>
        <v>0</v>
      </c>
      <c r="AR27" s="77">
        <f t="shared" si="97"/>
        <v>0</v>
      </c>
      <c r="AS27" s="77">
        <f t="shared" si="97"/>
        <v>0</v>
      </c>
      <c r="AT27" s="77">
        <f>SUM(AH27:AS27)</f>
        <v>0</v>
      </c>
      <c r="AU27" s="77">
        <f t="shared" ref="AU27:BF27" si="98">ROUND(($F27/12)*AU28,0)</f>
        <v>0</v>
      </c>
      <c r="AV27" s="77">
        <f t="shared" si="98"/>
        <v>0</v>
      </c>
      <c r="AW27" s="77">
        <f t="shared" si="98"/>
        <v>0</v>
      </c>
      <c r="AX27" s="77">
        <f t="shared" si="98"/>
        <v>0</v>
      </c>
      <c r="AY27" s="77">
        <f t="shared" si="98"/>
        <v>0</v>
      </c>
      <c r="AZ27" s="77">
        <f t="shared" si="98"/>
        <v>0</v>
      </c>
      <c r="BA27" s="77">
        <f t="shared" si="98"/>
        <v>0</v>
      </c>
      <c r="BB27" s="77">
        <f t="shared" si="98"/>
        <v>0</v>
      </c>
      <c r="BC27" s="77">
        <f t="shared" si="98"/>
        <v>0</v>
      </c>
      <c r="BD27" s="77">
        <f t="shared" si="98"/>
        <v>0</v>
      </c>
      <c r="BE27" s="77">
        <f t="shared" si="98"/>
        <v>0</v>
      </c>
      <c r="BF27" s="77">
        <f t="shared" si="98"/>
        <v>0</v>
      </c>
      <c r="BG27" s="77">
        <f>SUM(AU27:BF27)</f>
        <v>0</v>
      </c>
      <c r="BH27" s="77">
        <f t="shared" ref="BH27:BS27" si="99">ROUND(($F27/12)*BH28,0)</f>
        <v>0</v>
      </c>
      <c r="BI27" s="77">
        <f t="shared" si="99"/>
        <v>0</v>
      </c>
      <c r="BJ27" s="77">
        <f t="shared" si="99"/>
        <v>0</v>
      </c>
      <c r="BK27" s="77">
        <f t="shared" si="99"/>
        <v>0</v>
      </c>
      <c r="BL27" s="77">
        <f t="shared" si="99"/>
        <v>0</v>
      </c>
      <c r="BM27" s="77">
        <f t="shared" si="99"/>
        <v>0</v>
      </c>
      <c r="BN27" s="77">
        <f t="shared" si="99"/>
        <v>0</v>
      </c>
      <c r="BO27" s="77">
        <f t="shared" si="99"/>
        <v>0</v>
      </c>
      <c r="BP27" s="77">
        <f t="shared" si="99"/>
        <v>0</v>
      </c>
      <c r="BQ27" s="77">
        <f t="shared" si="99"/>
        <v>0</v>
      </c>
      <c r="BR27" s="77">
        <f t="shared" si="99"/>
        <v>0</v>
      </c>
      <c r="BS27" s="77">
        <f t="shared" si="99"/>
        <v>0</v>
      </c>
      <c r="BT27" s="77">
        <f>SUM(BH27:BS27)</f>
        <v>0</v>
      </c>
      <c r="BU27" s="3">
        <f>T27+AG27+AT27+BG27+BT27</f>
        <v>0</v>
      </c>
    </row>
    <row r="28" spans="1:73" ht="15.75" customHeight="1">
      <c r="A28" s="2"/>
      <c r="B28" s="2"/>
      <c r="C28" s="2"/>
      <c r="D28" s="38"/>
      <c r="E28" s="2"/>
      <c r="F28" s="60"/>
      <c r="G28" s="60"/>
      <c r="H28" s="322">
        <v>0</v>
      </c>
      <c r="I28" s="60">
        <f t="shared" ref="I28:S28" si="100">H28</f>
        <v>0</v>
      </c>
      <c r="J28" s="60">
        <f t="shared" si="100"/>
        <v>0</v>
      </c>
      <c r="K28" s="60">
        <f t="shared" si="100"/>
        <v>0</v>
      </c>
      <c r="L28" s="60">
        <f t="shared" si="100"/>
        <v>0</v>
      </c>
      <c r="M28" s="60">
        <f t="shared" si="100"/>
        <v>0</v>
      </c>
      <c r="N28" s="60">
        <f t="shared" si="100"/>
        <v>0</v>
      </c>
      <c r="O28" s="60">
        <f t="shared" si="100"/>
        <v>0</v>
      </c>
      <c r="P28" s="60">
        <f t="shared" si="100"/>
        <v>0</v>
      </c>
      <c r="Q28" s="60">
        <f t="shared" si="100"/>
        <v>0</v>
      </c>
      <c r="R28" s="60">
        <f t="shared" si="100"/>
        <v>0</v>
      </c>
      <c r="S28" s="60">
        <f t="shared" si="100"/>
        <v>0</v>
      </c>
      <c r="T28" s="60"/>
      <c r="U28" s="322">
        <f t="shared" ref="U28:AF28" si="101">T28</f>
        <v>0</v>
      </c>
      <c r="V28" s="60">
        <f t="shared" si="101"/>
        <v>0</v>
      </c>
      <c r="W28" s="60">
        <f t="shared" si="101"/>
        <v>0</v>
      </c>
      <c r="X28" s="60">
        <f t="shared" si="101"/>
        <v>0</v>
      </c>
      <c r="Y28" s="60">
        <f t="shared" si="101"/>
        <v>0</v>
      </c>
      <c r="Z28" s="60">
        <f t="shared" si="101"/>
        <v>0</v>
      </c>
      <c r="AA28" s="60">
        <f t="shared" si="101"/>
        <v>0</v>
      </c>
      <c r="AB28" s="60">
        <f t="shared" si="101"/>
        <v>0</v>
      </c>
      <c r="AC28" s="60">
        <f t="shared" si="101"/>
        <v>0</v>
      </c>
      <c r="AD28" s="60">
        <f t="shared" si="101"/>
        <v>0</v>
      </c>
      <c r="AE28" s="60">
        <f t="shared" si="101"/>
        <v>0</v>
      </c>
      <c r="AF28" s="60">
        <f t="shared" si="101"/>
        <v>0</v>
      </c>
      <c r="AG28" s="60"/>
      <c r="AH28" s="322">
        <f t="shared" ref="AH28:AS28" si="102">AG28</f>
        <v>0</v>
      </c>
      <c r="AI28" s="60">
        <f t="shared" si="102"/>
        <v>0</v>
      </c>
      <c r="AJ28" s="60">
        <f t="shared" si="102"/>
        <v>0</v>
      </c>
      <c r="AK28" s="60">
        <f t="shared" si="102"/>
        <v>0</v>
      </c>
      <c r="AL28" s="60">
        <f t="shared" si="102"/>
        <v>0</v>
      </c>
      <c r="AM28" s="60">
        <f t="shared" si="102"/>
        <v>0</v>
      </c>
      <c r="AN28" s="60">
        <f t="shared" si="102"/>
        <v>0</v>
      </c>
      <c r="AO28" s="60">
        <f t="shared" si="102"/>
        <v>0</v>
      </c>
      <c r="AP28" s="60">
        <f t="shared" si="102"/>
        <v>0</v>
      </c>
      <c r="AQ28" s="60">
        <f t="shared" si="102"/>
        <v>0</v>
      </c>
      <c r="AR28" s="60">
        <f t="shared" si="102"/>
        <v>0</v>
      </c>
      <c r="AS28" s="60">
        <f t="shared" si="102"/>
        <v>0</v>
      </c>
      <c r="AT28" s="60"/>
      <c r="AU28" s="322">
        <f t="shared" ref="AU28:BF28" si="103">AT28</f>
        <v>0</v>
      </c>
      <c r="AV28" s="60">
        <f t="shared" si="103"/>
        <v>0</v>
      </c>
      <c r="AW28" s="60">
        <f t="shared" si="103"/>
        <v>0</v>
      </c>
      <c r="AX28" s="60">
        <f t="shared" si="103"/>
        <v>0</v>
      </c>
      <c r="AY28" s="60">
        <f t="shared" si="103"/>
        <v>0</v>
      </c>
      <c r="AZ28" s="60">
        <f t="shared" si="103"/>
        <v>0</v>
      </c>
      <c r="BA28" s="60">
        <f t="shared" si="103"/>
        <v>0</v>
      </c>
      <c r="BB28" s="60">
        <f t="shared" si="103"/>
        <v>0</v>
      </c>
      <c r="BC28" s="60">
        <f t="shared" si="103"/>
        <v>0</v>
      </c>
      <c r="BD28" s="60">
        <f t="shared" si="103"/>
        <v>0</v>
      </c>
      <c r="BE28" s="60">
        <f t="shared" si="103"/>
        <v>0</v>
      </c>
      <c r="BF28" s="60">
        <f t="shared" si="103"/>
        <v>0</v>
      </c>
      <c r="BG28" s="60"/>
      <c r="BH28" s="322">
        <f t="shared" ref="BH28:BS28" si="104">BG28</f>
        <v>0</v>
      </c>
      <c r="BI28" s="60">
        <f t="shared" si="104"/>
        <v>0</v>
      </c>
      <c r="BJ28" s="60">
        <f t="shared" si="104"/>
        <v>0</v>
      </c>
      <c r="BK28" s="60">
        <f t="shared" si="104"/>
        <v>0</v>
      </c>
      <c r="BL28" s="60">
        <f t="shared" si="104"/>
        <v>0</v>
      </c>
      <c r="BM28" s="60">
        <f t="shared" si="104"/>
        <v>0</v>
      </c>
      <c r="BN28" s="60">
        <f t="shared" si="104"/>
        <v>0</v>
      </c>
      <c r="BO28" s="60">
        <f t="shared" si="104"/>
        <v>0</v>
      </c>
      <c r="BP28" s="60">
        <f t="shared" si="104"/>
        <v>0</v>
      </c>
      <c r="BQ28" s="60">
        <f t="shared" si="104"/>
        <v>0</v>
      </c>
      <c r="BR28" s="60">
        <f t="shared" si="104"/>
        <v>0</v>
      </c>
      <c r="BS28" s="60">
        <f t="shared" si="104"/>
        <v>0</v>
      </c>
      <c r="BT28" s="60"/>
      <c r="BU28" s="60"/>
    </row>
    <row r="29" spans="1:73" ht="15.75" customHeight="1">
      <c r="B29" s="2"/>
      <c r="C29" s="48" t="str">
        <f>CONCATENATE("   Sub-total ",B18)</f>
        <v xml:space="preserve">   Sub-total Production</v>
      </c>
      <c r="D29" s="38"/>
      <c r="E29" s="2"/>
      <c r="F29" s="60"/>
      <c r="G29" s="60"/>
      <c r="H29" s="18">
        <f t="shared" ref="H29:BT29" si="105">H19+H21+H23+H25+H27</f>
        <v>6250</v>
      </c>
      <c r="I29" s="18">
        <f t="shared" si="105"/>
        <v>6250</v>
      </c>
      <c r="J29" s="18">
        <f t="shared" si="105"/>
        <v>6250</v>
      </c>
      <c r="K29" s="18">
        <f t="shared" si="105"/>
        <v>6250</v>
      </c>
      <c r="L29" s="18">
        <f t="shared" si="105"/>
        <v>6250</v>
      </c>
      <c r="M29" s="18">
        <f t="shared" si="105"/>
        <v>6250</v>
      </c>
      <c r="N29" s="18">
        <f t="shared" si="105"/>
        <v>6250</v>
      </c>
      <c r="O29" s="18">
        <f t="shared" si="105"/>
        <v>6250</v>
      </c>
      <c r="P29" s="18">
        <f t="shared" si="105"/>
        <v>6250</v>
      </c>
      <c r="Q29" s="18">
        <f t="shared" si="105"/>
        <v>6250</v>
      </c>
      <c r="R29" s="18">
        <f t="shared" si="105"/>
        <v>6250</v>
      </c>
      <c r="S29" s="18">
        <f t="shared" si="105"/>
        <v>6250</v>
      </c>
      <c r="T29" s="18">
        <f t="shared" si="105"/>
        <v>75000</v>
      </c>
      <c r="U29" s="18">
        <f t="shared" si="105"/>
        <v>6250</v>
      </c>
      <c r="V29" s="18">
        <f t="shared" si="105"/>
        <v>6250</v>
      </c>
      <c r="W29" s="18">
        <f t="shared" si="105"/>
        <v>6250</v>
      </c>
      <c r="X29" s="18">
        <f t="shared" si="105"/>
        <v>6250</v>
      </c>
      <c r="Y29" s="18">
        <f t="shared" si="105"/>
        <v>6250</v>
      </c>
      <c r="Z29" s="18">
        <f t="shared" si="105"/>
        <v>6250</v>
      </c>
      <c r="AA29" s="18">
        <f t="shared" si="105"/>
        <v>6250</v>
      </c>
      <c r="AB29" s="18">
        <f t="shared" si="105"/>
        <v>6250</v>
      </c>
      <c r="AC29" s="18">
        <f t="shared" si="105"/>
        <v>6250</v>
      </c>
      <c r="AD29" s="18">
        <f t="shared" si="105"/>
        <v>6250</v>
      </c>
      <c r="AE29" s="18">
        <f t="shared" si="105"/>
        <v>6250</v>
      </c>
      <c r="AF29" s="18">
        <f t="shared" si="105"/>
        <v>6250</v>
      </c>
      <c r="AG29" s="18">
        <f t="shared" si="105"/>
        <v>75000</v>
      </c>
      <c r="AH29" s="18">
        <f t="shared" si="105"/>
        <v>10938</v>
      </c>
      <c r="AI29" s="18">
        <f t="shared" si="105"/>
        <v>10938</v>
      </c>
      <c r="AJ29" s="18">
        <f t="shared" si="105"/>
        <v>10938</v>
      </c>
      <c r="AK29" s="18">
        <f t="shared" si="105"/>
        <v>10938</v>
      </c>
      <c r="AL29" s="18">
        <f t="shared" si="105"/>
        <v>10938</v>
      </c>
      <c r="AM29" s="18">
        <f t="shared" si="105"/>
        <v>10938</v>
      </c>
      <c r="AN29" s="18">
        <f t="shared" si="105"/>
        <v>10938</v>
      </c>
      <c r="AO29" s="18">
        <f t="shared" si="105"/>
        <v>10938</v>
      </c>
      <c r="AP29" s="18">
        <f t="shared" si="105"/>
        <v>10938</v>
      </c>
      <c r="AQ29" s="18">
        <f t="shared" si="105"/>
        <v>10938</v>
      </c>
      <c r="AR29" s="18">
        <f t="shared" si="105"/>
        <v>10938</v>
      </c>
      <c r="AS29" s="18">
        <f t="shared" si="105"/>
        <v>10938</v>
      </c>
      <c r="AT29" s="18">
        <f t="shared" si="105"/>
        <v>131256</v>
      </c>
      <c r="AU29" s="18">
        <f t="shared" si="105"/>
        <v>10938</v>
      </c>
      <c r="AV29" s="18">
        <f t="shared" si="105"/>
        <v>10938</v>
      </c>
      <c r="AW29" s="18">
        <f t="shared" si="105"/>
        <v>10938</v>
      </c>
      <c r="AX29" s="18">
        <f t="shared" si="105"/>
        <v>10938</v>
      </c>
      <c r="AY29" s="18">
        <f t="shared" si="105"/>
        <v>10938</v>
      </c>
      <c r="AZ29" s="18">
        <f t="shared" si="105"/>
        <v>10938</v>
      </c>
      <c r="BA29" s="18">
        <f t="shared" si="105"/>
        <v>10938</v>
      </c>
      <c r="BB29" s="18">
        <f t="shared" si="105"/>
        <v>10938</v>
      </c>
      <c r="BC29" s="18">
        <f t="shared" si="105"/>
        <v>10938</v>
      </c>
      <c r="BD29" s="18">
        <f t="shared" si="105"/>
        <v>10938</v>
      </c>
      <c r="BE29" s="18">
        <f t="shared" si="105"/>
        <v>10938</v>
      </c>
      <c r="BF29" s="18">
        <f t="shared" si="105"/>
        <v>10938</v>
      </c>
      <c r="BG29" s="18">
        <f t="shared" si="105"/>
        <v>131256</v>
      </c>
      <c r="BH29" s="18">
        <f t="shared" si="105"/>
        <v>10938</v>
      </c>
      <c r="BI29" s="18">
        <f t="shared" si="105"/>
        <v>10938</v>
      </c>
      <c r="BJ29" s="18">
        <f t="shared" si="105"/>
        <v>10938</v>
      </c>
      <c r="BK29" s="18">
        <f t="shared" si="105"/>
        <v>10938</v>
      </c>
      <c r="BL29" s="18">
        <f t="shared" si="105"/>
        <v>10938</v>
      </c>
      <c r="BM29" s="18">
        <f t="shared" si="105"/>
        <v>10938</v>
      </c>
      <c r="BN29" s="18">
        <f t="shared" si="105"/>
        <v>10938</v>
      </c>
      <c r="BO29" s="18">
        <f t="shared" si="105"/>
        <v>10938</v>
      </c>
      <c r="BP29" s="18">
        <f t="shared" si="105"/>
        <v>10938</v>
      </c>
      <c r="BQ29" s="18">
        <f t="shared" si="105"/>
        <v>10938</v>
      </c>
      <c r="BR29" s="18">
        <f t="shared" si="105"/>
        <v>10938</v>
      </c>
      <c r="BS29" s="18">
        <f t="shared" si="105"/>
        <v>10938</v>
      </c>
      <c r="BT29" s="18">
        <f t="shared" si="105"/>
        <v>131256</v>
      </c>
      <c r="BU29" s="18">
        <f>SUM(BU19:BU28)</f>
        <v>543768</v>
      </c>
    </row>
    <row r="30" spans="1:73" ht="15.75" customHeight="1">
      <c r="B30" s="2" t="s">
        <v>539</v>
      </c>
      <c r="C30" s="2"/>
      <c r="D30" s="38"/>
      <c r="E30" s="2"/>
      <c r="F30" s="60"/>
      <c r="G30" s="6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ht="15.75" customHeight="1">
      <c r="B31" s="2"/>
      <c r="C31" s="148" t="s">
        <v>540</v>
      </c>
      <c r="D31" s="323">
        <f>20*40*52</f>
        <v>41600</v>
      </c>
      <c r="E31" s="3">
        <f>E$6*$D31</f>
        <v>10400</v>
      </c>
      <c r="F31" s="149">
        <f>SUM(D31:E31)</f>
        <v>52000</v>
      </c>
      <c r="G31" s="60"/>
      <c r="H31" s="3">
        <f t="shared" ref="H31:S31" si="106">ROUND(($F31/12)*H32,0)</f>
        <v>4333</v>
      </c>
      <c r="I31" s="3">
        <f t="shared" si="106"/>
        <v>4333</v>
      </c>
      <c r="J31" s="3">
        <f t="shared" si="106"/>
        <v>4333</v>
      </c>
      <c r="K31" s="3">
        <f t="shared" si="106"/>
        <v>4333</v>
      </c>
      <c r="L31" s="3">
        <f t="shared" si="106"/>
        <v>4333</v>
      </c>
      <c r="M31" s="3">
        <f t="shared" si="106"/>
        <v>4333</v>
      </c>
      <c r="N31" s="3">
        <f t="shared" si="106"/>
        <v>4333</v>
      </c>
      <c r="O31" s="3">
        <f t="shared" si="106"/>
        <v>4333</v>
      </c>
      <c r="P31" s="3">
        <f t="shared" si="106"/>
        <v>4333</v>
      </c>
      <c r="Q31" s="3">
        <f t="shared" si="106"/>
        <v>4333</v>
      </c>
      <c r="R31" s="3">
        <f t="shared" si="106"/>
        <v>4333</v>
      </c>
      <c r="S31" s="3">
        <f t="shared" si="106"/>
        <v>4333</v>
      </c>
      <c r="T31" s="3">
        <f>SUM(H31:S31)</f>
        <v>51996</v>
      </c>
      <c r="U31" s="3">
        <f t="shared" ref="U31:AF31" si="107">ROUND(($F31/12)*U32,0)</f>
        <v>4333</v>
      </c>
      <c r="V31" s="3">
        <f t="shared" si="107"/>
        <v>4333</v>
      </c>
      <c r="W31" s="3">
        <f t="shared" si="107"/>
        <v>4333</v>
      </c>
      <c r="X31" s="3">
        <f t="shared" si="107"/>
        <v>4333</v>
      </c>
      <c r="Y31" s="3">
        <f t="shared" si="107"/>
        <v>4333</v>
      </c>
      <c r="Z31" s="3">
        <f t="shared" si="107"/>
        <v>4333</v>
      </c>
      <c r="AA31" s="3">
        <f t="shared" si="107"/>
        <v>4333</v>
      </c>
      <c r="AB31" s="3">
        <f t="shared" si="107"/>
        <v>4333</v>
      </c>
      <c r="AC31" s="3">
        <f t="shared" si="107"/>
        <v>4333</v>
      </c>
      <c r="AD31" s="3">
        <f t="shared" si="107"/>
        <v>4333</v>
      </c>
      <c r="AE31" s="3">
        <f t="shared" si="107"/>
        <v>4333</v>
      </c>
      <c r="AF31" s="3">
        <f t="shared" si="107"/>
        <v>4333</v>
      </c>
      <c r="AG31" s="3">
        <f>SUM(U31:AF31)</f>
        <v>51996</v>
      </c>
      <c r="AH31" s="3">
        <f t="shared" ref="AH31:AS31" si="108">ROUND(($F31/12)*AH32,0)</f>
        <v>4333</v>
      </c>
      <c r="AI31" s="3">
        <f t="shared" si="108"/>
        <v>4333</v>
      </c>
      <c r="AJ31" s="3">
        <f t="shared" si="108"/>
        <v>4333</v>
      </c>
      <c r="AK31" s="3">
        <f t="shared" si="108"/>
        <v>4333</v>
      </c>
      <c r="AL31" s="3">
        <f t="shared" si="108"/>
        <v>4333</v>
      </c>
      <c r="AM31" s="3">
        <f t="shared" si="108"/>
        <v>4333</v>
      </c>
      <c r="AN31" s="3">
        <f t="shared" si="108"/>
        <v>4333</v>
      </c>
      <c r="AO31" s="3">
        <f t="shared" si="108"/>
        <v>4333</v>
      </c>
      <c r="AP31" s="3">
        <f t="shared" si="108"/>
        <v>4333</v>
      </c>
      <c r="AQ31" s="3">
        <f t="shared" si="108"/>
        <v>4333</v>
      </c>
      <c r="AR31" s="3">
        <f t="shared" si="108"/>
        <v>4333</v>
      </c>
      <c r="AS31" s="3">
        <f t="shared" si="108"/>
        <v>4333</v>
      </c>
      <c r="AT31" s="3">
        <f>SUM(AH31:AS31)</f>
        <v>51996</v>
      </c>
      <c r="AU31" s="3">
        <f t="shared" ref="AU31:BF31" si="109">ROUND(($F31/12)*AU32,0)</f>
        <v>4333</v>
      </c>
      <c r="AV31" s="3">
        <f t="shared" si="109"/>
        <v>4333</v>
      </c>
      <c r="AW31" s="3">
        <f t="shared" si="109"/>
        <v>4333</v>
      </c>
      <c r="AX31" s="3">
        <f t="shared" si="109"/>
        <v>4333</v>
      </c>
      <c r="AY31" s="3">
        <f t="shared" si="109"/>
        <v>4333</v>
      </c>
      <c r="AZ31" s="3">
        <f t="shared" si="109"/>
        <v>4333</v>
      </c>
      <c r="BA31" s="3">
        <f t="shared" si="109"/>
        <v>4333</v>
      </c>
      <c r="BB31" s="3">
        <f t="shared" si="109"/>
        <v>4333</v>
      </c>
      <c r="BC31" s="3">
        <f t="shared" si="109"/>
        <v>4333</v>
      </c>
      <c r="BD31" s="3">
        <f t="shared" si="109"/>
        <v>4333</v>
      </c>
      <c r="BE31" s="3">
        <f t="shared" si="109"/>
        <v>4333</v>
      </c>
      <c r="BF31" s="3">
        <f t="shared" si="109"/>
        <v>4333</v>
      </c>
      <c r="BG31" s="3">
        <f>SUM(AU31:BF31)</f>
        <v>51996</v>
      </c>
      <c r="BH31" s="3">
        <f t="shared" ref="BH31:BS31" si="110">ROUND(($F31/12)*BH32,0)</f>
        <v>4333</v>
      </c>
      <c r="BI31" s="3">
        <f t="shared" si="110"/>
        <v>4333</v>
      </c>
      <c r="BJ31" s="3">
        <f t="shared" si="110"/>
        <v>4333</v>
      </c>
      <c r="BK31" s="3">
        <f t="shared" si="110"/>
        <v>4333</v>
      </c>
      <c r="BL31" s="3">
        <f t="shared" si="110"/>
        <v>4333</v>
      </c>
      <c r="BM31" s="3">
        <f t="shared" si="110"/>
        <v>4333</v>
      </c>
      <c r="BN31" s="3">
        <f t="shared" si="110"/>
        <v>4333</v>
      </c>
      <c r="BO31" s="3">
        <f t="shared" si="110"/>
        <v>4333</v>
      </c>
      <c r="BP31" s="3">
        <f t="shared" si="110"/>
        <v>4333</v>
      </c>
      <c r="BQ31" s="3">
        <f t="shared" si="110"/>
        <v>4333</v>
      </c>
      <c r="BR31" s="3">
        <f t="shared" si="110"/>
        <v>4333</v>
      </c>
      <c r="BS31" s="3">
        <f t="shared" si="110"/>
        <v>4333</v>
      </c>
      <c r="BT31" s="3">
        <f>SUM(BH31:BS31)</f>
        <v>51996</v>
      </c>
      <c r="BU31" s="3">
        <f>T31+AG31+AT31+BG31+BT31</f>
        <v>259980</v>
      </c>
    </row>
    <row r="32" spans="1:73" ht="15.75" customHeight="1">
      <c r="A32" s="2"/>
      <c r="B32" s="2"/>
      <c r="C32" s="2"/>
      <c r="D32" s="38"/>
      <c r="E32" s="2"/>
      <c r="F32" s="150"/>
      <c r="G32" s="60"/>
      <c r="H32" s="322">
        <v>1</v>
      </c>
      <c r="I32" s="60">
        <f t="shared" ref="I32:S32" si="111">H32</f>
        <v>1</v>
      </c>
      <c r="J32" s="60">
        <f t="shared" si="111"/>
        <v>1</v>
      </c>
      <c r="K32" s="60">
        <f t="shared" si="111"/>
        <v>1</v>
      </c>
      <c r="L32" s="60">
        <f t="shared" si="111"/>
        <v>1</v>
      </c>
      <c r="M32" s="60">
        <f t="shared" si="111"/>
        <v>1</v>
      </c>
      <c r="N32" s="60">
        <f t="shared" si="111"/>
        <v>1</v>
      </c>
      <c r="O32" s="60">
        <f t="shared" si="111"/>
        <v>1</v>
      </c>
      <c r="P32" s="60">
        <f t="shared" si="111"/>
        <v>1</v>
      </c>
      <c r="Q32" s="60">
        <f t="shared" si="111"/>
        <v>1</v>
      </c>
      <c r="R32" s="60">
        <f t="shared" si="111"/>
        <v>1</v>
      </c>
      <c r="S32" s="60">
        <f t="shared" si="111"/>
        <v>1</v>
      </c>
      <c r="T32" s="60"/>
      <c r="U32" s="322">
        <v>1</v>
      </c>
      <c r="V32" s="60">
        <f t="shared" ref="V32:AF32" si="112">U32</f>
        <v>1</v>
      </c>
      <c r="W32" s="60">
        <f t="shared" si="112"/>
        <v>1</v>
      </c>
      <c r="X32" s="60">
        <f t="shared" si="112"/>
        <v>1</v>
      </c>
      <c r="Y32" s="60">
        <f t="shared" si="112"/>
        <v>1</v>
      </c>
      <c r="Z32" s="60">
        <f t="shared" si="112"/>
        <v>1</v>
      </c>
      <c r="AA32" s="60">
        <f t="shared" si="112"/>
        <v>1</v>
      </c>
      <c r="AB32" s="60">
        <f t="shared" si="112"/>
        <v>1</v>
      </c>
      <c r="AC32" s="60">
        <f t="shared" si="112"/>
        <v>1</v>
      </c>
      <c r="AD32" s="60">
        <f t="shared" si="112"/>
        <v>1</v>
      </c>
      <c r="AE32" s="60">
        <f t="shared" si="112"/>
        <v>1</v>
      </c>
      <c r="AF32" s="60">
        <f t="shared" si="112"/>
        <v>1</v>
      </c>
      <c r="AG32" s="60"/>
      <c r="AH32" s="322">
        <v>1</v>
      </c>
      <c r="AI32" s="60">
        <f t="shared" ref="AI32:AS32" si="113">AH32</f>
        <v>1</v>
      </c>
      <c r="AJ32" s="60">
        <f t="shared" si="113"/>
        <v>1</v>
      </c>
      <c r="AK32" s="60">
        <f t="shared" si="113"/>
        <v>1</v>
      </c>
      <c r="AL32" s="60">
        <f t="shared" si="113"/>
        <v>1</v>
      </c>
      <c r="AM32" s="60">
        <f t="shared" si="113"/>
        <v>1</v>
      </c>
      <c r="AN32" s="60">
        <f t="shared" si="113"/>
        <v>1</v>
      </c>
      <c r="AO32" s="60">
        <f t="shared" si="113"/>
        <v>1</v>
      </c>
      <c r="AP32" s="60">
        <f t="shared" si="113"/>
        <v>1</v>
      </c>
      <c r="AQ32" s="60">
        <f t="shared" si="113"/>
        <v>1</v>
      </c>
      <c r="AR32" s="60">
        <f t="shared" si="113"/>
        <v>1</v>
      </c>
      <c r="AS32" s="60">
        <f t="shared" si="113"/>
        <v>1</v>
      </c>
      <c r="AT32" s="60"/>
      <c r="AU32" s="322">
        <v>1</v>
      </c>
      <c r="AV32" s="60">
        <f t="shared" ref="AV32:BF32" si="114">AU32</f>
        <v>1</v>
      </c>
      <c r="AW32" s="60">
        <f t="shared" si="114"/>
        <v>1</v>
      </c>
      <c r="AX32" s="60">
        <f t="shared" si="114"/>
        <v>1</v>
      </c>
      <c r="AY32" s="60">
        <f t="shared" si="114"/>
        <v>1</v>
      </c>
      <c r="AZ32" s="60">
        <f t="shared" si="114"/>
        <v>1</v>
      </c>
      <c r="BA32" s="60">
        <f t="shared" si="114"/>
        <v>1</v>
      </c>
      <c r="BB32" s="60">
        <f t="shared" si="114"/>
        <v>1</v>
      </c>
      <c r="BC32" s="60">
        <f t="shared" si="114"/>
        <v>1</v>
      </c>
      <c r="BD32" s="60">
        <f t="shared" si="114"/>
        <v>1</v>
      </c>
      <c r="BE32" s="60">
        <f t="shared" si="114"/>
        <v>1</v>
      </c>
      <c r="BF32" s="60">
        <f t="shared" si="114"/>
        <v>1</v>
      </c>
      <c r="BG32" s="60"/>
      <c r="BH32" s="322">
        <v>1</v>
      </c>
      <c r="BI32" s="60">
        <f t="shared" ref="BI32:BS32" si="115">BH32</f>
        <v>1</v>
      </c>
      <c r="BJ32" s="60">
        <f t="shared" si="115"/>
        <v>1</v>
      </c>
      <c r="BK32" s="60">
        <f t="shared" si="115"/>
        <v>1</v>
      </c>
      <c r="BL32" s="60">
        <f t="shared" si="115"/>
        <v>1</v>
      </c>
      <c r="BM32" s="60">
        <f t="shared" si="115"/>
        <v>1</v>
      </c>
      <c r="BN32" s="60">
        <f t="shared" si="115"/>
        <v>1</v>
      </c>
      <c r="BO32" s="60">
        <f t="shared" si="115"/>
        <v>1</v>
      </c>
      <c r="BP32" s="60">
        <f t="shared" si="115"/>
        <v>1</v>
      </c>
      <c r="BQ32" s="60">
        <f t="shared" si="115"/>
        <v>1</v>
      </c>
      <c r="BR32" s="60">
        <f t="shared" si="115"/>
        <v>1</v>
      </c>
      <c r="BS32" s="60">
        <f t="shared" si="115"/>
        <v>1</v>
      </c>
      <c r="BT32" s="60"/>
      <c r="BU32" s="60"/>
    </row>
    <row r="33" spans="1:73" ht="15.75" customHeight="1">
      <c r="B33" s="2"/>
      <c r="C33" s="148" t="s">
        <v>540</v>
      </c>
      <c r="D33" s="323">
        <f>18*40*52</f>
        <v>37440</v>
      </c>
      <c r="E33" s="3">
        <f>E$6*$D33</f>
        <v>9360</v>
      </c>
      <c r="F33" s="149">
        <f>SUM(D33:E33)</f>
        <v>46800</v>
      </c>
      <c r="G33" s="60"/>
      <c r="H33" s="3">
        <f t="shared" ref="H33:S33" si="116">ROUND(($F33/12)*H34,0)</f>
        <v>975</v>
      </c>
      <c r="I33" s="3">
        <f t="shared" si="116"/>
        <v>975</v>
      </c>
      <c r="J33" s="3">
        <f t="shared" si="116"/>
        <v>975</v>
      </c>
      <c r="K33" s="3">
        <f t="shared" si="116"/>
        <v>975</v>
      </c>
      <c r="L33" s="3">
        <f t="shared" si="116"/>
        <v>975</v>
      </c>
      <c r="M33" s="3">
        <f t="shared" si="116"/>
        <v>975</v>
      </c>
      <c r="N33" s="3">
        <f t="shared" si="116"/>
        <v>975</v>
      </c>
      <c r="O33" s="3">
        <f t="shared" si="116"/>
        <v>975</v>
      </c>
      <c r="P33" s="3">
        <f t="shared" si="116"/>
        <v>975</v>
      </c>
      <c r="Q33" s="3">
        <f t="shared" si="116"/>
        <v>975</v>
      </c>
      <c r="R33" s="3">
        <f t="shared" si="116"/>
        <v>975</v>
      </c>
      <c r="S33" s="3">
        <f t="shared" si="116"/>
        <v>975</v>
      </c>
      <c r="T33" s="3">
        <f>SUM(H33:S33)</f>
        <v>11700</v>
      </c>
      <c r="U33" s="3">
        <f t="shared" ref="U33:AF33" si="117">ROUND(($F33/12)*U34,0)</f>
        <v>1950</v>
      </c>
      <c r="V33" s="3">
        <f t="shared" si="117"/>
        <v>1950</v>
      </c>
      <c r="W33" s="3">
        <f t="shared" si="117"/>
        <v>1950</v>
      </c>
      <c r="X33" s="3">
        <f t="shared" si="117"/>
        <v>1950</v>
      </c>
      <c r="Y33" s="3">
        <f t="shared" si="117"/>
        <v>1950</v>
      </c>
      <c r="Z33" s="3">
        <f t="shared" si="117"/>
        <v>1950</v>
      </c>
      <c r="AA33" s="3">
        <f t="shared" si="117"/>
        <v>1950</v>
      </c>
      <c r="AB33" s="3">
        <f t="shared" si="117"/>
        <v>1950</v>
      </c>
      <c r="AC33" s="3">
        <f t="shared" si="117"/>
        <v>1950</v>
      </c>
      <c r="AD33" s="3">
        <f t="shared" si="117"/>
        <v>1950</v>
      </c>
      <c r="AE33" s="3">
        <f t="shared" si="117"/>
        <v>1950</v>
      </c>
      <c r="AF33" s="3">
        <f t="shared" si="117"/>
        <v>1950</v>
      </c>
      <c r="AG33" s="3">
        <f>SUM(U33:AF33)</f>
        <v>23400</v>
      </c>
      <c r="AH33" s="3">
        <f t="shared" ref="AH33:AS33" si="118">ROUND(($F33/12)*AH34,0)</f>
        <v>2925</v>
      </c>
      <c r="AI33" s="3">
        <f t="shared" si="118"/>
        <v>2925</v>
      </c>
      <c r="AJ33" s="3">
        <f t="shared" si="118"/>
        <v>2925</v>
      </c>
      <c r="AK33" s="3">
        <f t="shared" si="118"/>
        <v>2925</v>
      </c>
      <c r="AL33" s="3">
        <f t="shared" si="118"/>
        <v>2925</v>
      </c>
      <c r="AM33" s="3">
        <f t="shared" si="118"/>
        <v>2925</v>
      </c>
      <c r="AN33" s="3">
        <f t="shared" si="118"/>
        <v>2925</v>
      </c>
      <c r="AO33" s="3">
        <f t="shared" si="118"/>
        <v>2925</v>
      </c>
      <c r="AP33" s="3">
        <f t="shared" si="118"/>
        <v>2925</v>
      </c>
      <c r="AQ33" s="3">
        <f t="shared" si="118"/>
        <v>2925</v>
      </c>
      <c r="AR33" s="3">
        <f t="shared" si="118"/>
        <v>2925</v>
      </c>
      <c r="AS33" s="3">
        <f t="shared" si="118"/>
        <v>2925</v>
      </c>
      <c r="AT33" s="3">
        <f>SUM(AH33:AS33)</f>
        <v>35100</v>
      </c>
      <c r="AU33" s="3">
        <f t="shared" ref="AU33:BF33" si="119">ROUND(($F33/12)*AU34,0)</f>
        <v>3900</v>
      </c>
      <c r="AV33" s="3">
        <f t="shared" si="119"/>
        <v>3900</v>
      </c>
      <c r="AW33" s="3">
        <f t="shared" si="119"/>
        <v>3900</v>
      </c>
      <c r="AX33" s="3">
        <f t="shared" si="119"/>
        <v>3900</v>
      </c>
      <c r="AY33" s="3">
        <f t="shared" si="119"/>
        <v>3900</v>
      </c>
      <c r="AZ33" s="3">
        <f t="shared" si="119"/>
        <v>3900</v>
      </c>
      <c r="BA33" s="3">
        <f t="shared" si="119"/>
        <v>3900</v>
      </c>
      <c r="BB33" s="3">
        <f t="shared" si="119"/>
        <v>3900</v>
      </c>
      <c r="BC33" s="3">
        <f t="shared" si="119"/>
        <v>3900</v>
      </c>
      <c r="BD33" s="3">
        <f t="shared" si="119"/>
        <v>3900</v>
      </c>
      <c r="BE33" s="3">
        <f t="shared" si="119"/>
        <v>3900</v>
      </c>
      <c r="BF33" s="3">
        <f t="shared" si="119"/>
        <v>3900</v>
      </c>
      <c r="BG33" s="3">
        <f>SUM(AU33:BF33)</f>
        <v>46800</v>
      </c>
      <c r="BH33" s="3">
        <f t="shared" ref="BH33:BS33" si="120">ROUND(($F33/12)*BH34,0)</f>
        <v>3900</v>
      </c>
      <c r="BI33" s="3">
        <f t="shared" si="120"/>
        <v>3900</v>
      </c>
      <c r="BJ33" s="3">
        <f t="shared" si="120"/>
        <v>3900</v>
      </c>
      <c r="BK33" s="3">
        <f t="shared" si="120"/>
        <v>3900</v>
      </c>
      <c r="BL33" s="3">
        <f t="shared" si="120"/>
        <v>3900</v>
      </c>
      <c r="BM33" s="3">
        <f t="shared" si="120"/>
        <v>3900</v>
      </c>
      <c r="BN33" s="3">
        <f t="shared" si="120"/>
        <v>3900</v>
      </c>
      <c r="BO33" s="3">
        <f t="shared" si="120"/>
        <v>3900</v>
      </c>
      <c r="BP33" s="3">
        <f t="shared" si="120"/>
        <v>3900</v>
      </c>
      <c r="BQ33" s="3">
        <f t="shared" si="120"/>
        <v>3900</v>
      </c>
      <c r="BR33" s="3">
        <f t="shared" si="120"/>
        <v>3900</v>
      </c>
      <c r="BS33" s="3">
        <f t="shared" si="120"/>
        <v>3900</v>
      </c>
      <c r="BT33" s="3">
        <f>SUM(BH33:BS33)</f>
        <v>46800</v>
      </c>
      <c r="BU33" s="3">
        <f>T33+AG33+AT33+BG33+BT33</f>
        <v>163800</v>
      </c>
    </row>
    <row r="34" spans="1:73" ht="15.75" customHeight="1">
      <c r="B34" s="2"/>
      <c r="C34" s="2"/>
      <c r="D34" s="38"/>
      <c r="E34" s="2"/>
      <c r="F34" s="60"/>
      <c r="G34" s="60"/>
      <c r="H34" s="322">
        <v>0.25</v>
      </c>
      <c r="I34" s="60">
        <f t="shared" ref="I34:S34" si="121">H34</f>
        <v>0.25</v>
      </c>
      <c r="J34" s="60">
        <f t="shared" si="121"/>
        <v>0.25</v>
      </c>
      <c r="K34" s="60">
        <f t="shared" si="121"/>
        <v>0.25</v>
      </c>
      <c r="L34" s="60">
        <f t="shared" si="121"/>
        <v>0.25</v>
      </c>
      <c r="M34" s="60">
        <f t="shared" si="121"/>
        <v>0.25</v>
      </c>
      <c r="N34" s="60">
        <f t="shared" si="121"/>
        <v>0.25</v>
      </c>
      <c r="O34" s="60">
        <f t="shared" si="121"/>
        <v>0.25</v>
      </c>
      <c r="P34" s="60">
        <f t="shared" si="121"/>
        <v>0.25</v>
      </c>
      <c r="Q34" s="60">
        <f t="shared" si="121"/>
        <v>0.25</v>
      </c>
      <c r="R34" s="60">
        <f t="shared" si="121"/>
        <v>0.25</v>
      </c>
      <c r="S34" s="60">
        <f t="shared" si="121"/>
        <v>0.25</v>
      </c>
      <c r="T34" s="60"/>
      <c r="U34" s="322">
        <v>0.5</v>
      </c>
      <c r="V34" s="60">
        <f t="shared" ref="V34:AF34" si="122">U34</f>
        <v>0.5</v>
      </c>
      <c r="W34" s="60">
        <f t="shared" si="122"/>
        <v>0.5</v>
      </c>
      <c r="X34" s="60">
        <f t="shared" si="122"/>
        <v>0.5</v>
      </c>
      <c r="Y34" s="60">
        <f t="shared" si="122"/>
        <v>0.5</v>
      </c>
      <c r="Z34" s="60">
        <f t="shared" si="122"/>
        <v>0.5</v>
      </c>
      <c r="AA34" s="60">
        <f t="shared" si="122"/>
        <v>0.5</v>
      </c>
      <c r="AB34" s="60">
        <f t="shared" si="122"/>
        <v>0.5</v>
      </c>
      <c r="AC34" s="60">
        <f t="shared" si="122"/>
        <v>0.5</v>
      </c>
      <c r="AD34" s="60">
        <f t="shared" si="122"/>
        <v>0.5</v>
      </c>
      <c r="AE34" s="60">
        <f t="shared" si="122"/>
        <v>0.5</v>
      </c>
      <c r="AF34" s="60">
        <f t="shared" si="122"/>
        <v>0.5</v>
      </c>
      <c r="AG34" s="60"/>
      <c r="AH34" s="322">
        <v>0.75</v>
      </c>
      <c r="AI34" s="60">
        <f t="shared" ref="AI34:AS34" si="123">AH34</f>
        <v>0.75</v>
      </c>
      <c r="AJ34" s="60">
        <f t="shared" si="123"/>
        <v>0.75</v>
      </c>
      <c r="AK34" s="60">
        <f t="shared" si="123"/>
        <v>0.75</v>
      </c>
      <c r="AL34" s="60">
        <f t="shared" si="123"/>
        <v>0.75</v>
      </c>
      <c r="AM34" s="60">
        <f t="shared" si="123"/>
        <v>0.75</v>
      </c>
      <c r="AN34" s="60">
        <f t="shared" si="123"/>
        <v>0.75</v>
      </c>
      <c r="AO34" s="60">
        <f t="shared" si="123"/>
        <v>0.75</v>
      </c>
      <c r="AP34" s="60">
        <f t="shared" si="123"/>
        <v>0.75</v>
      </c>
      <c r="AQ34" s="60">
        <f t="shared" si="123"/>
        <v>0.75</v>
      </c>
      <c r="AR34" s="60">
        <f t="shared" si="123"/>
        <v>0.75</v>
      </c>
      <c r="AS34" s="60">
        <f t="shared" si="123"/>
        <v>0.75</v>
      </c>
      <c r="AT34" s="60"/>
      <c r="AU34" s="322">
        <v>1</v>
      </c>
      <c r="AV34" s="60">
        <f t="shared" ref="AV34:BF34" si="124">AU34</f>
        <v>1</v>
      </c>
      <c r="AW34" s="60">
        <f t="shared" si="124"/>
        <v>1</v>
      </c>
      <c r="AX34" s="60">
        <f t="shared" si="124"/>
        <v>1</v>
      </c>
      <c r="AY34" s="60">
        <f t="shared" si="124"/>
        <v>1</v>
      </c>
      <c r="AZ34" s="60">
        <f t="shared" si="124"/>
        <v>1</v>
      </c>
      <c r="BA34" s="60">
        <f t="shared" si="124"/>
        <v>1</v>
      </c>
      <c r="BB34" s="60">
        <f t="shared" si="124"/>
        <v>1</v>
      </c>
      <c r="BC34" s="60">
        <f t="shared" si="124"/>
        <v>1</v>
      </c>
      <c r="BD34" s="60">
        <f t="shared" si="124"/>
        <v>1</v>
      </c>
      <c r="BE34" s="60">
        <f t="shared" si="124"/>
        <v>1</v>
      </c>
      <c r="BF34" s="60">
        <f t="shared" si="124"/>
        <v>1</v>
      </c>
      <c r="BG34" s="60"/>
      <c r="BH34" s="322">
        <v>1</v>
      </c>
      <c r="BI34" s="60">
        <f t="shared" ref="BI34:BS34" si="125">BH34</f>
        <v>1</v>
      </c>
      <c r="BJ34" s="60">
        <f t="shared" si="125"/>
        <v>1</v>
      </c>
      <c r="BK34" s="60">
        <f t="shared" si="125"/>
        <v>1</v>
      </c>
      <c r="BL34" s="60">
        <f t="shared" si="125"/>
        <v>1</v>
      </c>
      <c r="BM34" s="60">
        <f t="shared" si="125"/>
        <v>1</v>
      </c>
      <c r="BN34" s="60">
        <f t="shared" si="125"/>
        <v>1</v>
      </c>
      <c r="BO34" s="60">
        <f t="shared" si="125"/>
        <v>1</v>
      </c>
      <c r="BP34" s="60">
        <f t="shared" si="125"/>
        <v>1</v>
      </c>
      <c r="BQ34" s="60">
        <f t="shared" si="125"/>
        <v>1</v>
      </c>
      <c r="BR34" s="60">
        <f t="shared" si="125"/>
        <v>1</v>
      </c>
      <c r="BS34" s="60">
        <f t="shared" si="125"/>
        <v>1</v>
      </c>
      <c r="BT34" s="60"/>
      <c r="BU34" s="60"/>
    </row>
    <row r="35" spans="1:73" ht="15.75" customHeight="1">
      <c r="B35" s="2"/>
      <c r="C35" s="148"/>
      <c r="D35" s="323">
        <v>0</v>
      </c>
      <c r="E35" s="3">
        <f>$E34*D$7</f>
        <v>0</v>
      </c>
      <c r="F35" s="149">
        <f>SUM(D35:E35)</f>
        <v>0</v>
      </c>
      <c r="G35" s="60"/>
      <c r="H35" s="77">
        <f t="shared" ref="H35:S35" si="126">ROUND(($F35/12)*H36,0)</f>
        <v>0</v>
      </c>
      <c r="I35" s="77">
        <f t="shared" si="126"/>
        <v>0</v>
      </c>
      <c r="J35" s="77">
        <f t="shared" si="126"/>
        <v>0</v>
      </c>
      <c r="K35" s="77">
        <f t="shared" si="126"/>
        <v>0</v>
      </c>
      <c r="L35" s="77">
        <f t="shared" si="126"/>
        <v>0</v>
      </c>
      <c r="M35" s="77">
        <f t="shared" si="126"/>
        <v>0</v>
      </c>
      <c r="N35" s="77">
        <f t="shared" si="126"/>
        <v>0</v>
      </c>
      <c r="O35" s="77">
        <f t="shared" si="126"/>
        <v>0</v>
      </c>
      <c r="P35" s="77">
        <f t="shared" si="126"/>
        <v>0</v>
      </c>
      <c r="Q35" s="77">
        <f t="shared" si="126"/>
        <v>0</v>
      </c>
      <c r="R35" s="77">
        <f t="shared" si="126"/>
        <v>0</v>
      </c>
      <c r="S35" s="77">
        <f t="shared" si="126"/>
        <v>0</v>
      </c>
      <c r="T35" s="77">
        <f>SUM(H35:S35)</f>
        <v>0</v>
      </c>
      <c r="U35" s="77">
        <f t="shared" ref="U35:AF35" si="127">ROUND(($F35/12)*U36,0)</f>
        <v>0</v>
      </c>
      <c r="V35" s="77">
        <f t="shared" si="127"/>
        <v>0</v>
      </c>
      <c r="W35" s="77">
        <f t="shared" si="127"/>
        <v>0</v>
      </c>
      <c r="X35" s="77">
        <f t="shared" si="127"/>
        <v>0</v>
      </c>
      <c r="Y35" s="77">
        <f t="shared" si="127"/>
        <v>0</v>
      </c>
      <c r="Z35" s="77">
        <f t="shared" si="127"/>
        <v>0</v>
      </c>
      <c r="AA35" s="77">
        <f t="shared" si="127"/>
        <v>0</v>
      </c>
      <c r="AB35" s="77">
        <f t="shared" si="127"/>
        <v>0</v>
      </c>
      <c r="AC35" s="77">
        <f t="shared" si="127"/>
        <v>0</v>
      </c>
      <c r="AD35" s="77">
        <f t="shared" si="127"/>
        <v>0</v>
      </c>
      <c r="AE35" s="77">
        <f t="shared" si="127"/>
        <v>0</v>
      </c>
      <c r="AF35" s="77">
        <f t="shared" si="127"/>
        <v>0</v>
      </c>
      <c r="AG35" s="77">
        <f>SUM(U35:AF35)</f>
        <v>0</v>
      </c>
      <c r="AH35" s="77">
        <f t="shared" ref="AH35:AS35" si="128">ROUND(($F35/12)*AH36,0)</f>
        <v>0</v>
      </c>
      <c r="AI35" s="77">
        <f t="shared" si="128"/>
        <v>0</v>
      </c>
      <c r="AJ35" s="77">
        <f t="shared" si="128"/>
        <v>0</v>
      </c>
      <c r="AK35" s="77">
        <f t="shared" si="128"/>
        <v>0</v>
      </c>
      <c r="AL35" s="77">
        <f t="shared" si="128"/>
        <v>0</v>
      </c>
      <c r="AM35" s="77">
        <f t="shared" si="128"/>
        <v>0</v>
      </c>
      <c r="AN35" s="77">
        <f t="shared" si="128"/>
        <v>0</v>
      </c>
      <c r="AO35" s="77">
        <f t="shared" si="128"/>
        <v>0</v>
      </c>
      <c r="AP35" s="77">
        <f t="shared" si="128"/>
        <v>0</v>
      </c>
      <c r="AQ35" s="77">
        <f t="shared" si="128"/>
        <v>0</v>
      </c>
      <c r="AR35" s="77">
        <f t="shared" si="128"/>
        <v>0</v>
      </c>
      <c r="AS35" s="77">
        <f t="shared" si="128"/>
        <v>0</v>
      </c>
      <c r="AT35" s="77">
        <f>SUM(AH35:AS35)</f>
        <v>0</v>
      </c>
      <c r="AU35" s="77">
        <f t="shared" ref="AU35:BF35" si="129">ROUND(($F35/12)*AU36,0)</f>
        <v>0</v>
      </c>
      <c r="AV35" s="77">
        <f t="shared" si="129"/>
        <v>0</v>
      </c>
      <c r="AW35" s="77">
        <f t="shared" si="129"/>
        <v>0</v>
      </c>
      <c r="AX35" s="77">
        <f t="shared" si="129"/>
        <v>0</v>
      </c>
      <c r="AY35" s="77">
        <f t="shared" si="129"/>
        <v>0</v>
      </c>
      <c r="AZ35" s="77">
        <f t="shared" si="129"/>
        <v>0</v>
      </c>
      <c r="BA35" s="77">
        <f t="shared" si="129"/>
        <v>0</v>
      </c>
      <c r="BB35" s="77">
        <f t="shared" si="129"/>
        <v>0</v>
      </c>
      <c r="BC35" s="77">
        <f t="shared" si="129"/>
        <v>0</v>
      </c>
      <c r="BD35" s="77">
        <f t="shared" si="129"/>
        <v>0</v>
      </c>
      <c r="BE35" s="77">
        <f t="shared" si="129"/>
        <v>0</v>
      </c>
      <c r="BF35" s="77">
        <f t="shared" si="129"/>
        <v>0</v>
      </c>
      <c r="BG35" s="77">
        <f>SUM(AU35:BF35)</f>
        <v>0</v>
      </c>
      <c r="BH35" s="77">
        <f t="shared" ref="BH35:BS35" si="130">ROUND(($F35/12)*BH36,0)</f>
        <v>0</v>
      </c>
      <c r="BI35" s="77">
        <f t="shared" si="130"/>
        <v>0</v>
      </c>
      <c r="BJ35" s="77">
        <f t="shared" si="130"/>
        <v>0</v>
      </c>
      <c r="BK35" s="77">
        <f t="shared" si="130"/>
        <v>0</v>
      </c>
      <c r="BL35" s="77">
        <f t="shared" si="130"/>
        <v>0</v>
      </c>
      <c r="BM35" s="77">
        <f t="shared" si="130"/>
        <v>0</v>
      </c>
      <c r="BN35" s="77">
        <f t="shared" si="130"/>
        <v>0</v>
      </c>
      <c r="BO35" s="77">
        <f t="shared" si="130"/>
        <v>0</v>
      </c>
      <c r="BP35" s="77">
        <f t="shared" si="130"/>
        <v>0</v>
      </c>
      <c r="BQ35" s="77">
        <f t="shared" si="130"/>
        <v>0</v>
      </c>
      <c r="BR35" s="77">
        <f t="shared" si="130"/>
        <v>0</v>
      </c>
      <c r="BS35" s="77">
        <f t="shared" si="130"/>
        <v>0</v>
      </c>
      <c r="BT35" s="77">
        <f>SUM(BH35:BS35)</f>
        <v>0</v>
      </c>
      <c r="BU35" s="3">
        <f>T35+AG35+AT35+BG35+BT35</f>
        <v>0</v>
      </c>
    </row>
    <row r="36" spans="1:73" ht="15.75" customHeight="1">
      <c r="A36" s="2"/>
      <c r="B36" s="2"/>
      <c r="C36" s="2"/>
      <c r="D36" s="38"/>
      <c r="E36" s="2"/>
      <c r="F36" s="60"/>
      <c r="G36" s="60"/>
      <c r="H36" s="322">
        <v>0</v>
      </c>
      <c r="I36" s="60">
        <f t="shared" ref="I36:S36" si="131">H36</f>
        <v>0</v>
      </c>
      <c r="J36" s="60">
        <f t="shared" si="131"/>
        <v>0</v>
      </c>
      <c r="K36" s="60">
        <f t="shared" si="131"/>
        <v>0</v>
      </c>
      <c r="L36" s="60">
        <f t="shared" si="131"/>
        <v>0</v>
      </c>
      <c r="M36" s="60">
        <f t="shared" si="131"/>
        <v>0</v>
      </c>
      <c r="N36" s="60">
        <f t="shared" si="131"/>
        <v>0</v>
      </c>
      <c r="O36" s="60">
        <f t="shared" si="131"/>
        <v>0</v>
      </c>
      <c r="P36" s="60">
        <f t="shared" si="131"/>
        <v>0</v>
      </c>
      <c r="Q36" s="60">
        <f t="shared" si="131"/>
        <v>0</v>
      </c>
      <c r="R36" s="60">
        <f t="shared" si="131"/>
        <v>0</v>
      </c>
      <c r="S36" s="60">
        <f t="shared" si="131"/>
        <v>0</v>
      </c>
      <c r="T36" s="60"/>
      <c r="U36" s="322">
        <f t="shared" ref="U36:AF36" si="132">T36</f>
        <v>0</v>
      </c>
      <c r="V36" s="60">
        <f t="shared" si="132"/>
        <v>0</v>
      </c>
      <c r="W36" s="60">
        <f t="shared" si="132"/>
        <v>0</v>
      </c>
      <c r="X36" s="60">
        <f t="shared" si="132"/>
        <v>0</v>
      </c>
      <c r="Y36" s="60">
        <f t="shared" si="132"/>
        <v>0</v>
      </c>
      <c r="Z36" s="60">
        <f t="shared" si="132"/>
        <v>0</v>
      </c>
      <c r="AA36" s="60">
        <f t="shared" si="132"/>
        <v>0</v>
      </c>
      <c r="AB36" s="60">
        <f t="shared" si="132"/>
        <v>0</v>
      </c>
      <c r="AC36" s="60">
        <f t="shared" si="132"/>
        <v>0</v>
      </c>
      <c r="AD36" s="60">
        <f t="shared" si="132"/>
        <v>0</v>
      </c>
      <c r="AE36" s="60">
        <f t="shared" si="132"/>
        <v>0</v>
      </c>
      <c r="AF36" s="60">
        <f t="shared" si="132"/>
        <v>0</v>
      </c>
      <c r="AG36" s="60"/>
      <c r="AH36" s="322">
        <f t="shared" ref="AH36:AS36" si="133">AG36</f>
        <v>0</v>
      </c>
      <c r="AI36" s="60">
        <f t="shared" si="133"/>
        <v>0</v>
      </c>
      <c r="AJ36" s="60">
        <f t="shared" si="133"/>
        <v>0</v>
      </c>
      <c r="AK36" s="60">
        <f t="shared" si="133"/>
        <v>0</v>
      </c>
      <c r="AL36" s="60">
        <f t="shared" si="133"/>
        <v>0</v>
      </c>
      <c r="AM36" s="60">
        <f t="shared" si="133"/>
        <v>0</v>
      </c>
      <c r="AN36" s="60">
        <f t="shared" si="133"/>
        <v>0</v>
      </c>
      <c r="AO36" s="60">
        <f t="shared" si="133"/>
        <v>0</v>
      </c>
      <c r="AP36" s="60">
        <f t="shared" si="133"/>
        <v>0</v>
      </c>
      <c r="AQ36" s="60">
        <f t="shared" si="133"/>
        <v>0</v>
      </c>
      <c r="AR36" s="60">
        <f t="shared" si="133"/>
        <v>0</v>
      </c>
      <c r="AS36" s="60">
        <f t="shared" si="133"/>
        <v>0</v>
      </c>
      <c r="AT36" s="60"/>
      <c r="AU36" s="322">
        <f t="shared" ref="AU36:BF36" si="134">AT36</f>
        <v>0</v>
      </c>
      <c r="AV36" s="60">
        <f t="shared" si="134"/>
        <v>0</v>
      </c>
      <c r="AW36" s="60">
        <f t="shared" si="134"/>
        <v>0</v>
      </c>
      <c r="AX36" s="60">
        <f t="shared" si="134"/>
        <v>0</v>
      </c>
      <c r="AY36" s="60">
        <f t="shared" si="134"/>
        <v>0</v>
      </c>
      <c r="AZ36" s="60">
        <f t="shared" si="134"/>
        <v>0</v>
      </c>
      <c r="BA36" s="60">
        <f t="shared" si="134"/>
        <v>0</v>
      </c>
      <c r="BB36" s="60">
        <f t="shared" si="134"/>
        <v>0</v>
      </c>
      <c r="BC36" s="60">
        <f t="shared" si="134"/>
        <v>0</v>
      </c>
      <c r="BD36" s="60">
        <f t="shared" si="134"/>
        <v>0</v>
      </c>
      <c r="BE36" s="60">
        <f t="shared" si="134"/>
        <v>0</v>
      </c>
      <c r="BF36" s="60">
        <f t="shared" si="134"/>
        <v>0</v>
      </c>
      <c r="BG36" s="60"/>
      <c r="BH36" s="322">
        <f t="shared" ref="BH36:BS36" si="135">BG36</f>
        <v>0</v>
      </c>
      <c r="BI36" s="60">
        <f t="shared" si="135"/>
        <v>0</v>
      </c>
      <c r="BJ36" s="60">
        <f t="shared" si="135"/>
        <v>0</v>
      </c>
      <c r="BK36" s="60">
        <f t="shared" si="135"/>
        <v>0</v>
      </c>
      <c r="BL36" s="60">
        <f t="shared" si="135"/>
        <v>0</v>
      </c>
      <c r="BM36" s="60">
        <f t="shared" si="135"/>
        <v>0</v>
      </c>
      <c r="BN36" s="60">
        <f t="shared" si="135"/>
        <v>0</v>
      </c>
      <c r="BO36" s="60">
        <f t="shared" si="135"/>
        <v>0</v>
      </c>
      <c r="BP36" s="60">
        <f t="shared" si="135"/>
        <v>0</v>
      </c>
      <c r="BQ36" s="60">
        <f t="shared" si="135"/>
        <v>0</v>
      </c>
      <c r="BR36" s="60">
        <f t="shared" si="135"/>
        <v>0</v>
      </c>
      <c r="BS36" s="60">
        <f t="shared" si="135"/>
        <v>0</v>
      </c>
      <c r="BT36" s="60"/>
      <c r="BU36" s="60"/>
    </row>
    <row r="37" spans="1:73" ht="15.75" customHeight="1">
      <c r="B37" s="2"/>
      <c r="C37" s="148"/>
      <c r="D37" s="323">
        <v>0</v>
      </c>
      <c r="E37" s="3">
        <f>$E36*D$7</f>
        <v>0</v>
      </c>
      <c r="F37" s="149">
        <f>SUM(D37:E37)</f>
        <v>0</v>
      </c>
      <c r="G37" s="60"/>
      <c r="H37" s="77">
        <f t="shared" ref="H37:S37" si="136">ROUND(($F37/12)*H38,0)</f>
        <v>0</v>
      </c>
      <c r="I37" s="77">
        <f t="shared" si="136"/>
        <v>0</v>
      </c>
      <c r="J37" s="77">
        <f t="shared" si="136"/>
        <v>0</v>
      </c>
      <c r="K37" s="77">
        <f t="shared" si="136"/>
        <v>0</v>
      </c>
      <c r="L37" s="77">
        <f t="shared" si="136"/>
        <v>0</v>
      </c>
      <c r="M37" s="77">
        <f t="shared" si="136"/>
        <v>0</v>
      </c>
      <c r="N37" s="77">
        <f t="shared" si="136"/>
        <v>0</v>
      </c>
      <c r="O37" s="77">
        <f t="shared" si="136"/>
        <v>0</v>
      </c>
      <c r="P37" s="77">
        <f t="shared" si="136"/>
        <v>0</v>
      </c>
      <c r="Q37" s="77">
        <f t="shared" si="136"/>
        <v>0</v>
      </c>
      <c r="R37" s="77">
        <f t="shared" si="136"/>
        <v>0</v>
      </c>
      <c r="S37" s="77">
        <f t="shared" si="136"/>
        <v>0</v>
      </c>
      <c r="T37" s="77">
        <f>SUM(H37:S37)</f>
        <v>0</v>
      </c>
      <c r="U37" s="77">
        <f t="shared" ref="U37:AF37" si="137">ROUND(($F37/12)*U38,0)</f>
        <v>0</v>
      </c>
      <c r="V37" s="77">
        <f t="shared" si="137"/>
        <v>0</v>
      </c>
      <c r="W37" s="77">
        <f t="shared" si="137"/>
        <v>0</v>
      </c>
      <c r="X37" s="77">
        <f t="shared" si="137"/>
        <v>0</v>
      </c>
      <c r="Y37" s="77">
        <f t="shared" si="137"/>
        <v>0</v>
      </c>
      <c r="Z37" s="77">
        <f t="shared" si="137"/>
        <v>0</v>
      </c>
      <c r="AA37" s="77">
        <f t="shared" si="137"/>
        <v>0</v>
      </c>
      <c r="AB37" s="77">
        <f t="shared" si="137"/>
        <v>0</v>
      </c>
      <c r="AC37" s="77">
        <f t="shared" si="137"/>
        <v>0</v>
      </c>
      <c r="AD37" s="77">
        <f t="shared" si="137"/>
        <v>0</v>
      </c>
      <c r="AE37" s="77">
        <f t="shared" si="137"/>
        <v>0</v>
      </c>
      <c r="AF37" s="77">
        <f t="shared" si="137"/>
        <v>0</v>
      </c>
      <c r="AG37" s="77">
        <f>SUM(U37:AF37)</f>
        <v>0</v>
      </c>
      <c r="AH37" s="77">
        <f t="shared" ref="AH37:AS37" si="138">ROUND(($F37/12)*AH38,0)</f>
        <v>0</v>
      </c>
      <c r="AI37" s="77">
        <f t="shared" si="138"/>
        <v>0</v>
      </c>
      <c r="AJ37" s="77">
        <f t="shared" si="138"/>
        <v>0</v>
      </c>
      <c r="AK37" s="77">
        <f t="shared" si="138"/>
        <v>0</v>
      </c>
      <c r="AL37" s="77">
        <f t="shared" si="138"/>
        <v>0</v>
      </c>
      <c r="AM37" s="77">
        <f t="shared" si="138"/>
        <v>0</v>
      </c>
      <c r="AN37" s="77">
        <f t="shared" si="138"/>
        <v>0</v>
      </c>
      <c r="AO37" s="77">
        <f t="shared" si="138"/>
        <v>0</v>
      </c>
      <c r="AP37" s="77">
        <f t="shared" si="138"/>
        <v>0</v>
      </c>
      <c r="AQ37" s="77">
        <f t="shared" si="138"/>
        <v>0</v>
      </c>
      <c r="AR37" s="77">
        <f t="shared" si="138"/>
        <v>0</v>
      </c>
      <c r="AS37" s="77">
        <f t="shared" si="138"/>
        <v>0</v>
      </c>
      <c r="AT37" s="77">
        <f>SUM(AH37:AS37)</f>
        <v>0</v>
      </c>
      <c r="AU37" s="77">
        <f t="shared" ref="AU37:BF37" si="139">ROUND(($F37/12)*AU38,0)</f>
        <v>0</v>
      </c>
      <c r="AV37" s="77">
        <f t="shared" si="139"/>
        <v>0</v>
      </c>
      <c r="AW37" s="77">
        <f t="shared" si="139"/>
        <v>0</v>
      </c>
      <c r="AX37" s="77">
        <f t="shared" si="139"/>
        <v>0</v>
      </c>
      <c r="AY37" s="77">
        <f t="shared" si="139"/>
        <v>0</v>
      </c>
      <c r="AZ37" s="77">
        <f t="shared" si="139"/>
        <v>0</v>
      </c>
      <c r="BA37" s="77">
        <f t="shared" si="139"/>
        <v>0</v>
      </c>
      <c r="BB37" s="77">
        <f t="shared" si="139"/>
        <v>0</v>
      </c>
      <c r="BC37" s="77">
        <f t="shared" si="139"/>
        <v>0</v>
      </c>
      <c r="BD37" s="77">
        <f t="shared" si="139"/>
        <v>0</v>
      </c>
      <c r="BE37" s="77">
        <f t="shared" si="139"/>
        <v>0</v>
      </c>
      <c r="BF37" s="77">
        <f t="shared" si="139"/>
        <v>0</v>
      </c>
      <c r="BG37" s="77">
        <f>SUM(AU37:BF37)</f>
        <v>0</v>
      </c>
      <c r="BH37" s="77">
        <f t="shared" ref="BH37:BS37" si="140">ROUND(($F37/12)*BH38,0)</f>
        <v>0</v>
      </c>
      <c r="BI37" s="77">
        <f t="shared" si="140"/>
        <v>0</v>
      </c>
      <c r="BJ37" s="77">
        <f t="shared" si="140"/>
        <v>0</v>
      </c>
      <c r="BK37" s="77">
        <f t="shared" si="140"/>
        <v>0</v>
      </c>
      <c r="BL37" s="77">
        <f t="shared" si="140"/>
        <v>0</v>
      </c>
      <c r="BM37" s="77">
        <f t="shared" si="140"/>
        <v>0</v>
      </c>
      <c r="BN37" s="77">
        <f t="shared" si="140"/>
        <v>0</v>
      </c>
      <c r="BO37" s="77">
        <f t="shared" si="140"/>
        <v>0</v>
      </c>
      <c r="BP37" s="77">
        <f t="shared" si="140"/>
        <v>0</v>
      </c>
      <c r="BQ37" s="77">
        <f t="shared" si="140"/>
        <v>0</v>
      </c>
      <c r="BR37" s="77">
        <f t="shared" si="140"/>
        <v>0</v>
      </c>
      <c r="BS37" s="77">
        <f t="shared" si="140"/>
        <v>0</v>
      </c>
      <c r="BT37" s="77">
        <f>SUM(BH37:BS37)</f>
        <v>0</v>
      </c>
      <c r="BU37" s="3">
        <f>T37+AG37+AT37+BG37+BT37</f>
        <v>0</v>
      </c>
    </row>
    <row r="38" spans="1:73" ht="15.75" customHeight="1">
      <c r="A38" s="2"/>
      <c r="B38" s="2"/>
      <c r="C38" s="2"/>
      <c r="D38" s="38"/>
      <c r="E38" s="2"/>
      <c r="F38" s="60"/>
      <c r="G38" s="60"/>
      <c r="H38" s="322">
        <v>0</v>
      </c>
      <c r="I38" s="60">
        <f t="shared" ref="I38:S38" si="141">H38</f>
        <v>0</v>
      </c>
      <c r="J38" s="60">
        <f t="shared" si="141"/>
        <v>0</v>
      </c>
      <c r="K38" s="60">
        <f t="shared" si="141"/>
        <v>0</v>
      </c>
      <c r="L38" s="60">
        <f t="shared" si="141"/>
        <v>0</v>
      </c>
      <c r="M38" s="60">
        <f t="shared" si="141"/>
        <v>0</v>
      </c>
      <c r="N38" s="60">
        <f t="shared" si="141"/>
        <v>0</v>
      </c>
      <c r="O38" s="60">
        <f t="shared" si="141"/>
        <v>0</v>
      </c>
      <c r="P38" s="60">
        <f t="shared" si="141"/>
        <v>0</v>
      </c>
      <c r="Q38" s="60">
        <f t="shared" si="141"/>
        <v>0</v>
      </c>
      <c r="R38" s="60">
        <f t="shared" si="141"/>
        <v>0</v>
      </c>
      <c r="S38" s="60">
        <f t="shared" si="141"/>
        <v>0</v>
      </c>
      <c r="T38" s="60"/>
      <c r="U38" s="322">
        <f t="shared" ref="U38:AF38" si="142">T38</f>
        <v>0</v>
      </c>
      <c r="V38" s="60">
        <f t="shared" si="142"/>
        <v>0</v>
      </c>
      <c r="W38" s="60">
        <f t="shared" si="142"/>
        <v>0</v>
      </c>
      <c r="X38" s="60">
        <f t="shared" si="142"/>
        <v>0</v>
      </c>
      <c r="Y38" s="60">
        <f t="shared" si="142"/>
        <v>0</v>
      </c>
      <c r="Z38" s="60">
        <f t="shared" si="142"/>
        <v>0</v>
      </c>
      <c r="AA38" s="60">
        <f t="shared" si="142"/>
        <v>0</v>
      </c>
      <c r="AB38" s="60">
        <f t="shared" si="142"/>
        <v>0</v>
      </c>
      <c r="AC38" s="60">
        <f t="shared" si="142"/>
        <v>0</v>
      </c>
      <c r="AD38" s="60">
        <f t="shared" si="142"/>
        <v>0</v>
      </c>
      <c r="AE38" s="60">
        <f t="shared" si="142"/>
        <v>0</v>
      </c>
      <c r="AF38" s="60">
        <f t="shared" si="142"/>
        <v>0</v>
      </c>
      <c r="AG38" s="60"/>
      <c r="AH38" s="322">
        <f t="shared" ref="AH38:AS38" si="143">AG38</f>
        <v>0</v>
      </c>
      <c r="AI38" s="60">
        <f t="shared" si="143"/>
        <v>0</v>
      </c>
      <c r="AJ38" s="60">
        <f t="shared" si="143"/>
        <v>0</v>
      </c>
      <c r="AK38" s="60">
        <f t="shared" si="143"/>
        <v>0</v>
      </c>
      <c r="AL38" s="60">
        <f t="shared" si="143"/>
        <v>0</v>
      </c>
      <c r="AM38" s="60">
        <f t="shared" si="143"/>
        <v>0</v>
      </c>
      <c r="AN38" s="60">
        <f t="shared" si="143"/>
        <v>0</v>
      </c>
      <c r="AO38" s="60">
        <f t="shared" si="143"/>
        <v>0</v>
      </c>
      <c r="AP38" s="60">
        <f t="shared" si="143"/>
        <v>0</v>
      </c>
      <c r="AQ38" s="60">
        <f t="shared" si="143"/>
        <v>0</v>
      </c>
      <c r="AR38" s="60">
        <f t="shared" si="143"/>
        <v>0</v>
      </c>
      <c r="AS38" s="60">
        <f t="shared" si="143"/>
        <v>0</v>
      </c>
      <c r="AT38" s="60"/>
      <c r="AU38" s="322">
        <f t="shared" ref="AU38:BF38" si="144">AT38</f>
        <v>0</v>
      </c>
      <c r="AV38" s="60">
        <f t="shared" si="144"/>
        <v>0</v>
      </c>
      <c r="AW38" s="60">
        <f t="shared" si="144"/>
        <v>0</v>
      </c>
      <c r="AX38" s="60">
        <f t="shared" si="144"/>
        <v>0</v>
      </c>
      <c r="AY38" s="60">
        <f t="shared" si="144"/>
        <v>0</v>
      </c>
      <c r="AZ38" s="60">
        <f t="shared" si="144"/>
        <v>0</v>
      </c>
      <c r="BA38" s="60">
        <f t="shared" si="144"/>
        <v>0</v>
      </c>
      <c r="BB38" s="60">
        <f t="shared" si="144"/>
        <v>0</v>
      </c>
      <c r="BC38" s="60">
        <f t="shared" si="144"/>
        <v>0</v>
      </c>
      <c r="BD38" s="60">
        <f t="shared" si="144"/>
        <v>0</v>
      </c>
      <c r="BE38" s="60">
        <f t="shared" si="144"/>
        <v>0</v>
      </c>
      <c r="BF38" s="60">
        <f t="shared" si="144"/>
        <v>0</v>
      </c>
      <c r="BG38" s="60"/>
      <c r="BH38" s="322">
        <f t="shared" ref="BH38:BS38" si="145">BG38</f>
        <v>0</v>
      </c>
      <c r="BI38" s="60">
        <f t="shared" si="145"/>
        <v>0</v>
      </c>
      <c r="BJ38" s="60">
        <f t="shared" si="145"/>
        <v>0</v>
      </c>
      <c r="BK38" s="60">
        <f t="shared" si="145"/>
        <v>0</v>
      </c>
      <c r="BL38" s="60">
        <f t="shared" si="145"/>
        <v>0</v>
      </c>
      <c r="BM38" s="60">
        <f t="shared" si="145"/>
        <v>0</v>
      </c>
      <c r="BN38" s="60">
        <f t="shared" si="145"/>
        <v>0</v>
      </c>
      <c r="BO38" s="60">
        <f t="shared" si="145"/>
        <v>0</v>
      </c>
      <c r="BP38" s="60">
        <f t="shared" si="145"/>
        <v>0</v>
      </c>
      <c r="BQ38" s="60">
        <f t="shared" si="145"/>
        <v>0</v>
      </c>
      <c r="BR38" s="60">
        <f t="shared" si="145"/>
        <v>0</v>
      </c>
      <c r="BS38" s="60">
        <f t="shared" si="145"/>
        <v>0</v>
      </c>
      <c r="BT38" s="60"/>
      <c r="BU38" s="60"/>
    </row>
    <row r="39" spans="1:73" ht="15.75" customHeight="1">
      <c r="B39" s="2"/>
      <c r="C39" s="148"/>
      <c r="D39" s="323">
        <v>0</v>
      </c>
      <c r="E39" s="3">
        <f>$E38*D$7</f>
        <v>0</v>
      </c>
      <c r="F39" s="149">
        <f>SUM(D39:E39)</f>
        <v>0</v>
      </c>
      <c r="G39" s="60"/>
      <c r="H39" s="77">
        <f t="shared" ref="H39:S39" si="146">ROUND(($F39/12)*H40,0)</f>
        <v>0</v>
      </c>
      <c r="I39" s="77">
        <f t="shared" si="146"/>
        <v>0</v>
      </c>
      <c r="J39" s="77">
        <f t="shared" si="146"/>
        <v>0</v>
      </c>
      <c r="K39" s="77">
        <f t="shared" si="146"/>
        <v>0</v>
      </c>
      <c r="L39" s="77">
        <f t="shared" si="146"/>
        <v>0</v>
      </c>
      <c r="M39" s="77">
        <f t="shared" si="146"/>
        <v>0</v>
      </c>
      <c r="N39" s="77">
        <f t="shared" si="146"/>
        <v>0</v>
      </c>
      <c r="O39" s="77">
        <f t="shared" si="146"/>
        <v>0</v>
      </c>
      <c r="P39" s="77">
        <f t="shared" si="146"/>
        <v>0</v>
      </c>
      <c r="Q39" s="77">
        <f t="shared" si="146"/>
        <v>0</v>
      </c>
      <c r="R39" s="77">
        <f t="shared" si="146"/>
        <v>0</v>
      </c>
      <c r="S39" s="77">
        <f t="shared" si="146"/>
        <v>0</v>
      </c>
      <c r="T39" s="77">
        <f>SUM(H39:S39)</f>
        <v>0</v>
      </c>
      <c r="U39" s="77">
        <f t="shared" ref="U39:AF39" si="147">ROUND(($F39/12)*U40,0)</f>
        <v>0</v>
      </c>
      <c r="V39" s="77">
        <f t="shared" si="147"/>
        <v>0</v>
      </c>
      <c r="W39" s="77">
        <f t="shared" si="147"/>
        <v>0</v>
      </c>
      <c r="X39" s="77">
        <f t="shared" si="147"/>
        <v>0</v>
      </c>
      <c r="Y39" s="77">
        <f t="shared" si="147"/>
        <v>0</v>
      </c>
      <c r="Z39" s="77">
        <f t="shared" si="147"/>
        <v>0</v>
      </c>
      <c r="AA39" s="77">
        <f t="shared" si="147"/>
        <v>0</v>
      </c>
      <c r="AB39" s="77">
        <f t="shared" si="147"/>
        <v>0</v>
      </c>
      <c r="AC39" s="77">
        <f t="shared" si="147"/>
        <v>0</v>
      </c>
      <c r="AD39" s="77">
        <f t="shared" si="147"/>
        <v>0</v>
      </c>
      <c r="AE39" s="77">
        <f t="shared" si="147"/>
        <v>0</v>
      </c>
      <c r="AF39" s="77">
        <f t="shared" si="147"/>
        <v>0</v>
      </c>
      <c r="AG39" s="77">
        <f>SUM(U39:AF39)</f>
        <v>0</v>
      </c>
      <c r="AH39" s="77">
        <f t="shared" ref="AH39:AS39" si="148">ROUND(($F39/12)*AH40,0)</f>
        <v>0</v>
      </c>
      <c r="AI39" s="77">
        <f t="shared" si="148"/>
        <v>0</v>
      </c>
      <c r="AJ39" s="77">
        <f t="shared" si="148"/>
        <v>0</v>
      </c>
      <c r="AK39" s="77">
        <f t="shared" si="148"/>
        <v>0</v>
      </c>
      <c r="AL39" s="77">
        <f t="shared" si="148"/>
        <v>0</v>
      </c>
      <c r="AM39" s="77">
        <f t="shared" si="148"/>
        <v>0</v>
      </c>
      <c r="AN39" s="77">
        <f t="shared" si="148"/>
        <v>0</v>
      </c>
      <c r="AO39" s="77">
        <f t="shared" si="148"/>
        <v>0</v>
      </c>
      <c r="AP39" s="77">
        <f t="shared" si="148"/>
        <v>0</v>
      </c>
      <c r="AQ39" s="77">
        <f t="shared" si="148"/>
        <v>0</v>
      </c>
      <c r="AR39" s="77">
        <f t="shared" si="148"/>
        <v>0</v>
      </c>
      <c r="AS39" s="77">
        <f t="shared" si="148"/>
        <v>0</v>
      </c>
      <c r="AT39" s="77">
        <f>SUM(AH39:AS39)</f>
        <v>0</v>
      </c>
      <c r="AU39" s="77">
        <f t="shared" ref="AU39:BF39" si="149">ROUND(($F39/12)*AU40,0)</f>
        <v>0</v>
      </c>
      <c r="AV39" s="77">
        <f t="shared" si="149"/>
        <v>0</v>
      </c>
      <c r="AW39" s="77">
        <f t="shared" si="149"/>
        <v>0</v>
      </c>
      <c r="AX39" s="77">
        <f t="shared" si="149"/>
        <v>0</v>
      </c>
      <c r="AY39" s="77">
        <f t="shared" si="149"/>
        <v>0</v>
      </c>
      <c r="AZ39" s="77">
        <f t="shared" si="149"/>
        <v>0</v>
      </c>
      <c r="BA39" s="77">
        <f t="shared" si="149"/>
        <v>0</v>
      </c>
      <c r="BB39" s="77">
        <f t="shared" si="149"/>
        <v>0</v>
      </c>
      <c r="BC39" s="77">
        <f t="shared" si="149"/>
        <v>0</v>
      </c>
      <c r="BD39" s="77">
        <f t="shared" si="149"/>
        <v>0</v>
      </c>
      <c r="BE39" s="77">
        <f t="shared" si="149"/>
        <v>0</v>
      </c>
      <c r="BF39" s="77">
        <f t="shared" si="149"/>
        <v>0</v>
      </c>
      <c r="BG39" s="77">
        <f>SUM(AU39:BF39)</f>
        <v>0</v>
      </c>
      <c r="BH39" s="77">
        <f t="shared" ref="BH39:BS39" si="150">ROUND(($F39/12)*BH40,0)</f>
        <v>0</v>
      </c>
      <c r="BI39" s="77">
        <f t="shared" si="150"/>
        <v>0</v>
      </c>
      <c r="BJ39" s="77">
        <f t="shared" si="150"/>
        <v>0</v>
      </c>
      <c r="BK39" s="77">
        <f t="shared" si="150"/>
        <v>0</v>
      </c>
      <c r="BL39" s="77">
        <f t="shared" si="150"/>
        <v>0</v>
      </c>
      <c r="BM39" s="77">
        <f t="shared" si="150"/>
        <v>0</v>
      </c>
      <c r="BN39" s="77">
        <f t="shared" si="150"/>
        <v>0</v>
      </c>
      <c r="BO39" s="77">
        <f t="shared" si="150"/>
        <v>0</v>
      </c>
      <c r="BP39" s="77">
        <f t="shared" si="150"/>
        <v>0</v>
      </c>
      <c r="BQ39" s="77">
        <f t="shared" si="150"/>
        <v>0</v>
      </c>
      <c r="BR39" s="77">
        <f t="shared" si="150"/>
        <v>0</v>
      </c>
      <c r="BS39" s="77">
        <f t="shared" si="150"/>
        <v>0</v>
      </c>
      <c r="BT39" s="77">
        <f>SUM(BH39:BS39)</f>
        <v>0</v>
      </c>
      <c r="BU39" s="3">
        <f>T39+AG39+AT39+BG39+BT39</f>
        <v>0</v>
      </c>
    </row>
    <row r="40" spans="1:73" ht="15.75" customHeight="1">
      <c r="A40" s="2"/>
      <c r="B40" s="2"/>
      <c r="C40" s="2"/>
      <c r="D40" s="38"/>
      <c r="E40" s="2"/>
      <c r="F40" s="60"/>
      <c r="G40" s="60"/>
      <c r="H40" s="322">
        <v>0</v>
      </c>
      <c r="I40" s="60">
        <f t="shared" ref="I40:S40" si="151">H40</f>
        <v>0</v>
      </c>
      <c r="J40" s="60">
        <f t="shared" si="151"/>
        <v>0</v>
      </c>
      <c r="K40" s="60">
        <f t="shared" si="151"/>
        <v>0</v>
      </c>
      <c r="L40" s="60">
        <f t="shared" si="151"/>
        <v>0</v>
      </c>
      <c r="M40" s="60">
        <f t="shared" si="151"/>
        <v>0</v>
      </c>
      <c r="N40" s="60">
        <f t="shared" si="151"/>
        <v>0</v>
      </c>
      <c r="O40" s="60">
        <f t="shared" si="151"/>
        <v>0</v>
      </c>
      <c r="P40" s="60">
        <f t="shared" si="151"/>
        <v>0</v>
      </c>
      <c r="Q40" s="60">
        <f t="shared" si="151"/>
        <v>0</v>
      </c>
      <c r="R40" s="60">
        <f t="shared" si="151"/>
        <v>0</v>
      </c>
      <c r="S40" s="60">
        <f t="shared" si="151"/>
        <v>0</v>
      </c>
      <c r="T40" s="60"/>
      <c r="U40" s="322">
        <f t="shared" ref="U40:AF40" si="152">T40</f>
        <v>0</v>
      </c>
      <c r="V40" s="60">
        <f t="shared" si="152"/>
        <v>0</v>
      </c>
      <c r="W40" s="60">
        <f t="shared" si="152"/>
        <v>0</v>
      </c>
      <c r="X40" s="60">
        <f t="shared" si="152"/>
        <v>0</v>
      </c>
      <c r="Y40" s="60">
        <f t="shared" si="152"/>
        <v>0</v>
      </c>
      <c r="Z40" s="60">
        <f t="shared" si="152"/>
        <v>0</v>
      </c>
      <c r="AA40" s="60">
        <f t="shared" si="152"/>
        <v>0</v>
      </c>
      <c r="AB40" s="60">
        <f t="shared" si="152"/>
        <v>0</v>
      </c>
      <c r="AC40" s="60">
        <f t="shared" si="152"/>
        <v>0</v>
      </c>
      <c r="AD40" s="60">
        <f t="shared" si="152"/>
        <v>0</v>
      </c>
      <c r="AE40" s="60">
        <f t="shared" si="152"/>
        <v>0</v>
      </c>
      <c r="AF40" s="60">
        <f t="shared" si="152"/>
        <v>0</v>
      </c>
      <c r="AG40" s="60"/>
      <c r="AH40" s="322">
        <f t="shared" ref="AH40:AS40" si="153">AG40</f>
        <v>0</v>
      </c>
      <c r="AI40" s="60">
        <f t="shared" si="153"/>
        <v>0</v>
      </c>
      <c r="AJ40" s="60">
        <f t="shared" si="153"/>
        <v>0</v>
      </c>
      <c r="AK40" s="60">
        <f t="shared" si="153"/>
        <v>0</v>
      </c>
      <c r="AL40" s="60">
        <f t="shared" si="153"/>
        <v>0</v>
      </c>
      <c r="AM40" s="60">
        <f t="shared" si="153"/>
        <v>0</v>
      </c>
      <c r="AN40" s="60">
        <f t="shared" si="153"/>
        <v>0</v>
      </c>
      <c r="AO40" s="60">
        <f t="shared" si="153"/>
        <v>0</v>
      </c>
      <c r="AP40" s="60">
        <f t="shared" si="153"/>
        <v>0</v>
      </c>
      <c r="AQ40" s="60">
        <f t="shared" si="153"/>
        <v>0</v>
      </c>
      <c r="AR40" s="60">
        <f t="shared" si="153"/>
        <v>0</v>
      </c>
      <c r="AS40" s="60">
        <f t="shared" si="153"/>
        <v>0</v>
      </c>
      <c r="AT40" s="60"/>
      <c r="AU40" s="322">
        <f t="shared" ref="AU40:BF40" si="154">AT40</f>
        <v>0</v>
      </c>
      <c r="AV40" s="60">
        <f t="shared" si="154"/>
        <v>0</v>
      </c>
      <c r="AW40" s="60">
        <f t="shared" si="154"/>
        <v>0</v>
      </c>
      <c r="AX40" s="60">
        <f t="shared" si="154"/>
        <v>0</v>
      </c>
      <c r="AY40" s="60">
        <f t="shared" si="154"/>
        <v>0</v>
      </c>
      <c r="AZ40" s="60">
        <f t="shared" si="154"/>
        <v>0</v>
      </c>
      <c r="BA40" s="60">
        <f t="shared" si="154"/>
        <v>0</v>
      </c>
      <c r="BB40" s="60">
        <f t="shared" si="154"/>
        <v>0</v>
      </c>
      <c r="BC40" s="60">
        <f t="shared" si="154"/>
        <v>0</v>
      </c>
      <c r="BD40" s="60">
        <f t="shared" si="154"/>
        <v>0</v>
      </c>
      <c r="BE40" s="60">
        <f t="shared" si="154"/>
        <v>0</v>
      </c>
      <c r="BF40" s="60">
        <f t="shared" si="154"/>
        <v>0</v>
      </c>
      <c r="BG40" s="60"/>
      <c r="BH40" s="322">
        <f t="shared" ref="BH40:BS40" si="155">BG40</f>
        <v>0</v>
      </c>
      <c r="BI40" s="60">
        <f t="shared" si="155"/>
        <v>0</v>
      </c>
      <c r="BJ40" s="60">
        <f t="shared" si="155"/>
        <v>0</v>
      </c>
      <c r="BK40" s="60">
        <f t="shared" si="155"/>
        <v>0</v>
      </c>
      <c r="BL40" s="60">
        <f t="shared" si="155"/>
        <v>0</v>
      </c>
      <c r="BM40" s="60">
        <f t="shared" si="155"/>
        <v>0</v>
      </c>
      <c r="BN40" s="60">
        <f t="shared" si="155"/>
        <v>0</v>
      </c>
      <c r="BO40" s="60">
        <f t="shared" si="155"/>
        <v>0</v>
      </c>
      <c r="BP40" s="60">
        <f t="shared" si="155"/>
        <v>0</v>
      </c>
      <c r="BQ40" s="60">
        <f t="shared" si="155"/>
        <v>0</v>
      </c>
      <c r="BR40" s="60">
        <f t="shared" si="155"/>
        <v>0</v>
      </c>
      <c r="BS40" s="60">
        <f t="shared" si="155"/>
        <v>0</v>
      </c>
      <c r="BT40" s="60"/>
      <c r="BU40" s="60"/>
    </row>
    <row r="41" spans="1:73" ht="15.75" customHeight="1">
      <c r="A41" s="2"/>
      <c r="B41" s="2"/>
      <c r="C41" s="48" t="str">
        <f>CONCATENATE("   Sub-total ",B30)</f>
        <v xml:space="preserve">   Sub-total Kitchen</v>
      </c>
      <c r="D41" s="38"/>
      <c r="E41" s="2"/>
      <c r="F41" s="60"/>
      <c r="G41" s="60"/>
      <c r="H41" s="18">
        <f t="shared" ref="H41:BT41" si="156">H31+H33+H35+H37+H39</f>
        <v>5308</v>
      </c>
      <c r="I41" s="18">
        <f t="shared" si="156"/>
        <v>5308</v>
      </c>
      <c r="J41" s="18">
        <f t="shared" si="156"/>
        <v>5308</v>
      </c>
      <c r="K41" s="18">
        <f t="shared" si="156"/>
        <v>5308</v>
      </c>
      <c r="L41" s="18">
        <f t="shared" si="156"/>
        <v>5308</v>
      </c>
      <c r="M41" s="18">
        <f t="shared" si="156"/>
        <v>5308</v>
      </c>
      <c r="N41" s="18">
        <f t="shared" si="156"/>
        <v>5308</v>
      </c>
      <c r="O41" s="18">
        <f t="shared" si="156"/>
        <v>5308</v>
      </c>
      <c r="P41" s="18">
        <f t="shared" si="156"/>
        <v>5308</v>
      </c>
      <c r="Q41" s="18">
        <f t="shared" si="156"/>
        <v>5308</v>
      </c>
      <c r="R41" s="18">
        <f t="shared" si="156"/>
        <v>5308</v>
      </c>
      <c r="S41" s="18">
        <f t="shared" si="156"/>
        <v>5308</v>
      </c>
      <c r="T41" s="18">
        <f t="shared" si="156"/>
        <v>63696</v>
      </c>
      <c r="U41" s="18">
        <f t="shared" si="156"/>
        <v>6283</v>
      </c>
      <c r="V41" s="18">
        <f t="shared" si="156"/>
        <v>6283</v>
      </c>
      <c r="W41" s="18">
        <f t="shared" si="156"/>
        <v>6283</v>
      </c>
      <c r="X41" s="18">
        <f t="shared" si="156"/>
        <v>6283</v>
      </c>
      <c r="Y41" s="18">
        <f t="shared" si="156"/>
        <v>6283</v>
      </c>
      <c r="Z41" s="18">
        <f t="shared" si="156"/>
        <v>6283</v>
      </c>
      <c r="AA41" s="18">
        <f t="shared" si="156"/>
        <v>6283</v>
      </c>
      <c r="AB41" s="18">
        <f t="shared" si="156"/>
        <v>6283</v>
      </c>
      <c r="AC41" s="18">
        <f t="shared" si="156"/>
        <v>6283</v>
      </c>
      <c r="AD41" s="18">
        <f t="shared" si="156"/>
        <v>6283</v>
      </c>
      <c r="AE41" s="18">
        <f t="shared" si="156"/>
        <v>6283</v>
      </c>
      <c r="AF41" s="18">
        <f t="shared" si="156"/>
        <v>6283</v>
      </c>
      <c r="AG41" s="18">
        <f t="shared" si="156"/>
        <v>75396</v>
      </c>
      <c r="AH41" s="18">
        <f t="shared" si="156"/>
        <v>7258</v>
      </c>
      <c r="AI41" s="18">
        <f t="shared" si="156"/>
        <v>7258</v>
      </c>
      <c r="AJ41" s="18">
        <f t="shared" si="156"/>
        <v>7258</v>
      </c>
      <c r="AK41" s="18">
        <f t="shared" si="156"/>
        <v>7258</v>
      </c>
      <c r="AL41" s="18">
        <f t="shared" si="156"/>
        <v>7258</v>
      </c>
      <c r="AM41" s="18">
        <f t="shared" si="156"/>
        <v>7258</v>
      </c>
      <c r="AN41" s="18">
        <f t="shared" si="156"/>
        <v>7258</v>
      </c>
      <c r="AO41" s="18">
        <f t="shared" si="156"/>
        <v>7258</v>
      </c>
      <c r="AP41" s="18">
        <f t="shared" si="156"/>
        <v>7258</v>
      </c>
      <c r="AQ41" s="18">
        <f t="shared" si="156"/>
        <v>7258</v>
      </c>
      <c r="AR41" s="18">
        <f t="shared" si="156"/>
        <v>7258</v>
      </c>
      <c r="AS41" s="18">
        <f t="shared" si="156"/>
        <v>7258</v>
      </c>
      <c r="AT41" s="18">
        <f t="shared" si="156"/>
        <v>87096</v>
      </c>
      <c r="AU41" s="18">
        <f t="shared" si="156"/>
        <v>8233</v>
      </c>
      <c r="AV41" s="18">
        <f t="shared" si="156"/>
        <v>8233</v>
      </c>
      <c r="AW41" s="18">
        <f t="shared" si="156"/>
        <v>8233</v>
      </c>
      <c r="AX41" s="18">
        <f t="shared" si="156"/>
        <v>8233</v>
      </c>
      <c r="AY41" s="18">
        <f t="shared" si="156"/>
        <v>8233</v>
      </c>
      <c r="AZ41" s="18">
        <f t="shared" si="156"/>
        <v>8233</v>
      </c>
      <c r="BA41" s="18">
        <f t="shared" si="156"/>
        <v>8233</v>
      </c>
      <c r="BB41" s="18">
        <f t="shared" si="156"/>
        <v>8233</v>
      </c>
      <c r="BC41" s="18">
        <f t="shared" si="156"/>
        <v>8233</v>
      </c>
      <c r="BD41" s="18">
        <f t="shared" si="156"/>
        <v>8233</v>
      </c>
      <c r="BE41" s="18">
        <f t="shared" si="156"/>
        <v>8233</v>
      </c>
      <c r="BF41" s="18">
        <f t="shared" si="156"/>
        <v>8233</v>
      </c>
      <c r="BG41" s="18">
        <f t="shared" si="156"/>
        <v>98796</v>
      </c>
      <c r="BH41" s="18">
        <f t="shared" si="156"/>
        <v>8233</v>
      </c>
      <c r="BI41" s="18">
        <f t="shared" si="156"/>
        <v>8233</v>
      </c>
      <c r="BJ41" s="18">
        <f t="shared" si="156"/>
        <v>8233</v>
      </c>
      <c r="BK41" s="18">
        <f t="shared" si="156"/>
        <v>8233</v>
      </c>
      <c r="BL41" s="18">
        <f t="shared" si="156"/>
        <v>8233</v>
      </c>
      <c r="BM41" s="18">
        <f t="shared" si="156"/>
        <v>8233</v>
      </c>
      <c r="BN41" s="18">
        <f t="shared" si="156"/>
        <v>8233</v>
      </c>
      <c r="BO41" s="18">
        <f t="shared" si="156"/>
        <v>8233</v>
      </c>
      <c r="BP41" s="18">
        <f t="shared" si="156"/>
        <v>8233</v>
      </c>
      <c r="BQ41" s="18">
        <f t="shared" si="156"/>
        <v>8233</v>
      </c>
      <c r="BR41" s="18">
        <f t="shared" si="156"/>
        <v>8233</v>
      </c>
      <c r="BS41" s="18">
        <f t="shared" si="156"/>
        <v>8233</v>
      </c>
      <c r="BT41" s="18">
        <f t="shared" si="156"/>
        <v>98796</v>
      </c>
      <c r="BU41" s="18">
        <f>SUM(BU31:BU40)</f>
        <v>423780</v>
      </c>
    </row>
    <row r="42" spans="1:73" ht="15.75" customHeight="1">
      <c r="B42" s="2" t="s">
        <v>279</v>
      </c>
      <c r="C42" s="2"/>
      <c r="D42" s="38"/>
      <c r="E42" s="2"/>
      <c r="F42" s="60"/>
      <c r="G42" s="6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</row>
    <row r="43" spans="1:73" ht="15.75" customHeight="1">
      <c r="B43" s="2"/>
      <c r="C43" s="148" t="s">
        <v>542</v>
      </c>
      <c r="D43" s="323">
        <f>12*40*52</f>
        <v>24960</v>
      </c>
      <c r="E43" s="3">
        <f>E$6*$D43</f>
        <v>6240</v>
      </c>
      <c r="F43" s="149">
        <f>SUM(D43:E43)</f>
        <v>31200</v>
      </c>
      <c r="G43" s="60"/>
      <c r="H43" s="3">
        <f t="shared" ref="H43:S43" si="157">ROUND(($F43/12)*H44,0)</f>
        <v>2600</v>
      </c>
      <c r="I43" s="3">
        <f t="shared" si="157"/>
        <v>2600</v>
      </c>
      <c r="J43" s="3">
        <f t="shared" si="157"/>
        <v>2600</v>
      </c>
      <c r="K43" s="3">
        <f t="shared" si="157"/>
        <v>2600</v>
      </c>
      <c r="L43" s="3">
        <f t="shared" si="157"/>
        <v>2600</v>
      </c>
      <c r="M43" s="3">
        <f t="shared" si="157"/>
        <v>2600</v>
      </c>
      <c r="N43" s="3">
        <f t="shared" si="157"/>
        <v>2600</v>
      </c>
      <c r="O43" s="3">
        <f t="shared" si="157"/>
        <v>2600</v>
      </c>
      <c r="P43" s="3">
        <f t="shared" si="157"/>
        <v>2600</v>
      </c>
      <c r="Q43" s="3">
        <f t="shared" si="157"/>
        <v>2600</v>
      </c>
      <c r="R43" s="3">
        <f t="shared" si="157"/>
        <v>2600</v>
      </c>
      <c r="S43" s="3">
        <f t="shared" si="157"/>
        <v>2600</v>
      </c>
      <c r="T43" s="3">
        <f>SUM(H43:S43)</f>
        <v>31200</v>
      </c>
      <c r="U43" s="3">
        <f t="shared" ref="U43:AF43" si="158">ROUND(($F43/12)*U44,0)</f>
        <v>2600</v>
      </c>
      <c r="V43" s="3">
        <f t="shared" si="158"/>
        <v>2600</v>
      </c>
      <c r="W43" s="3">
        <f t="shared" si="158"/>
        <v>2600</v>
      </c>
      <c r="X43" s="3">
        <f t="shared" si="158"/>
        <v>2600</v>
      </c>
      <c r="Y43" s="3">
        <f t="shared" si="158"/>
        <v>2600</v>
      </c>
      <c r="Z43" s="3">
        <f t="shared" si="158"/>
        <v>2600</v>
      </c>
      <c r="AA43" s="3">
        <f t="shared" si="158"/>
        <v>2600</v>
      </c>
      <c r="AB43" s="3">
        <f t="shared" si="158"/>
        <v>2600</v>
      </c>
      <c r="AC43" s="3">
        <f t="shared" si="158"/>
        <v>2600</v>
      </c>
      <c r="AD43" s="3">
        <f t="shared" si="158"/>
        <v>2600</v>
      </c>
      <c r="AE43" s="3">
        <f t="shared" si="158"/>
        <v>2600</v>
      </c>
      <c r="AF43" s="3">
        <f t="shared" si="158"/>
        <v>2600</v>
      </c>
      <c r="AG43" s="3">
        <f>SUM(U43:AF43)</f>
        <v>31200</v>
      </c>
      <c r="AH43" s="3">
        <f t="shared" ref="AH43:AS43" si="159">ROUND(($F43/12)*AH44,0)</f>
        <v>2600</v>
      </c>
      <c r="AI43" s="3">
        <f t="shared" si="159"/>
        <v>2600</v>
      </c>
      <c r="AJ43" s="3">
        <f t="shared" si="159"/>
        <v>2600</v>
      </c>
      <c r="AK43" s="3">
        <f t="shared" si="159"/>
        <v>2600</v>
      </c>
      <c r="AL43" s="3">
        <f t="shared" si="159"/>
        <v>2600</v>
      </c>
      <c r="AM43" s="3">
        <f t="shared" si="159"/>
        <v>2600</v>
      </c>
      <c r="AN43" s="3">
        <f t="shared" si="159"/>
        <v>2600</v>
      </c>
      <c r="AO43" s="3">
        <f t="shared" si="159"/>
        <v>2600</v>
      </c>
      <c r="AP43" s="3">
        <f t="shared" si="159"/>
        <v>2600</v>
      </c>
      <c r="AQ43" s="3">
        <f t="shared" si="159"/>
        <v>2600</v>
      </c>
      <c r="AR43" s="3">
        <f t="shared" si="159"/>
        <v>2600</v>
      </c>
      <c r="AS43" s="3">
        <f t="shared" si="159"/>
        <v>2600</v>
      </c>
      <c r="AT43" s="3">
        <f>SUM(AH43:AS43)</f>
        <v>31200</v>
      </c>
      <c r="AU43" s="3">
        <f t="shared" ref="AU43:BF43" si="160">ROUND(($F43/12)*AU44,0)</f>
        <v>2600</v>
      </c>
      <c r="AV43" s="3">
        <f t="shared" si="160"/>
        <v>2600</v>
      </c>
      <c r="AW43" s="3">
        <f t="shared" si="160"/>
        <v>2600</v>
      </c>
      <c r="AX43" s="3">
        <f t="shared" si="160"/>
        <v>2600</v>
      </c>
      <c r="AY43" s="3">
        <f t="shared" si="160"/>
        <v>2600</v>
      </c>
      <c r="AZ43" s="3">
        <f t="shared" si="160"/>
        <v>2600</v>
      </c>
      <c r="BA43" s="3">
        <f t="shared" si="160"/>
        <v>2600</v>
      </c>
      <c r="BB43" s="3">
        <f t="shared" si="160"/>
        <v>2600</v>
      </c>
      <c r="BC43" s="3">
        <f t="shared" si="160"/>
        <v>2600</v>
      </c>
      <c r="BD43" s="3">
        <f t="shared" si="160"/>
        <v>2600</v>
      </c>
      <c r="BE43" s="3">
        <f t="shared" si="160"/>
        <v>2600</v>
      </c>
      <c r="BF43" s="3">
        <f t="shared" si="160"/>
        <v>2600</v>
      </c>
      <c r="BG43" s="3">
        <f>SUM(AU43:BF43)</f>
        <v>31200</v>
      </c>
      <c r="BH43" s="3">
        <f t="shared" ref="BH43:BS43" si="161">ROUND(($F43/12)*BH44,0)</f>
        <v>2600</v>
      </c>
      <c r="BI43" s="3">
        <f t="shared" si="161"/>
        <v>2600</v>
      </c>
      <c r="BJ43" s="3">
        <f t="shared" si="161"/>
        <v>2600</v>
      </c>
      <c r="BK43" s="3">
        <f t="shared" si="161"/>
        <v>2600</v>
      </c>
      <c r="BL43" s="3">
        <f t="shared" si="161"/>
        <v>2600</v>
      </c>
      <c r="BM43" s="3">
        <f t="shared" si="161"/>
        <v>2600</v>
      </c>
      <c r="BN43" s="3">
        <f t="shared" si="161"/>
        <v>2600</v>
      </c>
      <c r="BO43" s="3">
        <f t="shared" si="161"/>
        <v>2600</v>
      </c>
      <c r="BP43" s="3">
        <f t="shared" si="161"/>
        <v>2600</v>
      </c>
      <c r="BQ43" s="3">
        <f t="shared" si="161"/>
        <v>2600</v>
      </c>
      <c r="BR43" s="3">
        <f t="shared" si="161"/>
        <v>2600</v>
      </c>
      <c r="BS43" s="3">
        <f t="shared" si="161"/>
        <v>2600</v>
      </c>
      <c r="BT43" s="3">
        <f>SUM(BH43:BS43)</f>
        <v>31200</v>
      </c>
      <c r="BU43" s="3">
        <f>T43+AG43+AT43+BG43+BT43</f>
        <v>156000</v>
      </c>
    </row>
    <row r="44" spans="1:73" ht="15.75" customHeight="1">
      <c r="A44" s="2"/>
      <c r="B44" s="2"/>
      <c r="C44" s="2"/>
      <c r="D44" s="38"/>
      <c r="E44" s="2"/>
      <c r="F44" s="150"/>
      <c r="G44" s="60"/>
      <c r="H44" s="322">
        <v>1</v>
      </c>
      <c r="I44" s="60">
        <f t="shared" ref="I44:S44" si="162">H44</f>
        <v>1</v>
      </c>
      <c r="J44" s="60">
        <f t="shared" si="162"/>
        <v>1</v>
      </c>
      <c r="K44" s="60">
        <f t="shared" si="162"/>
        <v>1</v>
      </c>
      <c r="L44" s="60">
        <f t="shared" si="162"/>
        <v>1</v>
      </c>
      <c r="M44" s="60">
        <f t="shared" si="162"/>
        <v>1</v>
      </c>
      <c r="N44" s="60">
        <f t="shared" si="162"/>
        <v>1</v>
      </c>
      <c r="O44" s="60">
        <f t="shared" si="162"/>
        <v>1</v>
      </c>
      <c r="P44" s="60">
        <f t="shared" si="162"/>
        <v>1</v>
      </c>
      <c r="Q44" s="60">
        <f t="shared" si="162"/>
        <v>1</v>
      </c>
      <c r="R44" s="60">
        <f t="shared" si="162"/>
        <v>1</v>
      </c>
      <c r="S44" s="60">
        <f t="shared" si="162"/>
        <v>1</v>
      </c>
      <c r="T44" s="60"/>
      <c r="U44" s="322">
        <v>1</v>
      </c>
      <c r="V44" s="60">
        <f t="shared" ref="V44:AF44" si="163">U44</f>
        <v>1</v>
      </c>
      <c r="W44" s="60">
        <f t="shared" si="163"/>
        <v>1</v>
      </c>
      <c r="X44" s="60">
        <f t="shared" si="163"/>
        <v>1</v>
      </c>
      <c r="Y44" s="60">
        <f t="shared" si="163"/>
        <v>1</v>
      </c>
      <c r="Z44" s="60">
        <f t="shared" si="163"/>
        <v>1</v>
      </c>
      <c r="AA44" s="60">
        <f t="shared" si="163"/>
        <v>1</v>
      </c>
      <c r="AB44" s="60">
        <f t="shared" si="163"/>
        <v>1</v>
      </c>
      <c r="AC44" s="60">
        <f t="shared" si="163"/>
        <v>1</v>
      </c>
      <c r="AD44" s="60">
        <f t="shared" si="163"/>
        <v>1</v>
      </c>
      <c r="AE44" s="60">
        <f t="shared" si="163"/>
        <v>1</v>
      </c>
      <c r="AF44" s="60">
        <f t="shared" si="163"/>
        <v>1</v>
      </c>
      <c r="AG44" s="60"/>
      <c r="AH44" s="322">
        <v>1</v>
      </c>
      <c r="AI44" s="60">
        <f t="shared" ref="AI44:AS44" si="164">AH44</f>
        <v>1</v>
      </c>
      <c r="AJ44" s="60">
        <f t="shared" si="164"/>
        <v>1</v>
      </c>
      <c r="AK44" s="60">
        <f t="shared" si="164"/>
        <v>1</v>
      </c>
      <c r="AL44" s="60">
        <f t="shared" si="164"/>
        <v>1</v>
      </c>
      <c r="AM44" s="60">
        <f t="shared" si="164"/>
        <v>1</v>
      </c>
      <c r="AN44" s="60">
        <f t="shared" si="164"/>
        <v>1</v>
      </c>
      <c r="AO44" s="60">
        <f t="shared" si="164"/>
        <v>1</v>
      </c>
      <c r="AP44" s="60">
        <f t="shared" si="164"/>
        <v>1</v>
      </c>
      <c r="AQ44" s="60">
        <f t="shared" si="164"/>
        <v>1</v>
      </c>
      <c r="AR44" s="60">
        <f t="shared" si="164"/>
        <v>1</v>
      </c>
      <c r="AS44" s="60">
        <f t="shared" si="164"/>
        <v>1</v>
      </c>
      <c r="AT44" s="60"/>
      <c r="AU44" s="322">
        <v>1</v>
      </c>
      <c r="AV44" s="60">
        <f t="shared" ref="AV44:BF44" si="165">AU44</f>
        <v>1</v>
      </c>
      <c r="AW44" s="60">
        <f t="shared" si="165"/>
        <v>1</v>
      </c>
      <c r="AX44" s="60">
        <f t="shared" si="165"/>
        <v>1</v>
      </c>
      <c r="AY44" s="60">
        <f t="shared" si="165"/>
        <v>1</v>
      </c>
      <c r="AZ44" s="60">
        <f t="shared" si="165"/>
        <v>1</v>
      </c>
      <c r="BA44" s="60">
        <f t="shared" si="165"/>
        <v>1</v>
      </c>
      <c r="BB44" s="60">
        <f t="shared" si="165"/>
        <v>1</v>
      </c>
      <c r="BC44" s="60">
        <f t="shared" si="165"/>
        <v>1</v>
      </c>
      <c r="BD44" s="60">
        <f t="shared" si="165"/>
        <v>1</v>
      </c>
      <c r="BE44" s="60">
        <f t="shared" si="165"/>
        <v>1</v>
      </c>
      <c r="BF44" s="60">
        <f t="shared" si="165"/>
        <v>1</v>
      </c>
      <c r="BG44" s="60"/>
      <c r="BH44" s="322">
        <v>1</v>
      </c>
      <c r="BI44" s="60">
        <f t="shared" ref="BI44:BS44" si="166">BH44</f>
        <v>1</v>
      </c>
      <c r="BJ44" s="60">
        <f t="shared" si="166"/>
        <v>1</v>
      </c>
      <c r="BK44" s="60">
        <f t="shared" si="166"/>
        <v>1</v>
      </c>
      <c r="BL44" s="60">
        <f t="shared" si="166"/>
        <v>1</v>
      </c>
      <c r="BM44" s="60">
        <f t="shared" si="166"/>
        <v>1</v>
      </c>
      <c r="BN44" s="60">
        <f t="shared" si="166"/>
        <v>1</v>
      </c>
      <c r="BO44" s="60">
        <f t="shared" si="166"/>
        <v>1</v>
      </c>
      <c r="BP44" s="60">
        <f t="shared" si="166"/>
        <v>1</v>
      </c>
      <c r="BQ44" s="60">
        <f t="shared" si="166"/>
        <v>1</v>
      </c>
      <c r="BR44" s="60">
        <f t="shared" si="166"/>
        <v>1</v>
      </c>
      <c r="BS44" s="60">
        <f t="shared" si="166"/>
        <v>1</v>
      </c>
      <c r="BT44" s="60"/>
      <c r="BU44" s="60"/>
    </row>
    <row r="45" spans="1:73" ht="15.75" customHeight="1">
      <c r="B45" s="2"/>
      <c r="C45" s="148" t="s">
        <v>280</v>
      </c>
      <c r="D45" s="323">
        <f>5.58*40*52</f>
        <v>11606.4</v>
      </c>
      <c r="E45" s="3">
        <v>5000</v>
      </c>
      <c r="F45" s="149">
        <f>SUM(D45:E45)</f>
        <v>16606.400000000001</v>
      </c>
      <c r="G45" s="60"/>
      <c r="H45" s="3">
        <f t="shared" ref="H45:S45" si="167">ROUND(($F45/12)*H46,0)</f>
        <v>692</v>
      </c>
      <c r="I45" s="3">
        <f t="shared" si="167"/>
        <v>692</v>
      </c>
      <c r="J45" s="3">
        <f t="shared" si="167"/>
        <v>692</v>
      </c>
      <c r="K45" s="3">
        <f t="shared" si="167"/>
        <v>692</v>
      </c>
      <c r="L45" s="3">
        <f t="shared" si="167"/>
        <v>692</v>
      </c>
      <c r="M45" s="3">
        <f t="shared" si="167"/>
        <v>692</v>
      </c>
      <c r="N45" s="3">
        <f t="shared" si="167"/>
        <v>692</v>
      </c>
      <c r="O45" s="3">
        <f t="shared" si="167"/>
        <v>692</v>
      </c>
      <c r="P45" s="3">
        <f t="shared" si="167"/>
        <v>692</v>
      </c>
      <c r="Q45" s="3">
        <f t="shared" si="167"/>
        <v>692</v>
      </c>
      <c r="R45" s="3">
        <f t="shared" si="167"/>
        <v>692</v>
      </c>
      <c r="S45" s="3">
        <f t="shared" si="167"/>
        <v>692</v>
      </c>
      <c r="T45" s="3">
        <f>SUM(H45:S45)</f>
        <v>8304</v>
      </c>
      <c r="U45" s="3">
        <f t="shared" ref="U45:AF45" si="168">ROUND(($F45/12)*U46,0)</f>
        <v>1038</v>
      </c>
      <c r="V45" s="3">
        <f t="shared" si="168"/>
        <v>1038</v>
      </c>
      <c r="W45" s="3">
        <f t="shared" si="168"/>
        <v>1038</v>
      </c>
      <c r="X45" s="3">
        <f t="shared" si="168"/>
        <v>1038</v>
      </c>
      <c r="Y45" s="3">
        <f t="shared" si="168"/>
        <v>1038</v>
      </c>
      <c r="Z45" s="3">
        <f t="shared" si="168"/>
        <v>1038</v>
      </c>
      <c r="AA45" s="3">
        <f t="shared" si="168"/>
        <v>1038</v>
      </c>
      <c r="AB45" s="3">
        <f t="shared" si="168"/>
        <v>1038</v>
      </c>
      <c r="AC45" s="3">
        <f t="shared" si="168"/>
        <v>1038</v>
      </c>
      <c r="AD45" s="3">
        <f t="shared" si="168"/>
        <v>1038</v>
      </c>
      <c r="AE45" s="3">
        <f t="shared" si="168"/>
        <v>1038</v>
      </c>
      <c r="AF45" s="3">
        <f t="shared" si="168"/>
        <v>1038</v>
      </c>
      <c r="AG45" s="3">
        <f>SUM(U45:AF45)</f>
        <v>12456</v>
      </c>
      <c r="AH45" s="3">
        <f t="shared" ref="AH45:AS45" si="169">ROUND(($F45/12)*AH46,0)</f>
        <v>1384</v>
      </c>
      <c r="AI45" s="3">
        <f t="shared" si="169"/>
        <v>1384</v>
      </c>
      <c r="AJ45" s="3">
        <f t="shared" si="169"/>
        <v>1384</v>
      </c>
      <c r="AK45" s="3">
        <f t="shared" si="169"/>
        <v>1384</v>
      </c>
      <c r="AL45" s="3">
        <f t="shared" si="169"/>
        <v>1384</v>
      </c>
      <c r="AM45" s="3">
        <f t="shared" si="169"/>
        <v>1384</v>
      </c>
      <c r="AN45" s="3">
        <f t="shared" si="169"/>
        <v>1384</v>
      </c>
      <c r="AO45" s="3">
        <f t="shared" si="169"/>
        <v>1384</v>
      </c>
      <c r="AP45" s="3">
        <f t="shared" si="169"/>
        <v>1384</v>
      </c>
      <c r="AQ45" s="3">
        <f t="shared" si="169"/>
        <v>1384</v>
      </c>
      <c r="AR45" s="3">
        <f t="shared" si="169"/>
        <v>1384</v>
      </c>
      <c r="AS45" s="3">
        <f t="shared" si="169"/>
        <v>1384</v>
      </c>
      <c r="AT45" s="3">
        <f>SUM(AH45:AS45)</f>
        <v>16608</v>
      </c>
      <c r="AU45" s="3">
        <f t="shared" ref="AU45:BF45" si="170">ROUND(($F45/12)*AU46,0)</f>
        <v>1384</v>
      </c>
      <c r="AV45" s="3">
        <f t="shared" si="170"/>
        <v>1384</v>
      </c>
      <c r="AW45" s="3">
        <f t="shared" si="170"/>
        <v>1384</v>
      </c>
      <c r="AX45" s="3">
        <f t="shared" si="170"/>
        <v>1384</v>
      </c>
      <c r="AY45" s="3">
        <f t="shared" si="170"/>
        <v>1384</v>
      </c>
      <c r="AZ45" s="3">
        <f t="shared" si="170"/>
        <v>1384</v>
      </c>
      <c r="BA45" s="3">
        <f t="shared" si="170"/>
        <v>1384</v>
      </c>
      <c r="BB45" s="3">
        <f t="shared" si="170"/>
        <v>1384</v>
      </c>
      <c r="BC45" s="3">
        <f t="shared" si="170"/>
        <v>1384</v>
      </c>
      <c r="BD45" s="3">
        <f t="shared" si="170"/>
        <v>1384</v>
      </c>
      <c r="BE45" s="3">
        <f t="shared" si="170"/>
        <v>1384</v>
      </c>
      <c r="BF45" s="3">
        <f t="shared" si="170"/>
        <v>1384</v>
      </c>
      <c r="BG45" s="3">
        <f>SUM(AU45:BF45)</f>
        <v>16608</v>
      </c>
      <c r="BH45" s="3">
        <f t="shared" ref="BH45:BS45" si="171">ROUND(($F45/12)*BH46,0)</f>
        <v>1384</v>
      </c>
      <c r="BI45" s="3">
        <f t="shared" si="171"/>
        <v>1384</v>
      </c>
      <c r="BJ45" s="3">
        <f t="shared" si="171"/>
        <v>1384</v>
      </c>
      <c r="BK45" s="3">
        <f t="shared" si="171"/>
        <v>1384</v>
      </c>
      <c r="BL45" s="3">
        <f t="shared" si="171"/>
        <v>1384</v>
      </c>
      <c r="BM45" s="3">
        <f t="shared" si="171"/>
        <v>1384</v>
      </c>
      <c r="BN45" s="3">
        <f t="shared" si="171"/>
        <v>1384</v>
      </c>
      <c r="BO45" s="3">
        <f t="shared" si="171"/>
        <v>1384</v>
      </c>
      <c r="BP45" s="3">
        <f t="shared" si="171"/>
        <v>1384</v>
      </c>
      <c r="BQ45" s="3">
        <f t="shared" si="171"/>
        <v>1384</v>
      </c>
      <c r="BR45" s="3">
        <f t="shared" si="171"/>
        <v>1384</v>
      </c>
      <c r="BS45" s="3">
        <f t="shared" si="171"/>
        <v>1384</v>
      </c>
      <c r="BT45" s="3">
        <f>SUM(BH45:BS45)</f>
        <v>16608</v>
      </c>
      <c r="BU45" s="3">
        <f>T45+AG45+AT45+BG45+BT45</f>
        <v>70584</v>
      </c>
    </row>
    <row r="46" spans="1:73" ht="15.75" customHeight="1">
      <c r="A46" s="2"/>
      <c r="B46" s="2"/>
      <c r="C46" s="2"/>
      <c r="D46" s="38"/>
      <c r="E46" s="255"/>
      <c r="F46" s="60"/>
      <c r="G46" s="60"/>
      <c r="H46" s="322">
        <v>0.5</v>
      </c>
      <c r="I46" s="60">
        <f t="shared" ref="I46:S46" si="172">H46</f>
        <v>0.5</v>
      </c>
      <c r="J46" s="60">
        <f t="shared" si="172"/>
        <v>0.5</v>
      </c>
      <c r="K46" s="60">
        <f t="shared" si="172"/>
        <v>0.5</v>
      </c>
      <c r="L46" s="60">
        <f t="shared" si="172"/>
        <v>0.5</v>
      </c>
      <c r="M46" s="60">
        <f t="shared" si="172"/>
        <v>0.5</v>
      </c>
      <c r="N46" s="60">
        <f t="shared" si="172"/>
        <v>0.5</v>
      </c>
      <c r="O46" s="60">
        <f t="shared" si="172"/>
        <v>0.5</v>
      </c>
      <c r="P46" s="60">
        <f t="shared" si="172"/>
        <v>0.5</v>
      </c>
      <c r="Q46" s="60">
        <f t="shared" si="172"/>
        <v>0.5</v>
      </c>
      <c r="R46" s="60">
        <f t="shared" si="172"/>
        <v>0.5</v>
      </c>
      <c r="S46" s="60">
        <f t="shared" si="172"/>
        <v>0.5</v>
      </c>
      <c r="T46" s="60"/>
      <c r="U46" s="322">
        <v>0.75</v>
      </c>
      <c r="V46" s="60">
        <f t="shared" ref="V46:AF46" si="173">U46</f>
        <v>0.75</v>
      </c>
      <c r="W46" s="60">
        <f t="shared" si="173"/>
        <v>0.75</v>
      </c>
      <c r="X46" s="60">
        <f t="shared" si="173"/>
        <v>0.75</v>
      </c>
      <c r="Y46" s="60">
        <f t="shared" si="173"/>
        <v>0.75</v>
      </c>
      <c r="Z46" s="60">
        <f t="shared" si="173"/>
        <v>0.75</v>
      </c>
      <c r="AA46" s="60">
        <f t="shared" si="173"/>
        <v>0.75</v>
      </c>
      <c r="AB46" s="60">
        <f t="shared" si="173"/>
        <v>0.75</v>
      </c>
      <c r="AC46" s="60">
        <f t="shared" si="173"/>
        <v>0.75</v>
      </c>
      <c r="AD46" s="60">
        <f t="shared" si="173"/>
        <v>0.75</v>
      </c>
      <c r="AE46" s="60">
        <f t="shared" si="173"/>
        <v>0.75</v>
      </c>
      <c r="AF46" s="60">
        <f t="shared" si="173"/>
        <v>0.75</v>
      </c>
      <c r="AG46" s="60"/>
      <c r="AH46" s="322">
        <v>1</v>
      </c>
      <c r="AI46" s="60">
        <f t="shared" ref="AI46:AS46" si="174">AH46</f>
        <v>1</v>
      </c>
      <c r="AJ46" s="60">
        <f t="shared" si="174"/>
        <v>1</v>
      </c>
      <c r="AK46" s="60">
        <f t="shared" si="174"/>
        <v>1</v>
      </c>
      <c r="AL46" s="60">
        <f t="shared" si="174"/>
        <v>1</v>
      </c>
      <c r="AM46" s="60">
        <f t="shared" si="174"/>
        <v>1</v>
      </c>
      <c r="AN46" s="60">
        <f t="shared" si="174"/>
        <v>1</v>
      </c>
      <c r="AO46" s="60">
        <f t="shared" si="174"/>
        <v>1</v>
      </c>
      <c r="AP46" s="60">
        <f t="shared" si="174"/>
        <v>1</v>
      </c>
      <c r="AQ46" s="60">
        <f t="shared" si="174"/>
        <v>1</v>
      </c>
      <c r="AR46" s="60">
        <f t="shared" si="174"/>
        <v>1</v>
      </c>
      <c r="AS46" s="60">
        <f t="shared" si="174"/>
        <v>1</v>
      </c>
      <c r="AT46" s="60"/>
      <c r="AU46" s="322">
        <v>1</v>
      </c>
      <c r="AV46" s="60">
        <f t="shared" ref="AV46:BF46" si="175">AU46</f>
        <v>1</v>
      </c>
      <c r="AW46" s="60">
        <f t="shared" si="175"/>
        <v>1</v>
      </c>
      <c r="AX46" s="60">
        <f t="shared" si="175"/>
        <v>1</v>
      </c>
      <c r="AY46" s="60">
        <f t="shared" si="175"/>
        <v>1</v>
      </c>
      <c r="AZ46" s="60">
        <f t="shared" si="175"/>
        <v>1</v>
      </c>
      <c r="BA46" s="60">
        <f t="shared" si="175"/>
        <v>1</v>
      </c>
      <c r="BB46" s="60">
        <f t="shared" si="175"/>
        <v>1</v>
      </c>
      <c r="BC46" s="60">
        <f t="shared" si="175"/>
        <v>1</v>
      </c>
      <c r="BD46" s="60">
        <f t="shared" si="175"/>
        <v>1</v>
      </c>
      <c r="BE46" s="60">
        <f t="shared" si="175"/>
        <v>1</v>
      </c>
      <c r="BF46" s="60">
        <f t="shared" si="175"/>
        <v>1</v>
      </c>
      <c r="BG46" s="60"/>
      <c r="BH46" s="322">
        <v>1</v>
      </c>
      <c r="BI46" s="60">
        <f t="shared" ref="BI46:BS46" si="176">BH46</f>
        <v>1</v>
      </c>
      <c r="BJ46" s="60">
        <f t="shared" si="176"/>
        <v>1</v>
      </c>
      <c r="BK46" s="60">
        <f t="shared" si="176"/>
        <v>1</v>
      </c>
      <c r="BL46" s="60">
        <f t="shared" si="176"/>
        <v>1</v>
      </c>
      <c r="BM46" s="60">
        <f t="shared" si="176"/>
        <v>1</v>
      </c>
      <c r="BN46" s="60">
        <f t="shared" si="176"/>
        <v>1</v>
      </c>
      <c r="BO46" s="60">
        <f t="shared" si="176"/>
        <v>1</v>
      </c>
      <c r="BP46" s="60">
        <f t="shared" si="176"/>
        <v>1</v>
      </c>
      <c r="BQ46" s="60">
        <f t="shared" si="176"/>
        <v>1</v>
      </c>
      <c r="BR46" s="60">
        <f t="shared" si="176"/>
        <v>1</v>
      </c>
      <c r="BS46" s="60">
        <f t="shared" si="176"/>
        <v>1</v>
      </c>
      <c r="BT46" s="60"/>
      <c r="BU46" s="60"/>
    </row>
    <row r="47" spans="1:73" ht="15.75" customHeight="1">
      <c r="B47" s="2"/>
      <c r="C47" s="148" t="s">
        <v>280</v>
      </c>
      <c r="D47" s="323">
        <f>5.58*40*52</f>
        <v>11606.4</v>
      </c>
      <c r="E47" s="3">
        <v>5000</v>
      </c>
      <c r="F47" s="149">
        <f>SUM(D47:E47)</f>
        <v>16606.400000000001</v>
      </c>
      <c r="G47" s="60"/>
      <c r="H47" s="3">
        <f t="shared" ref="H47:S47" si="177">ROUND(($F47/12)*H48,0)</f>
        <v>0</v>
      </c>
      <c r="I47" s="3">
        <f t="shared" si="177"/>
        <v>0</v>
      </c>
      <c r="J47" s="3">
        <f t="shared" si="177"/>
        <v>0</v>
      </c>
      <c r="K47" s="3">
        <f t="shared" si="177"/>
        <v>0</v>
      </c>
      <c r="L47" s="3">
        <f t="shared" si="177"/>
        <v>0</v>
      </c>
      <c r="M47" s="3">
        <f t="shared" si="177"/>
        <v>0</v>
      </c>
      <c r="N47" s="3">
        <f t="shared" si="177"/>
        <v>0</v>
      </c>
      <c r="O47" s="3">
        <f t="shared" si="177"/>
        <v>0</v>
      </c>
      <c r="P47" s="3">
        <f t="shared" si="177"/>
        <v>0</v>
      </c>
      <c r="Q47" s="3">
        <f t="shared" si="177"/>
        <v>0</v>
      </c>
      <c r="R47" s="3">
        <f t="shared" si="177"/>
        <v>0</v>
      </c>
      <c r="S47" s="3">
        <f t="shared" si="177"/>
        <v>0</v>
      </c>
      <c r="T47" s="3">
        <f>SUM(H47:S47)</f>
        <v>0</v>
      </c>
      <c r="U47" s="3">
        <f t="shared" ref="U47:AF47" si="178">ROUND(($F47/12)*U48,0)</f>
        <v>0</v>
      </c>
      <c r="V47" s="3">
        <f t="shared" si="178"/>
        <v>0</v>
      </c>
      <c r="W47" s="3">
        <f t="shared" si="178"/>
        <v>0</v>
      </c>
      <c r="X47" s="3">
        <f t="shared" si="178"/>
        <v>0</v>
      </c>
      <c r="Y47" s="3">
        <f t="shared" si="178"/>
        <v>0</v>
      </c>
      <c r="Z47" s="3">
        <f t="shared" si="178"/>
        <v>0</v>
      </c>
      <c r="AA47" s="3">
        <f t="shared" si="178"/>
        <v>0</v>
      </c>
      <c r="AB47" s="3">
        <f t="shared" si="178"/>
        <v>0</v>
      </c>
      <c r="AC47" s="3">
        <f t="shared" si="178"/>
        <v>0</v>
      </c>
      <c r="AD47" s="3">
        <f t="shared" si="178"/>
        <v>0</v>
      </c>
      <c r="AE47" s="3">
        <f t="shared" si="178"/>
        <v>0</v>
      </c>
      <c r="AF47" s="3">
        <f t="shared" si="178"/>
        <v>0</v>
      </c>
      <c r="AG47" s="3">
        <f>SUM(U47:AF47)</f>
        <v>0</v>
      </c>
      <c r="AH47" s="3">
        <f t="shared" ref="AH47:AS47" si="179">ROUND(($F47/12)*AH48,0)</f>
        <v>0</v>
      </c>
      <c r="AI47" s="3">
        <f t="shared" si="179"/>
        <v>0</v>
      </c>
      <c r="AJ47" s="3">
        <f t="shared" si="179"/>
        <v>0</v>
      </c>
      <c r="AK47" s="3">
        <f t="shared" si="179"/>
        <v>0</v>
      </c>
      <c r="AL47" s="3">
        <f t="shared" si="179"/>
        <v>0</v>
      </c>
      <c r="AM47" s="3">
        <f t="shared" si="179"/>
        <v>0</v>
      </c>
      <c r="AN47" s="3">
        <f t="shared" si="179"/>
        <v>0</v>
      </c>
      <c r="AO47" s="3">
        <f t="shared" si="179"/>
        <v>0</v>
      </c>
      <c r="AP47" s="3">
        <f t="shared" si="179"/>
        <v>0</v>
      </c>
      <c r="AQ47" s="3">
        <f t="shared" si="179"/>
        <v>0</v>
      </c>
      <c r="AR47" s="3">
        <f t="shared" si="179"/>
        <v>0</v>
      </c>
      <c r="AS47" s="3">
        <f t="shared" si="179"/>
        <v>0</v>
      </c>
      <c r="AT47" s="3">
        <f>SUM(AH47:AS47)</f>
        <v>0</v>
      </c>
      <c r="AU47" s="3">
        <f t="shared" ref="AU47:BF47" si="180">ROUND(($F47/12)*AU48,0)</f>
        <v>346</v>
      </c>
      <c r="AV47" s="3">
        <f t="shared" si="180"/>
        <v>346</v>
      </c>
      <c r="AW47" s="3">
        <f t="shared" si="180"/>
        <v>346</v>
      </c>
      <c r="AX47" s="3">
        <f t="shared" si="180"/>
        <v>346</v>
      </c>
      <c r="AY47" s="3">
        <f t="shared" si="180"/>
        <v>346</v>
      </c>
      <c r="AZ47" s="3">
        <f t="shared" si="180"/>
        <v>346</v>
      </c>
      <c r="BA47" s="3">
        <f t="shared" si="180"/>
        <v>346</v>
      </c>
      <c r="BB47" s="3">
        <f t="shared" si="180"/>
        <v>346</v>
      </c>
      <c r="BC47" s="3">
        <f t="shared" si="180"/>
        <v>346</v>
      </c>
      <c r="BD47" s="3">
        <f t="shared" si="180"/>
        <v>346</v>
      </c>
      <c r="BE47" s="3">
        <f t="shared" si="180"/>
        <v>346</v>
      </c>
      <c r="BF47" s="3">
        <f t="shared" si="180"/>
        <v>346</v>
      </c>
      <c r="BG47" s="3">
        <f>SUM(AU47:BF47)</f>
        <v>4152</v>
      </c>
      <c r="BH47" s="3">
        <f t="shared" ref="BH47:BS47" si="181">ROUND(($F47/12)*BH48,0)</f>
        <v>692</v>
      </c>
      <c r="BI47" s="3">
        <f t="shared" si="181"/>
        <v>692</v>
      </c>
      <c r="BJ47" s="3">
        <f t="shared" si="181"/>
        <v>692</v>
      </c>
      <c r="BK47" s="3">
        <f t="shared" si="181"/>
        <v>692</v>
      </c>
      <c r="BL47" s="3">
        <f t="shared" si="181"/>
        <v>692</v>
      </c>
      <c r="BM47" s="3">
        <f t="shared" si="181"/>
        <v>692</v>
      </c>
      <c r="BN47" s="3">
        <f t="shared" si="181"/>
        <v>692</v>
      </c>
      <c r="BO47" s="3">
        <f t="shared" si="181"/>
        <v>692</v>
      </c>
      <c r="BP47" s="3">
        <f t="shared" si="181"/>
        <v>692</v>
      </c>
      <c r="BQ47" s="3">
        <f t="shared" si="181"/>
        <v>692</v>
      </c>
      <c r="BR47" s="3">
        <f t="shared" si="181"/>
        <v>692</v>
      </c>
      <c r="BS47" s="3">
        <f t="shared" si="181"/>
        <v>692</v>
      </c>
      <c r="BT47" s="3">
        <f>SUM(BH47:BS47)</f>
        <v>8304</v>
      </c>
      <c r="BU47" s="3">
        <f>T47+AG47+AT47+BG47+BT47</f>
        <v>12456</v>
      </c>
    </row>
    <row r="48" spans="1:73" ht="15.75" customHeight="1">
      <c r="A48" s="2"/>
      <c r="B48" s="2"/>
      <c r="C48" s="2"/>
      <c r="D48" s="38"/>
      <c r="E48" s="255"/>
      <c r="F48" s="60"/>
      <c r="G48" s="60"/>
      <c r="H48" s="322">
        <v>0</v>
      </c>
      <c r="I48" s="60">
        <f t="shared" ref="I48:S48" si="182">H48</f>
        <v>0</v>
      </c>
      <c r="J48" s="60">
        <f t="shared" si="182"/>
        <v>0</v>
      </c>
      <c r="K48" s="60">
        <f t="shared" si="182"/>
        <v>0</v>
      </c>
      <c r="L48" s="60">
        <f t="shared" si="182"/>
        <v>0</v>
      </c>
      <c r="M48" s="60">
        <f t="shared" si="182"/>
        <v>0</v>
      </c>
      <c r="N48" s="60">
        <f t="shared" si="182"/>
        <v>0</v>
      </c>
      <c r="O48" s="60">
        <f t="shared" si="182"/>
        <v>0</v>
      </c>
      <c r="P48" s="60">
        <f t="shared" si="182"/>
        <v>0</v>
      </c>
      <c r="Q48" s="60">
        <f t="shared" si="182"/>
        <v>0</v>
      </c>
      <c r="R48" s="60">
        <f t="shared" si="182"/>
        <v>0</v>
      </c>
      <c r="S48" s="60">
        <f t="shared" si="182"/>
        <v>0</v>
      </c>
      <c r="T48" s="60"/>
      <c r="U48" s="322">
        <f t="shared" ref="U48:AF48" si="183">T48</f>
        <v>0</v>
      </c>
      <c r="V48" s="60">
        <f t="shared" si="183"/>
        <v>0</v>
      </c>
      <c r="W48" s="60">
        <f t="shared" si="183"/>
        <v>0</v>
      </c>
      <c r="X48" s="60">
        <f t="shared" si="183"/>
        <v>0</v>
      </c>
      <c r="Y48" s="60">
        <f t="shared" si="183"/>
        <v>0</v>
      </c>
      <c r="Z48" s="60">
        <f t="shared" si="183"/>
        <v>0</v>
      </c>
      <c r="AA48" s="60">
        <f t="shared" si="183"/>
        <v>0</v>
      </c>
      <c r="AB48" s="60">
        <f t="shared" si="183"/>
        <v>0</v>
      </c>
      <c r="AC48" s="60">
        <f t="shared" si="183"/>
        <v>0</v>
      </c>
      <c r="AD48" s="60">
        <f t="shared" si="183"/>
        <v>0</v>
      </c>
      <c r="AE48" s="60">
        <f t="shared" si="183"/>
        <v>0</v>
      </c>
      <c r="AF48" s="60">
        <f t="shared" si="183"/>
        <v>0</v>
      </c>
      <c r="AG48" s="60"/>
      <c r="AH48" s="322">
        <f t="shared" ref="AH48:AS48" si="184">AG48</f>
        <v>0</v>
      </c>
      <c r="AI48" s="60">
        <f t="shared" si="184"/>
        <v>0</v>
      </c>
      <c r="AJ48" s="60">
        <f t="shared" si="184"/>
        <v>0</v>
      </c>
      <c r="AK48" s="60">
        <f t="shared" si="184"/>
        <v>0</v>
      </c>
      <c r="AL48" s="60">
        <f t="shared" si="184"/>
        <v>0</v>
      </c>
      <c r="AM48" s="60">
        <f t="shared" si="184"/>
        <v>0</v>
      </c>
      <c r="AN48" s="60">
        <f t="shared" si="184"/>
        <v>0</v>
      </c>
      <c r="AO48" s="60">
        <f t="shared" si="184"/>
        <v>0</v>
      </c>
      <c r="AP48" s="60">
        <f t="shared" si="184"/>
        <v>0</v>
      </c>
      <c r="AQ48" s="60">
        <f t="shared" si="184"/>
        <v>0</v>
      </c>
      <c r="AR48" s="60">
        <f t="shared" si="184"/>
        <v>0</v>
      </c>
      <c r="AS48" s="60">
        <f t="shared" si="184"/>
        <v>0</v>
      </c>
      <c r="AT48" s="60"/>
      <c r="AU48" s="322">
        <v>0.25</v>
      </c>
      <c r="AV48" s="60">
        <f t="shared" ref="AV48:BF48" si="185">AU48</f>
        <v>0.25</v>
      </c>
      <c r="AW48" s="60">
        <f t="shared" si="185"/>
        <v>0.25</v>
      </c>
      <c r="AX48" s="60">
        <f t="shared" si="185"/>
        <v>0.25</v>
      </c>
      <c r="AY48" s="60">
        <f t="shared" si="185"/>
        <v>0.25</v>
      </c>
      <c r="AZ48" s="60">
        <f t="shared" si="185"/>
        <v>0.25</v>
      </c>
      <c r="BA48" s="60">
        <f t="shared" si="185"/>
        <v>0.25</v>
      </c>
      <c r="BB48" s="60">
        <f t="shared" si="185"/>
        <v>0.25</v>
      </c>
      <c r="BC48" s="60">
        <f t="shared" si="185"/>
        <v>0.25</v>
      </c>
      <c r="BD48" s="60">
        <f t="shared" si="185"/>
        <v>0.25</v>
      </c>
      <c r="BE48" s="60">
        <f t="shared" si="185"/>
        <v>0.25</v>
      </c>
      <c r="BF48" s="60">
        <f t="shared" si="185"/>
        <v>0.25</v>
      </c>
      <c r="BG48" s="60"/>
      <c r="BH48" s="322">
        <v>0.5</v>
      </c>
      <c r="BI48" s="60">
        <f t="shared" ref="BI48:BS48" si="186">BH48</f>
        <v>0.5</v>
      </c>
      <c r="BJ48" s="60">
        <f t="shared" si="186"/>
        <v>0.5</v>
      </c>
      <c r="BK48" s="60">
        <f t="shared" si="186"/>
        <v>0.5</v>
      </c>
      <c r="BL48" s="60">
        <f t="shared" si="186"/>
        <v>0.5</v>
      </c>
      <c r="BM48" s="60">
        <f t="shared" si="186"/>
        <v>0.5</v>
      </c>
      <c r="BN48" s="60">
        <f t="shared" si="186"/>
        <v>0.5</v>
      </c>
      <c r="BO48" s="60">
        <f t="shared" si="186"/>
        <v>0.5</v>
      </c>
      <c r="BP48" s="60">
        <f t="shared" si="186"/>
        <v>0.5</v>
      </c>
      <c r="BQ48" s="60">
        <f t="shared" si="186"/>
        <v>0.5</v>
      </c>
      <c r="BR48" s="60">
        <f t="shared" si="186"/>
        <v>0.5</v>
      </c>
      <c r="BS48" s="60">
        <f t="shared" si="186"/>
        <v>0.5</v>
      </c>
      <c r="BT48" s="60"/>
      <c r="BU48" s="60"/>
    </row>
    <row r="49" spans="1:73" ht="15.75" customHeight="1">
      <c r="B49" s="2"/>
      <c r="C49" s="148" t="s">
        <v>543</v>
      </c>
      <c r="D49" s="323">
        <f>5.58*40*52</f>
        <v>11606.4</v>
      </c>
      <c r="E49" s="3">
        <v>5000</v>
      </c>
      <c r="F49" s="149">
        <f>SUM(D49:E49)</f>
        <v>16606.400000000001</v>
      </c>
      <c r="G49" s="60"/>
      <c r="H49" s="3">
        <f t="shared" ref="H49:S49" si="187">ROUND(($F49/12)*H50,0)</f>
        <v>1384</v>
      </c>
      <c r="I49" s="3">
        <f t="shared" si="187"/>
        <v>1384</v>
      </c>
      <c r="J49" s="3">
        <f t="shared" si="187"/>
        <v>1384</v>
      </c>
      <c r="K49" s="3">
        <f t="shared" si="187"/>
        <v>1384</v>
      </c>
      <c r="L49" s="3">
        <f t="shared" si="187"/>
        <v>1384</v>
      </c>
      <c r="M49" s="3">
        <f t="shared" si="187"/>
        <v>1384</v>
      </c>
      <c r="N49" s="3">
        <f t="shared" si="187"/>
        <v>1384</v>
      </c>
      <c r="O49" s="3">
        <f t="shared" si="187"/>
        <v>1384</v>
      </c>
      <c r="P49" s="3">
        <f t="shared" si="187"/>
        <v>1384</v>
      </c>
      <c r="Q49" s="3">
        <f t="shared" si="187"/>
        <v>1384</v>
      </c>
      <c r="R49" s="3">
        <f t="shared" si="187"/>
        <v>1384</v>
      </c>
      <c r="S49" s="3">
        <f t="shared" si="187"/>
        <v>1384</v>
      </c>
      <c r="T49" s="3">
        <f>SUM(H49:S49)</f>
        <v>16608</v>
      </c>
      <c r="U49" s="3">
        <f t="shared" ref="U49:AF49" si="188">ROUND(($F49/12)*U50,0)</f>
        <v>1384</v>
      </c>
      <c r="V49" s="3">
        <f t="shared" si="188"/>
        <v>1384</v>
      </c>
      <c r="W49" s="3">
        <f t="shared" si="188"/>
        <v>1384</v>
      </c>
      <c r="X49" s="3">
        <f t="shared" si="188"/>
        <v>1384</v>
      </c>
      <c r="Y49" s="3">
        <f t="shared" si="188"/>
        <v>1384</v>
      </c>
      <c r="Z49" s="3">
        <f t="shared" si="188"/>
        <v>1384</v>
      </c>
      <c r="AA49" s="3">
        <f t="shared" si="188"/>
        <v>1384</v>
      </c>
      <c r="AB49" s="3">
        <f t="shared" si="188"/>
        <v>1384</v>
      </c>
      <c r="AC49" s="3">
        <f t="shared" si="188"/>
        <v>1384</v>
      </c>
      <c r="AD49" s="3">
        <f t="shared" si="188"/>
        <v>1384</v>
      </c>
      <c r="AE49" s="3">
        <f t="shared" si="188"/>
        <v>1384</v>
      </c>
      <c r="AF49" s="3">
        <f t="shared" si="188"/>
        <v>1384</v>
      </c>
      <c r="AG49" s="3">
        <f>SUM(U49:AF49)</f>
        <v>16608</v>
      </c>
      <c r="AH49" s="3">
        <f t="shared" ref="AH49:AS49" si="189">ROUND(($F49/12)*AH50,0)</f>
        <v>1384</v>
      </c>
      <c r="AI49" s="3">
        <f t="shared" si="189"/>
        <v>1384</v>
      </c>
      <c r="AJ49" s="3">
        <f t="shared" si="189"/>
        <v>1384</v>
      </c>
      <c r="AK49" s="3">
        <f t="shared" si="189"/>
        <v>1384</v>
      </c>
      <c r="AL49" s="3">
        <f t="shared" si="189"/>
        <v>1384</v>
      </c>
      <c r="AM49" s="3">
        <f t="shared" si="189"/>
        <v>1384</v>
      </c>
      <c r="AN49" s="3">
        <f t="shared" si="189"/>
        <v>1384</v>
      </c>
      <c r="AO49" s="3">
        <f t="shared" si="189"/>
        <v>1384</v>
      </c>
      <c r="AP49" s="3">
        <f t="shared" si="189"/>
        <v>1384</v>
      </c>
      <c r="AQ49" s="3">
        <f t="shared" si="189"/>
        <v>1384</v>
      </c>
      <c r="AR49" s="3">
        <f t="shared" si="189"/>
        <v>1384</v>
      </c>
      <c r="AS49" s="3">
        <f t="shared" si="189"/>
        <v>1384</v>
      </c>
      <c r="AT49" s="3">
        <f>SUM(AH49:AS49)</f>
        <v>16608</v>
      </c>
      <c r="AU49" s="3">
        <f t="shared" ref="AU49:BF49" si="190">ROUND(($F49/12)*AU50,0)</f>
        <v>1384</v>
      </c>
      <c r="AV49" s="3">
        <f t="shared" si="190"/>
        <v>1384</v>
      </c>
      <c r="AW49" s="3">
        <f t="shared" si="190"/>
        <v>1384</v>
      </c>
      <c r="AX49" s="3">
        <f t="shared" si="190"/>
        <v>1384</v>
      </c>
      <c r="AY49" s="3">
        <f t="shared" si="190"/>
        <v>1384</v>
      </c>
      <c r="AZ49" s="3">
        <f t="shared" si="190"/>
        <v>1384</v>
      </c>
      <c r="BA49" s="3">
        <f t="shared" si="190"/>
        <v>1384</v>
      </c>
      <c r="BB49" s="3">
        <f t="shared" si="190"/>
        <v>1384</v>
      </c>
      <c r="BC49" s="3">
        <f t="shared" si="190"/>
        <v>1384</v>
      </c>
      <c r="BD49" s="3">
        <f t="shared" si="190"/>
        <v>1384</v>
      </c>
      <c r="BE49" s="3">
        <f t="shared" si="190"/>
        <v>1384</v>
      </c>
      <c r="BF49" s="3">
        <f t="shared" si="190"/>
        <v>1384</v>
      </c>
      <c r="BG49" s="3">
        <f>SUM(AU49:BF49)</f>
        <v>16608</v>
      </c>
      <c r="BH49" s="3">
        <f t="shared" ref="BH49:BS49" si="191">ROUND(($F49/12)*BH50,0)</f>
        <v>1384</v>
      </c>
      <c r="BI49" s="3">
        <f t="shared" si="191"/>
        <v>1384</v>
      </c>
      <c r="BJ49" s="3">
        <f t="shared" si="191"/>
        <v>1384</v>
      </c>
      <c r="BK49" s="3">
        <f t="shared" si="191"/>
        <v>1384</v>
      </c>
      <c r="BL49" s="3">
        <f t="shared" si="191"/>
        <v>1384</v>
      </c>
      <c r="BM49" s="3">
        <f t="shared" si="191"/>
        <v>1384</v>
      </c>
      <c r="BN49" s="3">
        <f t="shared" si="191"/>
        <v>1384</v>
      </c>
      <c r="BO49" s="3">
        <f t="shared" si="191"/>
        <v>1384</v>
      </c>
      <c r="BP49" s="3">
        <f t="shared" si="191"/>
        <v>1384</v>
      </c>
      <c r="BQ49" s="3">
        <f t="shared" si="191"/>
        <v>1384</v>
      </c>
      <c r="BR49" s="3">
        <f t="shared" si="191"/>
        <v>1384</v>
      </c>
      <c r="BS49" s="3">
        <f t="shared" si="191"/>
        <v>1384</v>
      </c>
      <c r="BT49" s="3">
        <f>SUM(BH49:BS49)</f>
        <v>16608</v>
      </c>
      <c r="BU49" s="3">
        <f>T49+AG49+AT49+BG49+BT49</f>
        <v>83040</v>
      </c>
    </row>
    <row r="50" spans="1:73" ht="15.75" customHeight="1">
      <c r="A50" s="2"/>
      <c r="B50" s="2"/>
      <c r="C50" s="2"/>
      <c r="D50" s="38"/>
      <c r="E50" s="255"/>
      <c r="F50" s="60"/>
      <c r="G50" s="60"/>
      <c r="H50" s="322">
        <v>1</v>
      </c>
      <c r="I50" s="60">
        <f t="shared" ref="I50:S50" si="192">H50</f>
        <v>1</v>
      </c>
      <c r="J50" s="60">
        <f t="shared" si="192"/>
        <v>1</v>
      </c>
      <c r="K50" s="60">
        <f t="shared" si="192"/>
        <v>1</v>
      </c>
      <c r="L50" s="60">
        <f t="shared" si="192"/>
        <v>1</v>
      </c>
      <c r="M50" s="60">
        <f t="shared" si="192"/>
        <v>1</v>
      </c>
      <c r="N50" s="60">
        <f t="shared" si="192"/>
        <v>1</v>
      </c>
      <c r="O50" s="60">
        <f t="shared" si="192"/>
        <v>1</v>
      </c>
      <c r="P50" s="60">
        <f t="shared" si="192"/>
        <v>1</v>
      </c>
      <c r="Q50" s="60">
        <f t="shared" si="192"/>
        <v>1</v>
      </c>
      <c r="R50" s="60">
        <f t="shared" si="192"/>
        <v>1</v>
      </c>
      <c r="S50" s="60">
        <f t="shared" si="192"/>
        <v>1</v>
      </c>
      <c r="T50" s="60"/>
      <c r="U50" s="322">
        <v>1</v>
      </c>
      <c r="V50" s="60">
        <f t="shared" ref="V50:AF50" si="193">U50</f>
        <v>1</v>
      </c>
      <c r="W50" s="60">
        <f t="shared" si="193"/>
        <v>1</v>
      </c>
      <c r="X50" s="60">
        <f t="shared" si="193"/>
        <v>1</v>
      </c>
      <c r="Y50" s="60">
        <f t="shared" si="193"/>
        <v>1</v>
      </c>
      <c r="Z50" s="60">
        <f t="shared" si="193"/>
        <v>1</v>
      </c>
      <c r="AA50" s="60">
        <f t="shared" si="193"/>
        <v>1</v>
      </c>
      <c r="AB50" s="60">
        <f t="shared" si="193"/>
        <v>1</v>
      </c>
      <c r="AC50" s="60">
        <f t="shared" si="193"/>
        <v>1</v>
      </c>
      <c r="AD50" s="60">
        <f t="shared" si="193"/>
        <v>1</v>
      </c>
      <c r="AE50" s="60">
        <f t="shared" si="193"/>
        <v>1</v>
      </c>
      <c r="AF50" s="60">
        <f t="shared" si="193"/>
        <v>1</v>
      </c>
      <c r="AG50" s="60"/>
      <c r="AH50" s="322">
        <v>1</v>
      </c>
      <c r="AI50" s="60">
        <f t="shared" ref="AI50:AS50" si="194">AH50</f>
        <v>1</v>
      </c>
      <c r="AJ50" s="60">
        <f t="shared" si="194"/>
        <v>1</v>
      </c>
      <c r="AK50" s="60">
        <f t="shared" si="194"/>
        <v>1</v>
      </c>
      <c r="AL50" s="60">
        <f t="shared" si="194"/>
        <v>1</v>
      </c>
      <c r="AM50" s="60">
        <f t="shared" si="194"/>
        <v>1</v>
      </c>
      <c r="AN50" s="60">
        <f t="shared" si="194"/>
        <v>1</v>
      </c>
      <c r="AO50" s="60">
        <f t="shared" si="194"/>
        <v>1</v>
      </c>
      <c r="AP50" s="60">
        <f t="shared" si="194"/>
        <v>1</v>
      </c>
      <c r="AQ50" s="60">
        <f t="shared" si="194"/>
        <v>1</v>
      </c>
      <c r="AR50" s="60">
        <f t="shared" si="194"/>
        <v>1</v>
      </c>
      <c r="AS50" s="60">
        <f t="shared" si="194"/>
        <v>1</v>
      </c>
      <c r="AT50" s="60"/>
      <c r="AU50" s="322">
        <v>1</v>
      </c>
      <c r="AV50" s="60">
        <f t="shared" ref="AV50:BF50" si="195">AU50</f>
        <v>1</v>
      </c>
      <c r="AW50" s="60">
        <f t="shared" si="195"/>
        <v>1</v>
      </c>
      <c r="AX50" s="60">
        <f t="shared" si="195"/>
        <v>1</v>
      </c>
      <c r="AY50" s="60">
        <f t="shared" si="195"/>
        <v>1</v>
      </c>
      <c r="AZ50" s="60">
        <f t="shared" si="195"/>
        <v>1</v>
      </c>
      <c r="BA50" s="60">
        <f t="shared" si="195"/>
        <v>1</v>
      </c>
      <c r="BB50" s="60">
        <f t="shared" si="195"/>
        <v>1</v>
      </c>
      <c r="BC50" s="60">
        <f t="shared" si="195"/>
        <v>1</v>
      </c>
      <c r="BD50" s="60">
        <f t="shared" si="195"/>
        <v>1</v>
      </c>
      <c r="BE50" s="60">
        <f t="shared" si="195"/>
        <v>1</v>
      </c>
      <c r="BF50" s="60">
        <f t="shared" si="195"/>
        <v>1</v>
      </c>
      <c r="BG50" s="60"/>
      <c r="BH50" s="322">
        <v>1</v>
      </c>
      <c r="BI50" s="60">
        <f t="shared" ref="BI50:BS50" si="196">BH50</f>
        <v>1</v>
      </c>
      <c r="BJ50" s="60">
        <f t="shared" si="196"/>
        <v>1</v>
      </c>
      <c r="BK50" s="60">
        <f t="shared" si="196"/>
        <v>1</v>
      </c>
      <c r="BL50" s="60">
        <f t="shared" si="196"/>
        <v>1</v>
      </c>
      <c r="BM50" s="60">
        <f t="shared" si="196"/>
        <v>1</v>
      </c>
      <c r="BN50" s="60">
        <f t="shared" si="196"/>
        <v>1</v>
      </c>
      <c r="BO50" s="60">
        <f t="shared" si="196"/>
        <v>1</v>
      </c>
      <c r="BP50" s="60">
        <f t="shared" si="196"/>
        <v>1</v>
      </c>
      <c r="BQ50" s="60">
        <f t="shared" si="196"/>
        <v>1</v>
      </c>
      <c r="BR50" s="60">
        <f t="shared" si="196"/>
        <v>1</v>
      </c>
      <c r="BS50" s="60">
        <f t="shared" si="196"/>
        <v>1</v>
      </c>
      <c r="BT50" s="60"/>
      <c r="BU50" s="60"/>
    </row>
    <row r="51" spans="1:73" ht="15.75" customHeight="1">
      <c r="B51" s="2"/>
      <c r="C51" s="148" t="s">
        <v>543</v>
      </c>
      <c r="D51" s="323">
        <f>5.58*40*52</f>
        <v>11606.4</v>
      </c>
      <c r="E51" s="3">
        <v>5000</v>
      </c>
      <c r="F51" s="149">
        <f>SUM(D51:E51)</f>
        <v>16606.400000000001</v>
      </c>
      <c r="G51" s="60"/>
      <c r="H51" s="3">
        <f t="shared" ref="H51:S51" si="197">ROUND(($F51/12)*H52,0)</f>
        <v>692</v>
      </c>
      <c r="I51" s="3">
        <f t="shared" si="197"/>
        <v>692</v>
      </c>
      <c r="J51" s="3">
        <f t="shared" si="197"/>
        <v>692</v>
      </c>
      <c r="K51" s="3">
        <f t="shared" si="197"/>
        <v>692</v>
      </c>
      <c r="L51" s="3">
        <f t="shared" si="197"/>
        <v>692</v>
      </c>
      <c r="M51" s="3">
        <f t="shared" si="197"/>
        <v>692</v>
      </c>
      <c r="N51" s="3">
        <f t="shared" si="197"/>
        <v>692</v>
      </c>
      <c r="O51" s="3">
        <f t="shared" si="197"/>
        <v>692</v>
      </c>
      <c r="P51" s="3">
        <f t="shared" si="197"/>
        <v>692</v>
      </c>
      <c r="Q51" s="3">
        <f t="shared" si="197"/>
        <v>692</v>
      </c>
      <c r="R51" s="3">
        <f t="shared" si="197"/>
        <v>692</v>
      </c>
      <c r="S51" s="3">
        <f t="shared" si="197"/>
        <v>692</v>
      </c>
      <c r="T51" s="3">
        <f>SUM(H51:S51)</f>
        <v>8304</v>
      </c>
      <c r="U51" s="3">
        <f t="shared" ref="U51:AF51" si="198">ROUND(($F51/12)*U52,0)</f>
        <v>1038</v>
      </c>
      <c r="V51" s="3">
        <f t="shared" si="198"/>
        <v>1038</v>
      </c>
      <c r="W51" s="3">
        <f t="shared" si="198"/>
        <v>1038</v>
      </c>
      <c r="X51" s="3">
        <f t="shared" si="198"/>
        <v>1038</v>
      </c>
      <c r="Y51" s="3">
        <f t="shared" si="198"/>
        <v>1038</v>
      </c>
      <c r="Z51" s="3">
        <f t="shared" si="198"/>
        <v>1038</v>
      </c>
      <c r="AA51" s="3">
        <f t="shared" si="198"/>
        <v>1038</v>
      </c>
      <c r="AB51" s="3">
        <f t="shared" si="198"/>
        <v>1038</v>
      </c>
      <c r="AC51" s="3">
        <f t="shared" si="198"/>
        <v>1038</v>
      </c>
      <c r="AD51" s="3">
        <f t="shared" si="198"/>
        <v>1038</v>
      </c>
      <c r="AE51" s="3">
        <f t="shared" si="198"/>
        <v>1038</v>
      </c>
      <c r="AF51" s="3">
        <f t="shared" si="198"/>
        <v>1038</v>
      </c>
      <c r="AG51" s="3">
        <f>SUM(U51:AF51)</f>
        <v>12456</v>
      </c>
      <c r="AH51" s="3">
        <f>ROUND(($F51/12)*AH52,0)</f>
        <v>1384</v>
      </c>
      <c r="AI51" s="3">
        <f t="shared" ref="AI51:AS51" si="199">ROUND(($F51/12)*AI52,0)</f>
        <v>1384</v>
      </c>
      <c r="AJ51" s="3">
        <f t="shared" si="199"/>
        <v>1384</v>
      </c>
      <c r="AK51" s="3">
        <f t="shared" si="199"/>
        <v>1384</v>
      </c>
      <c r="AL51" s="3">
        <f t="shared" si="199"/>
        <v>1384</v>
      </c>
      <c r="AM51" s="3">
        <f t="shared" si="199"/>
        <v>1384</v>
      </c>
      <c r="AN51" s="3">
        <f t="shared" si="199"/>
        <v>1384</v>
      </c>
      <c r="AO51" s="3">
        <f t="shared" si="199"/>
        <v>1384</v>
      </c>
      <c r="AP51" s="3">
        <f t="shared" si="199"/>
        <v>1384</v>
      </c>
      <c r="AQ51" s="3">
        <f t="shared" si="199"/>
        <v>1384</v>
      </c>
      <c r="AR51" s="3">
        <f t="shared" si="199"/>
        <v>1384</v>
      </c>
      <c r="AS51" s="3">
        <f t="shared" si="199"/>
        <v>1384</v>
      </c>
      <c r="AT51" s="3">
        <f>SUM(AH51:AS51)</f>
        <v>16608</v>
      </c>
      <c r="AU51" s="3">
        <f t="shared" ref="AU51:BF51" si="200">ROUND(($F51/12)*AU52,0)</f>
        <v>1384</v>
      </c>
      <c r="AV51" s="3">
        <f t="shared" si="200"/>
        <v>1384</v>
      </c>
      <c r="AW51" s="3">
        <f t="shared" si="200"/>
        <v>1384</v>
      </c>
      <c r="AX51" s="3">
        <f t="shared" si="200"/>
        <v>1384</v>
      </c>
      <c r="AY51" s="3">
        <f t="shared" si="200"/>
        <v>1384</v>
      </c>
      <c r="AZ51" s="3">
        <f t="shared" si="200"/>
        <v>1384</v>
      </c>
      <c r="BA51" s="3">
        <f t="shared" si="200"/>
        <v>1384</v>
      </c>
      <c r="BB51" s="3">
        <f t="shared" si="200"/>
        <v>1384</v>
      </c>
      <c r="BC51" s="3">
        <f t="shared" si="200"/>
        <v>1384</v>
      </c>
      <c r="BD51" s="3">
        <f t="shared" si="200"/>
        <v>1384</v>
      </c>
      <c r="BE51" s="3">
        <f t="shared" si="200"/>
        <v>1384</v>
      </c>
      <c r="BF51" s="3">
        <f t="shared" si="200"/>
        <v>1384</v>
      </c>
      <c r="BG51" s="3">
        <f>SUM(AU51:BF51)</f>
        <v>16608</v>
      </c>
      <c r="BH51" s="3">
        <f t="shared" ref="BH51:BS51" si="201">ROUND(($F51/12)*BH52,0)</f>
        <v>1384</v>
      </c>
      <c r="BI51" s="3">
        <f t="shared" si="201"/>
        <v>1384</v>
      </c>
      <c r="BJ51" s="3">
        <f t="shared" si="201"/>
        <v>1384</v>
      </c>
      <c r="BK51" s="3">
        <f t="shared" si="201"/>
        <v>1384</v>
      </c>
      <c r="BL51" s="3">
        <f t="shared" si="201"/>
        <v>1384</v>
      </c>
      <c r="BM51" s="3">
        <f t="shared" si="201"/>
        <v>1384</v>
      </c>
      <c r="BN51" s="3">
        <f t="shared" si="201"/>
        <v>1384</v>
      </c>
      <c r="BO51" s="3">
        <f t="shared" si="201"/>
        <v>1384</v>
      </c>
      <c r="BP51" s="3">
        <f t="shared" si="201"/>
        <v>1384</v>
      </c>
      <c r="BQ51" s="3">
        <f t="shared" si="201"/>
        <v>1384</v>
      </c>
      <c r="BR51" s="3">
        <f t="shared" si="201"/>
        <v>1384</v>
      </c>
      <c r="BS51" s="3">
        <f t="shared" si="201"/>
        <v>1384</v>
      </c>
      <c r="BT51" s="3">
        <f>SUM(BH51:BS51)</f>
        <v>16608</v>
      </c>
      <c r="BU51" s="3">
        <f>T51+AG51+AT51+BG51+BT51</f>
        <v>70584</v>
      </c>
    </row>
    <row r="52" spans="1:73" ht="15.75" customHeight="1">
      <c r="A52" s="2"/>
      <c r="B52" s="2"/>
      <c r="C52" s="2"/>
      <c r="D52" s="38"/>
      <c r="E52" s="2"/>
      <c r="F52" s="60"/>
      <c r="G52" s="60"/>
      <c r="H52" s="322">
        <v>0.5</v>
      </c>
      <c r="I52" s="60">
        <f t="shared" ref="I52:S52" si="202">H52</f>
        <v>0.5</v>
      </c>
      <c r="J52" s="60">
        <f t="shared" si="202"/>
        <v>0.5</v>
      </c>
      <c r="K52" s="60">
        <f t="shared" si="202"/>
        <v>0.5</v>
      </c>
      <c r="L52" s="60">
        <f t="shared" si="202"/>
        <v>0.5</v>
      </c>
      <c r="M52" s="60">
        <f t="shared" si="202"/>
        <v>0.5</v>
      </c>
      <c r="N52" s="60">
        <f t="shared" si="202"/>
        <v>0.5</v>
      </c>
      <c r="O52" s="60">
        <f t="shared" si="202"/>
        <v>0.5</v>
      </c>
      <c r="P52" s="60">
        <f t="shared" si="202"/>
        <v>0.5</v>
      </c>
      <c r="Q52" s="60">
        <f t="shared" si="202"/>
        <v>0.5</v>
      </c>
      <c r="R52" s="60">
        <f t="shared" si="202"/>
        <v>0.5</v>
      </c>
      <c r="S52" s="60">
        <f t="shared" si="202"/>
        <v>0.5</v>
      </c>
      <c r="T52" s="60"/>
      <c r="U52" s="322">
        <v>0.75</v>
      </c>
      <c r="V52" s="60">
        <f t="shared" ref="V52:AF52" si="203">U52</f>
        <v>0.75</v>
      </c>
      <c r="W52" s="60">
        <f t="shared" si="203"/>
        <v>0.75</v>
      </c>
      <c r="X52" s="60">
        <f t="shared" si="203"/>
        <v>0.75</v>
      </c>
      <c r="Y52" s="60">
        <f t="shared" si="203"/>
        <v>0.75</v>
      </c>
      <c r="Z52" s="60">
        <f t="shared" si="203"/>
        <v>0.75</v>
      </c>
      <c r="AA52" s="60">
        <f t="shared" si="203"/>
        <v>0.75</v>
      </c>
      <c r="AB52" s="60">
        <f t="shared" si="203"/>
        <v>0.75</v>
      </c>
      <c r="AC52" s="60">
        <f t="shared" si="203"/>
        <v>0.75</v>
      </c>
      <c r="AD52" s="60">
        <f t="shared" si="203"/>
        <v>0.75</v>
      </c>
      <c r="AE52" s="60">
        <f t="shared" si="203"/>
        <v>0.75</v>
      </c>
      <c r="AF52" s="60">
        <f t="shared" si="203"/>
        <v>0.75</v>
      </c>
      <c r="AG52" s="60"/>
      <c r="AH52" s="322">
        <v>1</v>
      </c>
      <c r="AI52" s="60">
        <f t="shared" ref="AI52:AS52" si="204">AH52</f>
        <v>1</v>
      </c>
      <c r="AJ52" s="60">
        <f t="shared" si="204"/>
        <v>1</v>
      </c>
      <c r="AK52" s="60">
        <f t="shared" si="204"/>
        <v>1</v>
      </c>
      <c r="AL52" s="60">
        <f t="shared" si="204"/>
        <v>1</v>
      </c>
      <c r="AM52" s="60">
        <f t="shared" si="204"/>
        <v>1</v>
      </c>
      <c r="AN52" s="60">
        <f t="shared" si="204"/>
        <v>1</v>
      </c>
      <c r="AO52" s="60">
        <f t="shared" si="204"/>
        <v>1</v>
      </c>
      <c r="AP52" s="60">
        <f t="shared" si="204"/>
        <v>1</v>
      </c>
      <c r="AQ52" s="60">
        <f t="shared" si="204"/>
        <v>1</v>
      </c>
      <c r="AR52" s="60">
        <f t="shared" si="204"/>
        <v>1</v>
      </c>
      <c r="AS52" s="60">
        <f t="shared" si="204"/>
        <v>1</v>
      </c>
      <c r="AT52" s="60"/>
      <c r="AU52" s="322">
        <v>1</v>
      </c>
      <c r="AV52" s="60">
        <f t="shared" ref="AV52:BF52" si="205">AU52</f>
        <v>1</v>
      </c>
      <c r="AW52" s="60">
        <f t="shared" si="205"/>
        <v>1</v>
      </c>
      <c r="AX52" s="60">
        <f t="shared" si="205"/>
        <v>1</v>
      </c>
      <c r="AY52" s="60">
        <f t="shared" si="205"/>
        <v>1</v>
      </c>
      <c r="AZ52" s="60">
        <f t="shared" si="205"/>
        <v>1</v>
      </c>
      <c r="BA52" s="60">
        <f t="shared" si="205"/>
        <v>1</v>
      </c>
      <c r="BB52" s="60">
        <f t="shared" si="205"/>
        <v>1</v>
      </c>
      <c r="BC52" s="60">
        <f t="shared" si="205"/>
        <v>1</v>
      </c>
      <c r="BD52" s="60">
        <f t="shared" si="205"/>
        <v>1</v>
      </c>
      <c r="BE52" s="60">
        <f t="shared" si="205"/>
        <v>1</v>
      </c>
      <c r="BF52" s="60">
        <f t="shared" si="205"/>
        <v>1</v>
      </c>
      <c r="BG52" s="60"/>
      <c r="BH52" s="322">
        <v>1</v>
      </c>
      <c r="BI52" s="60">
        <f t="shared" ref="BI52:BS52" si="206">BH52</f>
        <v>1</v>
      </c>
      <c r="BJ52" s="60">
        <f t="shared" si="206"/>
        <v>1</v>
      </c>
      <c r="BK52" s="60">
        <f t="shared" si="206"/>
        <v>1</v>
      </c>
      <c r="BL52" s="60">
        <f t="shared" si="206"/>
        <v>1</v>
      </c>
      <c r="BM52" s="60">
        <f t="shared" si="206"/>
        <v>1</v>
      </c>
      <c r="BN52" s="60">
        <f t="shared" si="206"/>
        <v>1</v>
      </c>
      <c r="BO52" s="60">
        <f t="shared" si="206"/>
        <v>1</v>
      </c>
      <c r="BP52" s="60">
        <f t="shared" si="206"/>
        <v>1</v>
      </c>
      <c r="BQ52" s="60">
        <f t="shared" si="206"/>
        <v>1</v>
      </c>
      <c r="BR52" s="60">
        <f t="shared" si="206"/>
        <v>1</v>
      </c>
      <c r="BS52" s="60">
        <f t="shared" si="206"/>
        <v>1</v>
      </c>
      <c r="BT52" s="60"/>
      <c r="BU52" s="60"/>
    </row>
    <row r="53" spans="1:73" ht="15.75" customHeight="1">
      <c r="B53" s="2"/>
      <c r="C53" s="48" t="str">
        <f>CONCATENATE("   Sub-total ",B42)</f>
        <v xml:space="preserve">   Sub-total Tasting room</v>
      </c>
      <c r="D53" s="38"/>
      <c r="E53" s="2"/>
      <c r="F53" s="60"/>
      <c r="G53" s="60"/>
      <c r="H53" s="18">
        <f t="shared" ref="H53:BT53" si="207">H43+H45+H47+H49+H51</f>
        <v>5368</v>
      </c>
      <c r="I53" s="18">
        <f t="shared" si="207"/>
        <v>5368</v>
      </c>
      <c r="J53" s="18">
        <f t="shared" si="207"/>
        <v>5368</v>
      </c>
      <c r="K53" s="18">
        <f t="shared" si="207"/>
        <v>5368</v>
      </c>
      <c r="L53" s="18">
        <f t="shared" si="207"/>
        <v>5368</v>
      </c>
      <c r="M53" s="18">
        <f t="shared" si="207"/>
        <v>5368</v>
      </c>
      <c r="N53" s="18">
        <f t="shared" si="207"/>
        <v>5368</v>
      </c>
      <c r="O53" s="18">
        <f t="shared" si="207"/>
        <v>5368</v>
      </c>
      <c r="P53" s="18">
        <f t="shared" si="207"/>
        <v>5368</v>
      </c>
      <c r="Q53" s="18">
        <f t="shared" si="207"/>
        <v>5368</v>
      </c>
      <c r="R53" s="18">
        <f t="shared" si="207"/>
        <v>5368</v>
      </c>
      <c r="S53" s="18">
        <f t="shared" si="207"/>
        <v>5368</v>
      </c>
      <c r="T53" s="18">
        <f t="shared" si="207"/>
        <v>64416</v>
      </c>
      <c r="U53" s="18">
        <f t="shared" si="207"/>
        <v>6060</v>
      </c>
      <c r="V53" s="18">
        <f t="shared" si="207"/>
        <v>6060</v>
      </c>
      <c r="W53" s="18">
        <f t="shared" si="207"/>
        <v>6060</v>
      </c>
      <c r="X53" s="18">
        <f t="shared" si="207"/>
        <v>6060</v>
      </c>
      <c r="Y53" s="18">
        <f t="shared" si="207"/>
        <v>6060</v>
      </c>
      <c r="Z53" s="18">
        <f t="shared" si="207"/>
        <v>6060</v>
      </c>
      <c r="AA53" s="18">
        <f t="shared" si="207"/>
        <v>6060</v>
      </c>
      <c r="AB53" s="18">
        <f t="shared" si="207"/>
        <v>6060</v>
      </c>
      <c r="AC53" s="18">
        <f t="shared" si="207"/>
        <v>6060</v>
      </c>
      <c r="AD53" s="18">
        <f t="shared" si="207"/>
        <v>6060</v>
      </c>
      <c r="AE53" s="18">
        <f t="shared" si="207"/>
        <v>6060</v>
      </c>
      <c r="AF53" s="18">
        <f t="shared" si="207"/>
        <v>6060</v>
      </c>
      <c r="AG53" s="18">
        <f t="shared" si="207"/>
        <v>72720</v>
      </c>
      <c r="AH53" s="18">
        <f t="shared" si="207"/>
        <v>6752</v>
      </c>
      <c r="AI53" s="18">
        <f t="shared" si="207"/>
        <v>6752</v>
      </c>
      <c r="AJ53" s="18">
        <f t="shared" si="207"/>
        <v>6752</v>
      </c>
      <c r="AK53" s="18">
        <f t="shared" si="207"/>
        <v>6752</v>
      </c>
      <c r="AL53" s="18">
        <f t="shared" si="207"/>
        <v>6752</v>
      </c>
      <c r="AM53" s="18">
        <f t="shared" si="207"/>
        <v>6752</v>
      </c>
      <c r="AN53" s="18">
        <f t="shared" si="207"/>
        <v>6752</v>
      </c>
      <c r="AO53" s="18">
        <f t="shared" si="207"/>
        <v>6752</v>
      </c>
      <c r="AP53" s="18">
        <f t="shared" si="207"/>
        <v>6752</v>
      </c>
      <c r="AQ53" s="18">
        <f t="shared" si="207"/>
        <v>6752</v>
      </c>
      <c r="AR53" s="18">
        <f t="shared" si="207"/>
        <v>6752</v>
      </c>
      <c r="AS53" s="18">
        <f t="shared" si="207"/>
        <v>6752</v>
      </c>
      <c r="AT53" s="18">
        <f t="shared" si="207"/>
        <v>81024</v>
      </c>
      <c r="AU53" s="18">
        <f t="shared" si="207"/>
        <v>7098</v>
      </c>
      <c r="AV53" s="18">
        <f t="shared" si="207"/>
        <v>7098</v>
      </c>
      <c r="AW53" s="18">
        <f t="shared" si="207"/>
        <v>7098</v>
      </c>
      <c r="AX53" s="18">
        <f t="shared" si="207"/>
        <v>7098</v>
      </c>
      <c r="AY53" s="18">
        <f t="shared" si="207"/>
        <v>7098</v>
      </c>
      <c r="AZ53" s="18">
        <f t="shared" si="207"/>
        <v>7098</v>
      </c>
      <c r="BA53" s="18">
        <f t="shared" si="207"/>
        <v>7098</v>
      </c>
      <c r="BB53" s="18">
        <f t="shared" si="207"/>
        <v>7098</v>
      </c>
      <c r="BC53" s="18">
        <f t="shared" si="207"/>
        <v>7098</v>
      </c>
      <c r="BD53" s="18">
        <f t="shared" si="207"/>
        <v>7098</v>
      </c>
      <c r="BE53" s="18">
        <f t="shared" si="207"/>
        <v>7098</v>
      </c>
      <c r="BF53" s="18">
        <f t="shared" si="207"/>
        <v>7098</v>
      </c>
      <c r="BG53" s="18">
        <f t="shared" si="207"/>
        <v>85176</v>
      </c>
      <c r="BH53" s="18">
        <f t="shared" si="207"/>
        <v>7444</v>
      </c>
      <c r="BI53" s="18">
        <f t="shared" si="207"/>
        <v>7444</v>
      </c>
      <c r="BJ53" s="18">
        <f t="shared" si="207"/>
        <v>7444</v>
      </c>
      <c r="BK53" s="18">
        <f t="shared" si="207"/>
        <v>7444</v>
      </c>
      <c r="BL53" s="18">
        <f t="shared" si="207"/>
        <v>7444</v>
      </c>
      <c r="BM53" s="18">
        <f t="shared" si="207"/>
        <v>7444</v>
      </c>
      <c r="BN53" s="18">
        <f t="shared" si="207"/>
        <v>7444</v>
      </c>
      <c r="BO53" s="18">
        <f t="shared" si="207"/>
        <v>7444</v>
      </c>
      <c r="BP53" s="18">
        <f t="shared" si="207"/>
        <v>7444</v>
      </c>
      <c r="BQ53" s="18">
        <f t="shared" si="207"/>
        <v>7444</v>
      </c>
      <c r="BR53" s="18">
        <f t="shared" si="207"/>
        <v>7444</v>
      </c>
      <c r="BS53" s="18">
        <f t="shared" si="207"/>
        <v>7444</v>
      </c>
      <c r="BT53" s="18">
        <f t="shared" si="207"/>
        <v>89328</v>
      </c>
      <c r="BU53" s="18">
        <f>SUM(BU43:BU52)</f>
        <v>392664</v>
      </c>
    </row>
    <row r="54" spans="1:73" ht="15.75" customHeight="1">
      <c r="B54" s="2"/>
      <c r="C54" s="2"/>
      <c r="D54" s="2"/>
      <c r="E54" s="2"/>
      <c r="F54" s="60"/>
      <c r="G54" s="6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</row>
    <row r="55" spans="1:73" ht="15.75" customHeight="1">
      <c r="A55" s="1"/>
      <c r="B55" s="1" t="s">
        <v>281</v>
      </c>
      <c r="C55" s="1"/>
      <c r="D55" s="1"/>
      <c r="E55" s="1"/>
      <c r="F55" s="151"/>
      <c r="G55" s="151"/>
      <c r="H55" s="44">
        <f t="shared" ref="H55:BU55" si="208">H17+H29+H41+H53</f>
        <v>23176</v>
      </c>
      <c r="I55" s="44">
        <f t="shared" si="208"/>
        <v>23176</v>
      </c>
      <c r="J55" s="44">
        <f t="shared" si="208"/>
        <v>23176</v>
      </c>
      <c r="K55" s="44">
        <f t="shared" si="208"/>
        <v>23176</v>
      </c>
      <c r="L55" s="44">
        <f t="shared" si="208"/>
        <v>23176</v>
      </c>
      <c r="M55" s="44">
        <f t="shared" si="208"/>
        <v>23176</v>
      </c>
      <c r="N55" s="44">
        <f t="shared" si="208"/>
        <v>23176</v>
      </c>
      <c r="O55" s="44">
        <f t="shared" si="208"/>
        <v>23176</v>
      </c>
      <c r="P55" s="44">
        <f t="shared" si="208"/>
        <v>23176</v>
      </c>
      <c r="Q55" s="44">
        <f t="shared" si="208"/>
        <v>23176</v>
      </c>
      <c r="R55" s="44">
        <f t="shared" si="208"/>
        <v>23176</v>
      </c>
      <c r="S55" s="44">
        <f t="shared" si="208"/>
        <v>23176</v>
      </c>
      <c r="T55" s="44">
        <f t="shared" si="208"/>
        <v>278112</v>
      </c>
      <c r="U55" s="44">
        <f t="shared" si="208"/>
        <v>25754</v>
      </c>
      <c r="V55" s="44">
        <f t="shared" si="208"/>
        <v>25754</v>
      </c>
      <c r="W55" s="44">
        <f t="shared" si="208"/>
        <v>25754</v>
      </c>
      <c r="X55" s="44">
        <f t="shared" si="208"/>
        <v>25754</v>
      </c>
      <c r="Y55" s="44">
        <f t="shared" si="208"/>
        <v>25754</v>
      </c>
      <c r="Z55" s="44">
        <f t="shared" si="208"/>
        <v>25754</v>
      </c>
      <c r="AA55" s="44">
        <f t="shared" si="208"/>
        <v>25754</v>
      </c>
      <c r="AB55" s="44">
        <f t="shared" si="208"/>
        <v>25754</v>
      </c>
      <c r="AC55" s="44">
        <f t="shared" si="208"/>
        <v>25754</v>
      </c>
      <c r="AD55" s="44">
        <f t="shared" si="208"/>
        <v>25754</v>
      </c>
      <c r="AE55" s="44">
        <f t="shared" si="208"/>
        <v>25754</v>
      </c>
      <c r="AF55" s="44">
        <f t="shared" si="208"/>
        <v>25754</v>
      </c>
      <c r="AG55" s="44">
        <f t="shared" si="208"/>
        <v>309048</v>
      </c>
      <c r="AH55" s="44">
        <f t="shared" si="208"/>
        <v>37188</v>
      </c>
      <c r="AI55" s="44">
        <f t="shared" si="208"/>
        <v>37188</v>
      </c>
      <c r="AJ55" s="44">
        <f t="shared" si="208"/>
        <v>37188</v>
      </c>
      <c r="AK55" s="44">
        <f t="shared" si="208"/>
        <v>37188</v>
      </c>
      <c r="AL55" s="44">
        <f t="shared" si="208"/>
        <v>37188</v>
      </c>
      <c r="AM55" s="44">
        <f t="shared" si="208"/>
        <v>37188</v>
      </c>
      <c r="AN55" s="44">
        <f t="shared" si="208"/>
        <v>37188</v>
      </c>
      <c r="AO55" s="44">
        <f t="shared" si="208"/>
        <v>37188</v>
      </c>
      <c r="AP55" s="44">
        <f t="shared" si="208"/>
        <v>37188</v>
      </c>
      <c r="AQ55" s="44">
        <f t="shared" si="208"/>
        <v>37188</v>
      </c>
      <c r="AR55" s="44">
        <f t="shared" si="208"/>
        <v>37188</v>
      </c>
      <c r="AS55" s="44">
        <f t="shared" si="208"/>
        <v>37188</v>
      </c>
      <c r="AT55" s="44">
        <f t="shared" si="208"/>
        <v>446256</v>
      </c>
      <c r="AU55" s="44">
        <f t="shared" si="208"/>
        <v>38509</v>
      </c>
      <c r="AV55" s="44">
        <f t="shared" si="208"/>
        <v>38509</v>
      </c>
      <c r="AW55" s="44">
        <f t="shared" si="208"/>
        <v>38509</v>
      </c>
      <c r="AX55" s="44">
        <f t="shared" si="208"/>
        <v>38509</v>
      </c>
      <c r="AY55" s="44">
        <f t="shared" si="208"/>
        <v>38509</v>
      </c>
      <c r="AZ55" s="44">
        <f t="shared" si="208"/>
        <v>38509</v>
      </c>
      <c r="BA55" s="44">
        <f t="shared" si="208"/>
        <v>38509</v>
      </c>
      <c r="BB55" s="44">
        <f t="shared" si="208"/>
        <v>38509</v>
      </c>
      <c r="BC55" s="44">
        <f t="shared" si="208"/>
        <v>38509</v>
      </c>
      <c r="BD55" s="44">
        <f t="shared" si="208"/>
        <v>38509</v>
      </c>
      <c r="BE55" s="44">
        <f t="shared" si="208"/>
        <v>38509</v>
      </c>
      <c r="BF55" s="44">
        <f t="shared" si="208"/>
        <v>38509</v>
      </c>
      <c r="BG55" s="44">
        <f t="shared" si="208"/>
        <v>462108</v>
      </c>
      <c r="BH55" s="44">
        <f t="shared" si="208"/>
        <v>40678</v>
      </c>
      <c r="BI55" s="44">
        <f t="shared" si="208"/>
        <v>40678</v>
      </c>
      <c r="BJ55" s="44">
        <f t="shared" si="208"/>
        <v>40678</v>
      </c>
      <c r="BK55" s="44">
        <f t="shared" si="208"/>
        <v>40678</v>
      </c>
      <c r="BL55" s="44">
        <f t="shared" si="208"/>
        <v>40678</v>
      </c>
      <c r="BM55" s="44">
        <f t="shared" si="208"/>
        <v>40678</v>
      </c>
      <c r="BN55" s="44">
        <f t="shared" si="208"/>
        <v>40678</v>
      </c>
      <c r="BO55" s="44">
        <f t="shared" si="208"/>
        <v>40678</v>
      </c>
      <c r="BP55" s="44">
        <f t="shared" si="208"/>
        <v>40678</v>
      </c>
      <c r="BQ55" s="44">
        <f t="shared" si="208"/>
        <v>40678</v>
      </c>
      <c r="BR55" s="44">
        <f t="shared" si="208"/>
        <v>40678</v>
      </c>
      <c r="BS55" s="44">
        <f t="shared" si="208"/>
        <v>40678</v>
      </c>
      <c r="BT55" s="44">
        <f t="shared" si="208"/>
        <v>488136</v>
      </c>
      <c r="BU55" s="44">
        <f t="shared" si="208"/>
        <v>1983660</v>
      </c>
    </row>
    <row r="56" spans="1:73" ht="15.75" customHeight="1">
      <c r="B56" s="2"/>
      <c r="C56" s="2"/>
      <c r="D56" s="2"/>
      <c r="E56" s="2"/>
      <c r="F56" s="60"/>
      <c r="G56" s="60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</row>
    <row r="57" spans="1:73" ht="15.75" customHeight="1">
      <c r="B57" s="2"/>
      <c r="C57" s="2"/>
      <c r="D57" s="2"/>
      <c r="E57" s="2"/>
      <c r="F57" s="60"/>
      <c r="G57" s="60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</row>
    <row r="58" spans="1:73" ht="15.75" customHeight="1">
      <c r="B58" s="1" t="s">
        <v>282</v>
      </c>
      <c r="C58" s="2"/>
      <c r="D58" s="2"/>
      <c r="E58" s="2"/>
      <c r="F58" s="60"/>
      <c r="G58" s="60"/>
      <c r="H58" s="77">
        <f t="shared" ref="H58:S58" si="209">H8+H10+H12+H14+H16+H20+H22+H24+H26+H28+H32+H34+H36+H38+H40+H44+H46+H48+H50+H52</f>
        <v>6.5</v>
      </c>
      <c r="I58" s="77">
        <f t="shared" si="209"/>
        <v>6.5</v>
      </c>
      <c r="J58" s="77">
        <f t="shared" si="209"/>
        <v>6.5</v>
      </c>
      <c r="K58" s="77">
        <f t="shared" si="209"/>
        <v>6.5</v>
      </c>
      <c r="L58" s="77">
        <f t="shared" si="209"/>
        <v>6.5</v>
      </c>
      <c r="M58" s="77">
        <f t="shared" si="209"/>
        <v>6.5</v>
      </c>
      <c r="N58" s="77">
        <f t="shared" si="209"/>
        <v>6.5</v>
      </c>
      <c r="O58" s="77">
        <f t="shared" si="209"/>
        <v>6.5</v>
      </c>
      <c r="P58" s="77">
        <f t="shared" si="209"/>
        <v>6.5</v>
      </c>
      <c r="Q58" s="77">
        <f t="shared" si="209"/>
        <v>6.5</v>
      </c>
      <c r="R58" s="77">
        <f t="shared" si="209"/>
        <v>6.5</v>
      </c>
      <c r="S58" s="77">
        <f t="shared" si="209"/>
        <v>6.5</v>
      </c>
      <c r="T58" s="77"/>
      <c r="U58" s="77">
        <f t="shared" ref="U58:AF58" si="210">U8+U10+U12+U14+U16+U20+U22+U24+U26+U28+U32+U34+U36+U38+U40+U44+U46+U48+U50+U52</f>
        <v>7.5</v>
      </c>
      <c r="V58" s="77">
        <f t="shared" si="210"/>
        <v>7.5</v>
      </c>
      <c r="W58" s="77">
        <f t="shared" si="210"/>
        <v>7.5</v>
      </c>
      <c r="X58" s="77">
        <f t="shared" si="210"/>
        <v>7.5</v>
      </c>
      <c r="Y58" s="77">
        <f t="shared" si="210"/>
        <v>7.5</v>
      </c>
      <c r="Z58" s="77">
        <f t="shared" si="210"/>
        <v>7.5</v>
      </c>
      <c r="AA58" s="77">
        <f t="shared" si="210"/>
        <v>7.5</v>
      </c>
      <c r="AB58" s="77">
        <f t="shared" si="210"/>
        <v>7.5</v>
      </c>
      <c r="AC58" s="77">
        <f t="shared" si="210"/>
        <v>7.5</v>
      </c>
      <c r="AD58" s="77">
        <f t="shared" si="210"/>
        <v>7.5</v>
      </c>
      <c r="AE58" s="77">
        <f t="shared" si="210"/>
        <v>7.5</v>
      </c>
      <c r="AF58" s="77">
        <f t="shared" si="210"/>
        <v>7.5</v>
      </c>
      <c r="AG58" s="77"/>
      <c r="AH58" s="77">
        <f t="shared" ref="AH58:AS58" si="211">AH8+AH10+AH12+AH14+AH16+AH20+AH22+AH24+AH26+AH28+AH32+AH34+AH36+AH38+AH40+AH44+AH46+AH48+AH50+AH52</f>
        <v>10.5</v>
      </c>
      <c r="AI58" s="77">
        <f t="shared" si="211"/>
        <v>10.5</v>
      </c>
      <c r="AJ58" s="77">
        <f t="shared" si="211"/>
        <v>10.5</v>
      </c>
      <c r="AK58" s="77">
        <f t="shared" si="211"/>
        <v>10.5</v>
      </c>
      <c r="AL58" s="77">
        <f t="shared" si="211"/>
        <v>10.5</v>
      </c>
      <c r="AM58" s="77">
        <f t="shared" si="211"/>
        <v>10.5</v>
      </c>
      <c r="AN58" s="77">
        <f t="shared" si="211"/>
        <v>10.5</v>
      </c>
      <c r="AO58" s="77">
        <f t="shared" si="211"/>
        <v>10.5</v>
      </c>
      <c r="AP58" s="77">
        <f t="shared" si="211"/>
        <v>10.5</v>
      </c>
      <c r="AQ58" s="77">
        <f t="shared" si="211"/>
        <v>10.5</v>
      </c>
      <c r="AR58" s="77">
        <f t="shared" si="211"/>
        <v>10.5</v>
      </c>
      <c r="AS58" s="77">
        <f t="shared" si="211"/>
        <v>10.5</v>
      </c>
      <c r="AT58" s="77"/>
      <c r="AU58" s="77">
        <f t="shared" ref="AU58:BF58" si="212">AU8+AU10+AU12+AU14+AU16+AU20+AU22+AU24+AU26+AU28+AU32+AU34+AU36+AU38+AU40+AU44+AU46+AU48+AU50+AU52</f>
        <v>11</v>
      </c>
      <c r="AV58" s="77">
        <f t="shared" si="212"/>
        <v>11</v>
      </c>
      <c r="AW58" s="77">
        <f t="shared" si="212"/>
        <v>11</v>
      </c>
      <c r="AX58" s="77">
        <f t="shared" si="212"/>
        <v>11</v>
      </c>
      <c r="AY58" s="77">
        <f t="shared" si="212"/>
        <v>11</v>
      </c>
      <c r="AZ58" s="77">
        <f t="shared" si="212"/>
        <v>11</v>
      </c>
      <c r="BA58" s="77">
        <f t="shared" si="212"/>
        <v>11</v>
      </c>
      <c r="BB58" s="77">
        <f t="shared" si="212"/>
        <v>11</v>
      </c>
      <c r="BC58" s="77">
        <f t="shared" si="212"/>
        <v>11</v>
      </c>
      <c r="BD58" s="77">
        <f t="shared" si="212"/>
        <v>11</v>
      </c>
      <c r="BE58" s="77">
        <f t="shared" si="212"/>
        <v>11</v>
      </c>
      <c r="BF58" s="77">
        <f t="shared" si="212"/>
        <v>11</v>
      </c>
      <c r="BG58" s="77"/>
      <c r="BH58" s="77">
        <f t="shared" ref="BH58:BS58" si="213">BH8+BH10+BH12+BH14+BH16+BH20+BH22+BH24+BH26+BH28+BH32+BH34+BH36+BH38+BH40+BH44+BH46+BH48+BH50+BH52</f>
        <v>11.75</v>
      </c>
      <c r="BI58" s="77">
        <f t="shared" si="213"/>
        <v>11.75</v>
      </c>
      <c r="BJ58" s="77">
        <f t="shared" si="213"/>
        <v>11.75</v>
      </c>
      <c r="BK58" s="77">
        <f t="shared" si="213"/>
        <v>11.75</v>
      </c>
      <c r="BL58" s="77">
        <f t="shared" si="213"/>
        <v>11.75</v>
      </c>
      <c r="BM58" s="77">
        <f t="shared" si="213"/>
        <v>11.75</v>
      </c>
      <c r="BN58" s="77">
        <f t="shared" si="213"/>
        <v>11.75</v>
      </c>
      <c r="BO58" s="77">
        <f t="shared" si="213"/>
        <v>11.75</v>
      </c>
      <c r="BP58" s="77">
        <f t="shared" si="213"/>
        <v>11.75</v>
      </c>
      <c r="BQ58" s="77">
        <f t="shared" si="213"/>
        <v>11.75</v>
      </c>
      <c r="BR58" s="77">
        <f t="shared" si="213"/>
        <v>11.75</v>
      </c>
      <c r="BS58" s="77">
        <f t="shared" si="213"/>
        <v>11.75</v>
      </c>
      <c r="BT58" s="77"/>
      <c r="BU58" s="77"/>
    </row>
    <row r="59" spans="1:73" ht="15.75" customHeight="1">
      <c r="B59" s="2"/>
      <c r="C59" s="2"/>
      <c r="D59" s="2"/>
      <c r="E59" s="2"/>
      <c r="F59" s="60"/>
      <c r="G59" s="60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</row>
    <row r="60" spans="1:73" ht="15.75" customHeight="1">
      <c r="B60" s="2"/>
      <c r="C60" s="2"/>
      <c r="D60" s="2"/>
      <c r="E60" s="2"/>
      <c r="F60" s="60"/>
      <c r="G60" s="60"/>
      <c r="H60" s="2"/>
      <c r="I60" s="2"/>
      <c r="J60" s="2"/>
      <c r="K60" s="2"/>
      <c r="L60" s="2"/>
      <c r="M60" s="2"/>
      <c r="N60" s="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:73" ht="15.75" customHeight="1"/>
    <row r="62" spans="1:73" ht="15.75" customHeight="1"/>
    <row r="63" spans="1:73" ht="15.75" customHeight="1"/>
    <row r="64" spans="1:73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rotectedRanges>
    <protectedRange sqref="E6 C7:D7 C9:D9 C13:D13 C15:D15 C11:D11 H8 H10 H12 H14 H16 C19:D19 C21:D21 C23:D23 C25:D25 C27:D27 C39:D39 C37:D37 C35:D35 C33:D33 C31:D31 C47 C49 C51 C43:D43 C45:D45" name="Range1"/>
  </protectedRanges>
  <mergeCells count="1">
    <mergeCell ref="D4:F4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1000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9" sqref="B39"/>
    </sheetView>
  </sheetViews>
  <sheetFormatPr defaultColWidth="14.42578125" defaultRowHeight="15" customHeight="1"/>
  <cols>
    <col min="1" max="1" width="5.42578125" customWidth="1"/>
    <col min="2" max="2" width="21.140625" customWidth="1"/>
    <col min="3" max="3" width="47.42578125" customWidth="1"/>
    <col min="4" max="4" width="28.28515625" customWidth="1"/>
    <col min="5" max="6" width="10.5703125" customWidth="1"/>
    <col min="7" max="7" width="8.7109375" customWidth="1"/>
    <col min="8" max="8" width="10.140625" customWidth="1"/>
    <col min="9" max="9" width="9.5703125" customWidth="1"/>
    <col min="10" max="10" width="8.7109375" customWidth="1"/>
    <col min="11" max="26" width="17.28515625" customWidth="1"/>
  </cols>
  <sheetData>
    <row r="1" spans="1:10">
      <c r="A1" s="1" t="str">
        <f>Assumptions!A1</f>
        <v>Central Brewing Company</v>
      </c>
      <c r="C1" s="2"/>
      <c r="D1" s="2"/>
      <c r="E1" s="3"/>
      <c r="F1" s="2"/>
      <c r="H1" s="2"/>
      <c r="I1" s="2"/>
    </row>
    <row r="2" spans="1:10">
      <c r="A2" s="2" t="s">
        <v>253</v>
      </c>
      <c r="C2" s="2"/>
      <c r="D2" s="2"/>
      <c r="E2" s="3"/>
      <c r="F2" s="2"/>
      <c r="H2" s="2"/>
      <c r="I2" s="2"/>
    </row>
    <row r="3" spans="1:10">
      <c r="A3" s="2" t="s">
        <v>254</v>
      </c>
      <c r="C3" s="2"/>
      <c r="D3" s="2"/>
      <c r="E3" s="3"/>
      <c r="F3" s="2"/>
      <c r="H3" s="2"/>
      <c r="I3" s="2"/>
    </row>
    <row r="4" spans="1:10">
      <c r="A4" s="2" t="s">
        <v>255</v>
      </c>
      <c r="C4" s="2"/>
      <c r="D4" s="2"/>
      <c r="E4" s="3"/>
      <c r="F4" s="2"/>
      <c r="H4" s="2"/>
      <c r="I4" s="2"/>
    </row>
    <row r="5" spans="1:10">
      <c r="A5" s="2"/>
      <c r="C5" s="2"/>
      <c r="D5" s="2"/>
      <c r="E5" s="3"/>
      <c r="F5" s="2"/>
      <c r="H5" s="2"/>
      <c r="I5" s="2"/>
    </row>
    <row r="6" spans="1:10">
      <c r="A6" s="2"/>
      <c r="C6" s="2"/>
      <c r="D6" s="2"/>
      <c r="E6" s="3"/>
      <c r="F6" s="2"/>
      <c r="H6" s="2"/>
      <c r="I6" s="2"/>
    </row>
    <row r="7" spans="1:10">
      <c r="A7" s="2"/>
      <c r="C7" s="2"/>
      <c r="D7" s="2"/>
      <c r="E7" s="3"/>
      <c r="F7" s="2"/>
      <c r="H7" s="2"/>
      <c r="I7" s="2"/>
    </row>
    <row r="8" spans="1:10">
      <c r="A8" s="2"/>
      <c r="B8" s="367" t="s">
        <v>256</v>
      </c>
      <c r="C8" s="366"/>
      <c r="D8" s="366"/>
      <c r="E8" s="366"/>
      <c r="F8" s="366"/>
      <c r="G8" s="367" t="s">
        <v>48</v>
      </c>
      <c r="H8" s="366"/>
      <c r="I8" s="366"/>
      <c r="J8" s="366"/>
    </row>
    <row r="9" spans="1:10" ht="30" customHeight="1">
      <c r="A9" s="2"/>
      <c r="B9" s="119" t="s">
        <v>257</v>
      </c>
      <c r="C9" s="120" t="s">
        <v>258</v>
      </c>
      <c r="D9" s="120" t="s">
        <v>259</v>
      </c>
      <c r="E9" s="121" t="s">
        <v>128</v>
      </c>
      <c r="F9" s="122" t="s">
        <v>260</v>
      </c>
      <c r="G9" s="120" t="s">
        <v>261</v>
      </c>
      <c r="H9" s="120" t="s">
        <v>262</v>
      </c>
      <c r="I9" s="120" t="s">
        <v>263</v>
      </c>
      <c r="J9" s="120" t="s">
        <v>264</v>
      </c>
    </row>
    <row r="10" spans="1:10">
      <c r="A10" s="123">
        <v>1</v>
      </c>
      <c r="B10" s="124">
        <v>1</v>
      </c>
      <c r="C10" s="332" t="s">
        <v>584</v>
      </c>
      <c r="D10" s="125"/>
      <c r="E10" s="126">
        <v>0</v>
      </c>
      <c r="F10" s="127"/>
      <c r="G10" s="128" t="str">
        <f t="shared" ref="G10:G26" si="0">IF(C10="","","SL")</f>
        <v>SL</v>
      </c>
      <c r="H10" s="129">
        <v>30</v>
      </c>
      <c r="I10" s="130">
        <f t="shared" ref="I10:I109" si="1">IF(H10&gt;0,(ROUND(E10/H10/12,0)),"")</f>
        <v>0</v>
      </c>
      <c r="J10" s="130">
        <f t="shared" ref="J10:J109" si="2">B10+(12*H10)</f>
        <v>361</v>
      </c>
    </row>
    <row r="11" spans="1:10">
      <c r="A11" s="123">
        <f t="shared" ref="A11:A109" si="3">A10+1</f>
        <v>2</v>
      </c>
      <c r="B11" s="131">
        <v>1</v>
      </c>
      <c r="C11" s="333" t="s">
        <v>565</v>
      </c>
      <c r="D11" s="125"/>
      <c r="E11" s="133">
        <v>50000</v>
      </c>
      <c r="F11" s="134"/>
      <c r="G11" s="128" t="str">
        <f t="shared" si="0"/>
        <v>SL</v>
      </c>
      <c r="H11" s="129">
        <v>30</v>
      </c>
      <c r="I11" s="130">
        <f t="shared" si="1"/>
        <v>139</v>
      </c>
      <c r="J11" s="130">
        <f t="shared" si="2"/>
        <v>361</v>
      </c>
    </row>
    <row r="12" spans="1:10" ht="45">
      <c r="A12" s="123">
        <f t="shared" si="3"/>
        <v>3</v>
      </c>
      <c r="B12" s="131">
        <v>1</v>
      </c>
      <c r="C12" s="333" t="s">
        <v>589</v>
      </c>
      <c r="D12" s="125" t="s">
        <v>585</v>
      </c>
      <c r="E12" s="133">
        <v>400000</v>
      </c>
      <c r="F12" s="134"/>
      <c r="G12" s="128" t="str">
        <f t="shared" si="0"/>
        <v>SL</v>
      </c>
      <c r="H12" s="129">
        <v>30</v>
      </c>
      <c r="I12" s="130">
        <f t="shared" si="1"/>
        <v>1111</v>
      </c>
      <c r="J12" s="130">
        <f t="shared" si="2"/>
        <v>361</v>
      </c>
    </row>
    <row r="13" spans="1:10">
      <c r="A13" s="123">
        <f t="shared" si="3"/>
        <v>4</v>
      </c>
      <c r="B13" s="131">
        <v>1</v>
      </c>
      <c r="C13" s="339" t="s">
        <v>587</v>
      </c>
      <c r="D13" s="125" t="s">
        <v>586</v>
      </c>
      <c r="E13" s="133">
        <v>26000</v>
      </c>
      <c r="F13" s="134"/>
      <c r="G13" s="128" t="str">
        <f t="shared" si="0"/>
        <v>SL</v>
      </c>
      <c r="H13" s="129">
        <v>30</v>
      </c>
      <c r="I13" s="130">
        <f t="shared" si="1"/>
        <v>72</v>
      </c>
      <c r="J13" s="130">
        <f t="shared" si="2"/>
        <v>361</v>
      </c>
    </row>
    <row r="14" spans="1:10">
      <c r="A14" s="123">
        <f t="shared" si="3"/>
        <v>5</v>
      </c>
      <c r="B14" s="131">
        <v>1</v>
      </c>
      <c r="C14" s="339" t="s">
        <v>588</v>
      </c>
      <c r="D14" s="125"/>
      <c r="E14" s="133">
        <v>20000</v>
      </c>
      <c r="F14" s="134"/>
      <c r="G14" s="128" t="str">
        <f t="shared" si="0"/>
        <v>SL</v>
      </c>
      <c r="H14" s="129">
        <v>30</v>
      </c>
      <c r="I14" s="130">
        <f t="shared" si="1"/>
        <v>56</v>
      </c>
      <c r="J14" s="130">
        <f t="shared" si="2"/>
        <v>361</v>
      </c>
    </row>
    <row r="15" spans="1:10">
      <c r="A15" s="123">
        <f t="shared" si="3"/>
        <v>6</v>
      </c>
      <c r="B15" s="131">
        <v>1</v>
      </c>
      <c r="C15" s="339" t="s">
        <v>592</v>
      </c>
      <c r="D15" s="125"/>
      <c r="E15" s="133">
        <v>18000</v>
      </c>
      <c r="F15" s="134"/>
      <c r="G15" s="128" t="str">
        <f t="shared" si="0"/>
        <v>SL</v>
      </c>
      <c r="H15" s="129">
        <v>15</v>
      </c>
      <c r="I15" s="130">
        <f t="shared" si="1"/>
        <v>100</v>
      </c>
      <c r="J15" s="130">
        <f t="shared" si="2"/>
        <v>181</v>
      </c>
    </row>
    <row r="16" spans="1:10">
      <c r="A16" s="123">
        <f t="shared" si="3"/>
        <v>7</v>
      </c>
      <c r="B16" s="131">
        <v>1</v>
      </c>
      <c r="C16" s="333" t="s">
        <v>595</v>
      </c>
      <c r="D16" s="125" t="s">
        <v>593</v>
      </c>
      <c r="E16" s="133">
        <v>11000</v>
      </c>
      <c r="F16" s="134"/>
      <c r="G16" s="128" t="str">
        <f t="shared" si="0"/>
        <v>SL</v>
      </c>
      <c r="H16" s="129">
        <v>15</v>
      </c>
      <c r="I16" s="130">
        <f t="shared" si="1"/>
        <v>61</v>
      </c>
      <c r="J16" s="130">
        <f t="shared" si="2"/>
        <v>181</v>
      </c>
    </row>
    <row r="17" spans="1:10">
      <c r="A17" s="123">
        <f t="shared" si="3"/>
        <v>8</v>
      </c>
      <c r="B17" s="131">
        <v>1</v>
      </c>
      <c r="C17" s="132" t="s">
        <v>596</v>
      </c>
      <c r="D17" s="125"/>
      <c r="E17" s="133">
        <v>10000</v>
      </c>
      <c r="F17" s="134"/>
      <c r="G17" s="128" t="str">
        <f t="shared" si="0"/>
        <v>SL</v>
      </c>
      <c r="H17" s="129">
        <v>30</v>
      </c>
      <c r="I17" s="130">
        <f t="shared" si="1"/>
        <v>28</v>
      </c>
      <c r="J17" s="130">
        <f t="shared" si="2"/>
        <v>361</v>
      </c>
    </row>
    <row r="18" spans="1:10">
      <c r="A18" s="123">
        <f t="shared" si="3"/>
        <v>9</v>
      </c>
      <c r="B18" s="131">
        <v>1</v>
      </c>
      <c r="C18" s="132" t="s">
        <v>265</v>
      </c>
      <c r="D18" s="125"/>
      <c r="E18" s="133">
        <v>3000</v>
      </c>
      <c r="F18" s="134"/>
      <c r="G18" s="128" t="str">
        <f t="shared" si="0"/>
        <v>SL</v>
      </c>
      <c r="H18" s="129">
        <v>10</v>
      </c>
      <c r="I18" s="130">
        <f t="shared" si="1"/>
        <v>25</v>
      </c>
      <c r="J18" s="130">
        <f t="shared" si="2"/>
        <v>121</v>
      </c>
    </row>
    <row r="19" spans="1:10">
      <c r="A19" s="123">
        <f t="shared" si="3"/>
        <v>10</v>
      </c>
      <c r="B19" s="131">
        <v>1</v>
      </c>
      <c r="C19" s="132" t="s">
        <v>602</v>
      </c>
      <c r="D19" s="125"/>
      <c r="E19" s="133">
        <v>26000</v>
      </c>
      <c r="F19" s="134"/>
      <c r="G19" s="128" t="str">
        <f t="shared" si="0"/>
        <v>SL</v>
      </c>
      <c r="H19" s="129">
        <v>15</v>
      </c>
      <c r="I19" s="130">
        <f t="shared" si="1"/>
        <v>144</v>
      </c>
      <c r="J19" s="130">
        <f t="shared" si="2"/>
        <v>181</v>
      </c>
    </row>
    <row r="20" spans="1:10">
      <c r="A20" s="123">
        <f t="shared" si="3"/>
        <v>11</v>
      </c>
      <c r="B20" s="131">
        <v>1</v>
      </c>
      <c r="C20" s="132" t="s">
        <v>266</v>
      </c>
      <c r="D20" s="125"/>
      <c r="E20" s="133">
        <v>0</v>
      </c>
      <c r="F20" s="134"/>
      <c r="G20" s="128" t="str">
        <f t="shared" si="0"/>
        <v>SL</v>
      </c>
      <c r="H20" s="129">
        <v>10</v>
      </c>
      <c r="I20" s="130">
        <f t="shared" si="1"/>
        <v>0</v>
      </c>
      <c r="J20" s="130">
        <f t="shared" si="2"/>
        <v>121</v>
      </c>
    </row>
    <row r="21" spans="1:10" ht="15.75" customHeight="1">
      <c r="A21" s="123">
        <f t="shared" si="3"/>
        <v>12</v>
      </c>
      <c r="B21" s="131">
        <v>1</v>
      </c>
      <c r="C21" s="132" t="s">
        <v>267</v>
      </c>
      <c r="D21" s="125"/>
      <c r="E21" s="133">
        <v>4800</v>
      </c>
      <c r="F21" s="134"/>
      <c r="G21" s="128" t="str">
        <f t="shared" si="0"/>
        <v>SL</v>
      </c>
      <c r="H21" s="129">
        <v>15</v>
      </c>
      <c r="I21" s="130">
        <f t="shared" si="1"/>
        <v>27</v>
      </c>
      <c r="J21" s="130">
        <f t="shared" si="2"/>
        <v>181</v>
      </c>
    </row>
    <row r="22" spans="1:10" ht="15.75" customHeight="1">
      <c r="A22" s="123">
        <f t="shared" si="3"/>
        <v>13</v>
      </c>
      <c r="B22" s="131">
        <v>1</v>
      </c>
      <c r="C22" s="333" t="s">
        <v>594</v>
      </c>
      <c r="D22" s="125"/>
      <c r="E22" s="133">
        <f>15*85</f>
        <v>1275</v>
      </c>
      <c r="F22" s="134"/>
      <c r="G22" s="128" t="str">
        <f t="shared" si="0"/>
        <v>SL</v>
      </c>
      <c r="H22" s="129">
        <v>10</v>
      </c>
      <c r="I22" s="130">
        <f t="shared" si="1"/>
        <v>11</v>
      </c>
      <c r="J22" s="130">
        <f t="shared" si="2"/>
        <v>121</v>
      </c>
    </row>
    <row r="23" spans="1:10" ht="15.75" customHeight="1">
      <c r="A23" s="123">
        <f t="shared" si="3"/>
        <v>14</v>
      </c>
      <c r="B23" s="131">
        <v>1</v>
      </c>
      <c r="C23" s="132" t="s">
        <v>590</v>
      </c>
      <c r="D23" s="125"/>
      <c r="E23" s="133">
        <f>50*110</f>
        <v>5500</v>
      </c>
      <c r="F23" s="134"/>
      <c r="G23" s="128" t="str">
        <f t="shared" si="0"/>
        <v>SL</v>
      </c>
      <c r="H23" s="129">
        <v>10</v>
      </c>
      <c r="I23" s="130">
        <f t="shared" si="1"/>
        <v>46</v>
      </c>
      <c r="J23" s="130">
        <f t="shared" si="2"/>
        <v>121</v>
      </c>
    </row>
    <row r="24" spans="1:10" ht="15.75" customHeight="1">
      <c r="A24" s="123">
        <f t="shared" si="3"/>
        <v>15</v>
      </c>
      <c r="B24" s="131">
        <v>1</v>
      </c>
      <c r="C24" s="132" t="s">
        <v>591</v>
      </c>
      <c r="D24" s="125"/>
      <c r="E24" s="133">
        <f>20*75</f>
        <v>1500</v>
      </c>
      <c r="F24" s="134"/>
      <c r="G24" s="128" t="str">
        <f t="shared" si="0"/>
        <v>SL</v>
      </c>
      <c r="H24" s="129">
        <v>10</v>
      </c>
      <c r="I24" s="130">
        <f t="shared" si="1"/>
        <v>13</v>
      </c>
      <c r="J24" s="130">
        <f t="shared" si="2"/>
        <v>121</v>
      </c>
    </row>
    <row r="25" spans="1:10" ht="15.75" customHeight="1">
      <c r="A25" s="123">
        <f t="shared" si="3"/>
        <v>16</v>
      </c>
      <c r="B25" s="131">
        <v>1</v>
      </c>
      <c r="C25" s="333" t="s">
        <v>566</v>
      </c>
      <c r="D25" s="125"/>
      <c r="E25" s="133">
        <v>10000</v>
      </c>
      <c r="F25" s="134"/>
      <c r="G25" s="128" t="str">
        <f t="shared" si="0"/>
        <v>SL</v>
      </c>
      <c r="H25" s="129">
        <v>10</v>
      </c>
      <c r="I25" s="130">
        <f t="shared" si="1"/>
        <v>83</v>
      </c>
      <c r="J25" s="130">
        <f t="shared" si="2"/>
        <v>121</v>
      </c>
    </row>
    <row r="26" spans="1:10" ht="15.75" customHeight="1">
      <c r="A26" s="123">
        <f t="shared" si="3"/>
        <v>17</v>
      </c>
      <c r="B26" s="131">
        <v>1</v>
      </c>
      <c r="C26" s="333" t="s">
        <v>164</v>
      </c>
      <c r="D26" s="125"/>
      <c r="E26" s="133">
        <v>25000</v>
      </c>
      <c r="F26" s="134"/>
      <c r="G26" s="128" t="str">
        <f t="shared" si="0"/>
        <v>SL</v>
      </c>
      <c r="H26" s="129">
        <v>15</v>
      </c>
      <c r="I26" s="130">
        <f t="shared" si="1"/>
        <v>139</v>
      </c>
      <c r="J26" s="130">
        <f t="shared" si="2"/>
        <v>181</v>
      </c>
    </row>
    <row r="27" spans="1:10" ht="15.75" customHeight="1">
      <c r="A27" s="123">
        <f t="shared" si="3"/>
        <v>18</v>
      </c>
      <c r="B27" s="131">
        <v>1</v>
      </c>
      <c r="C27" s="333" t="s">
        <v>567</v>
      </c>
      <c r="D27" s="125"/>
      <c r="E27" s="133">
        <v>20000</v>
      </c>
      <c r="F27" s="134"/>
      <c r="G27" s="128" t="str">
        <f t="shared" ref="G27:G109" si="4">IF(C27="","","SL")</f>
        <v>SL</v>
      </c>
      <c r="H27" s="129">
        <v>30</v>
      </c>
      <c r="I27" s="130">
        <f t="shared" si="1"/>
        <v>56</v>
      </c>
      <c r="J27" s="130">
        <f t="shared" si="2"/>
        <v>361</v>
      </c>
    </row>
    <row r="28" spans="1:10" ht="15.75" customHeight="1">
      <c r="A28" s="123">
        <f t="shared" si="3"/>
        <v>19</v>
      </c>
      <c r="B28" s="131">
        <v>1</v>
      </c>
      <c r="C28" s="333" t="s">
        <v>571</v>
      </c>
      <c r="D28" s="125"/>
      <c r="E28" s="133">
        <v>2000</v>
      </c>
      <c r="F28" s="134"/>
      <c r="G28" s="128" t="str">
        <f t="shared" si="4"/>
        <v>SL</v>
      </c>
      <c r="H28" s="129">
        <v>15</v>
      </c>
      <c r="I28" s="130">
        <f t="shared" si="1"/>
        <v>11</v>
      </c>
      <c r="J28" s="130">
        <f t="shared" si="2"/>
        <v>181</v>
      </c>
    </row>
    <row r="29" spans="1:10" ht="15.75" customHeight="1">
      <c r="A29" s="123">
        <f t="shared" si="3"/>
        <v>20</v>
      </c>
      <c r="B29" s="131">
        <v>1</v>
      </c>
      <c r="C29" s="333" t="s">
        <v>572</v>
      </c>
      <c r="D29" s="125"/>
      <c r="E29" s="133">
        <v>1500</v>
      </c>
      <c r="F29" s="134"/>
      <c r="G29" s="128" t="str">
        <f t="shared" si="4"/>
        <v>SL</v>
      </c>
      <c r="H29" s="129">
        <v>5</v>
      </c>
      <c r="I29" s="130">
        <f t="shared" si="1"/>
        <v>25</v>
      </c>
      <c r="J29" s="130">
        <f t="shared" si="2"/>
        <v>61</v>
      </c>
    </row>
    <row r="30" spans="1:10" ht="15.75" customHeight="1">
      <c r="A30" s="123">
        <f t="shared" si="3"/>
        <v>21</v>
      </c>
      <c r="B30" s="131">
        <v>1</v>
      </c>
      <c r="C30" s="333" t="s">
        <v>573</v>
      </c>
      <c r="D30" s="125"/>
      <c r="E30" s="133">
        <v>2000</v>
      </c>
      <c r="F30" s="134"/>
      <c r="G30" s="128" t="str">
        <f t="shared" si="4"/>
        <v>SL</v>
      </c>
      <c r="H30" s="129">
        <v>5</v>
      </c>
      <c r="I30" s="130">
        <f t="shared" si="1"/>
        <v>33</v>
      </c>
      <c r="J30" s="130">
        <f t="shared" si="2"/>
        <v>61</v>
      </c>
    </row>
    <row r="31" spans="1:10" ht="15.75" customHeight="1">
      <c r="A31" s="123">
        <f t="shared" si="3"/>
        <v>22</v>
      </c>
      <c r="B31" s="131">
        <v>1</v>
      </c>
      <c r="C31" s="333" t="s">
        <v>568</v>
      </c>
      <c r="D31" s="125"/>
      <c r="E31" s="133">
        <v>10000</v>
      </c>
      <c r="F31" s="134"/>
      <c r="G31" s="128" t="str">
        <f t="shared" si="4"/>
        <v>SL</v>
      </c>
      <c r="H31" s="129">
        <v>15</v>
      </c>
      <c r="I31" s="130">
        <f t="shared" si="1"/>
        <v>56</v>
      </c>
      <c r="J31" s="130">
        <f t="shared" si="2"/>
        <v>181</v>
      </c>
    </row>
    <row r="32" spans="1:10" ht="15.75" customHeight="1">
      <c r="A32" s="123">
        <f t="shared" si="3"/>
        <v>23</v>
      </c>
      <c r="B32" s="131">
        <v>1</v>
      </c>
      <c r="C32" s="333" t="s">
        <v>569</v>
      </c>
      <c r="D32" s="125"/>
      <c r="E32" s="133">
        <v>20000</v>
      </c>
      <c r="F32" s="134"/>
      <c r="G32" s="128" t="str">
        <f t="shared" si="4"/>
        <v>SL</v>
      </c>
      <c r="H32" s="129">
        <v>10</v>
      </c>
      <c r="I32" s="130">
        <f t="shared" si="1"/>
        <v>167</v>
      </c>
      <c r="J32" s="130">
        <f t="shared" si="2"/>
        <v>121</v>
      </c>
    </row>
    <row r="33" spans="1:10" ht="15.75" customHeight="1">
      <c r="A33" s="123">
        <f t="shared" si="3"/>
        <v>24</v>
      </c>
      <c r="B33" s="131">
        <v>1</v>
      </c>
      <c r="C33" s="333" t="s">
        <v>570</v>
      </c>
      <c r="D33" s="125"/>
      <c r="E33" s="133">
        <v>5000</v>
      </c>
      <c r="F33" s="134"/>
      <c r="G33" s="128" t="str">
        <f t="shared" si="4"/>
        <v>SL</v>
      </c>
      <c r="H33" s="129">
        <v>10</v>
      </c>
      <c r="I33" s="130">
        <f t="shared" si="1"/>
        <v>42</v>
      </c>
      <c r="J33" s="130">
        <f t="shared" si="2"/>
        <v>121</v>
      </c>
    </row>
    <row r="34" spans="1:10" ht="15.75" customHeight="1">
      <c r="A34" s="123">
        <f t="shared" si="3"/>
        <v>25</v>
      </c>
      <c r="B34" s="131">
        <v>1</v>
      </c>
      <c r="C34" s="333" t="s">
        <v>606</v>
      </c>
      <c r="D34" s="125"/>
      <c r="E34" s="133">
        <f>SUM(E10:E33)*0.1</f>
        <v>67257.5</v>
      </c>
      <c r="F34" s="134"/>
      <c r="G34" s="128" t="str">
        <f t="shared" si="4"/>
        <v>SL</v>
      </c>
      <c r="H34" s="129">
        <v>15</v>
      </c>
      <c r="I34" s="130">
        <f t="shared" si="1"/>
        <v>374</v>
      </c>
      <c r="J34" s="130">
        <f t="shared" si="2"/>
        <v>181</v>
      </c>
    </row>
    <row r="35" spans="1:10" ht="15.75" customHeight="1">
      <c r="A35" s="123">
        <f t="shared" si="3"/>
        <v>26</v>
      </c>
      <c r="B35" s="131">
        <v>1</v>
      </c>
      <c r="C35" s="333"/>
      <c r="D35" s="125"/>
      <c r="E35" s="133"/>
      <c r="F35" s="134"/>
      <c r="G35" s="128" t="str">
        <f t="shared" si="4"/>
        <v/>
      </c>
      <c r="H35" s="129"/>
      <c r="I35" s="130" t="str">
        <f t="shared" si="1"/>
        <v/>
      </c>
      <c r="J35" s="130">
        <f t="shared" si="2"/>
        <v>1</v>
      </c>
    </row>
    <row r="36" spans="1:10" ht="15.75" customHeight="1">
      <c r="A36" s="123">
        <f t="shared" si="3"/>
        <v>27</v>
      </c>
      <c r="B36" s="131">
        <v>1</v>
      </c>
      <c r="C36" s="333"/>
      <c r="D36" s="125"/>
      <c r="E36" s="133"/>
      <c r="F36" s="134"/>
      <c r="G36" s="128" t="str">
        <f>IF(C36="","","SL")</f>
        <v/>
      </c>
      <c r="H36" s="129"/>
      <c r="I36" s="130" t="str">
        <f t="shared" si="1"/>
        <v/>
      </c>
      <c r="J36" s="130">
        <f t="shared" si="2"/>
        <v>1</v>
      </c>
    </row>
    <row r="37" spans="1:10" ht="15.75" customHeight="1">
      <c r="A37" s="123">
        <f t="shared" si="3"/>
        <v>28</v>
      </c>
      <c r="B37" s="131">
        <v>1</v>
      </c>
      <c r="C37" s="333"/>
      <c r="D37" s="125"/>
      <c r="E37" s="133"/>
      <c r="F37" s="134"/>
      <c r="G37" s="128" t="str">
        <f>IF(C37="","","SL")</f>
        <v/>
      </c>
      <c r="H37" s="129"/>
      <c r="I37" s="130" t="str">
        <f t="shared" si="1"/>
        <v/>
      </c>
      <c r="J37" s="130">
        <f t="shared" si="2"/>
        <v>1</v>
      </c>
    </row>
    <row r="38" spans="1:10" ht="15.75" customHeight="1">
      <c r="A38" s="123">
        <f t="shared" si="3"/>
        <v>29</v>
      </c>
      <c r="B38" s="131">
        <v>1</v>
      </c>
      <c r="C38" s="333"/>
      <c r="D38" s="125"/>
      <c r="E38" s="133"/>
      <c r="F38" s="134"/>
      <c r="G38" s="128" t="str">
        <f>IF(C38="","","SL")</f>
        <v/>
      </c>
      <c r="H38" s="129"/>
      <c r="I38" s="130" t="str">
        <f t="shared" si="1"/>
        <v/>
      </c>
      <c r="J38" s="130">
        <f t="shared" si="2"/>
        <v>1</v>
      </c>
    </row>
    <row r="39" spans="1:10" ht="15.75" customHeight="1">
      <c r="A39" s="123">
        <f t="shared" si="3"/>
        <v>30</v>
      </c>
      <c r="B39" s="131"/>
      <c r="C39" s="132"/>
      <c r="D39" s="125"/>
      <c r="E39" s="133"/>
      <c r="F39" s="134"/>
      <c r="G39" s="128" t="str">
        <f t="shared" si="4"/>
        <v/>
      </c>
      <c r="H39" s="129"/>
      <c r="I39" s="130" t="str">
        <f t="shared" si="1"/>
        <v/>
      </c>
      <c r="J39" s="130">
        <f t="shared" si="2"/>
        <v>0</v>
      </c>
    </row>
    <row r="40" spans="1:10" ht="15.75" customHeight="1">
      <c r="A40" s="123">
        <f t="shared" si="3"/>
        <v>31</v>
      </c>
      <c r="B40" s="131"/>
      <c r="C40" s="132"/>
      <c r="D40" s="125"/>
      <c r="E40" s="133"/>
      <c r="F40" s="134"/>
      <c r="G40" s="128" t="str">
        <f t="shared" si="4"/>
        <v/>
      </c>
      <c r="H40" s="129"/>
      <c r="I40" s="130" t="str">
        <f t="shared" si="1"/>
        <v/>
      </c>
      <c r="J40" s="130">
        <f t="shared" si="2"/>
        <v>0</v>
      </c>
    </row>
    <row r="41" spans="1:10" ht="15.75" customHeight="1">
      <c r="A41" s="123">
        <f t="shared" si="3"/>
        <v>32</v>
      </c>
      <c r="B41" s="131"/>
      <c r="C41" s="132"/>
      <c r="D41" s="125"/>
      <c r="E41" s="133"/>
      <c r="F41" s="134"/>
      <c r="G41" s="128" t="str">
        <f t="shared" si="4"/>
        <v/>
      </c>
      <c r="H41" s="129"/>
      <c r="I41" s="130" t="str">
        <f t="shared" si="1"/>
        <v/>
      </c>
      <c r="J41" s="130">
        <f t="shared" si="2"/>
        <v>0</v>
      </c>
    </row>
    <row r="42" spans="1:10" ht="15.75" customHeight="1">
      <c r="A42" s="123">
        <f t="shared" si="3"/>
        <v>33</v>
      </c>
      <c r="B42" s="131"/>
      <c r="C42" s="132"/>
      <c r="D42" s="125"/>
      <c r="E42" s="133"/>
      <c r="F42" s="134"/>
      <c r="G42" s="128" t="str">
        <f t="shared" si="4"/>
        <v/>
      </c>
      <c r="H42" s="129"/>
      <c r="I42" s="130" t="str">
        <f t="shared" si="1"/>
        <v/>
      </c>
      <c r="J42" s="130">
        <f t="shared" si="2"/>
        <v>0</v>
      </c>
    </row>
    <row r="43" spans="1:10" ht="15.75" customHeight="1">
      <c r="A43" s="123">
        <f t="shared" si="3"/>
        <v>34</v>
      </c>
      <c r="B43" s="131"/>
      <c r="C43" s="132"/>
      <c r="D43" s="125"/>
      <c r="E43" s="133"/>
      <c r="F43" s="134"/>
      <c r="G43" s="128" t="str">
        <f t="shared" si="4"/>
        <v/>
      </c>
      <c r="H43" s="129"/>
      <c r="I43" s="130" t="str">
        <f t="shared" si="1"/>
        <v/>
      </c>
      <c r="J43" s="130">
        <f t="shared" si="2"/>
        <v>0</v>
      </c>
    </row>
    <row r="44" spans="1:10" ht="15.75" customHeight="1">
      <c r="A44" s="123">
        <f t="shared" si="3"/>
        <v>35</v>
      </c>
      <c r="B44" s="131"/>
      <c r="C44" s="132"/>
      <c r="D44" s="125"/>
      <c r="E44" s="133"/>
      <c r="F44" s="134"/>
      <c r="G44" s="128" t="str">
        <f t="shared" si="4"/>
        <v/>
      </c>
      <c r="H44" s="129"/>
      <c r="I44" s="130" t="str">
        <f t="shared" si="1"/>
        <v/>
      </c>
      <c r="J44" s="130">
        <f t="shared" si="2"/>
        <v>0</v>
      </c>
    </row>
    <row r="45" spans="1:10" ht="15.75" customHeight="1">
      <c r="A45" s="123">
        <f t="shared" si="3"/>
        <v>36</v>
      </c>
      <c r="B45" s="131"/>
      <c r="C45" s="132"/>
      <c r="D45" s="125"/>
      <c r="E45" s="133"/>
      <c r="F45" s="134"/>
      <c r="G45" s="128" t="str">
        <f t="shared" si="4"/>
        <v/>
      </c>
      <c r="H45" s="129"/>
      <c r="I45" s="130" t="str">
        <f t="shared" si="1"/>
        <v/>
      </c>
      <c r="J45" s="130">
        <f t="shared" si="2"/>
        <v>0</v>
      </c>
    </row>
    <row r="46" spans="1:10" ht="15.75" customHeight="1">
      <c r="A46" s="123">
        <f t="shared" si="3"/>
        <v>37</v>
      </c>
      <c r="B46" s="131"/>
      <c r="C46" s="132"/>
      <c r="D46" s="125"/>
      <c r="E46" s="133"/>
      <c r="F46" s="134"/>
      <c r="G46" s="128" t="str">
        <f t="shared" si="4"/>
        <v/>
      </c>
      <c r="H46" s="129"/>
      <c r="I46" s="130" t="str">
        <f t="shared" si="1"/>
        <v/>
      </c>
      <c r="J46" s="130">
        <f t="shared" si="2"/>
        <v>0</v>
      </c>
    </row>
    <row r="47" spans="1:10" ht="15.75" customHeight="1">
      <c r="A47" s="123">
        <f t="shared" si="3"/>
        <v>38</v>
      </c>
      <c r="B47" s="131"/>
      <c r="C47" s="132"/>
      <c r="D47" s="125"/>
      <c r="E47" s="133"/>
      <c r="F47" s="134"/>
      <c r="G47" s="128" t="str">
        <f t="shared" si="4"/>
        <v/>
      </c>
      <c r="H47" s="129"/>
      <c r="I47" s="130" t="str">
        <f t="shared" si="1"/>
        <v/>
      </c>
      <c r="J47" s="130">
        <f t="shared" si="2"/>
        <v>0</v>
      </c>
    </row>
    <row r="48" spans="1:10" ht="15.75" customHeight="1">
      <c r="A48" s="123">
        <f t="shared" si="3"/>
        <v>39</v>
      </c>
      <c r="B48" s="131"/>
      <c r="C48" s="132"/>
      <c r="D48" s="125"/>
      <c r="E48" s="133"/>
      <c r="F48" s="134"/>
      <c r="G48" s="128" t="str">
        <f t="shared" si="4"/>
        <v/>
      </c>
      <c r="H48" s="129"/>
      <c r="I48" s="130" t="str">
        <f t="shared" si="1"/>
        <v/>
      </c>
      <c r="J48" s="130">
        <f t="shared" si="2"/>
        <v>0</v>
      </c>
    </row>
    <row r="49" spans="1:10" ht="15.75" customHeight="1">
      <c r="A49" s="123">
        <f t="shared" si="3"/>
        <v>40</v>
      </c>
      <c r="B49" s="131"/>
      <c r="C49" s="132"/>
      <c r="D49" s="125"/>
      <c r="E49" s="133"/>
      <c r="F49" s="134"/>
      <c r="G49" s="128" t="str">
        <f t="shared" si="4"/>
        <v/>
      </c>
      <c r="H49" s="129"/>
      <c r="I49" s="130" t="str">
        <f t="shared" si="1"/>
        <v/>
      </c>
      <c r="J49" s="130">
        <f t="shared" si="2"/>
        <v>0</v>
      </c>
    </row>
    <row r="50" spans="1:10" ht="15.75" customHeight="1">
      <c r="A50" s="123">
        <f t="shared" si="3"/>
        <v>41</v>
      </c>
      <c r="B50" s="131"/>
      <c r="C50" s="132"/>
      <c r="D50" s="125"/>
      <c r="E50" s="133"/>
      <c r="F50" s="134"/>
      <c r="G50" s="128" t="str">
        <f t="shared" si="4"/>
        <v/>
      </c>
      <c r="H50" s="129"/>
      <c r="I50" s="130" t="str">
        <f t="shared" si="1"/>
        <v/>
      </c>
      <c r="J50" s="130">
        <f t="shared" si="2"/>
        <v>0</v>
      </c>
    </row>
    <row r="51" spans="1:10" ht="15.75" customHeight="1">
      <c r="A51" s="123">
        <f t="shared" si="3"/>
        <v>42</v>
      </c>
      <c r="B51" s="131"/>
      <c r="C51" s="132"/>
      <c r="D51" s="125"/>
      <c r="E51" s="133"/>
      <c r="F51" s="134"/>
      <c r="G51" s="128" t="str">
        <f t="shared" si="4"/>
        <v/>
      </c>
      <c r="H51" s="129"/>
      <c r="I51" s="130" t="str">
        <f t="shared" si="1"/>
        <v/>
      </c>
      <c r="J51" s="130">
        <f t="shared" si="2"/>
        <v>0</v>
      </c>
    </row>
    <row r="52" spans="1:10" ht="15.75" customHeight="1">
      <c r="A52" s="123">
        <f t="shared" si="3"/>
        <v>43</v>
      </c>
      <c r="B52" s="131"/>
      <c r="C52" s="132"/>
      <c r="D52" s="125"/>
      <c r="E52" s="133"/>
      <c r="F52" s="134"/>
      <c r="G52" s="128" t="str">
        <f t="shared" si="4"/>
        <v/>
      </c>
      <c r="H52" s="129"/>
      <c r="I52" s="130" t="str">
        <f t="shared" si="1"/>
        <v/>
      </c>
      <c r="J52" s="130">
        <f t="shared" si="2"/>
        <v>0</v>
      </c>
    </row>
    <row r="53" spans="1:10" ht="15.75" customHeight="1">
      <c r="A53" s="123">
        <f t="shared" si="3"/>
        <v>44</v>
      </c>
      <c r="B53" s="131"/>
      <c r="C53" s="132"/>
      <c r="D53" s="125"/>
      <c r="E53" s="133"/>
      <c r="F53" s="134"/>
      <c r="G53" s="128" t="str">
        <f t="shared" si="4"/>
        <v/>
      </c>
      <c r="H53" s="129"/>
      <c r="I53" s="130" t="str">
        <f t="shared" si="1"/>
        <v/>
      </c>
      <c r="J53" s="130">
        <f t="shared" si="2"/>
        <v>0</v>
      </c>
    </row>
    <row r="54" spans="1:10" ht="15.75" customHeight="1">
      <c r="A54" s="123">
        <f t="shared" si="3"/>
        <v>45</v>
      </c>
      <c r="B54" s="131"/>
      <c r="C54" s="132"/>
      <c r="D54" s="125"/>
      <c r="E54" s="133"/>
      <c r="F54" s="134"/>
      <c r="G54" s="128" t="str">
        <f t="shared" si="4"/>
        <v/>
      </c>
      <c r="H54" s="129"/>
      <c r="I54" s="130" t="str">
        <f t="shared" si="1"/>
        <v/>
      </c>
      <c r="J54" s="130">
        <f t="shared" si="2"/>
        <v>0</v>
      </c>
    </row>
    <row r="55" spans="1:10" ht="15.75" customHeight="1">
      <c r="A55" s="123">
        <f t="shared" si="3"/>
        <v>46</v>
      </c>
      <c r="B55" s="131"/>
      <c r="C55" s="132"/>
      <c r="D55" s="125"/>
      <c r="E55" s="133"/>
      <c r="F55" s="134"/>
      <c r="G55" s="128" t="str">
        <f t="shared" si="4"/>
        <v/>
      </c>
      <c r="H55" s="129"/>
      <c r="I55" s="130" t="str">
        <f t="shared" si="1"/>
        <v/>
      </c>
      <c r="J55" s="130">
        <f t="shared" si="2"/>
        <v>0</v>
      </c>
    </row>
    <row r="56" spans="1:10" ht="15.75" customHeight="1">
      <c r="A56" s="123">
        <f t="shared" si="3"/>
        <v>47</v>
      </c>
      <c r="B56" s="131"/>
      <c r="C56" s="132"/>
      <c r="D56" s="125"/>
      <c r="E56" s="133"/>
      <c r="F56" s="134"/>
      <c r="G56" s="128" t="str">
        <f t="shared" si="4"/>
        <v/>
      </c>
      <c r="H56" s="129"/>
      <c r="I56" s="130" t="str">
        <f t="shared" si="1"/>
        <v/>
      </c>
      <c r="J56" s="130">
        <f t="shared" si="2"/>
        <v>0</v>
      </c>
    </row>
    <row r="57" spans="1:10" ht="15.75" customHeight="1">
      <c r="A57" s="123">
        <f t="shared" si="3"/>
        <v>48</v>
      </c>
      <c r="B57" s="131"/>
      <c r="C57" s="132"/>
      <c r="D57" s="125"/>
      <c r="E57" s="133"/>
      <c r="F57" s="134"/>
      <c r="G57" s="128" t="str">
        <f t="shared" si="4"/>
        <v/>
      </c>
      <c r="H57" s="129"/>
      <c r="I57" s="130" t="str">
        <f t="shared" si="1"/>
        <v/>
      </c>
      <c r="J57" s="130">
        <f t="shared" si="2"/>
        <v>0</v>
      </c>
    </row>
    <row r="58" spans="1:10" ht="15.75" customHeight="1">
      <c r="A58" s="123">
        <f t="shared" si="3"/>
        <v>49</v>
      </c>
      <c r="B58" s="131"/>
      <c r="C58" s="132"/>
      <c r="D58" s="125"/>
      <c r="E58" s="133"/>
      <c r="F58" s="134"/>
      <c r="G58" s="128" t="str">
        <f t="shared" si="4"/>
        <v/>
      </c>
      <c r="H58" s="129"/>
      <c r="I58" s="130" t="str">
        <f t="shared" si="1"/>
        <v/>
      </c>
      <c r="J58" s="130">
        <f t="shared" si="2"/>
        <v>0</v>
      </c>
    </row>
    <row r="59" spans="1:10" ht="15.75" customHeight="1">
      <c r="A59" s="123">
        <f t="shared" si="3"/>
        <v>50</v>
      </c>
      <c r="B59" s="131"/>
      <c r="C59" s="132"/>
      <c r="D59" s="125"/>
      <c r="E59" s="133"/>
      <c r="F59" s="134"/>
      <c r="G59" s="128" t="str">
        <f t="shared" si="4"/>
        <v/>
      </c>
      <c r="H59" s="129"/>
      <c r="I59" s="130" t="str">
        <f t="shared" si="1"/>
        <v/>
      </c>
      <c r="J59" s="130">
        <f t="shared" si="2"/>
        <v>0</v>
      </c>
    </row>
    <row r="60" spans="1:10" ht="15.75" customHeight="1">
      <c r="A60" s="123">
        <f t="shared" si="3"/>
        <v>51</v>
      </c>
      <c r="B60" s="131"/>
      <c r="C60" s="132"/>
      <c r="D60" s="125"/>
      <c r="E60" s="133"/>
      <c r="F60" s="134"/>
      <c r="G60" s="128" t="str">
        <f t="shared" si="4"/>
        <v/>
      </c>
      <c r="H60" s="129"/>
      <c r="I60" s="130" t="str">
        <f t="shared" si="1"/>
        <v/>
      </c>
      <c r="J60" s="130">
        <f t="shared" si="2"/>
        <v>0</v>
      </c>
    </row>
    <row r="61" spans="1:10" ht="15.75" customHeight="1">
      <c r="A61" s="123">
        <f t="shared" si="3"/>
        <v>52</v>
      </c>
      <c r="B61" s="131"/>
      <c r="C61" s="132"/>
      <c r="D61" s="125"/>
      <c r="E61" s="133"/>
      <c r="F61" s="134"/>
      <c r="G61" s="128" t="str">
        <f t="shared" si="4"/>
        <v/>
      </c>
      <c r="H61" s="129"/>
      <c r="I61" s="130" t="str">
        <f t="shared" si="1"/>
        <v/>
      </c>
      <c r="J61" s="130">
        <f t="shared" si="2"/>
        <v>0</v>
      </c>
    </row>
    <row r="62" spans="1:10" ht="15.75" customHeight="1">
      <c r="A62" s="123">
        <f t="shared" si="3"/>
        <v>53</v>
      </c>
      <c r="B62" s="131"/>
      <c r="C62" s="132"/>
      <c r="D62" s="125"/>
      <c r="E62" s="133"/>
      <c r="F62" s="134"/>
      <c r="G62" s="128" t="str">
        <f t="shared" si="4"/>
        <v/>
      </c>
      <c r="H62" s="129"/>
      <c r="I62" s="130" t="str">
        <f t="shared" si="1"/>
        <v/>
      </c>
      <c r="J62" s="130">
        <f t="shared" si="2"/>
        <v>0</v>
      </c>
    </row>
    <row r="63" spans="1:10" ht="15.75" customHeight="1">
      <c r="A63" s="123">
        <f t="shared" si="3"/>
        <v>54</v>
      </c>
      <c r="B63" s="131"/>
      <c r="C63" s="132"/>
      <c r="D63" s="125"/>
      <c r="E63" s="133"/>
      <c r="F63" s="134"/>
      <c r="G63" s="128" t="str">
        <f t="shared" si="4"/>
        <v/>
      </c>
      <c r="H63" s="129"/>
      <c r="I63" s="130" t="str">
        <f t="shared" si="1"/>
        <v/>
      </c>
      <c r="J63" s="130">
        <f t="shared" si="2"/>
        <v>0</v>
      </c>
    </row>
    <row r="64" spans="1:10" ht="15.75" customHeight="1">
      <c r="A64" s="123">
        <f t="shared" si="3"/>
        <v>55</v>
      </c>
      <c r="B64" s="131"/>
      <c r="C64" s="132"/>
      <c r="D64" s="125"/>
      <c r="E64" s="133"/>
      <c r="F64" s="134"/>
      <c r="G64" s="128" t="str">
        <f t="shared" si="4"/>
        <v/>
      </c>
      <c r="H64" s="129"/>
      <c r="I64" s="130" t="str">
        <f t="shared" si="1"/>
        <v/>
      </c>
      <c r="J64" s="130">
        <f t="shared" si="2"/>
        <v>0</v>
      </c>
    </row>
    <row r="65" spans="1:10" ht="15.75" customHeight="1">
      <c r="A65" s="123">
        <f t="shared" si="3"/>
        <v>56</v>
      </c>
      <c r="B65" s="131"/>
      <c r="C65" s="132"/>
      <c r="D65" s="125"/>
      <c r="E65" s="133"/>
      <c r="F65" s="134"/>
      <c r="G65" s="128" t="str">
        <f t="shared" si="4"/>
        <v/>
      </c>
      <c r="H65" s="129"/>
      <c r="I65" s="130" t="str">
        <f t="shared" si="1"/>
        <v/>
      </c>
      <c r="J65" s="130">
        <f t="shared" si="2"/>
        <v>0</v>
      </c>
    </row>
    <row r="66" spans="1:10" ht="15.75" customHeight="1">
      <c r="A66" s="123">
        <f t="shared" si="3"/>
        <v>57</v>
      </c>
      <c r="B66" s="131"/>
      <c r="C66" s="132"/>
      <c r="D66" s="125"/>
      <c r="E66" s="133"/>
      <c r="F66" s="134"/>
      <c r="G66" s="128" t="str">
        <f t="shared" si="4"/>
        <v/>
      </c>
      <c r="H66" s="129"/>
      <c r="I66" s="130" t="str">
        <f t="shared" si="1"/>
        <v/>
      </c>
      <c r="J66" s="130">
        <f t="shared" si="2"/>
        <v>0</v>
      </c>
    </row>
    <row r="67" spans="1:10" ht="15.75" customHeight="1">
      <c r="A67" s="123">
        <f t="shared" si="3"/>
        <v>58</v>
      </c>
      <c r="B67" s="131"/>
      <c r="C67" s="132"/>
      <c r="D67" s="125"/>
      <c r="E67" s="133"/>
      <c r="F67" s="134"/>
      <c r="G67" s="128" t="str">
        <f t="shared" si="4"/>
        <v/>
      </c>
      <c r="H67" s="129"/>
      <c r="I67" s="130" t="str">
        <f t="shared" si="1"/>
        <v/>
      </c>
      <c r="J67" s="130">
        <f t="shared" si="2"/>
        <v>0</v>
      </c>
    </row>
    <row r="68" spans="1:10" ht="15.75" customHeight="1">
      <c r="A68" s="123">
        <f t="shared" si="3"/>
        <v>59</v>
      </c>
      <c r="B68" s="131"/>
      <c r="C68" s="132"/>
      <c r="D68" s="125"/>
      <c r="E68" s="133"/>
      <c r="F68" s="134"/>
      <c r="G68" s="128" t="str">
        <f t="shared" si="4"/>
        <v/>
      </c>
      <c r="H68" s="129"/>
      <c r="I68" s="130" t="str">
        <f t="shared" si="1"/>
        <v/>
      </c>
      <c r="J68" s="130">
        <f t="shared" si="2"/>
        <v>0</v>
      </c>
    </row>
    <row r="69" spans="1:10" ht="15.75" customHeight="1">
      <c r="A69" s="123">
        <f t="shared" si="3"/>
        <v>60</v>
      </c>
      <c r="B69" s="131"/>
      <c r="C69" s="132"/>
      <c r="D69" s="125"/>
      <c r="E69" s="133"/>
      <c r="F69" s="134"/>
      <c r="G69" s="128" t="str">
        <f t="shared" si="4"/>
        <v/>
      </c>
      <c r="H69" s="129"/>
      <c r="I69" s="130" t="str">
        <f t="shared" si="1"/>
        <v/>
      </c>
      <c r="J69" s="130">
        <f t="shared" si="2"/>
        <v>0</v>
      </c>
    </row>
    <row r="70" spans="1:10" ht="15.75" customHeight="1">
      <c r="A70" s="123">
        <f t="shared" si="3"/>
        <v>61</v>
      </c>
      <c r="B70" s="131"/>
      <c r="C70" s="132"/>
      <c r="D70" s="125"/>
      <c r="E70" s="133"/>
      <c r="F70" s="134"/>
      <c r="G70" s="128" t="str">
        <f t="shared" si="4"/>
        <v/>
      </c>
      <c r="H70" s="129"/>
      <c r="I70" s="130" t="str">
        <f t="shared" si="1"/>
        <v/>
      </c>
      <c r="J70" s="130">
        <f t="shared" si="2"/>
        <v>0</v>
      </c>
    </row>
    <row r="71" spans="1:10" ht="15.75" customHeight="1">
      <c r="A71" s="123">
        <f t="shared" si="3"/>
        <v>62</v>
      </c>
      <c r="B71" s="131"/>
      <c r="C71" s="132"/>
      <c r="D71" s="125"/>
      <c r="E71" s="133"/>
      <c r="F71" s="134"/>
      <c r="G71" s="128" t="str">
        <f t="shared" si="4"/>
        <v/>
      </c>
      <c r="H71" s="129"/>
      <c r="I71" s="130" t="str">
        <f t="shared" si="1"/>
        <v/>
      </c>
      <c r="J71" s="130">
        <f t="shared" si="2"/>
        <v>0</v>
      </c>
    </row>
    <row r="72" spans="1:10" ht="15.75" customHeight="1">
      <c r="A72" s="123">
        <f t="shared" si="3"/>
        <v>63</v>
      </c>
      <c r="B72" s="131"/>
      <c r="C72" s="132"/>
      <c r="D72" s="125"/>
      <c r="E72" s="133"/>
      <c r="F72" s="134"/>
      <c r="G72" s="128" t="str">
        <f t="shared" si="4"/>
        <v/>
      </c>
      <c r="H72" s="129"/>
      <c r="I72" s="130" t="str">
        <f t="shared" si="1"/>
        <v/>
      </c>
      <c r="J72" s="130">
        <f t="shared" si="2"/>
        <v>0</v>
      </c>
    </row>
    <row r="73" spans="1:10" ht="15.75" customHeight="1">
      <c r="A73" s="123">
        <f t="shared" si="3"/>
        <v>64</v>
      </c>
      <c r="B73" s="131"/>
      <c r="C73" s="132"/>
      <c r="D73" s="125"/>
      <c r="E73" s="133"/>
      <c r="F73" s="134"/>
      <c r="G73" s="128" t="str">
        <f t="shared" si="4"/>
        <v/>
      </c>
      <c r="H73" s="129"/>
      <c r="I73" s="130" t="str">
        <f t="shared" si="1"/>
        <v/>
      </c>
      <c r="J73" s="130">
        <f t="shared" si="2"/>
        <v>0</v>
      </c>
    </row>
    <row r="74" spans="1:10" ht="15.75" customHeight="1">
      <c r="A74" s="123">
        <f t="shared" si="3"/>
        <v>65</v>
      </c>
      <c r="B74" s="131"/>
      <c r="C74" s="132"/>
      <c r="D74" s="125"/>
      <c r="E74" s="133"/>
      <c r="F74" s="134"/>
      <c r="G74" s="128" t="str">
        <f t="shared" si="4"/>
        <v/>
      </c>
      <c r="H74" s="129"/>
      <c r="I74" s="130" t="str">
        <f t="shared" si="1"/>
        <v/>
      </c>
      <c r="J74" s="130">
        <f t="shared" si="2"/>
        <v>0</v>
      </c>
    </row>
    <row r="75" spans="1:10" ht="15.75" customHeight="1">
      <c r="A75" s="123">
        <f t="shared" si="3"/>
        <v>66</v>
      </c>
      <c r="B75" s="131"/>
      <c r="C75" s="132"/>
      <c r="D75" s="125"/>
      <c r="E75" s="133"/>
      <c r="F75" s="134"/>
      <c r="G75" s="128" t="str">
        <f t="shared" si="4"/>
        <v/>
      </c>
      <c r="H75" s="129"/>
      <c r="I75" s="130" t="str">
        <f t="shared" si="1"/>
        <v/>
      </c>
      <c r="J75" s="130">
        <f t="shared" si="2"/>
        <v>0</v>
      </c>
    </row>
    <row r="76" spans="1:10" ht="15.75" customHeight="1">
      <c r="A76" s="123">
        <f t="shared" si="3"/>
        <v>67</v>
      </c>
      <c r="B76" s="131"/>
      <c r="C76" s="132"/>
      <c r="D76" s="125"/>
      <c r="E76" s="133"/>
      <c r="F76" s="134"/>
      <c r="G76" s="128" t="str">
        <f t="shared" si="4"/>
        <v/>
      </c>
      <c r="H76" s="129"/>
      <c r="I76" s="130" t="str">
        <f t="shared" si="1"/>
        <v/>
      </c>
      <c r="J76" s="130">
        <f t="shared" si="2"/>
        <v>0</v>
      </c>
    </row>
    <row r="77" spans="1:10" ht="15.75" customHeight="1">
      <c r="A77" s="123">
        <f t="shared" si="3"/>
        <v>68</v>
      </c>
      <c r="B77" s="131"/>
      <c r="C77" s="132"/>
      <c r="D77" s="125"/>
      <c r="E77" s="133"/>
      <c r="F77" s="134"/>
      <c r="G77" s="128" t="str">
        <f t="shared" si="4"/>
        <v/>
      </c>
      <c r="H77" s="129"/>
      <c r="I77" s="130" t="str">
        <f t="shared" si="1"/>
        <v/>
      </c>
      <c r="J77" s="130">
        <f t="shared" si="2"/>
        <v>0</v>
      </c>
    </row>
    <row r="78" spans="1:10" ht="15.75" customHeight="1">
      <c r="A78" s="123">
        <f t="shared" si="3"/>
        <v>69</v>
      </c>
      <c r="B78" s="131"/>
      <c r="C78" s="132"/>
      <c r="D78" s="125"/>
      <c r="E78" s="133"/>
      <c r="F78" s="134"/>
      <c r="G78" s="128" t="str">
        <f t="shared" si="4"/>
        <v/>
      </c>
      <c r="H78" s="129"/>
      <c r="I78" s="130" t="str">
        <f t="shared" si="1"/>
        <v/>
      </c>
      <c r="J78" s="130">
        <f t="shared" si="2"/>
        <v>0</v>
      </c>
    </row>
    <row r="79" spans="1:10" ht="15.75" customHeight="1">
      <c r="A79" s="123">
        <f t="shared" si="3"/>
        <v>70</v>
      </c>
      <c r="B79" s="131"/>
      <c r="C79" s="132"/>
      <c r="D79" s="125"/>
      <c r="E79" s="133"/>
      <c r="F79" s="134"/>
      <c r="G79" s="128" t="str">
        <f t="shared" si="4"/>
        <v/>
      </c>
      <c r="H79" s="129"/>
      <c r="I79" s="130" t="str">
        <f t="shared" si="1"/>
        <v/>
      </c>
      <c r="J79" s="130">
        <f t="shared" si="2"/>
        <v>0</v>
      </c>
    </row>
    <row r="80" spans="1:10" ht="15.75" customHeight="1">
      <c r="A80" s="123">
        <f t="shared" si="3"/>
        <v>71</v>
      </c>
      <c r="B80" s="131"/>
      <c r="C80" s="132"/>
      <c r="D80" s="125"/>
      <c r="E80" s="133"/>
      <c r="F80" s="134"/>
      <c r="G80" s="128" t="str">
        <f t="shared" si="4"/>
        <v/>
      </c>
      <c r="H80" s="129"/>
      <c r="I80" s="130" t="str">
        <f t="shared" si="1"/>
        <v/>
      </c>
      <c r="J80" s="130">
        <f t="shared" si="2"/>
        <v>0</v>
      </c>
    </row>
    <row r="81" spans="1:10" ht="15.75" customHeight="1">
      <c r="A81" s="123">
        <f t="shared" si="3"/>
        <v>72</v>
      </c>
      <c r="B81" s="131"/>
      <c r="C81" s="132"/>
      <c r="D81" s="125"/>
      <c r="E81" s="133"/>
      <c r="F81" s="134"/>
      <c r="G81" s="128" t="str">
        <f t="shared" si="4"/>
        <v/>
      </c>
      <c r="H81" s="129"/>
      <c r="I81" s="130" t="str">
        <f t="shared" si="1"/>
        <v/>
      </c>
      <c r="J81" s="130">
        <f t="shared" si="2"/>
        <v>0</v>
      </c>
    </row>
    <row r="82" spans="1:10" ht="15.75" customHeight="1">
      <c r="A82" s="123">
        <f t="shared" si="3"/>
        <v>73</v>
      </c>
      <c r="B82" s="131"/>
      <c r="C82" s="132"/>
      <c r="D82" s="125"/>
      <c r="E82" s="133"/>
      <c r="F82" s="134"/>
      <c r="G82" s="128" t="str">
        <f t="shared" si="4"/>
        <v/>
      </c>
      <c r="H82" s="129"/>
      <c r="I82" s="130" t="str">
        <f t="shared" si="1"/>
        <v/>
      </c>
      <c r="J82" s="130">
        <f t="shared" si="2"/>
        <v>0</v>
      </c>
    </row>
    <row r="83" spans="1:10" ht="15.75" customHeight="1">
      <c r="A83" s="123">
        <f t="shared" si="3"/>
        <v>74</v>
      </c>
      <c r="B83" s="131"/>
      <c r="C83" s="132"/>
      <c r="D83" s="125"/>
      <c r="E83" s="133"/>
      <c r="F83" s="134"/>
      <c r="G83" s="128" t="str">
        <f t="shared" si="4"/>
        <v/>
      </c>
      <c r="H83" s="129"/>
      <c r="I83" s="130" t="str">
        <f t="shared" si="1"/>
        <v/>
      </c>
      <c r="J83" s="130">
        <f t="shared" si="2"/>
        <v>0</v>
      </c>
    </row>
    <row r="84" spans="1:10" ht="15.75" customHeight="1">
      <c r="A84" s="123">
        <f t="shared" si="3"/>
        <v>75</v>
      </c>
      <c r="B84" s="131"/>
      <c r="C84" s="132"/>
      <c r="D84" s="125"/>
      <c r="E84" s="133"/>
      <c r="F84" s="134"/>
      <c r="G84" s="128" t="str">
        <f t="shared" si="4"/>
        <v/>
      </c>
      <c r="H84" s="129"/>
      <c r="I84" s="130" t="str">
        <f t="shared" si="1"/>
        <v/>
      </c>
      <c r="J84" s="130">
        <f t="shared" si="2"/>
        <v>0</v>
      </c>
    </row>
    <row r="85" spans="1:10" ht="15.75" customHeight="1">
      <c r="A85" s="123">
        <f t="shared" si="3"/>
        <v>76</v>
      </c>
      <c r="B85" s="131"/>
      <c r="C85" s="132"/>
      <c r="D85" s="125"/>
      <c r="E85" s="133"/>
      <c r="F85" s="134"/>
      <c r="G85" s="128" t="str">
        <f t="shared" si="4"/>
        <v/>
      </c>
      <c r="H85" s="129"/>
      <c r="I85" s="130" t="str">
        <f t="shared" si="1"/>
        <v/>
      </c>
      <c r="J85" s="130">
        <f t="shared" si="2"/>
        <v>0</v>
      </c>
    </row>
    <row r="86" spans="1:10" ht="15.75" customHeight="1">
      <c r="A86" s="123">
        <f t="shared" si="3"/>
        <v>77</v>
      </c>
      <c r="B86" s="131"/>
      <c r="C86" s="132"/>
      <c r="D86" s="125"/>
      <c r="E86" s="133"/>
      <c r="F86" s="134"/>
      <c r="G86" s="128" t="str">
        <f t="shared" si="4"/>
        <v/>
      </c>
      <c r="H86" s="129"/>
      <c r="I86" s="130" t="str">
        <f t="shared" si="1"/>
        <v/>
      </c>
      <c r="J86" s="130">
        <f t="shared" si="2"/>
        <v>0</v>
      </c>
    </row>
    <row r="87" spans="1:10" ht="15.75" customHeight="1">
      <c r="A87" s="123">
        <f t="shared" si="3"/>
        <v>78</v>
      </c>
      <c r="B87" s="131"/>
      <c r="C87" s="132"/>
      <c r="D87" s="125"/>
      <c r="E87" s="133"/>
      <c r="F87" s="134"/>
      <c r="G87" s="128" t="str">
        <f t="shared" si="4"/>
        <v/>
      </c>
      <c r="H87" s="129"/>
      <c r="I87" s="130" t="str">
        <f t="shared" si="1"/>
        <v/>
      </c>
      <c r="J87" s="130">
        <f t="shared" si="2"/>
        <v>0</v>
      </c>
    </row>
    <row r="88" spans="1:10" ht="15.75" customHeight="1">
      <c r="A88" s="123">
        <f t="shared" si="3"/>
        <v>79</v>
      </c>
      <c r="B88" s="131"/>
      <c r="C88" s="132"/>
      <c r="D88" s="125"/>
      <c r="E88" s="133"/>
      <c r="F88" s="134"/>
      <c r="G88" s="128" t="str">
        <f t="shared" si="4"/>
        <v/>
      </c>
      <c r="H88" s="129"/>
      <c r="I88" s="130" t="str">
        <f t="shared" si="1"/>
        <v/>
      </c>
      <c r="J88" s="130">
        <f t="shared" si="2"/>
        <v>0</v>
      </c>
    </row>
    <row r="89" spans="1:10" ht="15.75" customHeight="1">
      <c r="A89" s="123">
        <f t="shared" si="3"/>
        <v>80</v>
      </c>
      <c r="B89" s="131"/>
      <c r="C89" s="132"/>
      <c r="D89" s="125"/>
      <c r="E89" s="133"/>
      <c r="F89" s="134"/>
      <c r="G89" s="128" t="str">
        <f t="shared" si="4"/>
        <v/>
      </c>
      <c r="H89" s="129"/>
      <c r="I89" s="130" t="str">
        <f t="shared" si="1"/>
        <v/>
      </c>
      <c r="J89" s="130">
        <f t="shared" si="2"/>
        <v>0</v>
      </c>
    </row>
    <row r="90" spans="1:10" ht="15.75" customHeight="1">
      <c r="A90" s="123">
        <f t="shared" si="3"/>
        <v>81</v>
      </c>
      <c r="B90" s="131"/>
      <c r="C90" s="132"/>
      <c r="D90" s="125"/>
      <c r="E90" s="133"/>
      <c r="F90" s="134"/>
      <c r="G90" s="128" t="str">
        <f t="shared" si="4"/>
        <v/>
      </c>
      <c r="H90" s="129"/>
      <c r="I90" s="130" t="str">
        <f t="shared" si="1"/>
        <v/>
      </c>
      <c r="J90" s="130">
        <f t="shared" si="2"/>
        <v>0</v>
      </c>
    </row>
    <row r="91" spans="1:10" ht="15.75" customHeight="1">
      <c r="A91" s="123">
        <f t="shared" si="3"/>
        <v>82</v>
      </c>
      <c r="B91" s="131"/>
      <c r="C91" s="132"/>
      <c r="D91" s="125"/>
      <c r="E91" s="133"/>
      <c r="F91" s="134"/>
      <c r="G91" s="128" t="str">
        <f t="shared" si="4"/>
        <v/>
      </c>
      <c r="H91" s="129"/>
      <c r="I91" s="130" t="str">
        <f t="shared" si="1"/>
        <v/>
      </c>
      <c r="J91" s="130">
        <f t="shared" si="2"/>
        <v>0</v>
      </c>
    </row>
    <row r="92" spans="1:10" ht="15.75" customHeight="1">
      <c r="A92" s="123">
        <f t="shared" si="3"/>
        <v>83</v>
      </c>
      <c r="B92" s="131"/>
      <c r="C92" s="132"/>
      <c r="D92" s="125"/>
      <c r="E92" s="133"/>
      <c r="F92" s="134"/>
      <c r="G92" s="128" t="str">
        <f t="shared" si="4"/>
        <v/>
      </c>
      <c r="H92" s="129"/>
      <c r="I92" s="130" t="str">
        <f t="shared" si="1"/>
        <v/>
      </c>
      <c r="J92" s="130">
        <f t="shared" si="2"/>
        <v>0</v>
      </c>
    </row>
    <row r="93" spans="1:10" ht="15.75" customHeight="1">
      <c r="A93" s="123">
        <f t="shared" si="3"/>
        <v>84</v>
      </c>
      <c r="B93" s="131"/>
      <c r="C93" s="132"/>
      <c r="D93" s="125"/>
      <c r="E93" s="133"/>
      <c r="F93" s="134"/>
      <c r="G93" s="128" t="str">
        <f t="shared" si="4"/>
        <v/>
      </c>
      <c r="H93" s="129"/>
      <c r="I93" s="130" t="str">
        <f t="shared" si="1"/>
        <v/>
      </c>
      <c r="J93" s="130">
        <f t="shared" si="2"/>
        <v>0</v>
      </c>
    </row>
    <row r="94" spans="1:10" ht="15.75" customHeight="1">
      <c r="A94" s="123">
        <f t="shared" si="3"/>
        <v>85</v>
      </c>
      <c r="B94" s="131"/>
      <c r="C94" s="132"/>
      <c r="D94" s="125"/>
      <c r="E94" s="133"/>
      <c r="F94" s="134"/>
      <c r="G94" s="128" t="str">
        <f t="shared" si="4"/>
        <v/>
      </c>
      <c r="H94" s="129"/>
      <c r="I94" s="130" t="str">
        <f t="shared" si="1"/>
        <v/>
      </c>
      <c r="J94" s="130">
        <f t="shared" si="2"/>
        <v>0</v>
      </c>
    </row>
    <row r="95" spans="1:10" ht="15.75" customHeight="1">
      <c r="A95" s="123">
        <f t="shared" si="3"/>
        <v>86</v>
      </c>
      <c r="B95" s="131"/>
      <c r="C95" s="132"/>
      <c r="D95" s="125"/>
      <c r="E95" s="133"/>
      <c r="F95" s="134"/>
      <c r="G95" s="128" t="str">
        <f t="shared" si="4"/>
        <v/>
      </c>
      <c r="H95" s="129"/>
      <c r="I95" s="130" t="str">
        <f t="shared" si="1"/>
        <v/>
      </c>
      <c r="J95" s="130">
        <f t="shared" si="2"/>
        <v>0</v>
      </c>
    </row>
    <row r="96" spans="1:10" ht="15.75" customHeight="1">
      <c r="A96" s="123">
        <f t="shared" si="3"/>
        <v>87</v>
      </c>
      <c r="B96" s="131"/>
      <c r="C96" s="132"/>
      <c r="D96" s="125"/>
      <c r="E96" s="133"/>
      <c r="F96" s="134"/>
      <c r="G96" s="128" t="str">
        <f t="shared" si="4"/>
        <v/>
      </c>
      <c r="H96" s="129"/>
      <c r="I96" s="130" t="str">
        <f t="shared" si="1"/>
        <v/>
      </c>
      <c r="J96" s="130">
        <f t="shared" si="2"/>
        <v>0</v>
      </c>
    </row>
    <row r="97" spans="1:10" ht="15.75" customHeight="1">
      <c r="A97" s="123">
        <f t="shared" si="3"/>
        <v>88</v>
      </c>
      <c r="B97" s="131"/>
      <c r="C97" s="132"/>
      <c r="D97" s="125"/>
      <c r="E97" s="133"/>
      <c r="F97" s="134"/>
      <c r="G97" s="128" t="str">
        <f t="shared" si="4"/>
        <v/>
      </c>
      <c r="H97" s="129"/>
      <c r="I97" s="130" t="str">
        <f t="shared" si="1"/>
        <v/>
      </c>
      <c r="J97" s="130">
        <f t="shared" si="2"/>
        <v>0</v>
      </c>
    </row>
    <row r="98" spans="1:10" ht="15.75" customHeight="1">
      <c r="A98" s="123">
        <f t="shared" si="3"/>
        <v>89</v>
      </c>
      <c r="B98" s="131"/>
      <c r="C98" s="132"/>
      <c r="D98" s="125"/>
      <c r="E98" s="133"/>
      <c r="F98" s="134"/>
      <c r="G98" s="128" t="str">
        <f t="shared" si="4"/>
        <v/>
      </c>
      <c r="H98" s="129"/>
      <c r="I98" s="130" t="str">
        <f t="shared" si="1"/>
        <v/>
      </c>
      <c r="J98" s="130">
        <f t="shared" si="2"/>
        <v>0</v>
      </c>
    </row>
    <row r="99" spans="1:10" ht="15.75" customHeight="1">
      <c r="A99" s="123">
        <f t="shared" si="3"/>
        <v>90</v>
      </c>
      <c r="B99" s="131"/>
      <c r="C99" s="132"/>
      <c r="D99" s="125"/>
      <c r="E99" s="133"/>
      <c r="F99" s="134"/>
      <c r="G99" s="128" t="str">
        <f t="shared" si="4"/>
        <v/>
      </c>
      <c r="H99" s="129"/>
      <c r="I99" s="130" t="str">
        <f t="shared" si="1"/>
        <v/>
      </c>
      <c r="J99" s="130">
        <f t="shared" si="2"/>
        <v>0</v>
      </c>
    </row>
    <row r="100" spans="1:10" ht="15.75" customHeight="1">
      <c r="A100" s="123">
        <f t="shared" si="3"/>
        <v>91</v>
      </c>
      <c r="B100" s="131"/>
      <c r="C100" s="132"/>
      <c r="D100" s="125"/>
      <c r="E100" s="133"/>
      <c r="F100" s="134"/>
      <c r="G100" s="128" t="str">
        <f t="shared" si="4"/>
        <v/>
      </c>
      <c r="H100" s="129"/>
      <c r="I100" s="130" t="str">
        <f t="shared" si="1"/>
        <v/>
      </c>
      <c r="J100" s="130">
        <f t="shared" si="2"/>
        <v>0</v>
      </c>
    </row>
    <row r="101" spans="1:10" ht="15.75" customHeight="1">
      <c r="A101" s="123">
        <f t="shared" si="3"/>
        <v>92</v>
      </c>
      <c r="B101" s="131"/>
      <c r="C101" s="132"/>
      <c r="D101" s="125"/>
      <c r="E101" s="133"/>
      <c r="F101" s="134"/>
      <c r="G101" s="128" t="str">
        <f t="shared" si="4"/>
        <v/>
      </c>
      <c r="H101" s="129"/>
      <c r="I101" s="130" t="str">
        <f t="shared" si="1"/>
        <v/>
      </c>
      <c r="J101" s="130">
        <f t="shared" si="2"/>
        <v>0</v>
      </c>
    </row>
    <row r="102" spans="1:10" ht="15.75" customHeight="1">
      <c r="A102" s="123">
        <f t="shared" si="3"/>
        <v>93</v>
      </c>
      <c r="B102" s="131"/>
      <c r="C102" s="132"/>
      <c r="D102" s="125"/>
      <c r="E102" s="133"/>
      <c r="F102" s="134"/>
      <c r="G102" s="128" t="str">
        <f t="shared" si="4"/>
        <v/>
      </c>
      <c r="H102" s="129"/>
      <c r="I102" s="130" t="str">
        <f t="shared" si="1"/>
        <v/>
      </c>
      <c r="J102" s="130">
        <f t="shared" si="2"/>
        <v>0</v>
      </c>
    </row>
    <row r="103" spans="1:10" ht="15.75" customHeight="1">
      <c r="A103" s="123">
        <f t="shared" si="3"/>
        <v>94</v>
      </c>
      <c r="B103" s="131"/>
      <c r="C103" s="132"/>
      <c r="D103" s="125"/>
      <c r="E103" s="133"/>
      <c r="F103" s="134"/>
      <c r="G103" s="128" t="str">
        <f t="shared" si="4"/>
        <v/>
      </c>
      <c r="H103" s="129"/>
      <c r="I103" s="130" t="str">
        <f t="shared" si="1"/>
        <v/>
      </c>
      <c r="J103" s="130">
        <f t="shared" si="2"/>
        <v>0</v>
      </c>
    </row>
    <row r="104" spans="1:10" ht="15.75" customHeight="1">
      <c r="A104" s="123">
        <f t="shared" si="3"/>
        <v>95</v>
      </c>
      <c r="B104" s="131"/>
      <c r="C104" s="132"/>
      <c r="D104" s="125"/>
      <c r="E104" s="133"/>
      <c r="F104" s="134"/>
      <c r="G104" s="128" t="str">
        <f t="shared" si="4"/>
        <v/>
      </c>
      <c r="H104" s="129"/>
      <c r="I104" s="130" t="str">
        <f t="shared" si="1"/>
        <v/>
      </c>
      <c r="J104" s="130">
        <f t="shared" si="2"/>
        <v>0</v>
      </c>
    </row>
    <row r="105" spans="1:10" ht="15.75" customHeight="1">
      <c r="A105" s="123">
        <f t="shared" si="3"/>
        <v>96</v>
      </c>
      <c r="B105" s="131"/>
      <c r="C105" s="132"/>
      <c r="D105" s="125"/>
      <c r="E105" s="133"/>
      <c r="F105" s="134"/>
      <c r="G105" s="128" t="str">
        <f t="shared" si="4"/>
        <v/>
      </c>
      <c r="H105" s="129"/>
      <c r="I105" s="130" t="str">
        <f t="shared" si="1"/>
        <v/>
      </c>
      <c r="J105" s="130">
        <f t="shared" si="2"/>
        <v>0</v>
      </c>
    </row>
    <row r="106" spans="1:10" ht="15.75" customHeight="1">
      <c r="A106" s="123">
        <f t="shared" si="3"/>
        <v>97</v>
      </c>
      <c r="B106" s="131"/>
      <c r="C106" s="132"/>
      <c r="D106" s="125"/>
      <c r="E106" s="133"/>
      <c r="F106" s="134"/>
      <c r="G106" s="128" t="str">
        <f t="shared" si="4"/>
        <v/>
      </c>
      <c r="H106" s="129"/>
      <c r="I106" s="130" t="str">
        <f t="shared" si="1"/>
        <v/>
      </c>
      <c r="J106" s="130">
        <f t="shared" si="2"/>
        <v>0</v>
      </c>
    </row>
    <row r="107" spans="1:10" ht="15.75" customHeight="1">
      <c r="A107" s="123">
        <f t="shared" si="3"/>
        <v>98</v>
      </c>
      <c r="B107" s="131"/>
      <c r="C107" s="132"/>
      <c r="D107" s="125"/>
      <c r="E107" s="133"/>
      <c r="F107" s="134"/>
      <c r="G107" s="128" t="str">
        <f t="shared" si="4"/>
        <v/>
      </c>
      <c r="H107" s="129"/>
      <c r="I107" s="130" t="str">
        <f t="shared" si="1"/>
        <v/>
      </c>
      <c r="J107" s="130">
        <f t="shared" si="2"/>
        <v>0</v>
      </c>
    </row>
    <row r="108" spans="1:10" ht="15.75" customHeight="1">
      <c r="A108" s="123">
        <f t="shared" si="3"/>
        <v>99</v>
      </c>
      <c r="B108" s="131"/>
      <c r="C108" s="132"/>
      <c r="D108" s="125"/>
      <c r="E108" s="133"/>
      <c r="F108" s="134"/>
      <c r="G108" s="128" t="str">
        <f t="shared" si="4"/>
        <v/>
      </c>
      <c r="H108" s="129"/>
      <c r="I108" s="130" t="str">
        <f t="shared" si="1"/>
        <v/>
      </c>
      <c r="J108" s="130">
        <f t="shared" si="2"/>
        <v>0</v>
      </c>
    </row>
    <row r="109" spans="1:10" ht="15.75" customHeight="1">
      <c r="A109" s="123">
        <f t="shared" si="3"/>
        <v>100</v>
      </c>
      <c r="B109" s="135"/>
      <c r="C109" s="136"/>
      <c r="D109" s="125"/>
      <c r="E109" s="137"/>
      <c r="F109" s="138"/>
      <c r="G109" s="120" t="str">
        <f t="shared" si="4"/>
        <v/>
      </c>
      <c r="H109" s="139"/>
      <c r="I109" s="140" t="str">
        <f t="shared" si="1"/>
        <v/>
      </c>
      <c r="J109" s="140">
        <f t="shared" si="2"/>
        <v>0</v>
      </c>
    </row>
    <row r="110" spans="1:10" ht="15.75" customHeight="1">
      <c r="A110" s="2"/>
      <c r="B110" s="141" t="s">
        <v>221</v>
      </c>
      <c r="C110" s="142"/>
      <c r="D110" s="143"/>
      <c r="E110" s="144">
        <f>SUM(E10:E109)</f>
        <v>739832.5</v>
      </c>
      <c r="F110" s="2"/>
      <c r="H110" s="2"/>
      <c r="I110" s="2"/>
    </row>
    <row r="111" spans="1:10" ht="15.75" customHeight="1">
      <c r="A111" s="2"/>
      <c r="C111" s="2"/>
      <c r="D111" s="2"/>
      <c r="E111" s="3"/>
      <c r="F111" s="2"/>
      <c r="H111" s="2"/>
      <c r="I111" s="2"/>
    </row>
    <row r="112" spans="1:10" ht="15.75" customHeight="1">
      <c r="A112" s="2"/>
      <c r="C112" s="2"/>
      <c r="D112" s="2"/>
      <c r="E112" s="3"/>
      <c r="F112" s="2"/>
      <c r="H112" s="2"/>
      <c r="I112" s="2"/>
    </row>
    <row r="113" spans="1:9" ht="15.75" customHeight="1">
      <c r="A113" s="2"/>
      <c r="C113" s="2"/>
      <c r="D113" s="2"/>
      <c r="E113" s="3"/>
      <c r="F113" s="2"/>
      <c r="H113" s="2"/>
      <c r="I113" s="2"/>
    </row>
    <row r="114" spans="1:9" ht="15.75" customHeight="1">
      <c r="A114" s="2"/>
      <c r="B114" s="123" t="s">
        <v>268</v>
      </c>
      <c r="C114" s="2"/>
      <c r="D114" s="2"/>
      <c r="E114" s="3"/>
      <c r="F114" s="2"/>
      <c r="H114" s="2"/>
      <c r="I114" s="2"/>
    </row>
    <row r="115" spans="1:9" ht="15.75" customHeight="1">
      <c r="A115" s="2"/>
      <c r="B115" s="2">
        <v>1</v>
      </c>
      <c r="C115" s="145">
        <f>SUMIF($B$10:$B$109,B115,$E$10:$E$109)</f>
        <v>739832.5</v>
      </c>
      <c r="D115" s="2"/>
      <c r="E115" s="3"/>
      <c r="F115" s="2"/>
      <c r="H115" s="2"/>
      <c r="I115" s="2"/>
    </row>
    <row r="116" spans="1:9" ht="15.75" customHeight="1">
      <c r="A116" s="2"/>
      <c r="B116" s="2">
        <f t="shared" ref="B116:B126" si="5">B115+1</f>
        <v>2</v>
      </c>
      <c r="C116" s="145">
        <f t="shared" ref="C116:C126" si="6">SUMIF($B$10:$B$109,B116,$E$10:$E$109)</f>
        <v>0</v>
      </c>
      <c r="D116" s="2"/>
      <c r="E116" s="3"/>
      <c r="F116" s="2"/>
      <c r="H116" s="2"/>
      <c r="I116" s="2"/>
    </row>
    <row r="117" spans="1:9" ht="15.75" customHeight="1">
      <c r="A117" s="2"/>
      <c r="B117" s="2">
        <f t="shared" si="5"/>
        <v>3</v>
      </c>
      <c r="C117" s="145">
        <f t="shared" si="6"/>
        <v>0</v>
      </c>
      <c r="D117" s="2"/>
      <c r="E117" s="3"/>
      <c r="F117" s="2"/>
      <c r="H117" s="2"/>
      <c r="I117" s="2"/>
    </row>
    <row r="118" spans="1:9" ht="15.75" customHeight="1">
      <c r="A118" s="2"/>
      <c r="B118" s="2">
        <f t="shared" si="5"/>
        <v>4</v>
      </c>
      <c r="C118" s="145">
        <f t="shared" si="6"/>
        <v>0</v>
      </c>
      <c r="D118" s="2"/>
      <c r="E118" s="3"/>
      <c r="F118" s="2"/>
      <c r="H118" s="2"/>
      <c r="I118" s="2"/>
    </row>
    <row r="119" spans="1:9" ht="15.75" customHeight="1">
      <c r="A119" s="2"/>
      <c r="B119" s="2">
        <f t="shared" si="5"/>
        <v>5</v>
      </c>
      <c r="C119" s="145">
        <f t="shared" si="6"/>
        <v>0</v>
      </c>
      <c r="D119" s="2"/>
      <c r="E119" s="3"/>
      <c r="F119" s="2"/>
      <c r="H119" s="2"/>
      <c r="I119" s="2"/>
    </row>
    <row r="120" spans="1:9" ht="15.75" customHeight="1">
      <c r="A120" s="2"/>
      <c r="B120" s="2">
        <f t="shared" si="5"/>
        <v>6</v>
      </c>
      <c r="C120" s="145">
        <f t="shared" si="6"/>
        <v>0</v>
      </c>
      <c r="D120" s="2"/>
      <c r="E120" s="3"/>
      <c r="F120" s="2"/>
      <c r="H120" s="2"/>
      <c r="I120" s="2"/>
    </row>
    <row r="121" spans="1:9" ht="15.75" customHeight="1">
      <c r="A121" s="2"/>
      <c r="B121" s="2">
        <f t="shared" si="5"/>
        <v>7</v>
      </c>
      <c r="C121" s="145">
        <f t="shared" si="6"/>
        <v>0</v>
      </c>
      <c r="D121" s="2"/>
      <c r="E121" s="3"/>
      <c r="F121" s="2"/>
      <c r="H121" s="2"/>
      <c r="I121" s="2"/>
    </row>
    <row r="122" spans="1:9" ht="15.75" customHeight="1">
      <c r="A122" s="2"/>
      <c r="B122" s="2">
        <f t="shared" si="5"/>
        <v>8</v>
      </c>
      <c r="C122" s="145">
        <f t="shared" si="6"/>
        <v>0</v>
      </c>
      <c r="D122" s="2"/>
      <c r="E122" s="3"/>
      <c r="F122" s="2"/>
      <c r="H122" s="2"/>
      <c r="I122" s="2"/>
    </row>
    <row r="123" spans="1:9" ht="15.75" customHeight="1">
      <c r="A123" s="2"/>
      <c r="B123" s="2">
        <f t="shared" si="5"/>
        <v>9</v>
      </c>
      <c r="C123" s="145">
        <f t="shared" si="6"/>
        <v>0</v>
      </c>
      <c r="D123" s="2"/>
      <c r="E123" s="3"/>
      <c r="F123" s="2"/>
      <c r="H123" s="2"/>
      <c r="I123" s="2"/>
    </row>
    <row r="124" spans="1:9" ht="15.75" customHeight="1">
      <c r="A124" s="2"/>
      <c r="B124" s="2">
        <f t="shared" si="5"/>
        <v>10</v>
      </c>
      <c r="C124" s="145">
        <f t="shared" si="6"/>
        <v>0</v>
      </c>
      <c r="D124" s="2"/>
      <c r="E124" s="3"/>
      <c r="F124" s="2"/>
      <c r="H124" s="2"/>
      <c r="I124" s="2"/>
    </row>
    <row r="125" spans="1:9" ht="15.75" customHeight="1">
      <c r="A125" s="2"/>
      <c r="B125" s="2">
        <f t="shared" si="5"/>
        <v>11</v>
      </c>
      <c r="C125" s="145">
        <f t="shared" si="6"/>
        <v>0</v>
      </c>
      <c r="D125" s="2"/>
      <c r="E125" s="3"/>
      <c r="F125" s="2"/>
      <c r="H125" s="2"/>
      <c r="I125" s="2"/>
    </row>
    <row r="126" spans="1:9" ht="15.75" customHeight="1">
      <c r="A126" s="2"/>
      <c r="B126" s="2">
        <f t="shared" si="5"/>
        <v>12</v>
      </c>
      <c r="C126" s="145">
        <f t="shared" si="6"/>
        <v>0</v>
      </c>
      <c r="D126" s="2"/>
      <c r="E126" s="3"/>
      <c r="F126" s="2"/>
      <c r="H126" s="2"/>
      <c r="I126" s="2"/>
    </row>
    <row r="127" spans="1:9" ht="15.75" customHeight="1">
      <c r="A127" s="2"/>
      <c r="B127" s="146" t="s">
        <v>269</v>
      </c>
      <c r="C127" s="146">
        <f>SUM(C115:C126)</f>
        <v>739832.5</v>
      </c>
      <c r="D127" s="2"/>
      <c r="E127" s="3"/>
      <c r="F127" s="2"/>
      <c r="H127" s="2"/>
      <c r="I127" s="2"/>
    </row>
    <row r="128" spans="1:9" ht="15.75" customHeight="1">
      <c r="A128" s="2"/>
      <c r="C128" s="145"/>
      <c r="D128" s="2"/>
      <c r="E128" s="3"/>
      <c r="F128" s="2"/>
      <c r="H128" s="2"/>
      <c r="I128" s="2"/>
    </row>
    <row r="129" spans="1:9" ht="15.75" customHeight="1">
      <c r="A129" s="2"/>
      <c r="B129" s="2">
        <f>B126+1</f>
        <v>13</v>
      </c>
      <c r="C129" s="145">
        <f t="shared" ref="C129:C140" si="7">SUMIF($B$10:$B$109,B129,$E$10:$E$109)</f>
        <v>0</v>
      </c>
      <c r="D129" s="2"/>
      <c r="E129" s="3"/>
      <c r="F129" s="2"/>
      <c r="H129" s="2"/>
      <c r="I129" s="2"/>
    </row>
    <row r="130" spans="1:9" ht="15.75" customHeight="1">
      <c r="A130" s="2"/>
      <c r="B130" s="2">
        <f t="shared" ref="B130:B140" si="8">B129+1</f>
        <v>14</v>
      </c>
      <c r="C130" s="145">
        <f t="shared" si="7"/>
        <v>0</v>
      </c>
      <c r="D130" s="2"/>
      <c r="E130" s="3"/>
      <c r="F130" s="2"/>
      <c r="H130" s="2"/>
      <c r="I130" s="2"/>
    </row>
    <row r="131" spans="1:9" ht="15.75" customHeight="1">
      <c r="A131" s="2"/>
      <c r="B131" s="2">
        <f t="shared" si="8"/>
        <v>15</v>
      </c>
      <c r="C131" s="145">
        <f t="shared" si="7"/>
        <v>0</v>
      </c>
      <c r="D131" s="2"/>
      <c r="E131" s="3"/>
      <c r="F131" s="2"/>
      <c r="H131" s="2"/>
      <c r="I131" s="2"/>
    </row>
    <row r="132" spans="1:9" ht="15.75" customHeight="1">
      <c r="A132" s="2"/>
      <c r="B132" s="2">
        <f t="shared" si="8"/>
        <v>16</v>
      </c>
      <c r="C132" s="145">
        <f t="shared" si="7"/>
        <v>0</v>
      </c>
      <c r="D132" s="2"/>
      <c r="E132" s="3"/>
      <c r="F132" s="2"/>
      <c r="H132" s="2"/>
      <c r="I132" s="2"/>
    </row>
    <row r="133" spans="1:9" ht="15.75" customHeight="1">
      <c r="A133" s="2"/>
      <c r="B133" s="2">
        <f t="shared" si="8"/>
        <v>17</v>
      </c>
      <c r="C133" s="145">
        <f t="shared" si="7"/>
        <v>0</v>
      </c>
      <c r="D133" s="2"/>
      <c r="E133" s="3"/>
      <c r="F133" s="2"/>
      <c r="H133" s="2"/>
      <c r="I133" s="2"/>
    </row>
    <row r="134" spans="1:9" ht="15.75" customHeight="1">
      <c r="A134" s="2"/>
      <c r="B134" s="2">
        <f t="shared" si="8"/>
        <v>18</v>
      </c>
      <c r="C134" s="145">
        <f t="shared" si="7"/>
        <v>0</v>
      </c>
      <c r="D134" s="2"/>
      <c r="E134" s="3"/>
      <c r="F134" s="2"/>
      <c r="H134" s="2"/>
      <c r="I134" s="2"/>
    </row>
    <row r="135" spans="1:9" ht="15.75" customHeight="1">
      <c r="A135" s="2"/>
      <c r="B135" s="2">
        <f t="shared" si="8"/>
        <v>19</v>
      </c>
      <c r="C135" s="145">
        <f t="shared" si="7"/>
        <v>0</v>
      </c>
      <c r="D135" s="2"/>
      <c r="E135" s="3"/>
      <c r="F135" s="2"/>
      <c r="H135" s="2"/>
      <c r="I135" s="2"/>
    </row>
    <row r="136" spans="1:9" ht="15.75" customHeight="1">
      <c r="A136" s="2"/>
      <c r="B136" s="2">
        <f t="shared" si="8"/>
        <v>20</v>
      </c>
      <c r="C136" s="145">
        <f t="shared" si="7"/>
        <v>0</v>
      </c>
      <c r="D136" s="2"/>
      <c r="E136" s="3"/>
      <c r="F136" s="2"/>
      <c r="H136" s="2"/>
      <c r="I136" s="2"/>
    </row>
    <row r="137" spans="1:9" ht="15.75" customHeight="1">
      <c r="A137" s="2"/>
      <c r="B137" s="2">
        <f t="shared" si="8"/>
        <v>21</v>
      </c>
      <c r="C137" s="145">
        <f t="shared" si="7"/>
        <v>0</v>
      </c>
      <c r="D137" s="2"/>
      <c r="E137" s="3"/>
      <c r="F137" s="2"/>
      <c r="H137" s="2"/>
      <c r="I137" s="2"/>
    </row>
    <row r="138" spans="1:9" ht="15.75" customHeight="1">
      <c r="A138" s="2"/>
      <c r="B138" s="2">
        <f t="shared" si="8"/>
        <v>22</v>
      </c>
      <c r="C138" s="145">
        <f t="shared" si="7"/>
        <v>0</v>
      </c>
      <c r="D138" s="2"/>
      <c r="E138" s="3"/>
      <c r="F138" s="2"/>
      <c r="H138" s="2"/>
      <c r="I138" s="2"/>
    </row>
    <row r="139" spans="1:9" ht="15.75" customHeight="1">
      <c r="A139" s="2"/>
      <c r="B139" s="2">
        <f t="shared" si="8"/>
        <v>23</v>
      </c>
      <c r="C139" s="145">
        <f t="shared" si="7"/>
        <v>0</v>
      </c>
      <c r="D139" s="2"/>
      <c r="E139" s="3"/>
      <c r="F139" s="2"/>
      <c r="H139" s="2"/>
      <c r="I139" s="2"/>
    </row>
    <row r="140" spans="1:9" ht="15.75" customHeight="1">
      <c r="A140" s="2"/>
      <c r="B140" s="2">
        <f t="shared" si="8"/>
        <v>24</v>
      </c>
      <c r="C140" s="145">
        <f t="shared" si="7"/>
        <v>0</v>
      </c>
      <c r="D140" s="2"/>
      <c r="E140" s="3"/>
      <c r="F140" s="2"/>
      <c r="H140" s="2"/>
      <c r="I140" s="2"/>
    </row>
    <row r="141" spans="1:9" ht="15.75" customHeight="1">
      <c r="A141" s="2"/>
      <c r="B141" s="146" t="s">
        <v>270</v>
      </c>
      <c r="C141" s="146">
        <f>SUM(C129:C140)</f>
        <v>0</v>
      </c>
      <c r="D141" s="2"/>
      <c r="E141" s="3"/>
      <c r="F141" s="2"/>
      <c r="H141" s="2"/>
      <c r="I141" s="2"/>
    </row>
    <row r="142" spans="1:9" ht="15.75" customHeight="1">
      <c r="A142" s="2"/>
      <c r="C142" s="145"/>
      <c r="D142" s="2"/>
      <c r="E142" s="3"/>
      <c r="F142" s="2"/>
      <c r="H142" s="2"/>
      <c r="I142" s="2"/>
    </row>
    <row r="143" spans="1:9" ht="15.75" customHeight="1">
      <c r="A143" s="2"/>
      <c r="B143" s="2">
        <f>B140+1</f>
        <v>25</v>
      </c>
      <c r="C143" s="145">
        <f t="shared" ref="C143:C154" si="9">SUMIF($B$10:$B$109,B143,$E$10:$E$109)</f>
        <v>0</v>
      </c>
      <c r="D143" s="2"/>
      <c r="E143" s="3"/>
      <c r="F143" s="2"/>
      <c r="H143" s="2"/>
      <c r="I143" s="2"/>
    </row>
    <row r="144" spans="1:9" ht="15.75" customHeight="1">
      <c r="A144" s="2"/>
      <c r="B144" s="2">
        <f t="shared" ref="B144:B154" si="10">B143+1</f>
        <v>26</v>
      </c>
      <c r="C144" s="145">
        <f t="shared" si="9"/>
        <v>0</v>
      </c>
      <c r="D144" s="2"/>
      <c r="E144" s="3"/>
      <c r="F144" s="2"/>
      <c r="H144" s="2"/>
      <c r="I144" s="2"/>
    </row>
    <row r="145" spans="1:10" ht="15.75" customHeight="1">
      <c r="A145" s="2"/>
      <c r="B145" s="2">
        <f t="shared" si="10"/>
        <v>27</v>
      </c>
      <c r="C145" s="145">
        <f t="shared" si="9"/>
        <v>0</v>
      </c>
      <c r="D145" s="2"/>
      <c r="E145" s="3"/>
      <c r="F145" s="2"/>
      <c r="H145" s="2"/>
      <c r="I145" s="2"/>
    </row>
    <row r="146" spans="1:10" ht="15.75" customHeight="1">
      <c r="A146" s="2"/>
      <c r="B146" s="2">
        <f t="shared" si="10"/>
        <v>28</v>
      </c>
      <c r="C146" s="145">
        <f t="shared" si="9"/>
        <v>0</v>
      </c>
      <c r="D146" s="2"/>
      <c r="E146" s="3"/>
      <c r="F146" s="2"/>
      <c r="H146" s="2"/>
      <c r="I146" s="2"/>
    </row>
    <row r="147" spans="1:10" ht="15.75" customHeight="1">
      <c r="A147" s="2"/>
      <c r="B147" s="2">
        <f t="shared" si="10"/>
        <v>29</v>
      </c>
      <c r="C147" s="145">
        <f t="shared" si="9"/>
        <v>0</v>
      </c>
      <c r="D147" s="2"/>
      <c r="E147" s="3"/>
      <c r="F147" s="2"/>
      <c r="H147" s="2"/>
      <c r="I147" s="2"/>
    </row>
    <row r="148" spans="1:10" ht="15.75" customHeight="1">
      <c r="A148" s="2"/>
      <c r="B148" s="2">
        <f t="shared" si="10"/>
        <v>30</v>
      </c>
      <c r="C148" s="145">
        <f t="shared" si="9"/>
        <v>0</v>
      </c>
      <c r="D148" s="2"/>
      <c r="E148" s="3"/>
      <c r="F148" s="2"/>
      <c r="H148" s="2"/>
      <c r="I148" s="2"/>
    </row>
    <row r="149" spans="1:10" ht="15.75" customHeight="1">
      <c r="A149" s="2"/>
      <c r="B149" s="2">
        <f t="shared" si="10"/>
        <v>31</v>
      </c>
      <c r="C149" s="145">
        <f t="shared" si="9"/>
        <v>0</v>
      </c>
      <c r="D149" s="2"/>
      <c r="E149" s="3"/>
      <c r="F149" s="2"/>
      <c r="H149" s="2"/>
      <c r="I149" s="2"/>
    </row>
    <row r="150" spans="1:10" ht="15.75" customHeight="1">
      <c r="A150" s="2"/>
      <c r="B150" s="2">
        <f t="shared" si="10"/>
        <v>32</v>
      </c>
      <c r="C150" s="145">
        <f t="shared" si="9"/>
        <v>0</v>
      </c>
      <c r="D150" s="2"/>
      <c r="E150" s="3"/>
      <c r="F150" s="2"/>
      <c r="H150" s="2"/>
      <c r="I150" s="2"/>
    </row>
    <row r="151" spans="1:10" ht="15.75" customHeight="1">
      <c r="A151" s="2"/>
      <c r="B151" s="2">
        <f t="shared" si="10"/>
        <v>33</v>
      </c>
      <c r="C151" s="145">
        <f t="shared" si="9"/>
        <v>0</v>
      </c>
      <c r="D151" s="2"/>
      <c r="E151" s="3"/>
      <c r="F151" s="2"/>
      <c r="H151" s="2"/>
      <c r="I151" s="2"/>
    </row>
    <row r="152" spans="1:10" ht="15.75" customHeight="1">
      <c r="A152" s="2"/>
      <c r="B152" s="2">
        <f t="shared" si="10"/>
        <v>34</v>
      </c>
      <c r="C152" s="145">
        <f t="shared" si="9"/>
        <v>0</v>
      </c>
      <c r="D152" s="2"/>
      <c r="E152" s="3"/>
      <c r="F152" s="2"/>
      <c r="H152" s="2"/>
      <c r="I152" s="2"/>
    </row>
    <row r="153" spans="1:10" ht="15.75" customHeight="1">
      <c r="A153" s="2"/>
      <c r="B153" s="2">
        <f t="shared" si="10"/>
        <v>35</v>
      </c>
      <c r="C153" s="145">
        <f t="shared" si="9"/>
        <v>0</v>
      </c>
      <c r="D153" s="2"/>
      <c r="E153" s="3"/>
      <c r="F153" s="2"/>
      <c r="H153" s="2"/>
      <c r="I153" s="2"/>
    </row>
    <row r="154" spans="1:10" ht="15.75" customHeight="1">
      <c r="A154" s="2"/>
      <c r="B154" s="2">
        <f t="shared" si="10"/>
        <v>36</v>
      </c>
      <c r="C154" s="145">
        <f t="shared" si="9"/>
        <v>0</v>
      </c>
      <c r="D154" s="2"/>
      <c r="E154" s="3"/>
      <c r="F154" s="2"/>
      <c r="H154" s="2"/>
      <c r="I154" s="2"/>
    </row>
    <row r="155" spans="1:10" ht="15.75" customHeight="1">
      <c r="A155" s="2"/>
      <c r="B155" s="146" t="s">
        <v>271</v>
      </c>
      <c r="C155" s="146">
        <f>SUM(C143:C154)</f>
        <v>0</v>
      </c>
      <c r="D155" s="2"/>
      <c r="E155" s="3"/>
      <c r="F155" s="2"/>
      <c r="H155" s="2"/>
      <c r="I155" s="2"/>
    </row>
    <row r="156" spans="1:10" ht="15.75" customHeight="1">
      <c r="A156" s="2"/>
      <c r="C156" s="145"/>
      <c r="D156" s="2"/>
      <c r="E156" s="3"/>
      <c r="F156" s="2"/>
      <c r="H156" s="2"/>
      <c r="I156" s="2"/>
    </row>
    <row r="157" spans="1:10" ht="15.75" customHeight="1">
      <c r="A157" s="2"/>
      <c r="B157" s="2">
        <f>B154+1</f>
        <v>37</v>
      </c>
      <c r="C157" s="145">
        <f t="shared" ref="C157:C168" si="11">SUMIF($B$10:$B$109,B157,$E$10:$E$109)</f>
        <v>0</v>
      </c>
      <c r="D157" s="2"/>
      <c r="E157" s="3"/>
      <c r="F157" s="2"/>
      <c r="G157" s="2"/>
      <c r="H157" s="2"/>
      <c r="I157" s="2"/>
      <c r="J157" s="2"/>
    </row>
    <row r="158" spans="1:10" ht="15.75" customHeight="1">
      <c r="A158" s="2"/>
      <c r="B158" s="2">
        <f t="shared" ref="B158:B168" si="12">B157+1</f>
        <v>38</v>
      </c>
      <c r="C158" s="145">
        <f t="shared" si="11"/>
        <v>0</v>
      </c>
      <c r="D158" s="2"/>
      <c r="E158" s="3"/>
      <c r="F158" s="2"/>
      <c r="G158" s="2"/>
      <c r="H158" s="2"/>
      <c r="I158" s="2"/>
      <c r="J158" s="2"/>
    </row>
    <row r="159" spans="1:10" ht="15.75" customHeight="1">
      <c r="A159" s="2"/>
      <c r="B159" s="2">
        <f t="shared" si="12"/>
        <v>39</v>
      </c>
      <c r="C159" s="145">
        <f t="shared" si="11"/>
        <v>0</v>
      </c>
      <c r="D159" s="2"/>
      <c r="E159" s="3"/>
      <c r="F159" s="2"/>
      <c r="G159" s="2"/>
      <c r="H159" s="2"/>
      <c r="I159" s="2"/>
      <c r="J159" s="2"/>
    </row>
    <row r="160" spans="1:10" ht="15.75" customHeight="1">
      <c r="A160" s="2"/>
      <c r="B160" s="2">
        <f t="shared" si="12"/>
        <v>40</v>
      </c>
      <c r="C160" s="145">
        <f t="shared" si="11"/>
        <v>0</v>
      </c>
      <c r="D160" s="2"/>
      <c r="E160" s="3"/>
      <c r="F160" s="2"/>
      <c r="G160" s="2"/>
      <c r="H160" s="2"/>
      <c r="I160" s="2"/>
      <c r="J160" s="2"/>
    </row>
    <row r="161" spans="1:10" ht="15.75" customHeight="1">
      <c r="A161" s="2"/>
      <c r="B161" s="2">
        <f t="shared" si="12"/>
        <v>41</v>
      </c>
      <c r="C161" s="145">
        <f t="shared" si="11"/>
        <v>0</v>
      </c>
      <c r="D161" s="2"/>
      <c r="E161" s="3"/>
      <c r="F161" s="2"/>
      <c r="G161" s="2"/>
      <c r="H161" s="2"/>
      <c r="I161" s="2"/>
      <c r="J161" s="2"/>
    </row>
    <row r="162" spans="1:10" ht="15.75" customHeight="1">
      <c r="A162" s="2"/>
      <c r="B162" s="2">
        <f t="shared" si="12"/>
        <v>42</v>
      </c>
      <c r="C162" s="145">
        <f t="shared" si="11"/>
        <v>0</v>
      </c>
      <c r="D162" s="2"/>
      <c r="E162" s="3"/>
      <c r="F162" s="2"/>
      <c r="G162" s="2"/>
      <c r="H162" s="2"/>
      <c r="I162" s="2"/>
      <c r="J162" s="2"/>
    </row>
    <row r="163" spans="1:10" ht="15.75" customHeight="1">
      <c r="A163" s="2"/>
      <c r="B163" s="2">
        <f t="shared" si="12"/>
        <v>43</v>
      </c>
      <c r="C163" s="145">
        <f t="shared" si="11"/>
        <v>0</v>
      </c>
      <c r="D163" s="2"/>
      <c r="E163" s="3"/>
      <c r="F163" s="2"/>
      <c r="G163" s="2"/>
      <c r="H163" s="2"/>
      <c r="I163" s="2"/>
      <c r="J163" s="2"/>
    </row>
    <row r="164" spans="1:10" ht="15.75" customHeight="1">
      <c r="A164" s="2"/>
      <c r="B164" s="2">
        <f t="shared" si="12"/>
        <v>44</v>
      </c>
      <c r="C164" s="145">
        <f t="shared" si="11"/>
        <v>0</v>
      </c>
      <c r="D164" s="2"/>
      <c r="E164" s="3"/>
      <c r="F164" s="2"/>
      <c r="G164" s="2"/>
      <c r="H164" s="2"/>
      <c r="I164" s="2"/>
      <c r="J164" s="2"/>
    </row>
    <row r="165" spans="1:10" ht="15.75" customHeight="1">
      <c r="A165" s="2"/>
      <c r="B165" s="2">
        <f t="shared" si="12"/>
        <v>45</v>
      </c>
      <c r="C165" s="145">
        <f t="shared" si="11"/>
        <v>0</v>
      </c>
      <c r="D165" s="2"/>
      <c r="E165" s="3"/>
      <c r="F165" s="2"/>
      <c r="G165" s="2"/>
      <c r="H165" s="2"/>
      <c r="I165" s="2"/>
      <c r="J165" s="2"/>
    </row>
    <row r="166" spans="1:10" ht="15.75" customHeight="1">
      <c r="A166" s="2"/>
      <c r="B166" s="2">
        <f t="shared" si="12"/>
        <v>46</v>
      </c>
      <c r="C166" s="145">
        <f t="shared" si="11"/>
        <v>0</v>
      </c>
      <c r="D166" s="2"/>
      <c r="E166" s="3"/>
      <c r="F166" s="2"/>
      <c r="G166" s="2"/>
      <c r="H166" s="2"/>
      <c r="I166" s="2"/>
      <c r="J166" s="2"/>
    </row>
    <row r="167" spans="1:10" ht="15.75" customHeight="1">
      <c r="A167" s="2"/>
      <c r="B167" s="2">
        <f t="shared" si="12"/>
        <v>47</v>
      </c>
      <c r="C167" s="145">
        <f t="shared" si="11"/>
        <v>0</v>
      </c>
      <c r="D167" s="2"/>
      <c r="E167" s="3"/>
      <c r="F167" s="2"/>
      <c r="G167" s="2"/>
      <c r="H167" s="2"/>
      <c r="I167" s="2"/>
      <c r="J167" s="2"/>
    </row>
    <row r="168" spans="1:10" ht="15.75" customHeight="1">
      <c r="A168" s="2"/>
      <c r="B168" s="2">
        <f t="shared" si="12"/>
        <v>48</v>
      </c>
      <c r="C168" s="145">
        <f t="shared" si="11"/>
        <v>0</v>
      </c>
      <c r="D168" s="2"/>
      <c r="E168" s="3"/>
      <c r="F168" s="2"/>
      <c r="G168" s="2"/>
      <c r="H168" s="2"/>
      <c r="I168" s="2"/>
      <c r="J168" s="2"/>
    </row>
    <row r="169" spans="1:10" ht="15.75" customHeight="1">
      <c r="A169" s="2"/>
      <c r="B169" s="146" t="s">
        <v>272</v>
      </c>
      <c r="C169" s="146">
        <f>SUM(C157:C168)</f>
        <v>0</v>
      </c>
      <c r="D169" s="2"/>
      <c r="E169" s="3"/>
      <c r="F169" s="2"/>
      <c r="G169" s="2"/>
      <c r="H169" s="2"/>
      <c r="I169" s="2"/>
      <c r="J169" s="2"/>
    </row>
    <row r="170" spans="1:10" ht="15.75" customHeight="1">
      <c r="A170" s="2"/>
      <c r="B170" s="2"/>
      <c r="C170" s="145"/>
      <c r="D170" s="2"/>
      <c r="E170" s="3"/>
      <c r="F170" s="2"/>
      <c r="G170" s="2"/>
      <c r="H170" s="2"/>
      <c r="I170" s="2"/>
      <c r="J170" s="2"/>
    </row>
    <row r="171" spans="1:10" ht="15.75" customHeight="1">
      <c r="A171" s="2"/>
      <c r="B171" s="2">
        <f>B168+1</f>
        <v>49</v>
      </c>
      <c r="C171" s="145">
        <f t="shared" ref="C171:C182" si="13">SUMIF($B$10:$B$109,B171,$E$10:$E$109)</f>
        <v>0</v>
      </c>
      <c r="D171" s="2"/>
      <c r="E171" s="3"/>
      <c r="F171" s="2"/>
      <c r="G171" s="2"/>
      <c r="H171" s="2"/>
      <c r="I171" s="2"/>
      <c r="J171" s="2"/>
    </row>
    <row r="172" spans="1:10" ht="15.75" customHeight="1">
      <c r="A172" s="2"/>
      <c r="B172" s="2">
        <f t="shared" ref="B172:B182" si="14">B171+1</f>
        <v>50</v>
      </c>
      <c r="C172" s="145">
        <f t="shared" si="13"/>
        <v>0</v>
      </c>
      <c r="D172" s="2"/>
      <c r="E172" s="3"/>
      <c r="F172" s="2"/>
      <c r="G172" s="2"/>
      <c r="H172" s="2"/>
      <c r="I172" s="2"/>
      <c r="J172" s="2"/>
    </row>
    <row r="173" spans="1:10" ht="15.75" customHeight="1">
      <c r="A173" s="2"/>
      <c r="B173" s="2">
        <f t="shared" si="14"/>
        <v>51</v>
      </c>
      <c r="C173" s="145">
        <f t="shared" si="13"/>
        <v>0</v>
      </c>
      <c r="D173" s="2"/>
      <c r="E173" s="3"/>
      <c r="F173" s="2"/>
      <c r="G173" s="2"/>
      <c r="H173" s="2"/>
      <c r="I173" s="2"/>
      <c r="J173" s="2"/>
    </row>
    <row r="174" spans="1:10" ht="15.75" customHeight="1">
      <c r="A174" s="2"/>
      <c r="B174" s="2">
        <f t="shared" si="14"/>
        <v>52</v>
      </c>
      <c r="C174" s="145">
        <f t="shared" si="13"/>
        <v>0</v>
      </c>
      <c r="D174" s="2"/>
      <c r="E174" s="3"/>
      <c r="F174" s="2"/>
      <c r="G174" s="2"/>
      <c r="H174" s="2"/>
      <c r="I174" s="2"/>
      <c r="J174" s="2"/>
    </row>
    <row r="175" spans="1:10" ht="15.75" customHeight="1">
      <c r="A175" s="2"/>
      <c r="B175" s="2">
        <f t="shared" si="14"/>
        <v>53</v>
      </c>
      <c r="C175" s="145">
        <f t="shared" si="13"/>
        <v>0</v>
      </c>
      <c r="D175" s="2"/>
      <c r="E175" s="3"/>
      <c r="F175" s="2"/>
      <c r="G175" s="2"/>
      <c r="H175" s="2"/>
      <c r="I175" s="2"/>
      <c r="J175" s="2"/>
    </row>
    <row r="176" spans="1:10" ht="15.75" customHeight="1">
      <c r="A176" s="2"/>
      <c r="B176" s="2">
        <f t="shared" si="14"/>
        <v>54</v>
      </c>
      <c r="C176" s="145">
        <f t="shared" si="13"/>
        <v>0</v>
      </c>
      <c r="D176" s="2"/>
      <c r="E176" s="3"/>
      <c r="F176" s="2"/>
      <c r="G176" s="2"/>
      <c r="H176" s="2"/>
      <c r="I176" s="2"/>
      <c r="J176" s="2"/>
    </row>
    <row r="177" spans="1:10" ht="15.75" customHeight="1">
      <c r="A177" s="2"/>
      <c r="B177" s="2">
        <f t="shared" si="14"/>
        <v>55</v>
      </c>
      <c r="C177" s="145">
        <f t="shared" si="13"/>
        <v>0</v>
      </c>
      <c r="D177" s="2"/>
      <c r="E177" s="3"/>
      <c r="F177" s="2"/>
      <c r="G177" s="2"/>
      <c r="H177" s="2"/>
      <c r="I177" s="2"/>
      <c r="J177" s="2"/>
    </row>
    <row r="178" spans="1:10" ht="15.75" customHeight="1">
      <c r="A178" s="2"/>
      <c r="B178" s="2">
        <f t="shared" si="14"/>
        <v>56</v>
      </c>
      <c r="C178" s="145">
        <f t="shared" si="13"/>
        <v>0</v>
      </c>
      <c r="D178" s="2"/>
      <c r="E178" s="3"/>
      <c r="F178" s="2"/>
      <c r="G178" s="2"/>
      <c r="H178" s="2"/>
      <c r="I178" s="2"/>
      <c r="J178" s="2"/>
    </row>
    <row r="179" spans="1:10" ht="15.75" customHeight="1">
      <c r="A179" s="2"/>
      <c r="B179" s="2">
        <f t="shared" si="14"/>
        <v>57</v>
      </c>
      <c r="C179" s="145">
        <f t="shared" si="13"/>
        <v>0</v>
      </c>
      <c r="D179" s="2"/>
      <c r="E179" s="3"/>
      <c r="F179" s="2"/>
      <c r="G179" s="2"/>
      <c r="H179" s="2"/>
      <c r="I179" s="2"/>
      <c r="J179" s="2"/>
    </row>
    <row r="180" spans="1:10" ht="15.75" customHeight="1">
      <c r="A180" s="2"/>
      <c r="B180" s="2">
        <f t="shared" si="14"/>
        <v>58</v>
      </c>
      <c r="C180" s="145">
        <f t="shared" si="13"/>
        <v>0</v>
      </c>
      <c r="D180" s="2"/>
      <c r="E180" s="3"/>
      <c r="F180" s="2"/>
      <c r="G180" s="2"/>
      <c r="H180" s="2"/>
      <c r="I180" s="2"/>
      <c r="J180" s="2"/>
    </row>
    <row r="181" spans="1:10" ht="15.75" customHeight="1">
      <c r="A181" s="2"/>
      <c r="B181" s="2">
        <f t="shared" si="14"/>
        <v>59</v>
      </c>
      <c r="C181" s="145">
        <f t="shared" si="13"/>
        <v>0</v>
      </c>
      <c r="D181" s="2"/>
      <c r="E181" s="3"/>
      <c r="F181" s="2"/>
      <c r="G181" s="2"/>
      <c r="H181" s="2"/>
      <c r="I181" s="2"/>
      <c r="J181" s="2"/>
    </row>
    <row r="182" spans="1:10" ht="15.75" customHeight="1">
      <c r="A182" s="2"/>
      <c r="B182" s="2">
        <f t="shared" si="14"/>
        <v>60</v>
      </c>
      <c r="C182" s="145">
        <f t="shared" si="13"/>
        <v>0</v>
      </c>
      <c r="D182" s="2"/>
      <c r="E182" s="3"/>
      <c r="F182" s="2"/>
      <c r="G182" s="2"/>
      <c r="H182" s="2"/>
      <c r="I182" s="2"/>
      <c r="J182" s="2"/>
    </row>
    <row r="183" spans="1:10" ht="15.75" customHeight="1">
      <c r="A183" s="2"/>
      <c r="B183" s="146" t="s">
        <v>273</v>
      </c>
      <c r="C183" s="146">
        <f>SUM(C171:C182)</f>
        <v>0</v>
      </c>
      <c r="D183" s="2"/>
      <c r="E183" s="3"/>
      <c r="F183" s="2"/>
      <c r="G183" s="2"/>
      <c r="H183" s="2"/>
      <c r="I183" s="2"/>
      <c r="J183" s="2"/>
    </row>
    <row r="184" spans="1:10" ht="15.75" customHeight="1">
      <c r="A184" s="2"/>
      <c r="B184" s="2"/>
      <c r="C184" s="145"/>
      <c r="D184" s="2"/>
      <c r="E184" s="3"/>
      <c r="F184" s="2"/>
      <c r="G184" s="2"/>
      <c r="H184" s="2"/>
      <c r="I184" s="2"/>
      <c r="J184" s="2"/>
    </row>
    <row r="185" spans="1:10" ht="15.75" customHeight="1"/>
    <row r="186" spans="1:10" ht="15.75" customHeight="1"/>
    <row r="187" spans="1:10" ht="15.75" customHeight="1"/>
    <row r="188" spans="1:10" ht="15.75" customHeight="1"/>
    <row r="189" spans="1:10" ht="15.75" customHeight="1"/>
    <row r="190" spans="1:10" ht="15.75" customHeight="1"/>
    <row r="191" spans="1:10" ht="15.75" customHeight="1"/>
    <row r="192" spans="1:10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rotectedRanges>
    <protectedRange sqref="B10:F109 H10:H109" name="Range1"/>
  </protectedRanges>
  <mergeCells count="2">
    <mergeCell ref="B8:F8"/>
    <mergeCell ref="G8:J8"/>
  </mergeCells>
  <dataValidations count="1">
    <dataValidation type="list" allowBlank="1" showErrorMessage="1" sqref="B10:B109" xr:uid="{00000000-0002-0000-0900-000000000000}">
      <formula1>No_Mos</formula1>
    </dataValidation>
  </dataValidation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5631-6A10-4D0A-ACDF-CBF481360159}">
  <dimension ref="A1:C35"/>
  <sheetViews>
    <sheetView workbookViewId="0">
      <selection activeCell="G22" sqref="G22"/>
    </sheetView>
  </sheetViews>
  <sheetFormatPr defaultRowHeight="15"/>
  <cols>
    <col min="1" max="1" width="57.85546875" bestFit="1" customWidth="1"/>
    <col min="2" max="2" width="0" hidden="1" customWidth="1"/>
  </cols>
  <sheetData>
    <row r="1" spans="1:3">
      <c r="A1" s="342" t="s">
        <v>258</v>
      </c>
      <c r="B1" s="343" t="s">
        <v>259</v>
      </c>
      <c r="C1" s="344" t="s">
        <v>128</v>
      </c>
    </row>
    <row r="2" spans="1:3">
      <c r="A2" s="345" t="s">
        <v>584</v>
      </c>
      <c r="B2" s="125"/>
      <c r="C2" s="346">
        <v>0</v>
      </c>
    </row>
    <row r="3" spans="1:3">
      <c r="A3" s="347" t="s">
        <v>565</v>
      </c>
      <c r="B3" s="125"/>
      <c r="C3" s="348">
        <v>50000</v>
      </c>
    </row>
    <row r="4" spans="1:3">
      <c r="A4" s="347" t="s">
        <v>614</v>
      </c>
      <c r="B4" s="125" t="s">
        <v>585</v>
      </c>
      <c r="C4" s="348">
        <v>400000</v>
      </c>
    </row>
    <row r="5" spans="1:3">
      <c r="A5" s="349" t="s">
        <v>587</v>
      </c>
      <c r="B5" s="125" t="s">
        <v>586</v>
      </c>
      <c r="C5" s="348">
        <v>26000</v>
      </c>
    </row>
    <row r="6" spans="1:3">
      <c r="A6" s="349" t="s">
        <v>588</v>
      </c>
      <c r="B6" s="125"/>
      <c r="C6" s="348">
        <v>20000</v>
      </c>
    </row>
    <row r="7" spans="1:3">
      <c r="A7" s="349" t="s">
        <v>592</v>
      </c>
      <c r="B7" s="125"/>
      <c r="C7" s="348">
        <v>18000</v>
      </c>
    </row>
    <row r="8" spans="1:3">
      <c r="A8" s="347" t="s">
        <v>595</v>
      </c>
      <c r="B8" s="125" t="s">
        <v>593</v>
      </c>
      <c r="C8" s="348">
        <v>11000</v>
      </c>
    </row>
    <row r="9" spans="1:3">
      <c r="A9" s="349" t="s">
        <v>596</v>
      </c>
      <c r="B9" s="125"/>
      <c r="C9" s="348">
        <v>10000</v>
      </c>
    </row>
    <row r="10" spans="1:3">
      <c r="A10" s="349" t="s">
        <v>265</v>
      </c>
      <c r="B10" s="125"/>
      <c r="C10" s="348">
        <v>3000</v>
      </c>
    </row>
    <row r="11" spans="1:3">
      <c r="A11" s="349" t="s">
        <v>602</v>
      </c>
      <c r="B11" s="125"/>
      <c r="C11" s="348">
        <v>26000</v>
      </c>
    </row>
    <row r="12" spans="1:3">
      <c r="A12" s="349" t="s">
        <v>266</v>
      </c>
      <c r="B12" s="125"/>
      <c r="C12" s="348">
        <v>0</v>
      </c>
    </row>
    <row r="13" spans="1:3">
      <c r="A13" s="349" t="s">
        <v>267</v>
      </c>
      <c r="B13" s="125"/>
      <c r="C13" s="348">
        <v>4800</v>
      </c>
    </row>
    <row r="14" spans="1:3">
      <c r="A14" s="347" t="s">
        <v>594</v>
      </c>
      <c r="B14" s="125"/>
      <c r="C14" s="348">
        <f>15*85</f>
        <v>1275</v>
      </c>
    </row>
    <row r="15" spans="1:3">
      <c r="A15" s="349" t="s">
        <v>590</v>
      </c>
      <c r="B15" s="125"/>
      <c r="C15" s="348">
        <f>50*110</f>
        <v>5500</v>
      </c>
    </row>
    <row r="16" spans="1:3">
      <c r="A16" s="349" t="s">
        <v>591</v>
      </c>
      <c r="B16" s="125"/>
      <c r="C16" s="348">
        <f>20*75</f>
        <v>1500</v>
      </c>
    </row>
    <row r="17" spans="1:3">
      <c r="A17" s="347" t="s">
        <v>566</v>
      </c>
      <c r="B17" s="125"/>
      <c r="C17" s="348">
        <v>10000</v>
      </c>
    </row>
    <row r="18" spans="1:3">
      <c r="A18" s="347" t="s">
        <v>164</v>
      </c>
      <c r="B18" s="125"/>
      <c r="C18" s="348">
        <v>25000</v>
      </c>
    </row>
    <row r="19" spans="1:3">
      <c r="A19" s="347" t="s">
        <v>567</v>
      </c>
      <c r="B19" s="125"/>
      <c r="C19" s="348">
        <v>20000</v>
      </c>
    </row>
    <row r="20" spans="1:3">
      <c r="A20" s="347" t="s">
        <v>571</v>
      </c>
      <c r="B20" s="125"/>
      <c r="C20" s="348">
        <v>2000</v>
      </c>
    </row>
    <row r="21" spans="1:3">
      <c r="A21" s="347" t="s">
        <v>572</v>
      </c>
      <c r="B21" s="125"/>
      <c r="C21" s="348">
        <v>1500</v>
      </c>
    </row>
    <row r="22" spans="1:3">
      <c r="A22" s="347" t="s">
        <v>573</v>
      </c>
      <c r="B22" s="125"/>
      <c r="C22" s="348">
        <v>2000</v>
      </c>
    </row>
    <row r="23" spans="1:3">
      <c r="A23" s="347" t="s">
        <v>568</v>
      </c>
      <c r="B23" s="125"/>
      <c r="C23" s="348">
        <v>10000</v>
      </c>
    </row>
    <row r="24" spans="1:3">
      <c r="A24" s="347" t="s">
        <v>569</v>
      </c>
      <c r="B24" s="125"/>
      <c r="C24" s="348">
        <v>20000</v>
      </c>
    </row>
    <row r="25" spans="1:3">
      <c r="A25" s="347" t="s">
        <v>570</v>
      </c>
      <c r="B25" s="125"/>
      <c r="C25" s="348">
        <v>5000</v>
      </c>
    </row>
    <row r="26" spans="1:3">
      <c r="A26" s="347" t="s">
        <v>606</v>
      </c>
      <c r="B26" s="125"/>
      <c r="C26" s="348">
        <f>SUM(C2:C25)*0.1</f>
        <v>67257.5</v>
      </c>
    </row>
    <row r="27" spans="1:3" ht="15.75" thickBot="1">
      <c r="A27" s="353" t="s">
        <v>613</v>
      </c>
      <c r="B27" s="354"/>
      <c r="C27" s="355">
        <f>SUM(C2:C26)</f>
        <v>739832.5</v>
      </c>
    </row>
    <row r="28" spans="1:3" ht="15.75" thickTop="1">
      <c r="A28" s="347"/>
      <c r="B28" s="125"/>
      <c r="C28" s="348"/>
    </row>
    <row r="29" spans="1:3">
      <c r="A29" s="347" t="s">
        <v>615</v>
      </c>
      <c r="B29" s="125"/>
      <c r="C29" s="348">
        <v>2000</v>
      </c>
    </row>
    <row r="30" spans="1:3">
      <c r="A30" s="347" t="s">
        <v>616</v>
      </c>
      <c r="B30" s="125"/>
      <c r="C30" s="348">
        <v>5000</v>
      </c>
    </row>
    <row r="31" spans="1:3">
      <c r="A31" s="347" t="s">
        <v>617</v>
      </c>
      <c r="B31" s="125"/>
      <c r="C31" s="348">
        <v>5000</v>
      </c>
    </row>
    <row r="32" spans="1:3">
      <c r="A32" s="347" t="s">
        <v>618</v>
      </c>
      <c r="B32" s="125"/>
      <c r="C32" s="348">
        <v>1000</v>
      </c>
    </row>
    <row r="33" spans="1:3">
      <c r="A33" s="347" t="s">
        <v>619</v>
      </c>
      <c r="B33" s="125"/>
      <c r="C33" s="348">
        <v>40000</v>
      </c>
    </row>
    <row r="34" spans="1:3" ht="15.75" thickBot="1">
      <c r="A34" s="353" t="s">
        <v>620</v>
      </c>
      <c r="B34" s="354"/>
      <c r="C34" s="355">
        <f>SUM(C28:C33)</f>
        <v>53000</v>
      </c>
    </row>
    <row r="35" spans="1:3" ht="16.5" thickTop="1" thickBot="1">
      <c r="A35" s="350" t="s">
        <v>621</v>
      </c>
      <c r="B35" s="351"/>
      <c r="C35" s="352">
        <f>C27+C34</f>
        <v>792832.5</v>
      </c>
    </row>
  </sheetData>
  <sheetProtection sheet="1" objects="1" scenarios="1"/>
  <protectedRanges>
    <protectedRange sqref="A2:C26" name="Range1"/>
  </protectedRange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U1000"/>
  <sheetViews>
    <sheetView workbookViewId="0">
      <selection activeCell="C23" sqref="C23"/>
    </sheetView>
  </sheetViews>
  <sheetFormatPr defaultColWidth="14.42578125" defaultRowHeight="15" customHeight="1"/>
  <cols>
    <col min="1" max="1" width="8.7109375" customWidth="1"/>
    <col min="2" max="2" width="32.140625" customWidth="1"/>
    <col min="3" max="3" width="9.7109375" customWidth="1"/>
    <col min="4" max="4" width="8.28515625" customWidth="1"/>
    <col min="5" max="5" width="10.5703125" customWidth="1"/>
    <col min="6" max="7" width="8.7109375" customWidth="1"/>
    <col min="8" max="8" width="9.5703125" customWidth="1"/>
    <col min="9" max="46" width="8.7109375" customWidth="1"/>
    <col min="47" max="72" width="9.140625" customWidth="1"/>
    <col min="73" max="73" width="8.7109375" customWidth="1"/>
  </cols>
  <sheetData>
    <row r="1" spans="1:73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3" ht="15.75" customHeight="1">
      <c r="A2" s="6" t="s">
        <v>295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</row>
    <row r="3" spans="1:73">
      <c r="A3" s="11"/>
      <c r="B3" s="11"/>
      <c r="C3" s="11"/>
      <c r="D3" s="11"/>
      <c r="E3" s="11"/>
      <c r="F3" s="11"/>
      <c r="G3" s="11"/>
      <c r="H3" s="31"/>
      <c r="I3" s="32"/>
      <c r="J3" s="32"/>
      <c r="K3" s="32"/>
      <c r="L3" s="32"/>
      <c r="M3" s="32"/>
      <c r="N3" s="33" t="s">
        <v>98</v>
      </c>
      <c r="O3" s="32"/>
      <c r="P3" s="32"/>
      <c r="Q3" s="32"/>
      <c r="R3" s="32"/>
      <c r="S3" s="32"/>
      <c r="T3" s="34"/>
      <c r="U3" s="31"/>
      <c r="V3" s="32"/>
      <c r="W3" s="32"/>
      <c r="X3" s="32"/>
      <c r="Y3" s="32"/>
      <c r="Z3" s="32"/>
      <c r="AA3" s="33" t="s">
        <v>99</v>
      </c>
      <c r="AB3" s="32"/>
      <c r="AC3" s="32"/>
      <c r="AD3" s="32"/>
      <c r="AE3" s="32"/>
      <c r="AF3" s="32"/>
      <c r="AG3" s="34"/>
      <c r="AH3" s="31"/>
      <c r="AI3" s="32"/>
      <c r="AJ3" s="32"/>
      <c r="AK3" s="32"/>
      <c r="AL3" s="32"/>
      <c r="AM3" s="32"/>
      <c r="AN3" s="33" t="s">
        <v>100</v>
      </c>
      <c r="AO3" s="32"/>
      <c r="AP3" s="32"/>
      <c r="AQ3" s="32"/>
      <c r="AR3" s="32"/>
      <c r="AS3" s="32"/>
      <c r="AT3" s="34"/>
      <c r="AU3" s="31"/>
      <c r="AV3" s="32"/>
      <c r="AW3" s="32"/>
      <c r="AX3" s="32"/>
      <c r="AY3" s="32"/>
      <c r="AZ3" s="32"/>
      <c r="BA3" s="33" t="s">
        <v>101</v>
      </c>
      <c r="BB3" s="32"/>
      <c r="BC3" s="32"/>
      <c r="BD3" s="32"/>
      <c r="BE3" s="32"/>
      <c r="BF3" s="32"/>
      <c r="BG3" s="34"/>
      <c r="BH3" s="31"/>
      <c r="BI3" s="32"/>
      <c r="BJ3" s="32"/>
      <c r="BK3" s="32"/>
      <c r="BL3" s="32"/>
      <c r="BM3" s="32"/>
      <c r="BN3" s="33" t="s">
        <v>102</v>
      </c>
      <c r="BO3" s="32"/>
      <c r="BP3" s="32"/>
      <c r="BQ3" s="32"/>
      <c r="BR3" s="32"/>
      <c r="BS3" s="32"/>
      <c r="BT3" s="34"/>
    </row>
    <row r="4" spans="1:73">
      <c r="A4" s="1"/>
      <c r="B4" s="1"/>
      <c r="C4" s="1"/>
      <c r="D4" s="1"/>
      <c r="E4" s="1"/>
      <c r="F4" s="1"/>
      <c r="G4" s="1"/>
      <c r="H4" s="35" t="str">
        <f>SOFP!F5</f>
        <v>Jan</v>
      </c>
      <c r="I4" s="35" t="str">
        <f>SOFP!G5</f>
        <v>Feb</v>
      </c>
      <c r="J4" s="35" t="str">
        <f>SOFP!H5</f>
        <v>Mar</v>
      </c>
      <c r="K4" s="35" t="str">
        <f>SOFP!I5</f>
        <v>Apr</v>
      </c>
      <c r="L4" s="35" t="str">
        <f>SOFP!J5</f>
        <v>May</v>
      </c>
      <c r="M4" s="35" t="str">
        <f>SOFP!K5</f>
        <v>Jun</v>
      </c>
      <c r="N4" s="35" t="str">
        <f>SOFP!L5</f>
        <v>Jul</v>
      </c>
      <c r="O4" s="35" t="str">
        <f>SOFP!M5</f>
        <v>Aug</v>
      </c>
      <c r="P4" s="35" t="str">
        <f>SOFP!N5</f>
        <v>Sep</v>
      </c>
      <c r="Q4" s="35" t="str">
        <f>SOFP!O5</f>
        <v>Oct</v>
      </c>
      <c r="R4" s="35" t="str">
        <f>SOFP!P5</f>
        <v>Nov</v>
      </c>
      <c r="S4" s="35" t="str">
        <f>SOFP!Q5</f>
        <v>Dec</v>
      </c>
      <c r="T4" s="36" t="s">
        <v>116</v>
      </c>
      <c r="U4" s="35" t="str">
        <f t="shared" ref="U4:AF4" si="0">H4</f>
        <v>Jan</v>
      </c>
      <c r="V4" s="35" t="str">
        <f t="shared" si="0"/>
        <v>Feb</v>
      </c>
      <c r="W4" s="35" t="str">
        <f t="shared" si="0"/>
        <v>Mar</v>
      </c>
      <c r="X4" s="35" t="str">
        <f t="shared" si="0"/>
        <v>Apr</v>
      </c>
      <c r="Y4" s="35" t="str">
        <f t="shared" si="0"/>
        <v>May</v>
      </c>
      <c r="Z4" s="35" t="str">
        <f t="shared" si="0"/>
        <v>Jun</v>
      </c>
      <c r="AA4" s="35" t="str">
        <f t="shared" si="0"/>
        <v>Jul</v>
      </c>
      <c r="AB4" s="35" t="str">
        <f t="shared" si="0"/>
        <v>Aug</v>
      </c>
      <c r="AC4" s="35" t="str">
        <f t="shared" si="0"/>
        <v>Sep</v>
      </c>
      <c r="AD4" s="35" t="str">
        <f t="shared" si="0"/>
        <v>Oct</v>
      </c>
      <c r="AE4" s="35" t="str">
        <f t="shared" si="0"/>
        <v>Nov</v>
      </c>
      <c r="AF4" s="35" t="str">
        <f t="shared" si="0"/>
        <v>Dec</v>
      </c>
      <c r="AG4" s="36" t="s">
        <v>116</v>
      </c>
      <c r="AH4" s="35" t="str">
        <f t="shared" ref="AH4:AS4" si="1">U4</f>
        <v>Jan</v>
      </c>
      <c r="AI4" s="35" t="str">
        <f t="shared" si="1"/>
        <v>Feb</v>
      </c>
      <c r="AJ4" s="35" t="str">
        <f t="shared" si="1"/>
        <v>Mar</v>
      </c>
      <c r="AK4" s="35" t="str">
        <f t="shared" si="1"/>
        <v>Apr</v>
      </c>
      <c r="AL4" s="35" t="str">
        <f t="shared" si="1"/>
        <v>May</v>
      </c>
      <c r="AM4" s="35" t="str">
        <f t="shared" si="1"/>
        <v>Jun</v>
      </c>
      <c r="AN4" s="35" t="str">
        <f t="shared" si="1"/>
        <v>Jul</v>
      </c>
      <c r="AO4" s="35" t="str">
        <f t="shared" si="1"/>
        <v>Aug</v>
      </c>
      <c r="AP4" s="35" t="str">
        <f t="shared" si="1"/>
        <v>Sep</v>
      </c>
      <c r="AQ4" s="35" t="str">
        <f t="shared" si="1"/>
        <v>Oct</v>
      </c>
      <c r="AR4" s="35" t="str">
        <f t="shared" si="1"/>
        <v>Nov</v>
      </c>
      <c r="AS4" s="35" t="str">
        <f t="shared" si="1"/>
        <v>Dec</v>
      </c>
      <c r="AT4" s="36" t="s">
        <v>116</v>
      </c>
      <c r="AU4" s="35" t="str">
        <f t="shared" ref="AU4:BF4" si="2">AH4</f>
        <v>Jan</v>
      </c>
      <c r="AV4" s="35" t="str">
        <f t="shared" si="2"/>
        <v>Feb</v>
      </c>
      <c r="AW4" s="35" t="str">
        <f t="shared" si="2"/>
        <v>Mar</v>
      </c>
      <c r="AX4" s="35" t="str">
        <f t="shared" si="2"/>
        <v>Apr</v>
      </c>
      <c r="AY4" s="35" t="str">
        <f t="shared" si="2"/>
        <v>May</v>
      </c>
      <c r="AZ4" s="35" t="str">
        <f t="shared" si="2"/>
        <v>Jun</v>
      </c>
      <c r="BA4" s="35" t="str">
        <f t="shared" si="2"/>
        <v>Jul</v>
      </c>
      <c r="BB4" s="35" t="str">
        <f t="shared" si="2"/>
        <v>Aug</v>
      </c>
      <c r="BC4" s="35" t="str">
        <f t="shared" si="2"/>
        <v>Sep</v>
      </c>
      <c r="BD4" s="35" t="str">
        <f t="shared" si="2"/>
        <v>Oct</v>
      </c>
      <c r="BE4" s="35" t="str">
        <f t="shared" si="2"/>
        <v>Nov</v>
      </c>
      <c r="BF4" s="35" t="str">
        <f t="shared" si="2"/>
        <v>Dec</v>
      </c>
      <c r="BG4" s="36" t="s">
        <v>116</v>
      </c>
      <c r="BH4" s="35" t="str">
        <f t="shared" ref="BH4:BS4" si="3">AU4</f>
        <v>Jan</v>
      </c>
      <c r="BI4" s="35" t="str">
        <f t="shared" si="3"/>
        <v>Feb</v>
      </c>
      <c r="BJ4" s="35" t="str">
        <f t="shared" si="3"/>
        <v>Mar</v>
      </c>
      <c r="BK4" s="35" t="str">
        <f t="shared" si="3"/>
        <v>Apr</v>
      </c>
      <c r="BL4" s="35" t="str">
        <f t="shared" si="3"/>
        <v>May</v>
      </c>
      <c r="BM4" s="35" t="str">
        <f t="shared" si="3"/>
        <v>Jun</v>
      </c>
      <c r="BN4" s="35" t="str">
        <f t="shared" si="3"/>
        <v>Jul</v>
      </c>
      <c r="BO4" s="35" t="str">
        <f t="shared" si="3"/>
        <v>Aug</v>
      </c>
      <c r="BP4" s="35" t="str">
        <f t="shared" si="3"/>
        <v>Sep</v>
      </c>
      <c r="BQ4" s="35" t="str">
        <f t="shared" si="3"/>
        <v>Oct</v>
      </c>
      <c r="BR4" s="35" t="str">
        <f t="shared" si="3"/>
        <v>Nov</v>
      </c>
      <c r="BS4" s="35" t="str">
        <f t="shared" si="3"/>
        <v>Dec</v>
      </c>
      <c r="BT4" s="36" t="s">
        <v>116</v>
      </c>
      <c r="BU4" s="36" t="s">
        <v>117</v>
      </c>
    </row>
    <row r="5" spans="1:73">
      <c r="A5" s="160" t="s">
        <v>296</v>
      </c>
      <c r="B5" s="161"/>
      <c r="C5" s="36" t="s">
        <v>297</v>
      </c>
      <c r="D5" s="36" t="s">
        <v>264</v>
      </c>
      <c r="E5" s="36" t="s">
        <v>263</v>
      </c>
      <c r="H5" s="3">
        <v>1</v>
      </c>
      <c r="I5" s="3">
        <v>2</v>
      </c>
      <c r="J5" s="3">
        <v>3</v>
      </c>
      <c r="K5" s="3">
        <v>4</v>
      </c>
      <c r="L5" s="3">
        <v>5</v>
      </c>
      <c r="M5" s="3">
        <v>6</v>
      </c>
      <c r="N5" s="3">
        <v>7</v>
      </c>
      <c r="O5" s="3">
        <v>8</v>
      </c>
      <c r="P5" s="3">
        <v>9</v>
      </c>
      <c r="Q5" s="3">
        <v>10</v>
      </c>
      <c r="R5" s="3">
        <v>11</v>
      </c>
      <c r="S5" s="3">
        <v>12</v>
      </c>
      <c r="T5" s="37"/>
      <c r="U5" s="3">
        <v>13</v>
      </c>
      <c r="V5" s="3">
        <v>14</v>
      </c>
      <c r="W5" s="3">
        <v>15</v>
      </c>
      <c r="X5" s="3">
        <v>16</v>
      </c>
      <c r="Y5" s="3">
        <v>17</v>
      </c>
      <c r="Z5" s="3">
        <v>18</v>
      </c>
      <c r="AA5" s="3">
        <v>19</v>
      </c>
      <c r="AB5" s="3">
        <v>20</v>
      </c>
      <c r="AC5" s="3">
        <v>21</v>
      </c>
      <c r="AD5" s="3">
        <v>22</v>
      </c>
      <c r="AE5" s="3">
        <v>23</v>
      </c>
      <c r="AF5" s="3">
        <v>24</v>
      </c>
      <c r="AG5" s="37"/>
      <c r="AH5" s="3">
        <v>25</v>
      </c>
      <c r="AI5" s="3">
        <v>26</v>
      </c>
      <c r="AJ5" s="3">
        <v>27</v>
      </c>
      <c r="AK5" s="3">
        <v>28</v>
      </c>
      <c r="AL5" s="3">
        <v>29</v>
      </c>
      <c r="AM5" s="3">
        <v>30</v>
      </c>
      <c r="AN5" s="3">
        <v>31</v>
      </c>
      <c r="AO5" s="3">
        <v>32</v>
      </c>
      <c r="AP5" s="3">
        <v>33</v>
      </c>
      <c r="AQ5" s="3">
        <v>34</v>
      </c>
      <c r="AR5" s="3">
        <v>35</v>
      </c>
      <c r="AS5" s="3">
        <v>36</v>
      </c>
      <c r="AT5" s="37"/>
      <c r="AU5" s="3">
        <v>37</v>
      </c>
      <c r="AV5" s="3">
        <v>38</v>
      </c>
      <c r="AW5" s="3">
        <v>39</v>
      </c>
      <c r="AX5" s="3">
        <v>40</v>
      </c>
      <c r="AY5" s="3">
        <v>41</v>
      </c>
      <c r="AZ5" s="3">
        <v>42</v>
      </c>
      <c r="BA5" s="3">
        <v>43</v>
      </c>
      <c r="BB5" s="3">
        <v>44</v>
      </c>
      <c r="BC5" s="3">
        <v>45</v>
      </c>
      <c r="BD5" s="3">
        <v>46</v>
      </c>
      <c r="BE5" s="3">
        <v>47</v>
      </c>
      <c r="BF5" s="3">
        <v>48</v>
      </c>
      <c r="BG5" s="37"/>
      <c r="BH5" s="3">
        <v>49</v>
      </c>
      <c r="BI5" s="3">
        <v>50</v>
      </c>
      <c r="BJ5" s="3">
        <v>51</v>
      </c>
      <c r="BK5" s="3">
        <v>52</v>
      </c>
      <c r="BL5" s="3">
        <v>53</v>
      </c>
      <c r="BM5" s="3">
        <v>54</v>
      </c>
      <c r="BN5" s="3">
        <v>55</v>
      </c>
      <c r="BO5" s="3">
        <v>56</v>
      </c>
      <c r="BP5" s="3">
        <v>57</v>
      </c>
      <c r="BQ5" s="3">
        <v>58</v>
      </c>
      <c r="BR5" s="3">
        <v>59</v>
      </c>
      <c r="BS5" s="3">
        <v>60</v>
      </c>
      <c r="BT5" s="37"/>
      <c r="BU5" s="3"/>
    </row>
    <row r="6" spans="1:73">
      <c r="A6" s="54" t="str">
        <f>IF('Capital purchases'!C10="","",'Capital purchases'!C10)</f>
        <v>Real estate (Leasing)</v>
      </c>
      <c r="B6" s="2"/>
      <c r="C6" s="2">
        <f>IF($A6="","",'Capital purchases'!B10)</f>
        <v>1</v>
      </c>
      <c r="D6" s="3">
        <f>IF($A6="","",'Capital purchases'!J10)</f>
        <v>361</v>
      </c>
      <c r="E6" s="162">
        <f>IF($A6="","",'Capital purchases'!I10)</f>
        <v>0</v>
      </c>
      <c r="H6" s="3">
        <f t="shared" ref="H6:S6" si="4">IF(AND(H$5&gt;=$C6,H$5&lt;=$D6),$E6,0)</f>
        <v>0</v>
      </c>
      <c r="I6" s="3">
        <f t="shared" si="4"/>
        <v>0</v>
      </c>
      <c r="J6" s="3">
        <f t="shared" si="4"/>
        <v>0</v>
      </c>
      <c r="K6" s="3">
        <f t="shared" si="4"/>
        <v>0</v>
      </c>
      <c r="L6" s="3">
        <f t="shared" si="4"/>
        <v>0</v>
      </c>
      <c r="M6" s="3">
        <f t="shared" si="4"/>
        <v>0</v>
      </c>
      <c r="N6" s="3">
        <f t="shared" si="4"/>
        <v>0</v>
      </c>
      <c r="O6" s="3">
        <f t="shared" si="4"/>
        <v>0</v>
      </c>
      <c r="P6" s="3">
        <f t="shared" si="4"/>
        <v>0</v>
      </c>
      <c r="Q6" s="3">
        <f t="shared" si="4"/>
        <v>0</v>
      </c>
      <c r="R6" s="3">
        <f t="shared" si="4"/>
        <v>0</v>
      </c>
      <c r="S6" s="3">
        <f t="shared" si="4"/>
        <v>0</v>
      </c>
      <c r="U6" s="3">
        <f t="shared" ref="U6:AF6" si="5">IF(AND(U$5&gt;=$C6,U$5&lt;=$D6),$E6,0)</f>
        <v>0</v>
      </c>
      <c r="V6" s="3">
        <f t="shared" si="5"/>
        <v>0</v>
      </c>
      <c r="W6" s="3">
        <f t="shared" si="5"/>
        <v>0</v>
      </c>
      <c r="X6" s="3">
        <f t="shared" si="5"/>
        <v>0</v>
      </c>
      <c r="Y6" s="3">
        <f t="shared" si="5"/>
        <v>0</v>
      </c>
      <c r="Z6" s="3">
        <f t="shared" si="5"/>
        <v>0</v>
      </c>
      <c r="AA6" s="3">
        <f t="shared" si="5"/>
        <v>0</v>
      </c>
      <c r="AB6" s="3">
        <f t="shared" si="5"/>
        <v>0</v>
      </c>
      <c r="AC6" s="3">
        <f t="shared" si="5"/>
        <v>0</v>
      </c>
      <c r="AD6" s="3">
        <f t="shared" si="5"/>
        <v>0</v>
      </c>
      <c r="AE6" s="3">
        <f t="shared" si="5"/>
        <v>0</v>
      </c>
      <c r="AF6" s="3">
        <f t="shared" si="5"/>
        <v>0</v>
      </c>
      <c r="AH6" s="3">
        <f t="shared" ref="AH6:AS6" si="6">IF(AND(AH$5&gt;=$C6,AH$5&lt;=$D6),$E6,0)</f>
        <v>0</v>
      </c>
      <c r="AI6" s="3">
        <f t="shared" si="6"/>
        <v>0</v>
      </c>
      <c r="AJ6" s="3">
        <f t="shared" si="6"/>
        <v>0</v>
      </c>
      <c r="AK6" s="3">
        <f t="shared" si="6"/>
        <v>0</v>
      </c>
      <c r="AL6" s="3">
        <f t="shared" si="6"/>
        <v>0</v>
      </c>
      <c r="AM6" s="3">
        <f t="shared" si="6"/>
        <v>0</v>
      </c>
      <c r="AN6" s="3">
        <f t="shared" si="6"/>
        <v>0</v>
      </c>
      <c r="AO6" s="3">
        <f t="shared" si="6"/>
        <v>0</v>
      </c>
      <c r="AP6" s="3">
        <f t="shared" si="6"/>
        <v>0</v>
      </c>
      <c r="AQ6" s="3">
        <f t="shared" si="6"/>
        <v>0</v>
      </c>
      <c r="AR6" s="3">
        <f t="shared" si="6"/>
        <v>0</v>
      </c>
      <c r="AS6" s="3">
        <f t="shared" si="6"/>
        <v>0</v>
      </c>
      <c r="AU6" s="3">
        <f t="shared" ref="AU6:BF6" si="7">IF(AND(AU$5&gt;=$C6,AU$5&lt;=$D6),$E6,0)</f>
        <v>0</v>
      </c>
      <c r="AV6" s="3">
        <f t="shared" si="7"/>
        <v>0</v>
      </c>
      <c r="AW6" s="3">
        <f t="shared" si="7"/>
        <v>0</v>
      </c>
      <c r="AX6" s="3">
        <f t="shared" si="7"/>
        <v>0</v>
      </c>
      <c r="AY6" s="3">
        <f t="shared" si="7"/>
        <v>0</v>
      </c>
      <c r="AZ6" s="3">
        <f t="shared" si="7"/>
        <v>0</v>
      </c>
      <c r="BA6" s="3">
        <f t="shared" si="7"/>
        <v>0</v>
      </c>
      <c r="BB6" s="3">
        <f t="shared" si="7"/>
        <v>0</v>
      </c>
      <c r="BC6" s="3">
        <f t="shared" si="7"/>
        <v>0</v>
      </c>
      <c r="BD6" s="3">
        <f t="shared" si="7"/>
        <v>0</v>
      </c>
      <c r="BE6" s="3">
        <f t="shared" si="7"/>
        <v>0</v>
      </c>
      <c r="BF6" s="3">
        <f t="shared" si="7"/>
        <v>0</v>
      </c>
      <c r="BG6" s="2"/>
      <c r="BH6" s="3">
        <f t="shared" ref="BH6:BS6" si="8">IF(AND(BH$5&gt;=$C6,BH$5&lt;=$D6),$E6,0)</f>
        <v>0</v>
      </c>
      <c r="BI6" s="3">
        <f t="shared" si="8"/>
        <v>0</v>
      </c>
      <c r="BJ6" s="3">
        <f t="shared" si="8"/>
        <v>0</v>
      </c>
      <c r="BK6" s="3">
        <f t="shared" si="8"/>
        <v>0</v>
      </c>
      <c r="BL6" s="3">
        <f t="shared" si="8"/>
        <v>0</v>
      </c>
      <c r="BM6" s="3">
        <f t="shared" si="8"/>
        <v>0</v>
      </c>
      <c r="BN6" s="3">
        <f t="shared" si="8"/>
        <v>0</v>
      </c>
      <c r="BO6" s="3">
        <f t="shared" si="8"/>
        <v>0</v>
      </c>
      <c r="BP6" s="3">
        <f t="shared" si="8"/>
        <v>0</v>
      </c>
      <c r="BQ6" s="3">
        <f t="shared" si="8"/>
        <v>0</v>
      </c>
      <c r="BR6" s="3">
        <f t="shared" si="8"/>
        <v>0</v>
      </c>
      <c r="BS6" s="3">
        <f t="shared" si="8"/>
        <v>0</v>
      </c>
      <c r="BT6" s="2"/>
    </row>
    <row r="7" spans="1:73">
      <c r="A7" s="54" t="str">
        <f>IF('Capital purchases'!C11="","",'Capital purchases'!C11)</f>
        <v>Renovation</v>
      </c>
      <c r="B7" s="2"/>
      <c r="C7" s="2">
        <f>IF($A7="","",'Capital purchases'!B11)</f>
        <v>1</v>
      </c>
      <c r="D7" s="3">
        <f>IF($A7="","",'Capital purchases'!J11)</f>
        <v>361</v>
      </c>
      <c r="E7" s="162">
        <f>IF($A7="","",'Capital purchases'!I11)</f>
        <v>139</v>
      </c>
      <c r="H7" s="3">
        <f t="shared" ref="H7:S7" si="9">IF(AND(H$5&gt;=$C7,H$5&lt;=$D7),$E7,0)</f>
        <v>139</v>
      </c>
      <c r="I7" s="3">
        <f t="shared" si="9"/>
        <v>139</v>
      </c>
      <c r="J7" s="3">
        <f t="shared" si="9"/>
        <v>139</v>
      </c>
      <c r="K7" s="3">
        <f t="shared" si="9"/>
        <v>139</v>
      </c>
      <c r="L7" s="3">
        <f t="shared" si="9"/>
        <v>139</v>
      </c>
      <c r="M7" s="3">
        <f t="shared" si="9"/>
        <v>139</v>
      </c>
      <c r="N7" s="3">
        <f t="shared" si="9"/>
        <v>139</v>
      </c>
      <c r="O7" s="3">
        <f t="shared" si="9"/>
        <v>139</v>
      </c>
      <c r="P7" s="3">
        <f t="shared" si="9"/>
        <v>139</v>
      </c>
      <c r="Q7" s="3">
        <f t="shared" si="9"/>
        <v>139</v>
      </c>
      <c r="R7" s="3">
        <f t="shared" si="9"/>
        <v>139</v>
      </c>
      <c r="S7" s="3">
        <f t="shared" si="9"/>
        <v>139</v>
      </c>
      <c r="U7" s="3">
        <f t="shared" ref="U7:AF7" si="10">IF(AND(U$5&gt;=$C7,U$5&lt;=$D7),$E7,0)</f>
        <v>139</v>
      </c>
      <c r="V7" s="3">
        <f t="shared" si="10"/>
        <v>139</v>
      </c>
      <c r="W7" s="3">
        <f t="shared" si="10"/>
        <v>139</v>
      </c>
      <c r="X7" s="3">
        <f t="shared" si="10"/>
        <v>139</v>
      </c>
      <c r="Y7" s="3">
        <f t="shared" si="10"/>
        <v>139</v>
      </c>
      <c r="Z7" s="3">
        <f t="shared" si="10"/>
        <v>139</v>
      </c>
      <c r="AA7" s="3">
        <f t="shared" si="10"/>
        <v>139</v>
      </c>
      <c r="AB7" s="3">
        <f t="shared" si="10"/>
        <v>139</v>
      </c>
      <c r="AC7" s="3">
        <f t="shared" si="10"/>
        <v>139</v>
      </c>
      <c r="AD7" s="3">
        <f t="shared" si="10"/>
        <v>139</v>
      </c>
      <c r="AE7" s="3">
        <f t="shared" si="10"/>
        <v>139</v>
      </c>
      <c r="AF7" s="3">
        <f t="shared" si="10"/>
        <v>139</v>
      </c>
      <c r="AH7" s="3">
        <f t="shared" ref="AH7:AS7" si="11">IF(AND(AH$5&gt;=$C7,AH$5&lt;=$D7),$E7,0)</f>
        <v>139</v>
      </c>
      <c r="AI7" s="3">
        <f t="shared" si="11"/>
        <v>139</v>
      </c>
      <c r="AJ7" s="3">
        <f t="shared" si="11"/>
        <v>139</v>
      </c>
      <c r="AK7" s="3">
        <f t="shared" si="11"/>
        <v>139</v>
      </c>
      <c r="AL7" s="3">
        <f t="shared" si="11"/>
        <v>139</v>
      </c>
      <c r="AM7" s="3">
        <f t="shared" si="11"/>
        <v>139</v>
      </c>
      <c r="AN7" s="3">
        <f t="shared" si="11"/>
        <v>139</v>
      </c>
      <c r="AO7" s="3">
        <f t="shared" si="11"/>
        <v>139</v>
      </c>
      <c r="AP7" s="3">
        <f t="shared" si="11"/>
        <v>139</v>
      </c>
      <c r="AQ7" s="3">
        <f t="shared" si="11"/>
        <v>139</v>
      </c>
      <c r="AR7" s="3">
        <f t="shared" si="11"/>
        <v>139</v>
      </c>
      <c r="AS7" s="3">
        <f t="shared" si="11"/>
        <v>139</v>
      </c>
      <c r="AU7" s="3">
        <f t="shared" ref="AU7:BF7" si="12">IF(AND(AU$5&gt;=$C7,AU$5&lt;=$D7),$E7,0)</f>
        <v>139</v>
      </c>
      <c r="AV7" s="3">
        <f t="shared" si="12"/>
        <v>139</v>
      </c>
      <c r="AW7" s="3">
        <f t="shared" si="12"/>
        <v>139</v>
      </c>
      <c r="AX7" s="3">
        <f t="shared" si="12"/>
        <v>139</v>
      </c>
      <c r="AY7" s="3">
        <f t="shared" si="12"/>
        <v>139</v>
      </c>
      <c r="AZ7" s="3">
        <f t="shared" si="12"/>
        <v>139</v>
      </c>
      <c r="BA7" s="3">
        <f t="shared" si="12"/>
        <v>139</v>
      </c>
      <c r="BB7" s="3">
        <f t="shared" si="12"/>
        <v>139</v>
      </c>
      <c r="BC7" s="3">
        <f t="shared" si="12"/>
        <v>139</v>
      </c>
      <c r="BD7" s="3">
        <f t="shared" si="12"/>
        <v>139</v>
      </c>
      <c r="BE7" s="3">
        <f t="shared" si="12"/>
        <v>139</v>
      </c>
      <c r="BF7" s="3">
        <f t="shared" si="12"/>
        <v>139</v>
      </c>
      <c r="BG7" s="2"/>
      <c r="BH7" s="3">
        <f t="shared" ref="BH7:BS7" si="13">IF(AND(BH$5&gt;=$C7,BH$5&lt;=$D7),$E7,0)</f>
        <v>139</v>
      </c>
      <c r="BI7" s="3">
        <f t="shared" si="13"/>
        <v>139</v>
      </c>
      <c r="BJ7" s="3">
        <f t="shared" si="13"/>
        <v>139</v>
      </c>
      <c r="BK7" s="3">
        <f t="shared" si="13"/>
        <v>139</v>
      </c>
      <c r="BL7" s="3">
        <f t="shared" si="13"/>
        <v>139</v>
      </c>
      <c r="BM7" s="3">
        <f t="shared" si="13"/>
        <v>139</v>
      </c>
      <c r="BN7" s="3">
        <f t="shared" si="13"/>
        <v>139</v>
      </c>
      <c r="BO7" s="3">
        <f t="shared" si="13"/>
        <v>139</v>
      </c>
      <c r="BP7" s="3">
        <f t="shared" si="13"/>
        <v>139</v>
      </c>
      <c r="BQ7" s="3">
        <f t="shared" si="13"/>
        <v>139</v>
      </c>
      <c r="BR7" s="3">
        <f t="shared" si="13"/>
        <v>139</v>
      </c>
      <c r="BS7" s="3">
        <f t="shared" si="13"/>
        <v>139</v>
      </c>
      <c r="BT7" s="2"/>
    </row>
    <row r="8" spans="1:73">
      <c r="A8" s="54" t="str">
        <f>IF('Capital purchases'!C12="","",'Capital purchases'!C12)</f>
        <v>Brewhouse, 5 fermentors, HLT, CLT, mill, chiller, 12 serving tanks, two foeders, hand pump, 2 HMI panels</v>
      </c>
      <c r="B8" s="2"/>
      <c r="C8" s="2">
        <f>IF($A8="","",'Capital purchases'!B12)</f>
        <v>1</v>
      </c>
      <c r="D8" s="3">
        <f>IF($A8="","",'Capital purchases'!J12)</f>
        <v>361</v>
      </c>
      <c r="E8" s="162">
        <f>IF($A8="","",'Capital purchases'!I12)</f>
        <v>1111</v>
      </c>
      <c r="H8" s="3">
        <f t="shared" ref="H8:S8" si="14">IF(AND(H$5&gt;=$C8,H$5&lt;=$D8),$E8,0)</f>
        <v>1111</v>
      </c>
      <c r="I8" s="3">
        <f t="shared" si="14"/>
        <v>1111</v>
      </c>
      <c r="J8" s="3">
        <f t="shared" si="14"/>
        <v>1111</v>
      </c>
      <c r="K8" s="3">
        <f t="shared" si="14"/>
        <v>1111</v>
      </c>
      <c r="L8" s="3">
        <f t="shared" si="14"/>
        <v>1111</v>
      </c>
      <c r="M8" s="3">
        <f t="shared" si="14"/>
        <v>1111</v>
      </c>
      <c r="N8" s="3">
        <f t="shared" si="14"/>
        <v>1111</v>
      </c>
      <c r="O8" s="3">
        <f t="shared" si="14"/>
        <v>1111</v>
      </c>
      <c r="P8" s="3">
        <f t="shared" si="14"/>
        <v>1111</v>
      </c>
      <c r="Q8" s="3">
        <f t="shared" si="14"/>
        <v>1111</v>
      </c>
      <c r="R8" s="3">
        <f t="shared" si="14"/>
        <v>1111</v>
      </c>
      <c r="S8" s="3">
        <f t="shared" si="14"/>
        <v>1111</v>
      </c>
      <c r="U8" s="3">
        <f t="shared" ref="U8:AF8" si="15">IF(AND(U$5&gt;=$C8,U$5&lt;=$D8),$E8,0)</f>
        <v>1111</v>
      </c>
      <c r="V8" s="3">
        <f t="shared" si="15"/>
        <v>1111</v>
      </c>
      <c r="W8" s="3">
        <f t="shared" si="15"/>
        <v>1111</v>
      </c>
      <c r="X8" s="3">
        <f t="shared" si="15"/>
        <v>1111</v>
      </c>
      <c r="Y8" s="3">
        <f t="shared" si="15"/>
        <v>1111</v>
      </c>
      <c r="Z8" s="3">
        <f t="shared" si="15"/>
        <v>1111</v>
      </c>
      <c r="AA8" s="3">
        <f t="shared" si="15"/>
        <v>1111</v>
      </c>
      <c r="AB8" s="3">
        <f t="shared" si="15"/>
        <v>1111</v>
      </c>
      <c r="AC8" s="3">
        <f t="shared" si="15"/>
        <v>1111</v>
      </c>
      <c r="AD8" s="3">
        <f t="shared" si="15"/>
        <v>1111</v>
      </c>
      <c r="AE8" s="3">
        <f t="shared" si="15"/>
        <v>1111</v>
      </c>
      <c r="AF8" s="3">
        <f t="shared" si="15"/>
        <v>1111</v>
      </c>
      <c r="AH8" s="3">
        <f t="shared" ref="AH8:AS8" si="16">IF(AND(AH$5&gt;=$C8,AH$5&lt;=$D8),$E8,0)</f>
        <v>1111</v>
      </c>
      <c r="AI8" s="3">
        <f t="shared" si="16"/>
        <v>1111</v>
      </c>
      <c r="AJ8" s="3">
        <f t="shared" si="16"/>
        <v>1111</v>
      </c>
      <c r="AK8" s="3">
        <f t="shared" si="16"/>
        <v>1111</v>
      </c>
      <c r="AL8" s="3">
        <f t="shared" si="16"/>
        <v>1111</v>
      </c>
      <c r="AM8" s="3">
        <f t="shared" si="16"/>
        <v>1111</v>
      </c>
      <c r="AN8" s="3">
        <f t="shared" si="16"/>
        <v>1111</v>
      </c>
      <c r="AO8" s="3">
        <f t="shared" si="16"/>
        <v>1111</v>
      </c>
      <c r="AP8" s="3">
        <f t="shared" si="16"/>
        <v>1111</v>
      </c>
      <c r="AQ8" s="3">
        <f t="shared" si="16"/>
        <v>1111</v>
      </c>
      <c r="AR8" s="3">
        <f t="shared" si="16"/>
        <v>1111</v>
      </c>
      <c r="AS8" s="3">
        <f t="shared" si="16"/>
        <v>1111</v>
      </c>
      <c r="AU8" s="3">
        <f t="shared" ref="AU8:BF8" si="17">IF(AND(AU$5&gt;=$C8,AU$5&lt;=$D8),$E8,0)</f>
        <v>1111</v>
      </c>
      <c r="AV8" s="3">
        <f t="shared" si="17"/>
        <v>1111</v>
      </c>
      <c r="AW8" s="3">
        <f t="shared" si="17"/>
        <v>1111</v>
      </c>
      <c r="AX8" s="3">
        <f t="shared" si="17"/>
        <v>1111</v>
      </c>
      <c r="AY8" s="3">
        <f t="shared" si="17"/>
        <v>1111</v>
      </c>
      <c r="AZ8" s="3">
        <f t="shared" si="17"/>
        <v>1111</v>
      </c>
      <c r="BA8" s="3">
        <f t="shared" si="17"/>
        <v>1111</v>
      </c>
      <c r="BB8" s="3">
        <f t="shared" si="17"/>
        <v>1111</v>
      </c>
      <c r="BC8" s="3">
        <f t="shared" si="17"/>
        <v>1111</v>
      </c>
      <c r="BD8" s="3">
        <f t="shared" si="17"/>
        <v>1111</v>
      </c>
      <c r="BE8" s="3">
        <f t="shared" si="17"/>
        <v>1111</v>
      </c>
      <c r="BF8" s="3">
        <f t="shared" si="17"/>
        <v>1111</v>
      </c>
      <c r="BG8" s="2"/>
      <c r="BH8" s="3">
        <f t="shared" ref="BH8:BS8" si="18">IF(AND(BH$5&gt;=$C8,BH$5&lt;=$D8),$E8,0)</f>
        <v>1111</v>
      </c>
      <c r="BI8" s="3">
        <f t="shared" si="18"/>
        <v>1111</v>
      </c>
      <c r="BJ8" s="3">
        <f t="shared" si="18"/>
        <v>1111</v>
      </c>
      <c r="BK8" s="3">
        <f t="shared" si="18"/>
        <v>1111</v>
      </c>
      <c r="BL8" s="3">
        <f t="shared" si="18"/>
        <v>1111</v>
      </c>
      <c r="BM8" s="3">
        <f t="shared" si="18"/>
        <v>1111</v>
      </c>
      <c r="BN8" s="3">
        <f t="shared" si="18"/>
        <v>1111</v>
      </c>
      <c r="BO8" s="3">
        <f t="shared" si="18"/>
        <v>1111</v>
      </c>
      <c r="BP8" s="3">
        <f t="shared" si="18"/>
        <v>1111</v>
      </c>
      <c r="BQ8" s="3">
        <f t="shared" si="18"/>
        <v>1111</v>
      </c>
      <c r="BR8" s="3">
        <f t="shared" si="18"/>
        <v>1111</v>
      </c>
      <c r="BS8" s="3">
        <f t="shared" si="18"/>
        <v>1111</v>
      </c>
      <c r="BT8" s="2"/>
    </row>
    <row r="9" spans="1:73">
      <c r="A9" s="54" t="str">
        <f>IF('Capital purchases'!C13="","",'Capital purchases'!C13)</f>
        <v>Keg Washer (Keg Commander)</v>
      </c>
      <c r="B9" s="2"/>
      <c r="C9" s="2">
        <f>IF($A9="","",'Capital purchases'!B13)</f>
        <v>1</v>
      </c>
      <c r="D9" s="3">
        <f>IF($A9="","",'Capital purchases'!J13)</f>
        <v>361</v>
      </c>
      <c r="E9" s="162">
        <f>IF($A9="","",'Capital purchases'!I13)</f>
        <v>72</v>
      </c>
      <c r="H9" s="3">
        <f t="shared" ref="H9:S9" si="19">IF(AND(H$5&gt;=$C9,H$5&lt;=$D9),$E9,0)</f>
        <v>72</v>
      </c>
      <c r="I9" s="3">
        <f t="shared" si="19"/>
        <v>72</v>
      </c>
      <c r="J9" s="3">
        <f t="shared" si="19"/>
        <v>72</v>
      </c>
      <c r="K9" s="3">
        <f t="shared" si="19"/>
        <v>72</v>
      </c>
      <c r="L9" s="3">
        <f t="shared" si="19"/>
        <v>72</v>
      </c>
      <c r="M9" s="3">
        <f t="shared" si="19"/>
        <v>72</v>
      </c>
      <c r="N9" s="3">
        <f t="shared" si="19"/>
        <v>72</v>
      </c>
      <c r="O9" s="3">
        <f t="shared" si="19"/>
        <v>72</v>
      </c>
      <c r="P9" s="3">
        <f t="shared" si="19"/>
        <v>72</v>
      </c>
      <c r="Q9" s="3">
        <f t="shared" si="19"/>
        <v>72</v>
      </c>
      <c r="R9" s="3">
        <f t="shared" si="19"/>
        <v>72</v>
      </c>
      <c r="S9" s="3">
        <f t="shared" si="19"/>
        <v>72</v>
      </c>
      <c r="U9" s="3">
        <f t="shared" ref="U9:AF9" si="20">IF(AND(U$5&gt;=$C9,U$5&lt;=$D9),$E9,0)</f>
        <v>72</v>
      </c>
      <c r="V9" s="3">
        <f t="shared" si="20"/>
        <v>72</v>
      </c>
      <c r="W9" s="3">
        <f t="shared" si="20"/>
        <v>72</v>
      </c>
      <c r="X9" s="3">
        <f t="shared" si="20"/>
        <v>72</v>
      </c>
      <c r="Y9" s="3">
        <f t="shared" si="20"/>
        <v>72</v>
      </c>
      <c r="Z9" s="3">
        <f t="shared" si="20"/>
        <v>72</v>
      </c>
      <c r="AA9" s="3">
        <f t="shared" si="20"/>
        <v>72</v>
      </c>
      <c r="AB9" s="3">
        <f t="shared" si="20"/>
        <v>72</v>
      </c>
      <c r="AC9" s="3">
        <f t="shared" si="20"/>
        <v>72</v>
      </c>
      <c r="AD9" s="3">
        <f t="shared" si="20"/>
        <v>72</v>
      </c>
      <c r="AE9" s="3">
        <f t="shared" si="20"/>
        <v>72</v>
      </c>
      <c r="AF9" s="3">
        <f t="shared" si="20"/>
        <v>72</v>
      </c>
      <c r="AH9" s="3">
        <f t="shared" ref="AH9:AS9" si="21">IF(AND(AH$5&gt;=$C9,AH$5&lt;=$D9),$E9,0)</f>
        <v>72</v>
      </c>
      <c r="AI9" s="3">
        <f t="shared" si="21"/>
        <v>72</v>
      </c>
      <c r="AJ9" s="3">
        <f t="shared" si="21"/>
        <v>72</v>
      </c>
      <c r="AK9" s="3">
        <f t="shared" si="21"/>
        <v>72</v>
      </c>
      <c r="AL9" s="3">
        <f t="shared" si="21"/>
        <v>72</v>
      </c>
      <c r="AM9" s="3">
        <f t="shared" si="21"/>
        <v>72</v>
      </c>
      <c r="AN9" s="3">
        <f t="shared" si="21"/>
        <v>72</v>
      </c>
      <c r="AO9" s="3">
        <f t="shared" si="21"/>
        <v>72</v>
      </c>
      <c r="AP9" s="3">
        <f t="shared" si="21"/>
        <v>72</v>
      </c>
      <c r="AQ9" s="3">
        <f t="shared" si="21"/>
        <v>72</v>
      </c>
      <c r="AR9" s="3">
        <f t="shared" si="21"/>
        <v>72</v>
      </c>
      <c r="AS9" s="3">
        <f t="shared" si="21"/>
        <v>72</v>
      </c>
      <c r="AU9" s="3">
        <f t="shared" ref="AU9:BF9" si="22">IF(AND(AU$5&gt;=$C9,AU$5&lt;=$D9),$E9,0)</f>
        <v>72</v>
      </c>
      <c r="AV9" s="3">
        <f t="shared" si="22"/>
        <v>72</v>
      </c>
      <c r="AW9" s="3">
        <f t="shared" si="22"/>
        <v>72</v>
      </c>
      <c r="AX9" s="3">
        <f t="shared" si="22"/>
        <v>72</v>
      </c>
      <c r="AY9" s="3">
        <f t="shared" si="22"/>
        <v>72</v>
      </c>
      <c r="AZ9" s="3">
        <f t="shared" si="22"/>
        <v>72</v>
      </c>
      <c r="BA9" s="3">
        <f t="shared" si="22"/>
        <v>72</v>
      </c>
      <c r="BB9" s="3">
        <f t="shared" si="22"/>
        <v>72</v>
      </c>
      <c r="BC9" s="3">
        <f t="shared" si="22"/>
        <v>72</v>
      </c>
      <c r="BD9" s="3">
        <f t="shared" si="22"/>
        <v>72</v>
      </c>
      <c r="BE9" s="3">
        <f t="shared" si="22"/>
        <v>72</v>
      </c>
      <c r="BF9" s="3">
        <f t="shared" si="22"/>
        <v>72</v>
      </c>
      <c r="BG9" s="2"/>
      <c r="BH9" s="3">
        <f t="shared" ref="BH9:BS9" si="23">IF(AND(BH$5&gt;=$C9,BH$5&lt;=$D9),$E9,0)</f>
        <v>72</v>
      </c>
      <c r="BI9" s="3">
        <f t="shared" si="23"/>
        <v>72</v>
      </c>
      <c r="BJ9" s="3">
        <f t="shared" si="23"/>
        <v>72</v>
      </c>
      <c r="BK9" s="3">
        <f t="shared" si="23"/>
        <v>72</v>
      </c>
      <c r="BL9" s="3">
        <f t="shared" si="23"/>
        <v>72</v>
      </c>
      <c r="BM9" s="3">
        <f t="shared" si="23"/>
        <v>72</v>
      </c>
      <c r="BN9" s="3">
        <f t="shared" si="23"/>
        <v>72</v>
      </c>
      <c r="BO9" s="3">
        <f t="shared" si="23"/>
        <v>72</v>
      </c>
      <c r="BP9" s="3">
        <f t="shared" si="23"/>
        <v>72</v>
      </c>
      <c r="BQ9" s="3">
        <f t="shared" si="23"/>
        <v>72</v>
      </c>
      <c r="BR9" s="3">
        <f t="shared" si="23"/>
        <v>72</v>
      </c>
      <c r="BS9" s="3">
        <f t="shared" si="23"/>
        <v>72</v>
      </c>
      <c r="BT9" s="2"/>
    </row>
    <row r="10" spans="1:73">
      <c r="A10" s="54" t="str">
        <f>IF('Capital purchases'!C14="","",'Capital purchases'!C14)</f>
        <v>RO Filter</v>
      </c>
      <c r="B10" s="2"/>
      <c r="C10" s="2">
        <f>IF($A10="","",'Capital purchases'!B14)</f>
        <v>1</v>
      </c>
      <c r="D10" s="3">
        <f>IF($A10="","",'Capital purchases'!J14)</f>
        <v>361</v>
      </c>
      <c r="E10" s="162">
        <f>IF($A10="","",'Capital purchases'!I14)</f>
        <v>56</v>
      </c>
      <c r="H10" s="3">
        <f t="shared" ref="H10:S10" si="24">IF(AND(H$5&gt;=$C10,H$5&lt;=$D10),$E10,0)</f>
        <v>56</v>
      </c>
      <c r="I10" s="3">
        <f t="shared" si="24"/>
        <v>56</v>
      </c>
      <c r="J10" s="3">
        <f t="shared" si="24"/>
        <v>56</v>
      </c>
      <c r="K10" s="3">
        <f t="shared" si="24"/>
        <v>56</v>
      </c>
      <c r="L10" s="3">
        <f t="shared" si="24"/>
        <v>56</v>
      </c>
      <c r="M10" s="3">
        <f t="shared" si="24"/>
        <v>56</v>
      </c>
      <c r="N10" s="3">
        <f t="shared" si="24"/>
        <v>56</v>
      </c>
      <c r="O10" s="3">
        <f t="shared" si="24"/>
        <v>56</v>
      </c>
      <c r="P10" s="3">
        <f t="shared" si="24"/>
        <v>56</v>
      </c>
      <c r="Q10" s="3">
        <f t="shared" si="24"/>
        <v>56</v>
      </c>
      <c r="R10" s="3">
        <f t="shared" si="24"/>
        <v>56</v>
      </c>
      <c r="S10" s="3">
        <f t="shared" si="24"/>
        <v>56</v>
      </c>
      <c r="U10" s="3">
        <f t="shared" ref="U10:AF10" si="25">IF(AND(U$5&gt;=$C10,U$5&lt;=$D10),$E10,0)</f>
        <v>56</v>
      </c>
      <c r="V10" s="3">
        <f t="shared" si="25"/>
        <v>56</v>
      </c>
      <c r="W10" s="3">
        <f t="shared" si="25"/>
        <v>56</v>
      </c>
      <c r="X10" s="3">
        <f t="shared" si="25"/>
        <v>56</v>
      </c>
      <c r="Y10" s="3">
        <f t="shared" si="25"/>
        <v>56</v>
      </c>
      <c r="Z10" s="3">
        <f t="shared" si="25"/>
        <v>56</v>
      </c>
      <c r="AA10" s="3">
        <f t="shared" si="25"/>
        <v>56</v>
      </c>
      <c r="AB10" s="3">
        <f t="shared" si="25"/>
        <v>56</v>
      </c>
      <c r="AC10" s="3">
        <f t="shared" si="25"/>
        <v>56</v>
      </c>
      <c r="AD10" s="3">
        <f t="shared" si="25"/>
        <v>56</v>
      </c>
      <c r="AE10" s="3">
        <f t="shared" si="25"/>
        <v>56</v>
      </c>
      <c r="AF10" s="3">
        <f t="shared" si="25"/>
        <v>56</v>
      </c>
      <c r="AH10" s="3">
        <f t="shared" ref="AH10:AS10" si="26">IF(AND(AH$5&gt;=$C10,AH$5&lt;=$D10),$E10,0)</f>
        <v>56</v>
      </c>
      <c r="AI10" s="3">
        <f t="shared" si="26"/>
        <v>56</v>
      </c>
      <c r="AJ10" s="3">
        <f t="shared" si="26"/>
        <v>56</v>
      </c>
      <c r="AK10" s="3">
        <f t="shared" si="26"/>
        <v>56</v>
      </c>
      <c r="AL10" s="3">
        <f t="shared" si="26"/>
        <v>56</v>
      </c>
      <c r="AM10" s="3">
        <f t="shared" si="26"/>
        <v>56</v>
      </c>
      <c r="AN10" s="3">
        <f t="shared" si="26"/>
        <v>56</v>
      </c>
      <c r="AO10" s="3">
        <f t="shared" si="26"/>
        <v>56</v>
      </c>
      <c r="AP10" s="3">
        <f t="shared" si="26"/>
        <v>56</v>
      </c>
      <c r="AQ10" s="3">
        <f t="shared" si="26"/>
        <v>56</v>
      </c>
      <c r="AR10" s="3">
        <f t="shared" si="26"/>
        <v>56</v>
      </c>
      <c r="AS10" s="3">
        <f t="shared" si="26"/>
        <v>56</v>
      </c>
      <c r="AU10" s="3">
        <f t="shared" ref="AU10:BF10" si="27">IF(AND(AU$5&gt;=$C10,AU$5&lt;=$D10),$E10,0)</f>
        <v>56</v>
      </c>
      <c r="AV10" s="3">
        <f t="shared" si="27"/>
        <v>56</v>
      </c>
      <c r="AW10" s="3">
        <f t="shared" si="27"/>
        <v>56</v>
      </c>
      <c r="AX10" s="3">
        <f t="shared" si="27"/>
        <v>56</v>
      </c>
      <c r="AY10" s="3">
        <f t="shared" si="27"/>
        <v>56</v>
      </c>
      <c r="AZ10" s="3">
        <f t="shared" si="27"/>
        <v>56</v>
      </c>
      <c r="BA10" s="3">
        <f t="shared" si="27"/>
        <v>56</v>
      </c>
      <c r="BB10" s="3">
        <f t="shared" si="27"/>
        <v>56</v>
      </c>
      <c r="BC10" s="3">
        <f t="shared" si="27"/>
        <v>56</v>
      </c>
      <c r="BD10" s="3">
        <f t="shared" si="27"/>
        <v>56</v>
      </c>
      <c r="BE10" s="3">
        <f t="shared" si="27"/>
        <v>56</v>
      </c>
      <c r="BF10" s="3">
        <f t="shared" si="27"/>
        <v>56</v>
      </c>
      <c r="BG10" s="2"/>
      <c r="BH10" s="3">
        <f t="shared" ref="BH10:BS10" si="28">IF(AND(BH$5&gt;=$C10,BH$5&lt;=$D10),$E10,0)</f>
        <v>56</v>
      </c>
      <c r="BI10" s="3">
        <f t="shared" si="28"/>
        <v>56</v>
      </c>
      <c r="BJ10" s="3">
        <f t="shared" si="28"/>
        <v>56</v>
      </c>
      <c r="BK10" s="3">
        <f t="shared" si="28"/>
        <v>56</v>
      </c>
      <c r="BL10" s="3">
        <f t="shared" si="28"/>
        <v>56</v>
      </c>
      <c r="BM10" s="3">
        <f t="shared" si="28"/>
        <v>56</v>
      </c>
      <c r="BN10" s="3">
        <f t="shared" si="28"/>
        <v>56</v>
      </c>
      <c r="BO10" s="3">
        <f t="shared" si="28"/>
        <v>56</v>
      </c>
      <c r="BP10" s="3">
        <f t="shared" si="28"/>
        <v>56</v>
      </c>
      <c r="BQ10" s="3">
        <f t="shared" si="28"/>
        <v>56</v>
      </c>
      <c r="BR10" s="3">
        <f t="shared" si="28"/>
        <v>56</v>
      </c>
      <c r="BS10" s="3">
        <f t="shared" si="28"/>
        <v>56</v>
      </c>
      <c r="BT10" s="2"/>
    </row>
    <row r="11" spans="1:73">
      <c r="A11" s="54" t="str">
        <f>IF('Capital purchases'!C15="","",'Capital purchases'!C15)</f>
        <v>Pilot brew system</v>
      </c>
      <c r="B11" s="2"/>
      <c r="C11" s="2">
        <f>IF($A11="","",'Capital purchases'!B15)</f>
        <v>1</v>
      </c>
      <c r="D11" s="3">
        <f>IF($A11="","",'Capital purchases'!J15)</f>
        <v>181</v>
      </c>
      <c r="E11" s="162">
        <f>IF($A11="","",'Capital purchases'!I15)</f>
        <v>100</v>
      </c>
      <c r="H11" s="3">
        <f t="shared" ref="H11:S11" si="29">IF(AND(H$5&gt;=$C11,H$5&lt;=$D11),$E11,0)</f>
        <v>100</v>
      </c>
      <c r="I11" s="3">
        <f t="shared" si="29"/>
        <v>100</v>
      </c>
      <c r="J11" s="3">
        <f t="shared" si="29"/>
        <v>100</v>
      </c>
      <c r="K11" s="3">
        <f t="shared" si="29"/>
        <v>100</v>
      </c>
      <c r="L11" s="3">
        <f t="shared" si="29"/>
        <v>100</v>
      </c>
      <c r="M11" s="3">
        <f t="shared" si="29"/>
        <v>100</v>
      </c>
      <c r="N11" s="3">
        <f t="shared" si="29"/>
        <v>100</v>
      </c>
      <c r="O11" s="3">
        <f t="shared" si="29"/>
        <v>100</v>
      </c>
      <c r="P11" s="3">
        <f t="shared" si="29"/>
        <v>100</v>
      </c>
      <c r="Q11" s="3">
        <f t="shared" si="29"/>
        <v>100</v>
      </c>
      <c r="R11" s="3">
        <f t="shared" si="29"/>
        <v>100</v>
      </c>
      <c r="S11" s="3">
        <f t="shared" si="29"/>
        <v>100</v>
      </c>
      <c r="U11" s="3">
        <f t="shared" ref="U11:AF11" si="30">IF(AND(U$5&gt;=$C11,U$5&lt;=$D11),$E11,0)</f>
        <v>100</v>
      </c>
      <c r="V11" s="3">
        <f t="shared" si="30"/>
        <v>100</v>
      </c>
      <c r="W11" s="3">
        <f t="shared" si="30"/>
        <v>100</v>
      </c>
      <c r="X11" s="3">
        <f t="shared" si="30"/>
        <v>100</v>
      </c>
      <c r="Y11" s="3">
        <f t="shared" si="30"/>
        <v>100</v>
      </c>
      <c r="Z11" s="3">
        <f t="shared" si="30"/>
        <v>100</v>
      </c>
      <c r="AA11" s="3">
        <f t="shared" si="30"/>
        <v>100</v>
      </c>
      <c r="AB11" s="3">
        <f t="shared" si="30"/>
        <v>100</v>
      </c>
      <c r="AC11" s="3">
        <f t="shared" si="30"/>
        <v>100</v>
      </c>
      <c r="AD11" s="3">
        <f t="shared" si="30"/>
        <v>100</v>
      </c>
      <c r="AE11" s="3">
        <f t="shared" si="30"/>
        <v>100</v>
      </c>
      <c r="AF11" s="3">
        <f t="shared" si="30"/>
        <v>100</v>
      </c>
      <c r="AH11" s="3">
        <f t="shared" ref="AH11:AS11" si="31">IF(AND(AH$5&gt;=$C11,AH$5&lt;=$D11),$E11,0)</f>
        <v>100</v>
      </c>
      <c r="AI11" s="3">
        <f t="shared" si="31"/>
        <v>100</v>
      </c>
      <c r="AJ11" s="3">
        <f t="shared" si="31"/>
        <v>100</v>
      </c>
      <c r="AK11" s="3">
        <f t="shared" si="31"/>
        <v>100</v>
      </c>
      <c r="AL11" s="3">
        <f t="shared" si="31"/>
        <v>100</v>
      </c>
      <c r="AM11" s="3">
        <f t="shared" si="31"/>
        <v>100</v>
      </c>
      <c r="AN11" s="3">
        <f t="shared" si="31"/>
        <v>100</v>
      </c>
      <c r="AO11" s="3">
        <f t="shared" si="31"/>
        <v>100</v>
      </c>
      <c r="AP11" s="3">
        <f t="shared" si="31"/>
        <v>100</v>
      </c>
      <c r="AQ11" s="3">
        <f t="shared" si="31"/>
        <v>100</v>
      </c>
      <c r="AR11" s="3">
        <f t="shared" si="31"/>
        <v>100</v>
      </c>
      <c r="AS11" s="3">
        <f t="shared" si="31"/>
        <v>100</v>
      </c>
      <c r="AU11" s="3">
        <f t="shared" ref="AU11:BF11" si="32">IF(AND(AU$5&gt;=$C11,AU$5&lt;=$D11),$E11,0)</f>
        <v>100</v>
      </c>
      <c r="AV11" s="3">
        <f t="shared" si="32"/>
        <v>100</v>
      </c>
      <c r="AW11" s="3">
        <f t="shared" si="32"/>
        <v>100</v>
      </c>
      <c r="AX11" s="3">
        <f t="shared" si="32"/>
        <v>100</v>
      </c>
      <c r="AY11" s="3">
        <f t="shared" si="32"/>
        <v>100</v>
      </c>
      <c r="AZ11" s="3">
        <f t="shared" si="32"/>
        <v>100</v>
      </c>
      <c r="BA11" s="3">
        <f t="shared" si="32"/>
        <v>100</v>
      </c>
      <c r="BB11" s="3">
        <f t="shared" si="32"/>
        <v>100</v>
      </c>
      <c r="BC11" s="3">
        <f t="shared" si="32"/>
        <v>100</v>
      </c>
      <c r="BD11" s="3">
        <f t="shared" si="32"/>
        <v>100</v>
      </c>
      <c r="BE11" s="3">
        <f t="shared" si="32"/>
        <v>100</v>
      </c>
      <c r="BF11" s="3">
        <f t="shared" si="32"/>
        <v>100</v>
      </c>
      <c r="BG11" s="2"/>
      <c r="BH11" s="3">
        <f t="shared" ref="BH11:BS11" si="33">IF(AND(BH$5&gt;=$C11,BH$5&lt;=$D11),$E11,0)</f>
        <v>100</v>
      </c>
      <c r="BI11" s="3">
        <f t="shared" si="33"/>
        <v>100</v>
      </c>
      <c r="BJ11" s="3">
        <f t="shared" si="33"/>
        <v>100</v>
      </c>
      <c r="BK11" s="3">
        <f t="shared" si="33"/>
        <v>100</v>
      </c>
      <c r="BL11" s="3">
        <f t="shared" si="33"/>
        <v>100</v>
      </c>
      <c r="BM11" s="3">
        <f t="shared" si="33"/>
        <v>100</v>
      </c>
      <c r="BN11" s="3">
        <f t="shared" si="33"/>
        <v>100</v>
      </c>
      <c r="BO11" s="3">
        <f t="shared" si="33"/>
        <v>100</v>
      </c>
      <c r="BP11" s="3">
        <f t="shared" si="33"/>
        <v>100</v>
      </c>
      <c r="BQ11" s="3">
        <f t="shared" si="33"/>
        <v>100</v>
      </c>
      <c r="BR11" s="3">
        <f t="shared" si="33"/>
        <v>100</v>
      </c>
      <c r="BS11" s="3">
        <f t="shared" si="33"/>
        <v>100</v>
      </c>
      <c r="BT11" s="2"/>
    </row>
    <row r="12" spans="1:73">
      <c r="A12" s="54" t="str">
        <f>IF('Capital purchases'!C16="","",'Capital purchases'!C16)</f>
        <v>Pilot fermentors x3</v>
      </c>
      <c r="B12" s="2"/>
      <c r="C12" s="2">
        <f>IF($A12="","",'Capital purchases'!B16)</f>
        <v>1</v>
      </c>
      <c r="D12" s="3">
        <f>IF($A12="","",'Capital purchases'!J16)</f>
        <v>181</v>
      </c>
      <c r="E12" s="162">
        <f>IF($A12="","",'Capital purchases'!I16)</f>
        <v>61</v>
      </c>
      <c r="H12" s="3">
        <f t="shared" ref="H12:S12" si="34">IF(AND(H$5&gt;=$C12,H$5&lt;=$D12),$E12,0)</f>
        <v>61</v>
      </c>
      <c r="I12" s="3">
        <f t="shared" si="34"/>
        <v>61</v>
      </c>
      <c r="J12" s="3">
        <f t="shared" si="34"/>
        <v>61</v>
      </c>
      <c r="K12" s="3">
        <f t="shared" si="34"/>
        <v>61</v>
      </c>
      <c r="L12" s="3">
        <f t="shared" si="34"/>
        <v>61</v>
      </c>
      <c r="M12" s="3">
        <f t="shared" si="34"/>
        <v>61</v>
      </c>
      <c r="N12" s="3">
        <f t="shared" si="34"/>
        <v>61</v>
      </c>
      <c r="O12" s="3">
        <f t="shared" si="34"/>
        <v>61</v>
      </c>
      <c r="P12" s="3">
        <f t="shared" si="34"/>
        <v>61</v>
      </c>
      <c r="Q12" s="3">
        <f t="shared" si="34"/>
        <v>61</v>
      </c>
      <c r="R12" s="3">
        <f t="shared" si="34"/>
        <v>61</v>
      </c>
      <c r="S12" s="3">
        <f t="shared" si="34"/>
        <v>61</v>
      </c>
      <c r="U12" s="3">
        <f t="shared" ref="U12:AF12" si="35">IF(AND(U$5&gt;=$C12,U$5&lt;=$D12),$E12,0)</f>
        <v>61</v>
      </c>
      <c r="V12" s="3">
        <f t="shared" si="35"/>
        <v>61</v>
      </c>
      <c r="W12" s="3">
        <f t="shared" si="35"/>
        <v>61</v>
      </c>
      <c r="X12" s="3">
        <f t="shared" si="35"/>
        <v>61</v>
      </c>
      <c r="Y12" s="3">
        <f t="shared" si="35"/>
        <v>61</v>
      </c>
      <c r="Z12" s="3">
        <f t="shared" si="35"/>
        <v>61</v>
      </c>
      <c r="AA12" s="3">
        <f t="shared" si="35"/>
        <v>61</v>
      </c>
      <c r="AB12" s="3">
        <f t="shared" si="35"/>
        <v>61</v>
      </c>
      <c r="AC12" s="3">
        <f t="shared" si="35"/>
        <v>61</v>
      </c>
      <c r="AD12" s="3">
        <f t="shared" si="35"/>
        <v>61</v>
      </c>
      <c r="AE12" s="3">
        <f t="shared" si="35"/>
        <v>61</v>
      </c>
      <c r="AF12" s="3">
        <f t="shared" si="35"/>
        <v>61</v>
      </c>
      <c r="AH12" s="3">
        <f t="shared" ref="AH12:AS12" si="36">IF(AND(AH$5&gt;=$C12,AH$5&lt;=$D12),$E12,0)</f>
        <v>61</v>
      </c>
      <c r="AI12" s="3">
        <f t="shared" si="36"/>
        <v>61</v>
      </c>
      <c r="AJ12" s="3">
        <f t="shared" si="36"/>
        <v>61</v>
      </c>
      <c r="AK12" s="3">
        <f t="shared" si="36"/>
        <v>61</v>
      </c>
      <c r="AL12" s="3">
        <f t="shared" si="36"/>
        <v>61</v>
      </c>
      <c r="AM12" s="3">
        <f t="shared" si="36"/>
        <v>61</v>
      </c>
      <c r="AN12" s="3">
        <f t="shared" si="36"/>
        <v>61</v>
      </c>
      <c r="AO12" s="3">
        <f t="shared" si="36"/>
        <v>61</v>
      </c>
      <c r="AP12" s="3">
        <f t="shared" si="36"/>
        <v>61</v>
      </c>
      <c r="AQ12" s="3">
        <f t="shared" si="36"/>
        <v>61</v>
      </c>
      <c r="AR12" s="3">
        <f t="shared" si="36"/>
        <v>61</v>
      </c>
      <c r="AS12" s="3">
        <f t="shared" si="36"/>
        <v>61</v>
      </c>
      <c r="AU12" s="3">
        <f t="shared" ref="AU12:BF12" si="37">IF(AND(AU$5&gt;=$C12,AU$5&lt;=$D12),$E12,0)</f>
        <v>61</v>
      </c>
      <c r="AV12" s="3">
        <f t="shared" si="37"/>
        <v>61</v>
      </c>
      <c r="AW12" s="3">
        <f t="shared" si="37"/>
        <v>61</v>
      </c>
      <c r="AX12" s="3">
        <f t="shared" si="37"/>
        <v>61</v>
      </c>
      <c r="AY12" s="3">
        <f t="shared" si="37"/>
        <v>61</v>
      </c>
      <c r="AZ12" s="3">
        <f t="shared" si="37"/>
        <v>61</v>
      </c>
      <c r="BA12" s="3">
        <f t="shared" si="37"/>
        <v>61</v>
      </c>
      <c r="BB12" s="3">
        <f t="shared" si="37"/>
        <v>61</v>
      </c>
      <c r="BC12" s="3">
        <f t="shared" si="37"/>
        <v>61</v>
      </c>
      <c r="BD12" s="3">
        <f t="shared" si="37"/>
        <v>61</v>
      </c>
      <c r="BE12" s="3">
        <f t="shared" si="37"/>
        <v>61</v>
      </c>
      <c r="BF12" s="3">
        <f t="shared" si="37"/>
        <v>61</v>
      </c>
      <c r="BG12" s="2"/>
      <c r="BH12" s="3">
        <f t="shared" ref="BH12:BS12" si="38">IF(AND(BH$5&gt;=$C12,BH$5&lt;=$D12),$E12,0)</f>
        <v>61</v>
      </c>
      <c r="BI12" s="3">
        <f t="shared" si="38"/>
        <v>61</v>
      </c>
      <c r="BJ12" s="3">
        <f t="shared" si="38"/>
        <v>61</v>
      </c>
      <c r="BK12" s="3">
        <f t="shared" si="38"/>
        <v>61</v>
      </c>
      <c r="BL12" s="3">
        <f t="shared" si="38"/>
        <v>61</v>
      </c>
      <c r="BM12" s="3">
        <f t="shared" si="38"/>
        <v>61</v>
      </c>
      <c r="BN12" s="3">
        <f t="shared" si="38"/>
        <v>61</v>
      </c>
      <c r="BO12" s="3">
        <f t="shared" si="38"/>
        <v>61</v>
      </c>
      <c r="BP12" s="3">
        <f t="shared" si="38"/>
        <v>61</v>
      </c>
      <c r="BQ12" s="3">
        <f t="shared" si="38"/>
        <v>61</v>
      </c>
      <c r="BR12" s="3">
        <f t="shared" si="38"/>
        <v>61</v>
      </c>
      <c r="BS12" s="3">
        <f t="shared" si="38"/>
        <v>61</v>
      </c>
      <c r="BT12" s="2"/>
    </row>
    <row r="13" spans="1:73">
      <c r="A13" s="54" t="str">
        <f>IF('Capital purchases'!C17="","",'Capital purchases'!C17)</f>
        <v>Grain/etc storage</v>
      </c>
      <c r="B13" s="2"/>
      <c r="C13" s="2">
        <f>IF($A13="","",'Capital purchases'!B17)</f>
        <v>1</v>
      </c>
      <c r="D13" s="3">
        <f>IF($A13="","",'Capital purchases'!J17)</f>
        <v>361</v>
      </c>
      <c r="E13" s="162">
        <f>IF($A13="","",'Capital purchases'!I17)</f>
        <v>28</v>
      </c>
      <c r="H13" s="3">
        <f t="shared" ref="H13:S13" si="39">IF(AND(H$5&gt;=$C13,H$5&lt;=$D13),$E13,0)</f>
        <v>28</v>
      </c>
      <c r="I13" s="3">
        <f t="shared" si="39"/>
        <v>28</v>
      </c>
      <c r="J13" s="3">
        <f t="shared" si="39"/>
        <v>28</v>
      </c>
      <c r="K13" s="3">
        <f t="shared" si="39"/>
        <v>28</v>
      </c>
      <c r="L13" s="3">
        <f t="shared" si="39"/>
        <v>28</v>
      </c>
      <c r="M13" s="3">
        <f t="shared" si="39"/>
        <v>28</v>
      </c>
      <c r="N13" s="3">
        <f t="shared" si="39"/>
        <v>28</v>
      </c>
      <c r="O13" s="3">
        <f t="shared" si="39"/>
        <v>28</v>
      </c>
      <c r="P13" s="3">
        <f t="shared" si="39"/>
        <v>28</v>
      </c>
      <c r="Q13" s="3">
        <f t="shared" si="39"/>
        <v>28</v>
      </c>
      <c r="R13" s="3">
        <f t="shared" si="39"/>
        <v>28</v>
      </c>
      <c r="S13" s="3">
        <f t="shared" si="39"/>
        <v>28</v>
      </c>
      <c r="U13" s="3">
        <f t="shared" ref="U13:AF13" si="40">IF(AND(U$5&gt;=$C13,U$5&lt;=$D13),$E13,0)</f>
        <v>28</v>
      </c>
      <c r="V13" s="3">
        <f t="shared" si="40"/>
        <v>28</v>
      </c>
      <c r="W13" s="3">
        <f t="shared" si="40"/>
        <v>28</v>
      </c>
      <c r="X13" s="3">
        <f t="shared" si="40"/>
        <v>28</v>
      </c>
      <c r="Y13" s="3">
        <f t="shared" si="40"/>
        <v>28</v>
      </c>
      <c r="Z13" s="3">
        <f t="shared" si="40"/>
        <v>28</v>
      </c>
      <c r="AA13" s="3">
        <f t="shared" si="40"/>
        <v>28</v>
      </c>
      <c r="AB13" s="3">
        <f t="shared" si="40"/>
        <v>28</v>
      </c>
      <c r="AC13" s="3">
        <f t="shared" si="40"/>
        <v>28</v>
      </c>
      <c r="AD13" s="3">
        <f t="shared" si="40"/>
        <v>28</v>
      </c>
      <c r="AE13" s="3">
        <f t="shared" si="40"/>
        <v>28</v>
      </c>
      <c r="AF13" s="3">
        <f t="shared" si="40"/>
        <v>28</v>
      </c>
      <c r="AH13" s="3">
        <f t="shared" ref="AH13:AS13" si="41">IF(AND(AH$5&gt;=$C13,AH$5&lt;=$D13),$E13,0)</f>
        <v>28</v>
      </c>
      <c r="AI13" s="3">
        <f t="shared" si="41"/>
        <v>28</v>
      </c>
      <c r="AJ13" s="3">
        <f t="shared" si="41"/>
        <v>28</v>
      </c>
      <c r="AK13" s="3">
        <f t="shared" si="41"/>
        <v>28</v>
      </c>
      <c r="AL13" s="3">
        <f t="shared" si="41"/>
        <v>28</v>
      </c>
      <c r="AM13" s="3">
        <f t="shared" si="41"/>
        <v>28</v>
      </c>
      <c r="AN13" s="3">
        <f t="shared" si="41"/>
        <v>28</v>
      </c>
      <c r="AO13" s="3">
        <f t="shared" si="41"/>
        <v>28</v>
      </c>
      <c r="AP13" s="3">
        <f t="shared" si="41"/>
        <v>28</v>
      </c>
      <c r="AQ13" s="3">
        <f t="shared" si="41"/>
        <v>28</v>
      </c>
      <c r="AR13" s="3">
        <f t="shared" si="41"/>
        <v>28</v>
      </c>
      <c r="AS13" s="3">
        <f t="shared" si="41"/>
        <v>28</v>
      </c>
      <c r="AU13" s="3">
        <f t="shared" ref="AU13:BF13" si="42">IF(AND(AU$5&gt;=$C13,AU$5&lt;=$D13),$E13,0)</f>
        <v>28</v>
      </c>
      <c r="AV13" s="3">
        <f t="shared" si="42"/>
        <v>28</v>
      </c>
      <c r="AW13" s="3">
        <f t="shared" si="42"/>
        <v>28</v>
      </c>
      <c r="AX13" s="3">
        <f t="shared" si="42"/>
        <v>28</v>
      </c>
      <c r="AY13" s="3">
        <f t="shared" si="42"/>
        <v>28</v>
      </c>
      <c r="AZ13" s="3">
        <f t="shared" si="42"/>
        <v>28</v>
      </c>
      <c r="BA13" s="3">
        <f t="shared" si="42"/>
        <v>28</v>
      </c>
      <c r="BB13" s="3">
        <f t="shared" si="42"/>
        <v>28</v>
      </c>
      <c r="BC13" s="3">
        <f t="shared" si="42"/>
        <v>28</v>
      </c>
      <c r="BD13" s="3">
        <f t="shared" si="42"/>
        <v>28</v>
      </c>
      <c r="BE13" s="3">
        <f t="shared" si="42"/>
        <v>28</v>
      </c>
      <c r="BF13" s="3">
        <f t="shared" si="42"/>
        <v>28</v>
      </c>
      <c r="BG13" s="2"/>
      <c r="BH13" s="3">
        <f t="shared" ref="BH13:BS13" si="43">IF(AND(BH$5&gt;=$C13,BH$5&lt;=$D13),$E13,0)</f>
        <v>28</v>
      </c>
      <c r="BI13" s="3">
        <f t="shared" si="43"/>
        <v>28</v>
      </c>
      <c r="BJ13" s="3">
        <f t="shared" si="43"/>
        <v>28</v>
      </c>
      <c r="BK13" s="3">
        <f t="shared" si="43"/>
        <v>28</v>
      </c>
      <c r="BL13" s="3">
        <f t="shared" si="43"/>
        <v>28</v>
      </c>
      <c r="BM13" s="3">
        <f t="shared" si="43"/>
        <v>28</v>
      </c>
      <c r="BN13" s="3">
        <f t="shared" si="43"/>
        <v>28</v>
      </c>
      <c r="BO13" s="3">
        <f t="shared" si="43"/>
        <v>28</v>
      </c>
      <c r="BP13" s="3">
        <f t="shared" si="43"/>
        <v>28</v>
      </c>
      <c r="BQ13" s="3">
        <f t="shared" si="43"/>
        <v>28</v>
      </c>
      <c r="BR13" s="3">
        <f t="shared" si="43"/>
        <v>28</v>
      </c>
      <c r="BS13" s="3">
        <f t="shared" si="43"/>
        <v>28</v>
      </c>
      <c r="BT13" s="2"/>
    </row>
    <row r="14" spans="1:73">
      <c r="A14" s="54" t="str">
        <f>IF('Capital purchases'!C18="","",'Capital purchases'!C18)</f>
        <v>Carbon Filter</v>
      </c>
      <c r="B14" s="2"/>
      <c r="C14" s="2">
        <f>IF($A14="","",'Capital purchases'!B18)</f>
        <v>1</v>
      </c>
      <c r="D14" s="3">
        <f>IF($A14="","",'Capital purchases'!J18)</f>
        <v>121</v>
      </c>
      <c r="E14" s="162">
        <f>IF($A14="","",'Capital purchases'!I18)</f>
        <v>25</v>
      </c>
      <c r="H14" s="3">
        <f t="shared" ref="H14:S14" si="44">IF(AND(H$5&gt;=$C14,H$5&lt;=$D14),$E14,0)</f>
        <v>25</v>
      </c>
      <c r="I14" s="3">
        <f t="shared" si="44"/>
        <v>25</v>
      </c>
      <c r="J14" s="3">
        <f t="shared" si="44"/>
        <v>25</v>
      </c>
      <c r="K14" s="3">
        <f t="shared" si="44"/>
        <v>25</v>
      </c>
      <c r="L14" s="3">
        <f t="shared" si="44"/>
        <v>25</v>
      </c>
      <c r="M14" s="3">
        <f t="shared" si="44"/>
        <v>25</v>
      </c>
      <c r="N14" s="3">
        <f t="shared" si="44"/>
        <v>25</v>
      </c>
      <c r="O14" s="3">
        <f t="shared" si="44"/>
        <v>25</v>
      </c>
      <c r="P14" s="3">
        <f t="shared" si="44"/>
        <v>25</v>
      </c>
      <c r="Q14" s="3">
        <f t="shared" si="44"/>
        <v>25</v>
      </c>
      <c r="R14" s="3">
        <f t="shared" si="44"/>
        <v>25</v>
      </c>
      <c r="S14" s="3">
        <f t="shared" si="44"/>
        <v>25</v>
      </c>
      <c r="U14" s="3">
        <f t="shared" ref="U14:AF14" si="45">IF(AND(U$5&gt;=$C14,U$5&lt;=$D14),$E14,0)</f>
        <v>25</v>
      </c>
      <c r="V14" s="3">
        <f t="shared" si="45"/>
        <v>25</v>
      </c>
      <c r="W14" s="3">
        <f t="shared" si="45"/>
        <v>25</v>
      </c>
      <c r="X14" s="3">
        <f t="shared" si="45"/>
        <v>25</v>
      </c>
      <c r="Y14" s="3">
        <f t="shared" si="45"/>
        <v>25</v>
      </c>
      <c r="Z14" s="3">
        <f t="shared" si="45"/>
        <v>25</v>
      </c>
      <c r="AA14" s="3">
        <f t="shared" si="45"/>
        <v>25</v>
      </c>
      <c r="AB14" s="3">
        <f t="shared" si="45"/>
        <v>25</v>
      </c>
      <c r="AC14" s="3">
        <f t="shared" si="45"/>
        <v>25</v>
      </c>
      <c r="AD14" s="3">
        <f t="shared" si="45"/>
        <v>25</v>
      </c>
      <c r="AE14" s="3">
        <f t="shared" si="45"/>
        <v>25</v>
      </c>
      <c r="AF14" s="3">
        <f t="shared" si="45"/>
        <v>25</v>
      </c>
      <c r="AH14" s="3">
        <f t="shared" ref="AH14:AS14" si="46">IF(AND(AH$5&gt;=$C14,AH$5&lt;=$D14),$E14,0)</f>
        <v>25</v>
      </c>
      <c r="AI14" s="3">
        <f t="shared" si="46"/>
        <v>25</v>
      </c>
      <c r="AJ14" s="3">
        <f t="shared" si="46"/>
        <v>25</v>
      </c>
      <c r="AK14" s="3">
        <f t="shared" si="46"/>
        <v>25</v>
      </c>
      <c r="AL14" s="3">
        <f t="shared" si="46"/>
        <v>25</v>
      </c>
      <c r="AM14" s="3">
        <f t="shared" si="46"/>
        <v>25</v>
      </c>
      <c r="AN14" s="3">
        <f t="shared" si="46"/>
        <v>25</v>
      </c>
      <c r="AO14" s="3">
        <f t="shared" si="46"/>
        <v>25</v>
      </c>
      <c r="AP14" s="3">
        <f t="shared" si="46"/>
        <v>25</v>
      </c>
      <c r="AQ14" s="3">
        <f t="shared" si="46"/>
        <v>25</v>
      </c>
      <c r="AR14" s="3">
        <f t="shared" si="46"/>
        <v>25</v>
      </c>
      <c r="AS14" s="3">
        <f t="shared" si="46"/>
        <v>25</v>
      </c>
      <c r="AU14" s="3">
        <f t="shared" ref="AU14:BF14" si="47">IF(AND(AU$5&gt;=$C14,AU$5&lt;=$D14),$E14,0)</f>
        <v>25</v>
      </c>
      <c r="AV14" s="3">
        <f t="shared" si="47"/>
        <v>25</v>
      </c>
      <c r="AW14" s="3">
        <f t="shared" si="47"/>
        <v>25</v>
      </c>
      <c r="AX14" s="3">
        <f t="shared" si="47"/>
        <v>25</v>
      </c>
      <c r="AY14" s="3">
        <f t="shared" si="47"/>
        <v>25</v>
      </c>
      <c r="AZ14" s="3">
        <f t="shared" si="47"/>
        <v>25</v>
      </c>
      <c r="BA14" s="3">
        <f t="shared" si="47"/>
        <v>25</v>
      </c>
      <c r="BB14" s="3">
        <f t="shared" si="47"/>
        <v>25</v>
      </c>
      <c r="BC14" s="3">
        <f t="shared" si="47"/>
        <v>25</v>
      </c>
      <c r="BD14" s="3">
        <f t="shared" si="47"/>
        <v>25</v>
      </c>
      <c r="BE14" s="3">
        <f t="shared" si="47"/>
        <v>25</v>
      </c>
      <c r="BF14" s="3">
        <f t="shared" si="47"/>
        <v>25</v>
      </c>
      <c r="BG14" s="2"/>
      <c r="BH14" s="3">
        <f t="shared" ref="BH14:BS14" si="48">IF(AND(BH$5&gt;=$C14,BH$5&lt;=$D14),$E14,0)</f>
        <v>25</v>
      </c>
      <c r="BI14" s="3">
        <f t="shared" si="48"/>
        <v>25</v>
      </c>
      <c r="BJ14" s="3">
        <f t="shared" si="48"/>
        <v>25</v>
      </c>
      <c r="BK14" s="3">
        <f t="shared" si="48"/>
        <v>25</v>
      </c>
      <c r="BL14" s="3">
        <f t="shared" si="48"/>
        <v>25</v>
      </c>
      <c r="BM14" s="3">
        <f t="shared" si="48"/>
        <v>25</v>
      </c>
      <c r="BN14" s="3">
        <f t="shared" si="48"/>
        <v>25</v>
      </c>
      <c r="BO14" s="3">
        <f t="shared" si="48"/>
        <v>25</v>
      </c>
      <c r="BP14" s="3">
        <f t="shared" si="48"/>
        <v>25</v>
      </c>
      <c r="BQ14" s="3">
        <f t="shared" si="48"/>
        <v>25</v>
      </c>
      <c r="BR14" s="3">
        <f t="shared" si="48"/>
        <v>25</v>
      </c>
      <c r="BS14" s="3">
        <f t="shared" si="48"/>
        <v>25</v>
      </c>
      <c r="BT14" s="2"/>
    </row>
    <row r="15" spans="1:73">
      <c r="A15" s="54" t="str">
        <f>IF('Capital purchases'!C19="","",'Capital purchases'!C19)</f>
        <v>Canning line</v>
      </c>
      <c r="B15" s="2"/>
      <c r="C15" s="2">
        <f>IF($A15="","",'Capital purchases'!B19)</f>
        <v>1</v>
      </c>
      <c r="D15" s="3">
        <f>IF($A15="","",'Capital purchases'!J19)</f>
        <v>181</v>
      </c>
      <c r="E15" s="162">
        <f>IF($A15="","",'Capital purchases'!I19)</f>
        <v>144</v>
      </c>
      <c r="H15" s="3">
        <f t="shared" ref="H15:S15" si="49">IF(AND(H$5&gt;=$C15,H$5&lt;=$D15),$E15,0)</f>
        <v>144</v>
      </c>
      <c r="I15" s="3">
        <f t="shared" si="49"/>
        <v>144</v>
      </c>
      <c r="J15" s="3">
        <f t="shared" si="49"/>
        <v>144</v>
      </c>
      <c r="K15" s="3">
        <f t="shared" si="49"/>
        <v>144</v>
      </c>
      <c r="L15" s="3">
        <f t="shared" si="49"/>
        <v>144</v>
      </c>
      <c r="M15" s="3">
        <f t="shared" si="49"/>
        <v>144</v>
      </c>
      <c r="N15" s="3">
        <f t="shared" si="49"/>
        <v>144</v>
      </c>
      <c r="O15" s="3">
        <f t="shared" si="49"/>
        <v>144</v>
      </c>
      <c r="P15" s="3">
        <f t="shared" si="49"/>
        <v>144</v>
      </c>
      <c r="Q15" s="3">
        <f t="shared" si="49"/>
        <v>144</v>
      </c>
      <c r="R15" s="3">
        <f t="shared" si="49"/>
        <v>144</v>
      </c>
      <c r="S15" s="3">
        <f t="shared" si="49"/>
        <v>144</v>
      </c>
      <c r="U15" s="3">
        <f t="shared" ref="U15:AF15" si="50">IF(AND(U$5&gt;=$C15,U$5&lt;=$D15),$E15,0)</f>
        <v>144</v>
      </c>
      <c r="V15" s="3">
        <f t="shared" si="50"/>
        <v>144</v>
      </c>
      <c r="W15" s="3">
        <f t="shared" si="50"/>
        <v>144</v>
      </c>
      <c r="X15" s="3">
        <f t="shared" si="50"/>
        <v>144</v>
      </c>
      <c r="Y15" s="3">
        <f t="shared" si="50"/>
        <v>144</v>
      </c>
      <c r="Z15" s="3">
        <f t="shared" si="50"/>
        <v>144</v>
      </c>
      <c r="AA15" s="3">
        <f t="shared" si="50"/>
        <v>144</v>
      </c>
      <c r="AB15" s="3">
        <f t="shared" si="50"/>
        <v>144</v>
      </c>
      <c r="AC15" s="3">
        <f t="shared" si="50"/>
        <v>144</v>
      </c>
      <c r="AD15" s="3">
        <f t="shared" si="50"/>
        <v>144</v>
      </c>
      <c r="AE15" s="3">
        <f t="shared" si="50"/>
        <v>144</v>
      </c>
      <c r="AF15" s="3">
        <f t="shared" si="50"/>
        <v>144</v>
      </c>
      <c r="AH15" s="3">
        <f t="shared" ref="AH15:AS15" si="51">IF(AND(AH$5&gt;=$C15,AH$5&lt;=$D15),$E15,0)</f>
        <v>144</v>
      </c>
      <c r="AI15" s="3">
        <f t="shared" si="51"/>
        <v>144</v>
      </c>
      <c r="AJ15" s="3">
        <f t="shared" si="51"/>
        <v>144</v>
      </c>
      <c r="AK15" s="3">
        <f t="shared" si="51"/>
        <v>144</v>
      </c>
      <c r="AL15" s="3">
        <f t="shared" si="51"/>
        <v>144</v>
      </c>
      <c r="AM15" s="3">
        <f t="shared" si="51"/>
        <v>144</v>
      </c>
      <c r="AN15" s="3">
        <f t="shared" si="51"/>
        <v>144</v>
      </c>
      <c r="AO15" s="3">
        <f t="shared" si="51"/>
        <v>144</v>
      </c>
      <c r="AP15" s="3">
        <f t="shared" si="51"/>
        <v>144</v>
      </c>
      <c r="AQ15" s="3">
        <f t="shared" si="51"/>
        <v>144</v>
      </c>
      <c r="AR15" s="3">
        <f t="shared" si="51"/>
        <v>144</v>
      </c>
      <c r="AS15" s="3">
        <f t="shared" si="51"/>
        <v>144</v>
      </c>
      <c r="AU15" s="3">
        <f t="shared" ref="AU15:BF15" si="52">IF(AND(AU$5&gt;=$C15,AU$5&lt;=$D15),$E15,0)</f>
        <v>144</v>
      </c>
      <c r="AV15" s="3">
        <f t="shared" si="52"/>
        <v>144</v>
      </c>
      <c r="AW15" s="3">
        <f t="shared" si="52"/>
        <v>144</v>
      </c>
      <c r="AX15" s="3">
        <f t="shared" si="52"/>
        <v>144</v>
      </c>
      <c r="AY15" s="3">
        <f t="shared" si="52"/>
        <v>144</v>
      </c>
      <c r="AZ15" s="3">
        <f t="shared" si="52"/>
        <v>144</v>
      </c>
      <c r="BA15" s="3">
        <f t="shared" si="52"/>
        <v>144</v>
      </c>
      <c r="BB15" s="3">
        <f t="shared" si="52"/>
        <v>144</v>
      </c>
      <c r="BC15" s="3">
        <f t="shared" si="52"/>
        <v>144</v>
      </c>
      <c r="BD15" s="3">
        <f t="shared" si="52"/>
        <v>144</v>
      </c>
      <c r="BE15" s="3">
        <f t="shared" si="52"/>
        <v>144</v>
      </c>
      <c r="BF15" s="3">
        <f t="shared" si="52"/>
        <v>144</v>
      </c>
      <c r="BG15" s="2"/>
      <c r="BH15" s="3">
        <f t="shared" ref="BH15:BS15" si="53">IF(AND(BH$5&gt;=$C15,BH$5&lt;=$D15),$E15,0)</f>
        <v>144</v>
      </c>
      <c r="BI15" s="3">
        <f t="shared" si="53"/>
        <v>144</v>
      </c>
      <c r="BJ15" s="3">
        <f t="shared" si="53"/>
        <v>144</v>
      </c>
      <c r="BK15" s="3">
        <f t="shared" si="53"/>
        <v>144</v>
      </c>
      <c r="BL15" s="3">
        <f t="shared" si="53"/>
        <v>144</v>
      </c>
      <c r="BM15" s="3">
        <f t="shared" si="53"/>
        <v>144</v>
      </c>
      <c r="BN15" s="3">
        <f t="shared" si="53"/>
        <v>144</v>
      </c>
      <c r="BO15" s="3">
        <f t="shared" si="53"/>
        <v>144</v>
      </c>
      <c r="BP15" s="3">
        <f t="shared" si="53"/>
        <v>144</v>
      </c>
      <c r="BQ15" s="3">
        <f t="shared" si="53"/>
        <v>144</v>
      </c>
      <c r="BR15" s="3">
        <f t="shared" si="53"/>
        <v>144</v>
      </c>
      <c r="BS15" s="3">
        <f t="shared" si="53"/>
        <v>144</v>
      </c>
      <c r="BT15" s="2"/>
    </row>
    <row r="16" spans="1:73">
      <c r="A16" s="54" t="str">
        <f>IF('Capital purchases'!C20="","",'Capital purchases'!C20)</f>
        <v>Brewery Hoses</v>
      </c>
      <c r="B16" s="2"/>
      <c r="C16" s="2">
        <f>IF($A16="","",'Capital purchases'!B20)</f>
        <v>1</v>
      </c>
      <c r="D16" s="3">
        <f>IF($A16="","",'Capital purchases'!J20)</f>
        <v>121</v>
      </c>
      <c r="E16" s="162">
        <f>IF($A16="","",'Capital purchases'!I20)</f>
        <v>0</v>
      </c>
      <c r="H16" s="3">
        <f t="shared" ref="H16:S16" si="54">IF(AND(H$5&gt;=$C16,H$5&lt;=$D16),$E16,0)</f>
        <v>0</v>
      </c>
      <c r="I16" s="3">
        <f t="shared" si="54"/>
        <v>0</v>
      </c>
      <c r="J16" s="3">
        <f t="shared" si="54"/>
        <v>0</v>
      </c>
      <c r="K16" s="3">
        <f t="shared" si="54"/>
        <v>0</v>
      </c>
      <c r="L16" s="3">
        <f t="shared" si="54"/>
        <v>0</v>
      </c>
      <c r="M16" s="3">
        <f t="shared" si="54"/>
        <v>0</v>
      </c>
      <c r="N16" s="3">
        <f t="shared" si="54"/>
        <v>0</v>
      </c>
      <c r="O16" s="3">
        <f t="shared" si="54"/>
        <v>0</v>
      </c>
      <c r="P16" s="3">
        <f t="shared" si="54"/>
        <v>0</v>
      </c>
      <c r="Q16" s="3">
        <f t="shared" si="54"/>
        <v>0</v>
      </c>
      <c r="R16" s="3">
        <f t="shared" si="54"/>
        <v>0</v>
      </c>
      <c r="S16" s="3">
        <f t="shared" si="54"/>
        <v>0</v>
      </c>
      <c r="U16" s="3">
        <f t="shared" ref="U16:AF16" si="55">IF(AND(U$5&gt;=$C16,U$5&lt;=$D16),$E16,0)</f>
        <v>0</v>
      </c>
      <c r="V16" s="3">
        <f t="shared" si="55"/>
        <v>0</v>
      </c>
      <c r="W16" s="3">
        <f t="shared" si="55"/>
        <v>0</v>
      </c>
      <c r="X16" s="3">
        <f t="shared" si="55"/>
        <v>0</v>
      </c>
      <c r="Y16" s="3">
        <f t="shared" si="55"/>
        <v>0</v>
      </c>
      <c r="Z16" s="3">
        <f t="shared" si="55"/>
        <v>0</v>
      </c>
      <c r="AA16" s="3">
        <f t="shared" si="55"/>
        <v>0</v>
      </c>
      <c r="AB16" s="3">
        <f t="shared" si="55"/>
        <v>0</v>
      </c>
      <c r="AC16" s="3">
        <f t="shared" si="55"/>
        <v>0</v>
      </c>
      <c r="AD16" s="3">
        <f t="shared" si="55"/>
        <v>0</v>
      </c>
      <c r="AE16" s="3">
        <f t="shared" si="55"/>
        <v>0</v>
      </c>
      <c r="AF16" s="3">
        <f t="shared" si="55"/>
        <v>0</v>
      </c>
      <c r="AH16" s="3">
        <f t="shared" ref="AH16:AS16" si="56">IF(AND(AH$5&gt;=$C16,AH$5&lt;=$D16),$E16,0)</f>
        <v>0</v>
      </c>
      <c r="AI16" s="3">
        <f t="shared" si="56"/>
        <v>0</v>
      </c>
      <c r="AJ16" s="3">
        <f t="shared" si="56"/>
        <v>0</v>
      </c>
      <c r="AK16" s="3">
        <f t="shared" si="56"/>
        <v>0</v>
      </c>
      <c r="AL16" s="3">
        <f t="shared" si="56"/>
        <v>0</v>
      </c>
      <c r="AM16" s="3">
        <f t="shared" si="56"/>
        <v>0</v>
      </c>
      <c r="AN16" s="3">
        <f t="shared" si="56"/>
        <v>0</v>
      </c>
      <c r="AO16" s="3">
        <f t="shared" si="56"/>
        <v>0</v>
      </c>
      <c r="AP16" s="3">
        <f t="shared" si="56"/>
        <v>0</v>
      </c>
      <c r="AQ16" s="3">
        <f t="shared" si="56"/>
        <v>0</v>
      </c>
      <c r="AR16" s="3">
        <f t="shared" si="56"/>
        <v>0</v>
      </c>
      <c r="AS16" s="3">
        <f t="shared" si="56"/>
        <v>0</v>
      </c>
      <c r="AU16" s="3">
        <f t="shared" ref="AU16:BF16" si="57">IF(AND(AU$5&gt;=$C16,AU$5&lt;=$D16),$E16,0)</f>
        <v>0</v>
      </c>
      <c r="AV16" s="3">
        <f t="shared" si="57"/>
        <v>0</v>
      </c>
      <c r="AW16" s="3">
        <f t="shared" si="57"/>
        <v>0</v>
      </c>
      <c r="AX16" s="3">
        <f t="shared" si="57"/>
        <v>0</v>
      </c>
      <c r="AY16" s="3">
        <f t="shared" si="57"/>
        <v>0</v>
      </c>
      <c r="AZ16" s="3">
        <f t="shared" si="57"/>
        <v>0</v>
      </c>
      <c r="BA16" s="3">
        <f t="shared" si="57"/>
        <v>0</v>
      </c>
      <c r="BB16" s="3">
        <f t="shared" si="57"/>
        <v>0</v>
      </c>
      <c r="BC16" s="3">
        <f t="shared" si="57"/>
        <v>0</v>
      </c>
      <c r="BD16" s="3">
        <f t="shared" si="57"/>
        <v>0</v>
      </c>
      <c r="BE16" s="3">
        <f t="shared" si="57"/>
        <v>0</v>
      </c>
      <c r="BF16" s="3">
        <f t="shared" si="57"/>
        <v>0</v>
      </c>
      <c r="BG16" s="2"/>
      <c r="BH16" s="3">
        <f t="shared" ref="BH16:BS16" si="58">IF(AND(BH$5&gt;=$C16,BH$5&lt;=$D16),$E16,0)</f>
        <v>0</v>
      </c>
      <c r="BI16" s="3">
        <f t="shared" si="58"/>
        <v>0</v>
      </c>
      <c r="BJ16" s="3">
        <f t="shared" si="58"/>
        <v>0</v>
      </c>
      <c r="BK16" s="3">
        <f t="shared" si="58"/>
        <v>0</v>
      </c>
      <c r="BL16" s="3">
        <f t="shared" si="58"/>
        <v>0</v>
      </c>
      <c r="BM16" s="3">
        <f t="shared" si="58"/>
        <v>0</v>
      </c>
      <c r="BN16" s="3">
        <f t="shared" si="58"/>
        <v>0</v>
      </c>
      <c r="BO16" s="3">
        <f t="shared" si="58"/>
        <v>0</v>
      </c>
      <c r="BP16" s="3">
        <f t="shared" si="58"/>
        <v>0</v>
      </c>
      <c r="BQ16" s="3">
        <f t="shared" si="58"/>
        <v>0</v>
      </c>
      <c r="BR16" s="3">
        <f t="shared" si="58"/>
        <v>0</v>
      </c>
      <c r="BS16" s="3">
        <f t="shared" si="58"/>
        <v>0</v>
      </c>
      <c r="BT16" s="2"/>
    </row>
    <row r="17" spans="1:72">
      <c r="A17" s="54" t="str">
        <f>IF('Capital purchases'!C21="","",'Capital purchases'!C21)</f>
        <v>Utility Valves/Temp Probes/Wires</v>
      </c>
      <c r="B17" s="2"/>
      <c r="C17" s="2">
        <f>IF($A17="","",'Capital purchases'!B21)</f>
        <v>1</v>
      </c>
      <c r="D17" s="3">
        <f>IF($A17="","",'Capital purchases'!J21)</f>
        <v>181</v>
      </c>
      <c r="E17" s="162">
        <f>IF($A17="","",'Capital purchases'!I21)</f>
        <v>27</v>
      </c>
      <c r="H17" s="3">
        <f t="shared" ref="H17:S17" si="59">IF(AND(H$5&gt;=$C17,H$5&lt;=$D17),$E17,0)</f>
        <v>27</v>
      </c>
      <c r="I17" s="3">
        <f t="shared" si="59"/>
        <v>27</v>
      </c>
      <c r="J17" s="3">
        <f t="shared" si="59"/>
        <v>27</v>
      </c>
      <c r="K17" s="3">
        <f t="shared" si="59"/>
        <v>27</v>
      </c>
      <c r="L17" s="3">
        <f t="shared" si="59"/>
        <v>27</v>
      </c>
      <c r="M17" s="3">
        <f t="shared" si="59"/>
        <v>27</v>
      </c>
      <c r="N17" s="3">
        <f t="shared" si="59"/>
        <v>27</v>
      </c>
      <c r="O17" s="3">
        <f t="shared" si="59"/>
        <v>27</v>
      </c>
      <c r="P17" s="3">
        <f t="shared" si="59"/>
        <v>27</v>
      </c>
      <c r="Q17" s="3">
        <f t="shared" si="59"/>
        <v>27</v>
      </c>
      <c r="R17" s="3">
        <f t="shared" si="59"/>
        <v>27</v>
      </c>
      <c r="S17" s="3">
        <f t="shared" si="59"/>
        <v>27</v>
      </c>
      <c r="U17" s="3">
        <f t="shared" ref="U17:AF17" si="60">IF(AND(U$5&gt;=$C17,U$5&lt;=$D17),$E17,0)</f>
        <v>27</v>
      </c>
      <c r="V17" s="3">
        <f t="shared" si="60"/>
        <v>27</v>
      </c>
      <c r="W17" s="3">
        <f t="shared" si="60"/>
        <v>27</v>
      </c>
      <c r="X17" s="3">
        <f t="shared" si="60"/>
        <v>27</v>
      </c>
      <c r="Y17" s="3">
        <f t="shared" si="60"/>
        <v>27</v>
      </c>
      <c r="Z17" s="3">
        <f t="shared" si="60"/>
        <v>27</v>
      </c>
      <c r="AA17" s="3">
        <f t="shared" si="60"/>
        <v>27</v>
      </c>
      <c r="AB17" s="3">
        <f t="shared" si="60"/>
        <v>27</v>
      </c>
      <c r="AC17" s="3">
        <f t="shared" si="60"/>
        <v>27</v>
      </c>
      <c r="AD17" s="3">
        <f t="shared" si="60"/>
        <v>27</v>
      </c>
      <c r="AE17" s="3">
        <f t="shared" si="60"/>
        <v>27</v>
      </c>
      <c r="AF17" s="3">
        <f t="shared" si="60"/>
        <v>27</v>
      </c>
      <c r="AH17" s="3">
        <f t="shared" ref="AH17:AS17" si="61">IF(AND(AH$5&gt;=$C17,AH$5&lt;=$D17),$E17,0)</f>
        <v>27</v>
      </c>
      <c r="AI17" s="3">
        <f t="shared" si="61"/>
        <v>27</v>
      </c>
      <c r="AJ17" s="3">
        <f t="shared" si="61"/>
        <v>27</v>
      </c>
      <c r="AK17" s="3">
        <f t="shared" si="61"/>
        <v>27</v>
      </c>
      <c r="AL17" s="3">
        <f t="shared" si="61"/>
        <v>27</v>
      </c>
      <c r="AM17" s="3">
        <f t="shared" si="61"/>
        <v>27</v>
      </c>
      <c r="AN17" s="3">
        <f t="shared" si="61"/>
        <v>27</v>
      </c>
      <c r="AO17" s="3">
        <f t="shared" si="61"/>
        <v>27</v>
      </c>
      <c r="AP17" s="3">
        <f t="shared" si="61"/>
        <v>27</v>
      </c>
      <c r="AQ17" s="3">
        <f t="shared" si="61"/>
        <v>27</v>
      </c>
      <c r="AR17" s="3">
        <f t="shared" si="61"/>
        <v>27</v>
      </c>
      <c r="AS17" s="3">
        <f t="shared" si="61"/>
        <v>27</v>
      </c>
      <c r="AU17" s="3">
        <f t="shared" ref="AU17:BF17" si="62">IF(AND(AU$5&gt;=$C17,AU$5&lt;=$D17),$E17,0)</f>
        <v>27</v>
      </c>
      <c r="AV17" s="3">
        <f t="shared" si="62"/>
        <v>27</v>
      </c>
      <c r="AW17" s="3">
        <f t="shared" si="62"/>
        <v>27</v>
      </c>
      <c r="AX17" s="3">
        <f t="shared" si="62"/>
        <v>27</v>
      </c>
      <c r="AY17" s="3">
        <f t="shared" si="62"/>
        <v>27</v>
      </c>
      <c r="AZ17" s="3">
        <f t="shared" si="62"/>
        <v>27</v>
      </c>
      <c r="BA17" s="3">
        <f t="shared" si="62"/>
        <v>27</v>
      </c>
      <c r="BB17" s="3">
        <f t="shared" si="62"/>
        <v>27</v>
      </c>
      <c r="BC17" s="3">
        <f t="shared" si="62"/>
        <v>27</v>
      </c>
      <c r="BD17" s="3">
        <f t="shared" si="62"/>
        <v>27</v>
      </c>
      <c r="BE17" s="3">
        <f t="shared" si="62"/>
        <v>27</v>
      </c>
      <c r="BF17" s="3">
        <f t="shared" si="62"/>
        <v>27</v>
      </c>
      <c r="BG17" s="2"/>
      <c r="BH17" s="3">
        <f t="shared" ref="BH17:BS17" si="63">IF(AND(BH$5&gt;=$C17,BH$5&lt;=$D17),$E17,0)</f>
        <v>27</v>
      </c>
      <c r="BI17" s="3">
        <f t="shared" si="63"/>
        <v>27</v>
      </c>
      <c r="BJ17" s="3">
        <f t="shared" si="63"/>
        <v>27</v>
      </c>
      <c r="BK17" s="3">
        <f t="shared" si="63"/>
        <v>27</v>
      </c>
      <c r="BL17" s="3">
        <f t="shared" si="63"/>
        <v>27</v>
      </c>
      <c r="BM17" s="3">
        <f t="shared" si="63"/>
        <v>27</v>
      </c>
      <c r="BN17" s="3">
        <f t="shared" si="63"/>
        <v>27</v>
      </c>
      <c r="BO17" s="3">
        <f t="shared" si="63"/>
        <v>27</v>
      </c>
      <c r="BP17" s="3">
        <f t="shared" si="63"/>
        <v>27</v>
      </c>
      <c r="BQ17" s="3">
        <f t="shared" si="63"/>
        <v>27</v>
      </c>
      <c r="BR17" s="3">
        <f t="shared" si="63"/>
        <v>27</v>
      </c>
      <c r="BS17" s="3">
        <f t="shared" si="63"/>
        <v>27</v>
      </c>
      <c r="BT17" s="2"/>
    </row>
    <row r="18" spans="1:72">
      <c r="A18" s="54" t="str">
        <f>IF('Capital purchases'!C22="","",'Capital purchases'!C22)</f>
        <v>1/4 bbl kegs</v>
      </c>
      <c r="B18" s="2"/>
      <c r="C18" s="2">
        <f>IF($A18="","",'Capital purchases'!B22)</f>
        <v>1</v>
      </c>
      <c r="D18" s="3">
        <f>IF($A18="","",'Capital purchases'!J22)</f>
        <v>121</v>
      </c>
      <c r="E18" s="162">
        <f>IF($A18="","",'Capital purchases'!I22)</f>
        <v>11</v>
      </c>
      <c r="H18" s="3">
        <f t="shared" ref="H18:S18" si="64">IF(AND(H$5&gt;=$C18,H$5&lt;=$D18),$E18,0)</f>
        <v>11</v>
      </c>
      <c r="I18" s="3">
        <f t="shared" si="64"/>
        <v>11</v>
      </c>
      <c r="J18" s="3">
        <f t="shared" si="64"/>
        <v>11</v>
      </c>
      <c r="K18" s="3">
        <f t="shared" si="64"/>
        <v>11</v>
      </c>
      <c r="L18" s="3">
        <f t="shared" si="64"/>
        <v>11</v>
      </c>
      <c r="M18" s="3">
        <f t="shared" si="64"/>
        <v>11</v>
      </c>
      <c r="N18" s="3">
        <f t="shared" si="64"/>
        <v>11</v>
      </c>
      <c r="O18" s="3">
        <f t="shared" si="64"/>
        <v>11</v>
      </c>
      <c r="P18" s="3">
        <f t="shared" si="64"/>
        <v>11</v>
      </c>
      <c r="Q18" s="3">
        <f t="shared" si="64"/>
        <v>11</v>
      </c>
      <c r="R18" s="3">
        <f t="shared" si="64"/>
        <v>11</v>
      </c>
      <c r="S18" s="3">
        <f t="shared" si="64"/>
        <v>11</v>
      </c>
      <c r="U18" s="3">
        <f t="shared" ref="U18:AF18" si="65">IF(AND(U$5&gt;=$C18,U$5&lt;=$D18),$E18,0)</f>
        <v>11</v>
      </c>
      <c r="V18" s="3">
        <f t="shared" si="65"/>
        <v>11</v>
      </c>
      <c r="W18" s="3">
        <f t="shared" si="65"/>
        <v>11</v>
      </c>
      <c r="X18" s="3">
        <f t="shared" si="65"/>
        <v>11</v>
      </c>
      <c r="Y18" s="3">
        <f t="shared" si="65"/>
        <v>11</v>
      </c>
      <c r="Z18" s="3">
        <f t="shared" si="65"/>
        <v>11</v>
      </c>
      <c r="AA18" s="3">
        <f t="shared" si="65"/>
        <v>11</v>
      </c>
      <c r="AB18" s="3">
        <f t="shared" si="65"/>
        <v>11</v>
      </c>
      <c r="AC18" s="3">
        <f t="shared" si="65"/>
        <v>11</v>
      </c>
      <c r="AD18" s="3">
        <f t="shared" si="65"/>
        <v>11</v>
      </c>
      <c r="AE18" s="3">
        <f t="shared" si="65"/>
        <v>11</v>
      </c>
      <c r="AF18" s="3">
        <f t="shared" si="65"/>
        <v>11</v>
      </c>
      <c r="AH18" s="3">
        <f t="shared" ref="AH18:AS18" si="66">IF(AND(AH$5&gt;=$C18,AH$5&lt;=$D18),$E18,0)</f>
        <v>11</v>
      </c>
      <c r="AI18" s="3">
        <f t="shared" si="66"/>
        <v>11</v>
      </c>
      <c r="AJ18" s="3">
        <f t="shared" si="66"/>
        <v>11</v>
      </c>
      <c r="AK18" s="3">
        <f t="shared" si="66"/>
        <v>11</v>
      </c>
      <c r="AL18" s="3">
        <f t="shared" si="66"/>
        <v>11</v>
      </c>
      <c r="AM18" s="3">
        <f t="shared" si="66"/>
        <v>11</v>
      </c>
      <c r="AN18" s="3">
        <f t="shared" si="66"/>
        <v>11</v>
      </c>
      <c r="AO18" s="3">
        <f t="shared" si="66"/>
        <v>11</v>
      </c>
      <c r="AP18" s="3">
        <f t="shared" si="66"/>
        <v>11</v>
      </c>
      <c r="AQ18" s="3">
        <f t="shared" si="66"/>
        <v>11</v>
      </c>
      <c r="AR18" s="3">
        <f t="shared" si="66"/>
        <v>11</v>
      </c>
      <c r="AS18" s="3">
        <f t="shared" si="66"/>
        <v>11</v>
      </c>
      <c r="AU18" s="3">
        <f t="shared" ref="AU18:BF18" si="67">IF(AND(AU$5&gt;=$C18,AU$5&lt;=$D18),$E18,0)</f>
        <v>11</v>
      </c>
      <c r="AV18" s="3">
        <f t="shared" si="67"/>
        <v>11</v>
      </c>
      <c r="AW18" s="3">
        <f t="shared" si="67"/>
        <v>11</v>
      </c>
      <c r="AX18" s="3">
        <f t="shared" si="67"/>
        <v>11</v>
      </c>
      <c r="AY18" s="3">
        <f t="shared" si="67"/>
        <v>11</v>
      </c>
      <c r="AZ18" s="3">
        <f t="shared" si="67"/>
        <v>11</v>
      </c>
      <c r="BA18" s="3">
        <f t="shared" si="67"/>
        <v>11</v>
      </c>
      <c r="BB18" s="3">
        <f t="shared" si="67"/>
        <v>11</v>
      </c>
      <c r="BC18" s="3">
        <f t="shared" si="67"/>
        <v>11</v>
      </c>
      <c r="BD18" s="3">
        <f t="shared" si="67"/>
        <v>11</v>
      </c>
      <c r="BE18" s="3">
        <f t="shared" si="67"/>
        <v>11</v>
      </c>
      <c r="BF18" s="3">
        <f t="shared" si="67"/>
        <v>11</v>
      </c>
      <c r="BG18" s="2"/>
      <c r="BH18" s="3">
        <f t="shared" ref="BH18:BS18" si="68">IF(AND(BH$5&gt;=$C18,BH$5&lt;=$D18),$E18,0)</f>
        <v>11</v>
      </c>
      <c r="BI18" s="3">
        <f t="shared" si="68"/>
        <v>11</v>
      </c>
      <c r="BJ18" s="3">
        <f t="shared" si="68"/>
        <v>11</v>
      </c>
      <c r="BK18" s="3">
        <f t="shared" si="68"/>
        <v>11</v>
      </c>
      <c r="BL18" s="3">
        <f t="shared" si="68"/>
        <v>11</v>
      </c>
      <c r="BM18" s="3">
        <f t="shared" si="68"/>
        <v>11</v>
      </c>
      <c r="BN18" s="3">
        <f t="shared" si="68"/>
        <v>11</v>
      </c>
      <c r="BO18" s="3">
        <f t="shared" si="68"/>
        <v>11</v>
      </c>
      <c r="BP18" s="3">
        <f t="shared" si="68"/>
        <v>11</v>
      </c>
      <c r="BQ18" s="3">
        <f t="shared" si="68"/>
        <v>11</v>
      </c>
      <c r="BR18" s="3">
        <f t="shared" si="68"/>
        <v>11</v>
      </c>
      <c r="BS18" s="3">
        <f t="shared" si="68"/>
        <v>11</v>
      </c>
      <c r="BT18" s="2"/>
    </row>
    <row r="19" spans="1:72">
      <c r="A19" s="54" t="str">
        <f>IF('Capital purchases'!C23="","",'Capital purchases'!C23)</f>
        <v>1/2 bbl kegs</v>
      </c>
      <c r="B19" s="2"/>
      <c r="C19" s="2">
        <f>IF($A19="","",'Capital purchases'!B23)</f>
        <v>1</v>
      </c>
      <c r="D19" s="3">
        <f>IF($A19="","",'Capital purchases'!J23)</f>
        <v>121</v>
      </c>
      <c r="E19" s="162">
        <f>IF($A19="","",'Capital purchases'!I23)</f>
        <v>46</v>
      </c>
      <c r="H19" s="3">
        <f t="shared" ref="H19:S19" si="69">IF(AND(H$5&gt;=$C19,H$5&lt;=$D19),$E19,0)</f>
        <v>46</v>
      </c>
      <c r="I19" s="3">
        <f t="shared" si="69"/>
        <v>46</v>
      </c>
      <c r="J19" s="3">
        <f t="shared" si="69"/>
        <v>46</v>
      </c>
      <c r="K19" s="3">
        <f t="shared" si="69"/>
        <v>46</v>
      </c>
      <c r="L19" s="3">
        <f t="shared" si="69"/>
        <v>46</v>
      </c>
      <c r="M19" s="3">
        <f t="shared" si="69"/>
        <v>46</v>
      </c>
      <c r="N19" s="3">
        <f t="shared" si="69"/>
        <v>46</v>
      </c>
      <c r="O19" s="3">
        <f t="shared" si="69"/>
        <v>46</v>
      </c>
      <c r="P19" s="3">
        <f t="shared" si="69"/>
        <v>46</v>
      </c>
      <c r="Q19" s="3">
        <f t="shared" si="69"/>
        <v>46</v>
      </c>
      <c r="R19" s="3">
        <f t="shared" si="69"/>
        <v>46</v>
      </c>
      <c r="S19" s="3">
        <f t="shared" si="69"/>
        <v>46</v>
      </c>
      <c r="U19" s="3">
        <f t="shared" ref="U19:AF19" si="70">IF(AND(U$5&gt;=$C19,U$5&lt;=$D19),$E19,0)</f>
        <v>46</v>
      </c>
      <c r="V19" s="3">
        <f t="shared" si="70"/>
        <v>46</v>
      </c>
      <c r="W19" s="3">
        <f t="shared" si="70"/>
        <v>46</v>
      </c>
      <c r="X19" s="3">
        <f t="shared" si="70"/>
        <v>46</v>
      </c>
      <c r="Y19" s="3">
        <f t="shared" si="70"/>
        <v>46</v>
      </c>
      <c r="Z19" s="3">
        <f t="shared" si="70"/>
        <v>46</v>
      </c>
      <c r="AA19" s="3">
        <f t="shared" si="70"/>
        <v>46</v>
      </c>
      <c r="AB19" s="3">
        <f t="shared" si="70"/>
        <v>46</v>
      </c>
      <c r="AC19" s="3">
        <f t="shared" si="70"/>
        <v>46</v>
      </c>
      <c r="AD19" s="3">
        <f t="shared" si="70"/>
        <v>46</v>
      </c>
      <c r="AE19" s="3">
        <f t="shared" si="70"/>
        <v>46</v>
      </c>
      <c r="AF19" s="3">
        <f t="shared" si="70"/>
        <v>46</v>
      </c>
      <c r="AH19" s="3">
        <f t="shared" ref="AH19:AS19" si="71">IF(AND(AH$5&gt;=$C19,AH$5&lt;=$D19),$E19,0)</f>
        <v>46</v>
      </c>
      <c r="AI19" s="3">
        <f t="shared" si="71"/>
        <v>46</v>
      </c>
      <c r="AJ19" s="3">
        <f t="shared" si="71"/>
        <v>46</v>
      </c>
      <c r="AK19" s="3">
        <f t="shared" si="71"/>
        <v>46</v>
      </c>
      <c r="AL19" s="3">
        <f t="shared" si="71"/>
        <v>46</v>
      </c>
      <c r="AM19" s="3">
        <f t="shared" si="71"/>
        <v>46</v>
      </c>
      <c r="AN19" s="3">
        <f t="shared" si="71"/>
        <v>46</v>
      </c>
      <c r="AO19" s="3">
        <f t="shared" si="71"/>
        <v>46</v>
      </c>
      <c r="AP19" s="3">
        <f t="shared" si="71"/>
        <v>46</v>
      </c>
      <c r="AQ19" s="3">
        <f t="shared" si="71"/>
        <v>46</v>
      </c>
      <c r="AR19" s="3">
        <f t="shared" si="71"/>
        <v>46</v>
      </c>
      <c r="AS19" s="3">
        <f t="shared" si="71"/>
        <v>46</v>
      </c>
      <c r="AU19" s="3">
        <f t="shared" ref="AU19:BF19" si="72">IF(AND(AU$5&gt;=$C19,AU$5&lt;=$D19),$E19,0)</f>
        <v>46</v>
      </c>
      <c r="AV19" s="3">
        <f t="shared" si="72"/>
        <v>46</v>
      </c>
      <c r="AW19" s="3">
        <f t="shared" si="72"/>
        <v>46</v>
      </c>
      <c r="AX19" s="3">
        <f t="shared" si="72"/>
        <v>46</v>
      </c>
      <c r="AY19" s="3">
        <f t="shared" si="72"/>
        <v>46</v>
      </c>
      <c r="AZ19" s="3">
        <f t="shared" si="72"/>
        <v>46</v>
      </c>
      <c r="BA19" s="3">
        <f t="shared" si="72"/>
        <v>46</v>
      </c>
      <c r="BB19" s="3">
        <f t="shared" si="72"/>
        <v>46</v>
      </c>
      <c r="BC19" s="3">
        <f t="shared" si="72"/>
        <v>46</v>
      </c>
      <c r="BD19" s="3">
        <f t="shared" si="72"/>
        <v>46</v>
      </c>
      <c r="BE19" s="3">
        <f t="shared" si="72"/>
        <v>46</v>
      </c>
      <c r="BF19" s="3">
        <f t="shared" si="72"/>
        <v>46</v>
      </c>
      <c r="BG19" s="2"/>
      <c r="BH19" s="3">
        <f t="shared" ref="BH19:BS19" si="73">IF(AND(BH$5&gt;=$C19,BH$5&lt;=$D19),$E19,0)</f>
        <v>46</v>
      </c>
      <c r="BI19" s="3">
        <f t="shared" si="73"/>
        <v>46</v>
      </c>
      <c r="BJ19" s="3">
        <f t="shared" si="73"/>
        <v>46</v>
      </c>
      <c r="BK19" s="3">
        <f t="shared" si="73"/>
        <v>46</v>
      </c>
      <c r="BL19" s="3">
        <f t="shared" si="73"/>
        <v>46</v>
      </c>
      <c r="BM19" s="3">
        <f t="shared" si="73"/>
        <v>46</v>
      </c>
      <c r="BN19" s="3">
        <f t="shared" si="73"/>
        <v>46</v>
      </c>
      <c r="BO19" s="3">
        <f t="shared" si="73"/>
        <v>46</v>
      </c>
      <c r="BP19" s="3">
        <f t="shared" si="73"/>
        <v>46</v>
      </c>
      <c r="BQ19" s="3">
        <f t="shared" si="73"/>
        <v>46</v>
      </c>
      <c r="BR19" s="3">
        <f t="shared" si="73"/>
        <v>46</v>
      </c>
      <c r="BS19" s="3">
        <f t="shared" si="73"/>
        <v>46</v>
      </c>
      <c r="BT19" s="2"/>
    </row>
    <row r="20" spans="1:72">
      <c r="A20" s="54" t="str">
        <f>IF('Capital purchases'!C24="","",'Capital purchases'!C24)</f>
        <v>1/6 bbl kegs</v>
      </c>
      <c r="B20" s="2"/>
      <c r="C20" s="2">
        <f>IF($A20="","",'Capital purchases'!B24)</f>
        <v>1</v>
      </c>
      <c r="D20" s="3">
        <f>IF($A20="","",'Capital purchases'!J24)</f>
        <v>121</v>
      </c>
      <c r="E20" s="162">
        <f>IF($A20="","",'Capital purchases'!I24)</f>
        <v>13</v>
      </c>
      <c r="H20" s="3">
        <f t="shared" ref="H20:S20" si="74">IF(AND(H$5&gt;=$C20,H$5&lt;=$D20),$E20,0)</f>
        <v>13</v>
      </c>
      <c r="I20" s="3">
        <f t="shared" si="74"/>
        <v>13</v>
      </c>
      <c r="J20" s="3">
        <f t="shared" si="74"/>
        <v>13</v>
      </c>
      <c r="K20" s="3">
        <f t="shared" si="74"/>
        <v>13</v>
      </c>
      <c r="L20" s="3">
        <f t="shared" si="74"/>
        <v>13</v>
      </c>
      <c r="M20" s="3">
        <f t="shared" si="74"/>
        <v>13</v>
      </c>
      <c r="N20" s="3">
        <f t="shared" si="74"/>
        <v>13</v>
      </c>
      <c r="O20" s="3">
        <f t="shared" si="74"/>
        <v>13</v>
      </c>
      <c r="P20" s="3">
        <f t="shared" si="74"/>
        <v>13</v>
      </c>
      <c r="Q20" s="3">
        <f t="shared" si="74"/>
        <v>13</v>
      </c>
      <c r="R20" s="3">
        <f t="shared" si="74"/>
        <v>13</v>
      </c>
      <c r="S20" s="3">
        <f t="shared" si="74"/>
        <v>13</v>
      </c>
      <c r="U20" s="3">
        <f t="shared" ref="U20:AF20" si="75">IF(AND(U$5&gt;=$C20,U$5&lt;=$D20),$E20,0)</f>
        <v>13</v>
      </c>
      <c r="V20" s="3">
        <f t="shared" si="75"/>
        <v>13</v>
      </c>
      <c r="W20" s="3">
        <f t="shared" si="75"/>
        <v>13</v>
      </c>
      <c r="X20" s="3">
        <f t="shared" si="75"/>
        <v>13</v>
      </c>
      <c r="Y20" s="3">
        <f t="shared" si="75"/>
        <v>13</v>
      </c>
      <c r="Z20" s="3">
        <f t="shared" si="75"/>
        <v>13</v>
      </c>
      <c r="AA20" s="3">
        <f t="shared" si="75"/>
        <v>13</v>
      </c>
      <c r="AB20" s="3">
        <f t="shared" si="75"/>
        <v>13</v>
      </c>
      <c r="AC20" s="3">
        <f t="shared" si="75"/>
        <v>13</v>
      </c>
      <c r="AD20" s="3">
        <f t="shared" si="75"/>
        <v>13</v>
      </c>
      <c r="AE20" s="3">
        <f t="shared" si="75"/>
        <v>13</v>
      </c>
      <c r="AF20" s="3">
        <f t="shared" si="75"/>
        <v>13</v>
      </c>
      <c r="AH20" s="3">
        <f t="shared" ref="AH20:AS20" si="76">IF(AND(AH$5&gt;=$C20,AH$5&lt;=$D20),$E20,0)</f>
        <v>13</v>
      </c>
      <c r="AI20" s="3">
        <f t="shared" si="76"/>
        <v>13</v>
      </c>
      <c r="AJ20" s="3">
        <f t="shared" si="76"/>
        <v>13</v>
      </c>
      <c r="AK20" s="3">
        <f t="shared" si="76"/>
        <v>13</v>
      </c>
      <c r="AL20" s="3">
        <f t="shared" si="76"/>
        <v>13</v>
      </c>
      <c r="AM20" s="3">
        <f t="shared" si="76"/>
        <v>13</v>
      </c>
      <c r="AN20" s="3">
        <f t="shared" si="76"/>
        <v>13</v>
      </c>
      <c r="AO20" s="3">
        <f t="shared" si="76"/>
        <v>13</v>
      </c>
      <c r="AP20" s="3">
        <f t="shared" si="76"/>
        <v>13</v>
      </c>
      <c r="AQ20" s="3">
        <f t="shared" si="76"/>
        <v>13</v>
      </c>
      <c r="AR20" s="3">
        <f t="shared" si="76"/>
        <v>13</v>
      </c>
      <c r="AS20" s="3">
        <f t="shared" si="76"/>
        <v>13</v>
      </c>
      <c r="AU20" s="3">
        <f t="shared" ref="AU20:BF20" si="77">IF(AND(AU$5&gt;=$C20,AU$5&lt;=$D20),$E20,0)</f>
        <v>13</v>
      </c>
      <c r="AV20" s="3">
        <f t="shared" si="77"/>
        <v>13</v>
      </c>
      <c r="AW20" s="3">
        <f t="shared" si="77"/>
        <v>13</v>
      </c>
      <c r="AX20" s="3">
        <f t="shared" si="77"/>
        <v>13</v>
      </c>
      <c r="AY20" s="3">
        <f t="shared" si="77"/>
        <v>13</v>
      </c>
      <c r="AZ20" s="3">
        <f t="shared" si="77"/>
        <v>13</v>
      </c>
      <c r="BA20" s="3">
        <f t="shared" si="77"/>
        <v>13</v>
      </c>
      <c r="BB20" s="3">
        <f t="shared" si="77"/>
        <v>13</v>
      </c>
      <c r="BC20" s="3">
        <f t="shared" si="77"/>
        <v>13</v>
      </c>
      <c r="BD20" s="3">
        <f t="shared" si="77"/>
        <v>13</v>
      </c>
      <c r="BE20" s="3">
        <f t="shared" si="77"/>
        <v>13</v>
      </c>
      <c r="BF20" s="3">
        <f t="shared" si="77"/>
        <v>13</v>
      </c>
      <c r="BG20" s="2"/>
      <c r="BH20" s="3">
        <f t="shared" ref="BH20:BS20" si="78">IF(AND(BH$5&gt;=$C20,BH$5&lt;=$D20),$E20,0)</f>
        <v>13</v>
      </c>
      <c r="BI20" s="3">
        <f t="shared" si="78"/>
        <v>13</v>
      </c>
      <c r="BJ20" s="3">
        <f t="shared" si="78"/>
        <v>13</v>
      </c>
      <c r="BK20" s="3">
        <f t="shared" si="78"/>
        <v>13</v>
      </c>
      <c r="BL20" s="3">
        <f t="shared" si="78"/>
        <v>13</v>
      </c>
      <c r="BM20" s="3">
        <f t="shared" si="78"/>
        <v>13</v>
      </c>
      <c r="BN20" s="3">
        <f t="shared" si="78"/>
        <v>13</v>
      </c>
      <c r="BO20" s="3">
        <f t="shared" si="78"/>
        <v>13</v>
      </c>
      <c r="BP20" s="3">
        <f t="shared" si="78"/>
        <v>13</v>
      </c>
      <c r="BQ20" s="3">
        <f t="shared" si="78"/>
        <v>13</v>
      </c>
      <c r="BR20" s="3">
        <f t="shared" si="78"/>
        <v>13</v>
      </c>
      <c r="BS20" s="3">
        <f t="shared" si="78"/>
        <v>13</v>
      </c>
      <c r="BT20" s="2"/>
    </row>
    <row r="21" spans="1:72" ht="15.75" customHeight="1">
      <c r="A21" s="54" t="str">
        <f>IF('Capital purchases'!C25="","",'Capital purchases'!C25)</f>
        <v>Website, branding</v>
      </c>
      <c r="B21" s="2"/>
      <c r="C21" s="2">
        <f>IF($A21="","",'Capital purchases'!B25)</f>
        <v>1</v>
      </c>
      <c r="D21" s="3">
        <f>IF($A21="","",'Capital purchases'!J25)</f>
        <v>121</v>
      </c>
      <c r="E21" s="162">
        <f>IF($A21="","",'Capital purchases'!I25)</f>
        <v>83</v>
      </c>
      <c r="H21" s="3">
        <f t="shared" ref="H21:S21" si="79">IF(AND(H$5&gt;=$C21,H$5&lt;=$D21),$E21,0)</f>
        <v>83</v>
      </c>
      <c r="I21" s="3">
        <f t="shared" si="79"/>
        <v>83</v>
      </c>
      <c r="J21" s="3">
        <f t="shared" si="79"/>
        <v>83</v>
      </c>
      <c r="K21" s="3">
        <f t="shared" si="79"/>
        <v>83</v>
      </c>
      <c r="L21" s="3">
        <f t="shared" si="79"/>
        <v>83</v>
      </c>
      <c r="M21" s="3">
        <f t="shared" si="79"/>
        <v>83</v>
      </c>
      <c r="N21" s="3">
        <f t="shared" si="79"/>
        <v>83</v>
      </c>
      <c r="O21" s="3">
        <f t="shared" si="79"/>
        <v>83</v>
      </c>
      <c r="P21" s="3">
        <f t="shared" si="79"/>
        <v>83</v>
      </c>
      <c r="Q21" s="3">
        <f t="shared" si="79"/>
        <v>83</v>
      </c>
      <c r="R21" s="3">
        <f t="shared" si="79"/>
        <v>83</v>
      </c>
      <c r="S21" s="3">
        <f t="shared" si="79"/>
        <v>83</v>
      </c>
      <c r="U21" s="3">
        <f t="shared" ref="U21:AF21" si="80">IF(AND(U$5&gt;=$C21,U$5&lt;=$D21),$E21,0)</f>
        <v>83</v>
      </c>
      <c r="V21" s="3">
        <f t="shared" si="80"/>
        <v>83</v>
      </c>
      <c r="W21" s="3">
        <f t="shared" si="80"/>
        <v>83</v>
      </c>
      <c r="X21" s="3">
        <f t="shared" si="80"/>
        <v>83</v>
      </c>
      <c r="Y21" s="3">
        <f t="shared" si="80"/>
        <v>83</v>
      </c>
      <c r="Z21" s="3">
        <f t="shared" si="80"/>
        <v>83</v>
      </c>
      <c r="AA21" s="3">
        <f t="shared" si="80"/>
        <v>83</v>
      </c>
      <c r="AB21" s="3">
        <f t="shared" si="80"/>
        <v>83</v>
      </c>
      <c r="AC21" s="3">
        <f t="shared" si="80"/>
        <v>83</v>
      </c>
      <c r="AD21" s="3">
        <f t="shared" si="80"/>
        <v>83</v>
      </c>
      <c r="AE21" s="3">
        <f t="shared" si="80"/>
        <v>83</v>
      </c>
      <c r="AF21" s="3">
        <f t="shared" si="80"/>
        <v>83</v>
      </c>
      <c r="AH21" s="3">
        <f t="shared" ref="AH21:AS21" si="81">IF(AND(AH$5&gt;=$C21,AH$5&lt;=$D21),$E21,0)</f>
        <v>83</v>
      </c>
      <c r="AI21" s="3">
        <f t="shared" si="81"/>
        <v>83</v>
      </c>
      <c r="AJ21" s="3">
        <f t="shared" si="81"/>
        <v>83</v>
      </c>
      <c r="AK21" s="3">
        <f t="shared" si="81"/>
        <v>83</v>
      </c>
      <c r="AL21" s="3">
        <f t="shared" si="81"/>
        <v>83</v>
      </c>
      <c r="AM21" s="3">
        <f t="shared" si="81"/>
        <v>83</v>
      </c>
      <c r="AN21" s="3">
        <f t="shared" si="81"/>
        <v>83</v>
      </c>
      <c r="AO21" s="3">
        <f t="shared" si="81"/>
        <v>83</v>
      </c>
      <c r="AP21" s="3">
        <f t="shared" si="81"/>
        <v>83</v>
      </c>
      <c r="AQ21" s="3">
        <f t="shared" si="81"/>
        <v>83</v>
      </c>
      <c r="AR21" s="3">
        <f t="shared" si="81"/>
        <v>83</v>
      </c>
      <c r="AS21" s="3">
        <f t="shared" si="81"/>
        <v>83</v>
      </c>
      <c r="AU21" s="3">
        <f t="shared" ref="AU21:BF21" si="82">IF(AND(AU$5&gt;=$C21,AU$5&lt;=$D21),$E21,0)</f>
        <v>83</v>
      </c>
      <c r="AV21" s="3">
        <f t="shared" si="82"/>
        <v>83</v>
      </c>
      <c r="AW21" s="3">
        <f t="shared" si="82"/>
        <v>83</v>
      </c>
      <c r="AX21" s="3">
        <f t="shared" si="82"/>
        <v>83</v>
      </c>
      <c r="AY21" s="3">
        <f t="shared" si="82"/>
        <v>83</v>
      </c>
      <c r="AZ21" s="3">
        <f t="shared" si="82"/>
        <v>83</v>
      </c>
      <c r="BA21" s="3">
        <f t="shared" si="82"/>
        <v>83</v>
      </c>
      <c r="BB21" s="3">
        <f t="shared" si="82"/>
        <v>83</v>
      </c>
      <c r="BC21" s="3">
        <f t="shared" si="82"/>
        <v>83</v>
      </c>
      <c r="BD21" s="3">
        <f t="shared" si="82"/>
        <v>83</v>
      </c>
      <c r="BE21" s="3">
        <f t="shared" si="82"/>
        <v>83</v>
      </c>
      <c r="BF21" s="3">
        <f t="shared" si="82"/>
        <v>83</v>
      </c>
      <c r="BG21" s="2"/>
      <c r="BH21" s="3">
        <f t="shared" ref="BH21:BS21" si="83">IF(AND(BH$5&gt;=$C21,BH$5&lt;=$D21),$E21,0)</f>
        <v>83</v>
      </c>
      <c r="BI21" s="3">
        <f t="shared" si="83"/>
        <v>83</v>
      </c>
      <c r="BJ21" s="3">
        <f t="shared" si="83"/>
        <v>83</v>
      </c>
      <c r="BK21" s="3">
        <f t="shared" si="83"/>
        <v>83</v>
      </c>
      <c r="BL21" s="3">
        <f t="shared" si="83"/>
        <v>83</v>
      </c>
      <c r="BM21" s="3">
        <f t="shared" si="83"/>
        <v>83</v>
      </c>
      <c r="BN21" s="3">
        <f t="shared" si="83"/>
        <v>83</v>
      </c>
      <c r="BO21" s="3">
        <f t="shared" si="83"/>
        <v>83</v>
      </c>
      <c r="BP21" s="3">
        <f t="shared" si="83"/>
        <v>83</v>
      </c>
      <c r="BQ21" s="3">
        <f t="shared" si="83"/>
        <v>83</v>
      </c>
      <c r="BR21" s="3">
        <f t="shared" si="83"/>
        <v>83</v>
      </c>
      <c r="BS21" s="3">
        <f t="shared" si="83"/>
        <v>83</v>
      </c>
      <c r="BT21" s="2"/>
    </row>
    <row r="22" spans="1:72" ht="15.75" customHeight="1">
      <c r="A22" s="54" t="str">
        <f>IF('Capital purchases'!C26="","",'Capital purchases'!C26)</f>
        <v>Furniture</v>
      </c>
      <c r="B22" s="2"/>
      <c r="C22" s="2">
        <f>IF($A22="","",'Capital purchases'!B26)</f>
        <v>1</v>
      </c>
      <c r="D22" s="3">
        <f>IF($A22="","",'Capital purchases'!J26)</f>
        <v>181</v>
      </c>
      <c r="E22" s="162">
        <f>IF($A22="","",'Capital purchases'!I26)</f>
        <v>139</v>
      </c>
      <c r="H22" s="3">
        <f t="shared" ref="H22:S22" si="84">IF(AND(H$5&gt;=$C22,H$5&lt;=$D22),$E22,0)</f>
        <v>139</v>
      </c>
      <c r="I22" s="3">
        <f t="shared" si="84"/>
        <v>139</v>
      </c>
      <c r="J22" s="3">
        <f t="shared" si="84"/>
        <v>139</v>
      </c>
      <c r="K22" s="3">
        <f t="shared" si="84"/>
        <v>139</v>
      </c>
      <c r="L22" s="3">
        <f t="shared" si="84"/>
        <v>139</v>
      </c>
      <c r="M22" s="3">
        <f t="shared" si="84"/>
        <v>139</v>
      </c>
      <c r="N22" s="3">
        <f t="shared" si="84"/>
        <v>139</v>
      </c>
      <c r="O22" s="3">
        <f t="shared" si="84"/>
        <v>139</v>
      </c>
      <c r="P22" s="3">
        <f t="shared" si="84"/>
        <v>139</v>
      </c>
      <c r="Q22" s="3">
        <f t="shared" si="84"/>
        <v>139</v>
      </c>
      <c r="R22" s="3">
        <f t="shared" si="84"/>
        <v>139</v>
      </c>
      <c r="S22" s="3">
        <f t="shared" si="84"/>
        <v>139</v>
      </c>
      <c r="U22" s="3">
        <f t="shared" ref="U22:AF22" si="85">IF(AND(U$5&gt;=$C22,U$5&lt;=$D22),$E22,0)</f>
        <v>139</v>
      </c>
      <c r="V22" s="3">
        <f t="shared" si="85"/>
        <v>139</v>
      </c>
      <c r="W22" s="3">
        <f t="shared" si="85"/>
        <v>139</v>
      </c>
      <c r="X22" s="3">
        <f t="shared" si="85"/>
        <v>139</v>
      </c>
      <c r="Y22" s="3">
        <f t="shared" si="85"/>
        <v>139</v>
      </c>
      <c r="Z22" s="3">
        <f t="shared" si="85"/>
        <v>139</v>
      </c>
      <c r="AA22" s="3">
        <f t="shared" si="85"/>
        <v>139</v>
      </c>
      <c r="AB22" s="3">
        <f t="shared" si="85"/>
        <v>139</v>
      </c>
      <c r="AC22" s="3">
        <f t="shared" si="85"/>
        <v>139</v>
      </c>
      <c r="AD22" s="3">
        <f t="shared" si="85"/>
        <v>139</v>
      </c>
      <c r="AE22" s="3">
        <f t="shared" si="85"/>
        <v>139</v>
      </c>
      <c r="AF22" s="3">
        <f t="shared" si="85"/>
        <v>139</v>
      </c>
      <c r="AH22" s="3">
        <f t="shared" ref="AH22:AS22" si="86">IF(AND(AH$5&gt;=$C22,AH$5&lt;=$D22),$E22,0)</f>
        <v>139</v>
      </c>
      <c r="AI22" s="3">
        <f t="shared" si="86"/>
        <v>139</v>
      </c>
      <c r="AJ22" s="3">
        <f t="shared" si="86"/>
        <v>139</v>
      </c>
      <c r="AK22" s="3">
        <f t="shared" si="86"/>
        <v>139</v>
      </c>
      <c r="AL22" s="3">
        <f t="shared" si="86"/>
        <v>139</v>
      </c>
      <c r="AM22" s="3">
        <f t="shared" si="86"/>
        <v>139</v>
      </c>
      <c r="AN22" s="3">
        <f t="shared" si="86"/>
        <v>139</v>
      </c>
      <c r="AO22" s="3">
        <f t="shared" si="86"/>
        <v>139</v>
      </c>
      <c r="AP22" s="3">
        <f t="shared" si="86"/>
        <v>139</v>
      </c>
      <c r="AQ22" s="3">
        <f t="shared" si="86"/>
        <v>139</v>
      </c>
      <c r="AR22" s="3">
        <f t="shared" si="86"/>
        <v>139</v>
      </c>
      <c r="AS22" s="3">
        <f t="shared" si="86"/>
        <v>139</v>
      </c>
      <c r="AU22" s="3">
        <f t="shared" ref="AU22:BF22" si="87">IF(AND(AU$5&gt;=$C22,AU$5&lt;=$D22),$E22,0)</f>
        <v>139</v>
      </c>
      <c r="AV22" s="3">
        <f t="shared" si="87"/>
        <v>139</v>
      </c>
      <c r="AW22" s="3">
        <f t="shared" si="87"/>
        <v>139</v>
      </c>
      <c r="AX22" s="3">
        <f t="shared" si="87"/>
        <v>139</v>
      </c>
      <c r="AY22" s="3">
        <f t="shared" si="87"/>
        <v>139</v>
      </c>
      <c r="AZ22" s="3">
        <f t="shared" si="87"/>
        <v>139</v>
      </c>
      <c r="BA22" s="3">
        <f t="shared" si="87"/>
        <v>139</v>
      </c>
      <c r="BB22" s="3">
        <f t="shared" si="87"/>
        <v>139</v>
      </c>
      <c r="BC22" s="3">
        <f t="shared" si="87"/>
        <v>139</v>
      </c>
      <c r="BD22" s="3">
        <f t="shared" si="87"/>
        <v>139</v>
      </c>
      <c r="BE22" s="3">
        <f t="shared" si="87"/>
        <v>139</v>
      </c>
      <c r="BF22" s="3">
        <f t="shared" si="87"/>
        <v>139</v>
      </c>
      <c r="BG22" s="2"/>
      <c r="BH22" s="3">
        <f t="shared" ref="BH22:BS22" si="88">IF(AND(BH$5&gt;=$C22,BH$5&lt;=$D22),$E22,0)</f>
        <v>139</v>
      </c>
      <c r="BI22" s="3">
        <f t="shared" si="88"/>
        <v>139</v>
      </c>
      <c r="BJ22" s="3">
        <f t="shared" si="88"/>
        <v>139</v>
      </c>
      <c r="BK22" s="3">
        <f t="shared" si="88"/>
        <v>139</v>
      </c>
      <c r="BL22" s="3">
        <f t="shared" si="88"/>
        <v>139</v>
      </c>
      <c r="BM22" s="3">
        <f t="shared" si="88"/>
        <v>139</v>
      </c>
      <c r="BN22" s="3">
        <f t="shared" si="88"/>
        <v>139</v>
      </c>
      <c r="BO22" s="3">
        <f t="shared" si="88"/>
        <v>139</v>
      </c>
      <c r="BP22" s="3">
        <f t="shared" si="88"/>
        <v>139</v>
      </c>
      <c r="BQ22" s="3">
        <f t="shared" si="88"/>
        <v>139</v>
      </c>
      <c r="BR22" s="3">
        <f t="shared" si="88"/>
        <v>139</v>
      </c>
      <c r="BS22" s="3">
        <f t="shared" si="88"/>
        <v>139</v>
      </c>
      <c r="BT22" s="2"/>
    </row>
    <row r="23" spans="1:72" ht="15.75" customHeight="1">
      <c r="A23" s="54" t="str">
        <f>IF('Capital purchases'!C27="","",'Capital purchases'!C27)</f>
        <v>Kitchen Equipment</v>
      </c>
      <c r="B23" s="2"/>
      <c r="C23" s="2">
        <f>IF($A23="","",'Capital purchases'!B27)</f>
        <v>1</v>
      </c>
      <c r="D23" s="3">
        <f>IF($A23="","",'Capital purchases'!J27)</f>
        <v>361</v>
      </c>
      <c r="E23" s="162">
        <f>IF($A23="","",'Capital purchases'!I27)</f>
        <v>56</v>
      </c>
      <c r="H23" s="3">
        <f t="shared" ref="H23:S23" si="89">IF(AND(H$5&gt;=$C23,H$5&lt;=$D23),$E23,0)</f>
        <v>56</v>
      </c>
      <c r="I23" s="3">
        <f t="shared" si="89"/>
        <v>56</v>
      </c>
      <c r="J23" s="3">
        <f t="shared" si="89"/>
        <v>56</v>
      </c>
      <c r="K23" s="3">
        <f t="shared" si="89"/>
        <v>56</v>
      </c>
      <c r="L23" s="3">
        <f t="shared" si="89"/>
        <v>56</v>
      </c>
      <c r="M23" s="3">
        <f t="shared" si="89"/>
        <v>56</v>
      </c>
      <c r="N23" s="3">
        <f t="shared" si="89"/>
        <v>56</v>
      </c>
      <c r="O23" s="3">
        <f t="shared" si="89"/>
        <v>56</v>
      </c>
      <c r="P23" s="3">
        <f t="shared" si="89"/>
        <v>56</v>
      </c>
      <c r="Q23" s="3">
        <f t="shared" si="89"/>
        <v>56</v>
      </c>
      <c r="R23" s="3">
        <f t="shared" si="89"/>
        <v>56</v>
      </c>
      <c r="S23" s="3">
        <f t="shared" si="89"/>
        <v>56</v>
      </c>
      <c r="U23" s="3">
        <f t="shared" ref="U23:AF23" si="90">IF(AND(U$5&gt;=$C23,U$5&lt;=$D23),$E23,0)</f>
        <v>56</v>
      </c>
      <c r="V23" s="3">
        <f t="shared" si="90"/>
        <v>56</v>
      </c>
      <c r="W23" s="3">
        <f t="shared" si="90"/>
        <v>56</v>
      </c>
      <c r="X23" s="3">
        <f t="shared" si="90"/>
        <v>56</v>
      </c>
      <c r="Y23" s="3">
        <f t="shared" si="90"/>
        <v>56</v>
      </c>
      <c r="Z23" s="3">
        <f t="shared" si="90"/>
        <v>56</v>
      </c>
      <c r="AA23" s="3">
        <f t="shared" si="90"/>
        <v>56</v>
      </c>
      <c r="AB23" s="3">
        <f t="shared" si="90"/>
        <v>56</v>
      </c>
      <c r="AC23" s="3">
        <f t="shared" si="90"/>
        <v>56</v>
      </c>
      <c r="AD23" s="3">
        <f t="shared" si="90"/>
        <v>56</v>
      </c>
      <c r="AE23" s="3">
        <f t="shared" si="90"/>
        <v>56</v>
      </c>
      <c r="AF23" s="3">
        <f t="shared" si="90"/>
        <v>56</v>
      </c>
      <c r="AH23" s="3">
        <f t="shared" ref="AH23:AS23" si="91">IF(AND(AH$5&gt;=$C23,AH$5&lt;=$D23),$E23,0)</f>
        <v>56</v>
      </c>
      <c r="AI23" s="3">
        <f t="shared" si="91"/>
        <v>56</v>
      </c>
      <c r="AJ23" s="3">
        <f t="shared" si="91"/>
        <v>56</v>
      </c>
      <c r="AK23" s="3">
        <f t="shared" si="91"/>
        <v>56</v>
      </c>
      <c r="AL23" s="3">
        <f t="shared" si="91"/>
        <v>56</v>
      </c>
      <c r="AM23" s="3">
        <f t="shared" si="91"/>
        <v>56</v>
      </c>
      <c r="AN23" s="3">
        <f t="shared" si="91"/>
        <v>56</v>
      </c>
      <c r="AO23" s="3">
        <f t="shared" si="91"/>
        <v>56</v>
      </c>
      <c r="AP23" s="3">
        <f t="shared" si="91"/>
        <v>56</v>
      </c>
      <c r="AQ23" s="3">
        <f t="shared" si="91"/>
        <v>56</v>
      </c>
      <c r="AR23" s="3">
        <f t="shared" si="91"/>
        <v>56</v>
      </c>
      <c r="AS23" s="3">
        <f t="shared" si="91"/>
        <v>56</v>
      </c>
      <c r="AU23" s="3">
        <f t="shared" ref="AU23:BF23" si="92">IF(AND(AU$5&gt;=$C23,AU$5&lt;=$D23),$E23,0)</f>
        <v>56</v>
      </c>
      <c r="AV23" s="3">
        <f t="shared" si="92"/>
        <v>56</v>
      </c>
      <c r="AW23" s="3">
        <f t="shared" si="92"/>
        <v>56</v>
      </c>
      <c r="AX23" s="3">
        <f t="shared" si="92"/>
        <v>56</v>
      </c>
      <c r="AY23" s="3">
        <f t="shared" si="92"/>
        <v>56</v>
      </c>
      <c r="AZ23" s="3">
        <f t="shared" si="92"/>
        <v>56</v>
      </c>
      <c r="BA23" s="3">
        <f t="shared" si="92"/>
        <v>56</v>
      </c>
      <c r="BB23" s="3">
        <f t="shared" si="92"/>
        <v>56</v>
      </c>
      <c r="BC23" s="3">
        <f t="shared" si="92"/>
        <v>56</v>
      </c>
      <c r="BD23" s="3">
        <f t="shared" si="92"/>
        <v>56</v>
      </c>
      <c r="BE23" s="3">
        <f t="shared" si="92"/>
        <v>56</v>
      </c>
      <c r="BF23" s="3">
        <f t="shared" si="92"/>
        <v>56</v>
      </c>
      <c r="BG23" s="2"/>
      <c r="BH23" s="3">
        <f t="shared" ref="BH23:BS23" si="93">IF(AND(BH$5&gt;=$C23,BH$5&lt;=$D23),$E23,0)</f>
        <v>56</v>
      </c>
      <c r="BI23" s="3">
        <f t="shared" si="93"/>
        <v>56</v>
      </c>
      <c r="BJ23" s="3">
        <f t="shared" si="93"/>
        <v>56</v>
      </c>
      <c r="BK23" s="3">
        <f t="shared" si="93"/>
        <v>56</v>
      </c>
      <c r="BL23" s="3">
        <f t="shared" si="93"/>
        <v>56</v>
      </c>
      <c r="BM23" s="3">
        <f t="shared" si="93"/>
        <v>56</v>
      </c>
      <c r="BN23" s="3">
        <f t="shared" si="93"/>
        <v>56</v>
      </c>
      <c r="BO23" s="3">
        <f t="shared" si="93"/>
        <v>56</v>
      </c>
      <c r="BP23" s="3">
        <f t="shared" si="93"/>
        <v>56</v>
      </c>
      <c r="BQ23" s="3">
        <f t="shared" si="93"/>
        <v>56</v>
      </c>
      <c r="BR23" s="3">
        <f t="shared" si="93"/>
        <v>56</v>
      </c>
      <c r="BS23" s="3">
        <f t="shared" si="93"/>
        <v>56</v>
      </c>
      <c r="BT23" s="2"/>
    </row>
    <row r="24" spans="1:72" ht="15.75" customHeight="1">
      <c r="A24" s="54" t="str">
        <f>IF('Capital purchases'!C28="","",'Capital purchases'!C28)</f>
        <v>Cookware</v>
      </c>
      <c r="B24" s="2"/>
      <c r="C24" s="2">
        <f>IF($A24="","",'Capital purchases'!B28)</f>
        <v>1</v>
      </c>
      <c r="D24" s="3">
        <f>IF($A24="","",'Capital purchases'!J28)</f>
        <v>181</v>
      </c>
      <c r="E24" s="162">
        <f>IF($A24="","",'Capital purchases'!I28)</f>
        <v>11</v>
      </c>
      <c r="H24" s="3">
        <f t="shared" ref="H24:S24" si="94">IF(AND(H$5&gt;=$C24,H$5&lt;=$D24),$E24,0)</f>
        <v>11</v>
      </c>
      <c r="I24" s="3">
        <f t="shared" si="94"/>
        <v>11</v>
      </c>
      <c r="J24" s="3">
        <f t="shared" si="94"/>
        <v>11</v>
      </c>
      <c r="K24" s="3">
        <f t="shared" si="94"/>
        <v>11</v>
      </c>
      <c r="L24" s="3">
        <f t="shared" si="94"/>
        <v>11</v>
      </c>
      <c r="M24" s="3">
        <f t="shared" si="94"/>
        <v>11</v>
      </c>
      <c r="N24" s="3">
        <f t="shared" si="94"/>
        <v>11</v>
      </c>
      <c r="O24" s="3">
        <f t="shared" si="94"/>
        <v>11</v>
      </c>
      <c r="P24" s="3">
        <f t="shared" si="94"/>
        <v>11</v>
      </c>
      <c r="Q24" s="3">
        <f t="shared" si="94"/>
        <v>11</v>
      </c>
      <c r="R24" s="3">
        <f t="shared" si="94"/>
        <v>11</v>
      </c>
      <c r="S24" s="3">
        <f t="shared" si="94"/>
        <v>11</v>
      </c>
      <c r="U24" s="3">
        <f t="shared" ref="U24:AF24" si="95">IF(AND(U$5&gt;=$C24,U$5&lt;=$D24),$E24,0)</f>
        <v>11</v>
      </c>
      <c r="V24" s="3">
        <f t="shared" si="95"/>
        <v>11</v>
      </c>
      <c r="W24" s="3">
        <f t="shared" si="95"/>
        <v>11</v>
      </c>
      <c r="X24" s="3">
        <f t="shared" si="95"/>
        <v>11</v>
      </c>
      <c r="Y24" s="3">
        <f t="shared" si="95"/>
        <v>11</v>
      </c>
      <c r="Z24" s="3">
        <f t="shared" si="95"/>
        <v>11</v>
      </c>
      <c r="AA24" s="3">
        <f t="shared" si="95"/>
        <v>11</v>
      </c>
      <c r="AB24" s="3">
        <f t="shared" si="95"/>
        <v>11</v>
      </c>
      <c r="AC24" s="3">
        <f t="shared" si="95"/>
        <v>11</v>
      </c>
      <c r="AD24" s="3">
        <f t="shared" si="95"/>
        <v>11</v>
      </c>
      <c r="AE24" s="3">
        <f t="shared" si="95"/>
        <v>11</v>
      </c>
      <c r="AF24" s="3">
        <f t="shared" si="95"/>
        <v>11</v>
      </c>
      <c r="AH24" s="3">
        <f t="shared" ref="AH24:AS24" si="96">IF(AND(AH$5&gt;=$C24,AH$5&lt;=$D24),$E24,0)</f>
        <v>11</v>
      </c>
      <c r="AI24" s="3">
        <f t="shared" si="96"/>
        <v>11</v>
      </c>
      <c r="AJ24" s="3">
        <f t="shared" si="96"/>
        <v>11</v>
      </c>
      <c r="AK24" s="3">
        <f t="shared" si="96"/>
        <v>11</v>
      </c>
      <c r="AL24" s="3">
        <f t="shared" si="96"/>
        <v>11</v>
      </c>
      <c r="AM24" s="3">
        <f t="shared" si="96"/>
        <v>11</v>
      </c>
      <c r="AN24" s="3">
        <f t="shared" si="96"/>
        <v>11</v>
      </c>
      <c r="AO24" s="3">
        <f t="shared" si="96"/>
        <v>11</v>
      </c>
      <c r="AP24" s="3">
        <f t="shared" si="96"/>
        <v>11</v>
      </c>
      <c r="AQ24" s="3">
        <f t="shared" si="96"/>
        <v>11</v>
      </c>
      <c r="AR24" s="3">
        <f t="shared" si="96"/>
        <v>11</v>
      </c>
      <c r="AS24" s="3">
        <f t="shared" si="96"/>
        <v>11</v>
      </c>
      <c r="AU24" s="3">
        <f t="shared" ref="AU24:BF24" si="97">IF(AND(AU$5&gt;=$C24,AU$5&lt;=$D24),$E24,0)</f>
        <v>11</v>
      </c>
      <c r="AV24" s="3">
        <f t="shared" si="97"/>
        <v>11</v>
      </c>
      <c r="AW24" s="3">
        <f t="shared" si="97"/>
        <v>11</v>
      </c>
      <c r="AX24" s="3">
        <f t="shared" si="97"/>
        <v>11</v>
      </c>
      <c r="AY24" s="3">
        <f t="shared" si="97"/>
        <v>11</v>
      </c>
      <c r="AZ24" s="3">
        <f t="shared" si="97"/>
        <v>11</v>
      </c>
      <c r="BA24" s="3">
        <f t="shared" si="97"/>
        <v>11</v>
      </c>
      <c r="BB24" s="3">
        <f t="shared" si="97"/>
        <v>11</v>
      </c>
      <c r="BC24" s="3">
        <f t="shared" si="97"/>
        <v>11</v>
      </c>
      <c r="BD24" s="3">
        <f t="shared" si="97"/>
        <v>11</v>
      </c>
      <c r="BE24" s="3">
        <f t="shared" si="97"/>
        <v>11</v>
      </c>
      <c r="BF24" s="3">
        <f t="shared" si="97"/>
        <v>11</v>
      </c>
      <c r="BG24" s="2"/>
      <c r="BH24" s="3">
        <f t="shared" ref="BH24:BS24" si="98">IF(AND(BH$5&gt;=$C24,BH$5&lt;=$D24),$E24,0)</f>
        <v>11</v>
      </c>
      <c r="BI24" s="3">
        <f t="shared" si="98"/>
        <v>11</v>
      </c>
      <c r="BJ24" s="3">
        <f t="shared" si="98"/>
        <v>11</v>
      </c>
      <c r="BK24" s="3">
        <f t="shared" si="98"/>
        <v>11</v>
      </c>
      <c r="BL24" s="3">
        <f t="shared" si="98"/>
        <v>11</v>
      </c>
      <c r="BM24" s="3">
        <f t="shared" si="98"/>
        <v>11</v>
      </c>
      <c r="BN24" s="3">
        <f t="shared" si="98"/>
        <v>11</v>
      </c>
      <c r="BO24" s="3">
        <f t="shared" si="98"/>
        <v>11</v>
      </c>
      <c r="BP24" s="3">
        <f t="shared" si="98"/>
        <v>11</v>
      </c>
      <c r="BQ24" s="3">
        <f t="shared" si="98"/>
        <v>11</v>
      </c>
      <c r="BR24" s="3">
        <f t="shared" si="98"/>
        <v>11</v>
      </c>
      <c r="BS24" s="3">
        <f t="shared" si="98"/>
        <v>11</v>
      </c>
      <c r="BT24" s="2"/>
    </row>
    <row r="25" spans="1:72" ht="15.75" customHeight="1">
      <c r="A25" s="54" t="str">
        <f>IF('Capital purchases'!C29="","",'Capital purchases'!C29)</f>
        <v>Dishes, silverware</v>
      </c>
      <c r="B25" s="2"/>
      <c r="C25" s="2">
        <f>IF($A25="","",'Capital purchases'!B29)</f>
        <v>1</v>
      </c>
      <c r="D25" s="3">
        <f>IF($A25="","",'Capital purchases'!J29)</f>
        <v>61</v>
      </c>
      <c r="E25" s="162">
        <f>IF($A25="","",'Capital purchases'!I29)</f>
        <v>25</v>
      </c>
      <c r="H25" s="3">
        <f t="shared" ref="H25:S25" si="99">IF(AND(H$5&gt;=$C25,H$5&lt;=$D25),$E25,0)</f>
        <v>25</v>
      </c>
      <c r="I25" s="3">
        <f t="shared" si="99"/>
        <v>25</v>
      </c>
      <c r="J25" s="3">
        <f t="shared" si="99"/>
        <v>25</v>
      </c>
      <c r="K25" s="3">
        <f t="shared" si="99"/>
        <v>25</v>
      </c>
      <c r="L25" s="3">
        <f t="shared" si="99"/>
        <v>25</v>
      </c>
      <c r="M25" s="3">
        <f t="shared" si="99"/>
        <v>25</v>
      </c>
      <c r="N25" s="3">
        <f t="shared" si="99"/>
        <v>25</v>
      </c>
      <c r="O25" s="3">
        <f t="shared" si="99"/>
        <v>25</v>
      </c>
      <c r="P25" s="3">
        <f t="shared" si="99"/>
        <v>25</v>
      </c>
      <c r="Q25" s="3">
        <f t="shared" si="99"/>
        <v>25</v>
      </c>
      <c r="R25" s="3">
        <f t="shared" si="99"/>
        <v>25</v>
      </c>
      <c r="S25" s="3">
        <f t="shared" si="99"/>
        <v>25</v>
      </c>
      <c r="U25" s="3">
        <f t="shared" ref="U25:AF25" si="100">IF(AND(U$5&gt;=$C25,U$5&lt;=$D25),$E25,0)</f>
        <v>25</v>
      </c>
      <c r="V25" s="3">
        <f t="shared" si="100"/>
        <v>25</v>
      </c>
      <c r="W25" s="3">
        <f t="shared" si="100"/>
        <v>25</v>
      </c>
      <c r="X25" s="3">
        <f t="shared" si="100"/>
        <v>25</v>
      </c>
      <c r="Y25" s="3">
        <f t="shared" si="100"/>
        <v>25</v>
      </c>
      <c r="Z25" s="3">
        <f t="shared" si="100"/>
        <v>25</v>
      </c>
      <c r="AA25" s="3">
        <f t="shared" si="100"/>
        <v>25</v>
      </c>
      <c r="AB25" s="3">
        <f t="shared" si="100"/>
        <v>25</v>
      </c>
      <c r="AC25" s="3">
        <f t="shared" si="100"/>
        <v>25</v>
      </c>
      <c r="AD25" s="3">
        <f t="shared" si="100"/>
        <v>25</v>
      </c>
      <c r="AE25" s="3">
        <f t="shared" si="100"/>
        <v>25</v>
      </c>
      <c r="AF25" s="3">
        <f t="shared" si="100"/>
        <v>25</v>
      </c>
      <c r="AH25" s="3">
        <f t="shared" ref="AH25:AS25" si="101">IF(AND(AH$5&gt;=$C25,AH$5&lt;=$D25),$E25,0)</f>
        <v>25</v>
      </c>
      <c r="AI25" s="3">
        <f t="shared" si="101"/>
        <v>25</v>
      </c>
      <c r="AJ25" s="3">
        <f t="shared" si="101"/>
        <v>25</v>
      </c>
      <c r="AK25" s="3">
        <f t="shared" si="101"/>
        <v>25</v>
      </c>
      <c r="AL25" s="3">
        <f t="shared" si="101"/>
        <v>25</v>
      </c>
      <c r="AM25" s="3">
        <f t="shared" si="101"/>
        <v>25</v>
      </c>
      <c r="AN25" s="3">
        <f t="shared" si="101"/>
        <v>25</v>
      </c>
      <c r="AO25" s="3">
        <f t="shared" si="101"/>
        <v>25</v>
      </c>
      <c r="AP25" s="3">
        <f t="shared" si="101"/>
        <v>25</v>
      </c>
      <c r="AQ25" s="3">
        <f t="shared" si="101"/>
        <v>25</v>
      </c>
      <c r="AR25" s="3">
        <f t="shared" si="101"/>
        <v>25</v>
      </c>
      <c r="AS25" s="3">
        <f t="shared" si="101"/>
        <v>25</v>
      </c>
      <c r="AU25" s="3">
        <f t="shared" ref="AU25:BF25" si="102">IF(AND(AU$5&gt;=$C25,AU$5&lt;=$D25),$E25,0)</f>
        <v>25</v>
      </c>
      <c r="AV25" s="3">
        <f t="shared" si="102"/>
        <v>25</v>
      </c>
      <c r="AW25" s="3">
        <f t="shared" si="102"/>
        <v>25</v>
      </c>
      <c r="AX25" s="3">
        <f t="shared" si="102"/>
        <v>25</v>
      </c>
      <c r="AY25" s="3">
        <f t="shared" si="102"/>
        <v>25</v>
      </c>
      <c r="AZ25" s="3">
        <f t="shared" si="102"/>
        <v>25</v>
      </c>
      <c r="BA25" s="3">
        <f t="shared" si="102"/>
        <v>25</v>
      </c>
      <c r="BB25" s="3">
        <f t="shared" si="102"/>
        <v>25</v>
      </c>
      <c r="BC25" s="3">
        <f t="shared" si="102"/>
        <v>25</v>
      </c>
      <c r="BD25" s="3">
        <f t="shared" si="102"/>
        <v>25</v>
      </c>
      <c r="BE25" s="3">
        <f t="shared" si="102"/>
        <v>25</v>
      </c>
      <c r="BF25" s="3">
        <f t="shared" si="102"/>
        <v>25</v>
      </c>
      <c r="BG25" s="2"/>
      <c r="BH25" s="3">
        <f t="shared" ref="BH25:BS25" si="103">IF(AND(BH$5&gt;=$C25,BH$5&lt;=$D25),$E25,0)</f>
        <v>25</v>
      </c>
      <c r="BI25" s="3">
        <f t="shared" si="103"/>
        <v>25</v>
      </c>
      <c r="BJ25" s="3">
        <f t="shared" si="103"/>
        <v>25</v>
      </c>
      <c r="BK25" s="3">
        <f t="shared" si="103"/>
        <v>25</v>
      </c>
      <c r="BL25" s="3">
        <f t="shared" si="103"/>
        <v>25</v>
      </c>
      <c r="BM25" s="3">
        <f t="shared" si="103"/>
        <v>25</v>
      </c>
      <c r="BN25" s="3">
        <f t="shared" si="103"/>
        <v>25</v>
      </c>
      <c r="BO25" s="3">
        <f t="shared" si="103"/>
        <v>25</v>
      </c>
      <c r="BP25" s="3">
        <f t="shared" si="103"/>
        <v>25</v>
      </c>
      <c r="BQ25" s="3">
        <f t="shared" si="103"/>
        <v>25</v>
      </c>
      <c r="BR25" s="3">
        <f t="shared" si="103"/>
        <v>25</v>
      </c>
      <c r="BS25" s="3">
        <f t="shared" si="103"/>
        <v>25</v>
      </c>
      <c r="BT25" s="2"/>
    </row>
    <row r="26" spans="1:72" ht="15.75" customHeight="1">
      <c r="A26" s="54" t="str">
        <f>IF('Capital purchases'!C30="","",'Capital purchases'!C30)</f>
        <v>Barware</v>
      </c>
      <c r="B26" s="2"/>
      <c r="C26" s="2">
        <f>IF($A26="","",'Capital purchases'!B30)</f>
        <v>1</v>
      </c>
      <c r="D26" s="3">
        <f>IF($A26="","",'Capital purchases'!J30)</f>
        <v>61</v>
      </c>
      <c r="E26" s="162">
        <f>IF($A26="","",'Capital purchases'!I30)</f>
        <v>33</v>
      </c>
      <c r="H26" s="3">
        <f t="shared" ref="H26:S26" si="104">IF(AND(H$5&gt;=$C26,H$5&lt;=$D26),$E26,0)</f>
        <v>33</v>
      </c>
      <c r="I26" s="3">
        <f t="shared" si="104"/>
        <v>33</v>
      </c>
      <c r="J26" s="3">
        <f t="shared" si="104"/>
        <v>33</v>
      </c>
      <c r="K26" s="3">
        <f t="shared" si="104"/>
        <v>33</v>
      </c>
      <c r="L26" s="3">
        <f t="shared" si="104"/>
        <v>33</v>
      </c>
      <c r="M26" s="3">
        <f t="shared" si="104"/>
        <v>33</v>
      </c>
      <c r="N26" s="3">
        <f t="shared" si="104"/>
        <v>33</v>
      </c>
      <c r="O26" s="3">
        <f t="shared" si="104"/>
        <v>33</v>
      </c>
      <c r="P26" s="3">
        <f t="shared" si="104"/>
        <v>33</v>
      </c>
      <c r="Q26" s="3">
        <f t="shared" si="104"/>
        <v>33</v>
      </c>
      <c r="R26" s="3">
        <f t="shared" si="104"/>
        <v>33</v>
      </c>
      <c r="S26" s="3">
        <f t="shared" si="104"/>
        <v>33</v>
      </c>
      <c r="U26" s="3">
        <f t="shared" ref="U26:AF26" si="105">IF(AND(U$5&gt;=$C26,U$5&lt;=$D26),$E26,0)</f>
        <v>33</v>
      </c>
      <c r="V26" s="3">
        <f t="shared" si="105"/>
        <v>33</v>
      </c>
      <c r="W26" s="3">
        <f t="shared" si="105"/>
        <v>33</v>
      </c>
      <c r="X26" s="3">
        <f t="shared" si="105"/>
        <v>33</v>
      </c>
      <c r="Y26" s="3">
        <f t="shared" si="105"/>
        <v>33</v>
      </c>
      <c r="Z26" s="3">
        <f t="shared" si="105"/>
        <v>33</v>
      </c>
      <c r="AA26" s="3">
        <f t="shared" si="105"/>
        <v>33</v>
      </c>
      <c r="AB26" s="3">
        <f t="shared" si="105"/>
        <v>33</v>
      </c>
      <c r="AC26" s="3">
        <f t="shared" si="105"/>
        <v>33</v>
      </c>
      <c r="AD26" s="3">
        <f t="shared" si="105"/>
        <v>33</v>
      </c>
      <c r="AE26" s="3">
        <f t="shared" si="105"/>
        <v>33</v>
      </c>
      <c r="AF26" s="3">
        <f t="shared" si="105"/>
        <v>33</v>
      </c>
      <c r="AH26" s="3">
        <f t="shared" ref="AH26:AS26" si="106">IF(AND(AH$5&gt;=$C26,AH$5&lt;=$D26),$E26,0)</f>
        <v>33</v>
      </c>
      <c r="AI26" s="3">
        <f t="shared" si="106"/>
        <v>33</v>
      </c>
      <c r="AJ26" s="3">
        <f t="shared" si="106"/>
        <v>33</v>
      </c>
      <c r="AK26" s="3">
        <f t="shared" si="106"/>
        <v>33</v>
      </c>
      <c r="AL26" s="3">
        <f t="shared" si="106"/>
        <v>33</v>
      </c>
      <c r="AM26" s="3">
        <f t="shared" si="106"/>
        <v>33</v>
      </c>
      <c r="AN26" s="3">
        <f t="shared" si="106"/>
        <v>33</v>
      </c>
      <c r="AO26" s="3">
        <f t="shared" si="106"/>
        <v>33</v>
      </c>
      <c r="AP26" s="3">
        <f t="shared" si="106"/>
        <v>33</v>
      </c>
      <c r="AQ26" s="3">
        <f t="shared" si="106"/>
        <v>33</v>
      </c>
      <c r="AR26" s="3">
        <f t="shared" si="106"/>
        <v>33</v>
      </c>
      <c r="AS26" s="3">
        <f t="shared" si="106"/>
        <v>33</v>
      </c>
      <c r="AU26" s="3">
        <f t="shared" ref="AU26:BF26" si="107">IF(AND(AU$5&gt;=$C26,AU$5&lt;=$D26),$E26,0)</f>
        <v>33</v>
      </c>
      <c r="AV26" s="3">
        <f t="shared" si="107"/>
        <v>33</v>
      </c>
      <c r="AW26" s="3">
        <f t="shared" si="107"/>
        <v>33</v>
      </c>
      <c r="AX26" s="3">
        <f t="shared" si="107"/>
        <v>33</v>
      </c>
      <c r="AY26" s="3">
        <f t="shared" si="107"/>
        <v>33</v>
      </c>
      <c r="AZ26" s="3">
        <f t="shared" si="107"/>
        <v>33</v>
      </c>
      <c r="BA26" s="3">
        <f t="shared" si="107"/>
        <v>33</v>
      </c>
      <c r="BB26" s="3">
        <f t="shared" si="107"/>
        <v>33</v>
      </c>
      <c r="BC26" s="3">
        <f t="shared" si="107"/>
        <v>33</v>
      </c>
      <c r="BD26" s="3">
        <f t="shared" si="107"/>
        <v>33</v>
      </c>
      <c r="BE26" s="3">
        <f t="shared" si="107"/>
        <v>33</v>
      </c>
      <c r="BF26" s="3">
        <f t="shared" si="107"/>
        <v>33</v>
      </c>
      <c r="BG26" s="2"/>
      <c r="BH26" s="3">
        <f t="shared" ref="BH26:BS26" si="108">IF(AND(BH$5&gt;=$C26,BH$5&lt;=$D26),$E26,0)</f>
        <v>33</v>
      </c>
      <c r="BI26" s="3">
        <f t="shared" si="108"/>
        <v>33</v>
      </c>
      <c r="BJ26" s="3">
        <f t="shared" si="108"/>
        <v>33</v>
      </c>
      <c r="BK26" s="3">
        <f t="shared" si="108"/>
        <v>33</v>
      </c>
      <c r="BL26" s="3">
        <f t="shared" si="108"/>
        <v>33</v>
      </c>
      <c r="BM26" s="3">
        <f t="shared" si="108"/>
        <v>33</v>
      </c>
      <c r="BN26" s="3">
        <f t="shared" si="108"/>
        <v>33</v>
      </c>
      <c r="BO26" s="3">
        <f t="shared" si="108"/>
        <v>33</v>
      </c>
      <c r="BP26" s="3">
        <f t="shared" si="108"/>
        <v>33</v>
      </c>
      <c r="BQ26" s="3">
        <f t="shared" si="108"/>
        <v>33</v>
      </c>
      <c r="BR26" s="3">
        <f t="shared" si="108"/>
        <v>33</v>
      </c>
      <c r="BS26" s="3">
        <f t="shared" si="108"/>
        <v>33</v>
      </c>
      <c r="BT26" s="2"/>
    </row>
    <row r="27" spans="1:72" ht="15.75" customHeight="1">
      <c r="A27" s="54" t="str">
        <f>IF('Capital purchases'!C31="","",'Capital purchases'!C31)</f>
        <v>ERP</v>
      </c>
      <c r="B27" s="2"/>
      <c r="C27" s="2">
        <f>IF($A27="","",'Capital purchases'!B31)</f>
        <v>1</v>
      </c>
      <c r="D27" s="3">
        <f>IF($A27="","",'Capital purchases'!J31)</f>
        <v>181</v>
      </c>
      <c r="E27" s="162">
        <f>IF($A27="","",'Capital purchases'!I31)</f>
        <v>56</v>
      </c>
      <c r="H27" s="3">
        <f t="shared" ref="H27:S27" si="109">IF(AND(H$5&gt;=$C27,H$5&lt;=$D27),$E27,0)</f>
        <v>56</v>
      </c>
      <c r="I27" s="3">
        <f t="shared" si="109"/>
        <v>56</v>
      </c>
      <c r="J27" s="3">
        <f t="shared" si="109"/>
        <v>56</v>
      </c>
      <c r="K27" s="3">
        <f t="shared" si="109"/>
        <v>56</v>
      </c>
      <c r="L27" s="3">
        <f t="shared" si="109"/>
        <v>56</v>
      </c>
      <c r="M27" s="3">
        <f t="shared" si="109"/>
        <v>56</v>
      </c>
      <c r="N27" s="3">
        <f t="shared" si="109"/>
        <v>56</v>
      </c>
      <c r="O27" s="3">
        <f t="shared" si="109"/>
        <v>56</v>
      </c>
      <c r="P27" s="3">
        <f t="shared" si="109"/>
        <v>56</v>
      </c>
      <c r="Q27" s="3">
        <f t="shared" si="109"/>
        <v>56</v>
      </c>
      <c r="R27" s="3">
        <f t="shared" si="109"/>
        <v>56</v>
      </c>
      <c r="S27" s="3">
        <f t="shared" si="109"/>
        <v>56</v>
      </c>
      <c r="U27" s="3">
        <f t="shared" ref="U27:AF27" si="110">IF(AND(U$5&gt;=$C27,U$5&lt;=$D27),$E27,0)</f>
        <v>56</v>
      </c>
      <c r="V27" s="3">
        <f t="shared" si="110"/>
        <v>56</v>
      </c>
      <c r="W27" s="3">
        <f t="shared" si="110"/>
        <v>56</v>
      </c>
      <c r="X27" s="3">
        <f t="shared" si="110"/>
        <v>56</v>
      </c>
      <c r="Y27" s="3">
        <f t="shared" si="110"/>
        <v>56</v>
      </c>
      <c r="Z27" s="3">
        <f t="shared" si="110"/>
        <v>56</v>
      </c>
      <c r="AA27" s="3">
        <f t="shared" si="110"/>
        <v>56</v>
      </c>
      <c r="AB27" s="3">
        <f t="shared" si="110"/>
        <v>56</v>
      </c>
      <c r="AC27" s="3">
        <f t="shared" si="110"/>
        <v>56</v>
      </c>
      <c r="AD27" s="3">
        <f t="shared" si="110"/>
        <v>56</v>
      </c>
      <c r="AE27" s="3">
        <f t="shared" si="110"/>
        <v>56</v>
      </c>
      <c r="AF27" s="3">
        <f t="shared" si="110"/>
        <v>56</v>
      </c>
      <c r="AH27" s="3">
        <f t="shared" ref="AH27:AS27" si="111">IF(AND(AH$5&gt;=$C27,AH$5&lt;=$D27),$E27,0)</f>
        <v>56</v>
      </c>
      <c r="AI27" s="3">
        <f t="shared" si="111"/>
        <v>56</v>
      </c>
      <c r="AJ27" s="3">
        <f t="shared" si="111"/>
        <v>56</v>
      </c>
      <c r="AK27" s="3">
        <f t="shared" si="111"/>
        <v>56</v>
      </c>
      <c r="AL27" s="3">
        <f t="shared" si="111"/>
        <v>56</v>
      </c>
      <c r="AM27" s="3">
        <f t="shared" si="111"/>
        <v>56</v>
      </c>
      <c r="AN27" s="3">
        <f t="shared" si="111"/>
        <v>56</v>
      </c>
      <c r="AO27" s="3">
        <f t="shared" si="111"/>
        <v>56</v>
      </c>
      <c r="AP27" s="3">
        <f t="shared" si="111"/>
        <v>56</v>
      </c>
      <c r="AQ27" s="3">
        <f t="shared" si="111"/>
        <v>56</v>
      </c>
      <c r="AR27" s="3">
        <f t="shared" si="111"/>
        <v>56</v>
      </c>
      <c r="AS27" s="3">
        <f t="shared" si="111"/>
        <v>56</v>
      </c>
      <c r="AU27" s="3">
        <f t="shared" ref="AU27:BF27" si="112">IF(AND(AU$5&gt;=$C27,AU$5&lt;=$D27),$E27,0)</f>
        <v>56</v>
      </c>
      <c r="AV27" s="3">
        <f t="shared" si="112"/>
        <v>56</v>
      </c>
      <c r="AW27" s="3">
        <f t="shared" si="112"/>
        <v>56</v>
      </c>
      <c r="AX27" s="3">
        <f t="shared" si="112"/>
        <v>56</v>
      </c>
      <c r="AY27" s="3">
        <f t="shared" si="112"/>
        <v>56</v>
      </c>
      <c r="AZ27" s="3">
        <f t="shared" si="112"/>
        <v>56</v>
      </c>
      <c r="BA27" s="3">
        <f t="shared" si="112"/>
        <v>56</v>
      </c>
      <c r="BB27" s="3">
        <f t="shared" si="112"/>
        <v>56</v>
      </c>
      <c r="BC27" s="3">
        <f t="shared" si="112"/>
        <v>56</v>
      </c>
      <c r="BD27" s="3">
        <f t="shared" si="112"/>
        <v>56</v>
      </c>
      <c r="BE27" s="3">
        <f t="shared" si="112"/>
        <v>56</v>
      </c>
      <c r="BF27" s="3">
        <f t="shared" si="112"/>
        <v>56</v>
      </c>
      <c r="BG27" s="2"/>
      <c r="BH27" s="3">
        <f t="shared" ref="BH27:BS27" si="113">IF(AND(BH$5&gt;=$C27,BH$5&lt;=$D27),$E27,0)</f>
        <v>56</v>
      </c>
      <c r="BI27" s="3">
        <f t="shared" si="113"/>
        <v>56</v>
      </c>
      <c r="BJ27" s="3">
        <f t="shared" si="113"/>
        <v>56</v>
      </c>
      <c r="BK27" s="3">
        <f t="shared" si="113"/>
        <v>56</v>
      </c>
      <c r="BL27" s="3">
        <f t="shared" si="113"/>
        <v>56</v>
      </c>
      <c r="BM27" s="3">
        <f t="shared" si="113"/>
        <v>56</v>
      </c>
      <c r="BN27" s="3">
        <f t="shared" si="113"/>
        <v>56</v>
      </c>
      <c r="BO27" s="3">
        <f t="shared" si="113"/>
        <v>56</v>
      </c>
      <c r="BP27" s="3">
        <f t="shared" si="113"/>
        <v>56</v>
      </c>
      <c r="BQ27" s="3">
        <f t="shared" si="113"/>
        <v>56</v>
      </c>
      <c r="BR27" s="3">
        <f t="shared" si="113"/>
        <v>56</v>
      </c>
      <c r="BS27" s="3">
        <f t="shared" si="113"/>
        <v>56</v>
      </c>
      <c r="BT27" s="2"/>
    </row>
    <row r="28" spans="1:72" ht="15.75" customHeight="1">
      <c r="A28" s="54" t="str">
        <f>IF('Capital purchases'!C32="","",'Capital purchases'!C32)</f>
        <v>POS</v>
      </c>
      <c r="B28" s="2"/>
      <c r="C28" s="2">
        <f>IF($A28="","",'Capital purchases'!B32)</f>
        <v>1</v>
      </c>
      <c r="D28" s="3">
        <f>IF($A28="","",'Capital purchases'!J32)</f>
        <v>121</v>
      </c>
      <c r="E28" s="162">
        <f>IF($A28="","",'Capital purchases'!I32)</f>
        <v>167</v>
      </c>
      <c r="H28" s="3">
        <f t="shared" ref="H28:S28" si="114">IF(AND(H$5&gt;=$C28,H$5&lt;=$D28),$E28,0)</f>
        <v>167</v>
      </c>
      <c r="I28" s="3">
        <f t="shared" si="114"/>
        <v>167</v>
      </c>
      <c r="J28" s="3">
        <f t="shared" si="114"/>
        <v>167</v>
      </c>
      <c r="K28" s="3">
        <f t="shared" si="114"/>
        <v>167</v>
      </c>
      <c r="L28" s="3">
        <f t="shared" si="114"/>
        <v>167</v>
      </c>
      <c r="M28" s="3">
        <f t="shared" si="114"/>
        <v>167</v>
      </c>
      <c r="N28" s="3">
        <f t="shared" si="114"/>
        <v>167</v>
      </c>
      <c r="O28" s="3">
        <f t="shared" si="114"/>
        <v>167</v>
      </c>
      <c r="P28" s="3">
        <f t="shared" si="114"/>
        <v>167</v>
      </c>
      <c r="Q28" s="3">
        <f t="shared" si="114"/>
        <v>167</v>
      </c>
      <c r="R28" s="3">
        <f t="shared" si="114"/>
        <v>167</v>
      </c>
      <c r="S28" s="3">
        <f t="shared" si="114"/>
        <v>167</v>
      </c>
      <c r="U28" s="3">
        <f t="shared" ref="U28:AF28" si="115">IF(AND(U$5&gt;=$C28,U$5&lt;=$D28),$E28,0)</f>
        <v>167</v>
      </c>
      <c r="V28" s="3">
        <f t="shared" si="115"/>
        <v>167</v>
      </c>
      <c r="W28" s="3">
        <f t="shared" si="115"/>
        <v>167</v>
      </c>
      <c r="X28" s="3">
        <f t="shared" si="115"/>
        <v>167</v>
      </c>
      <c r="Y28" s="3">
        <f t="shared" si="115"/>
        <v>167</v>
      </c>
      <c r="Z28" s="3">
        <f t="shared" si="115"/>
        <v>167</v>
      </c>
      <c r="AA28" s="3">
        <f t="shared" si="115"/>
        <v>167</v>
      </c>
      <c r="AB28" s="3">
        <f t="shared" si="115"/>
        <v>167</v>
      </c>
      <c r="AC28" s="3">
        <f t="shared" si="115"/>
        <v>167</v>
      </c>
      <c r="AD28" s="3">
        <f t="shared" si="115"/>
        <v>167</v>
      </c>
      <c r="AE28" s="3">
        <f t="shared" si="115"/>
        <v>167</v>
      </c>
      <c r="AF28" s="3">
        <f t="shared" si="115"/>
        <v>167</v>
      </c>
      <c r="AH28" s="3">
        <f t="shared" ref="AH28:AS28" si="116">IF(AND(AH$5&gt;=$C28,AH$5&lt;=$D28),$E28,0)</f>
        <v>167</v>
      </c>
      <c r="AI28" s="3">
        <f t="shared" si="116"/>
        <v>167</v>
      </c>
      <c r="AJ28" s="3">
        <f t="shared" si="116"/>
        <v>167</v>
      </c>
      <c r="AK28" s="3">
        <f t="shared" si="116"/>
        <v>167</v>
      </c>
      <c r="AL28" s="3">
        <f t="shared" si="116"/>
        <v>167</v>
      </c>
      <c r="AM28" s="3">
        <f t="shared" si="116"/>
        <v>167</v>
      </c>
      <c r="AN28" s="3">
        <f t="shared" si="116"/>
        <v>167</v>
      </c>
      <c r="AO28" s="3">
        <f t="shared" si="116"/>
        <v>167</v>
      </c>
      <c r="AP28" s="3">
        <f t="shared" si="116"/>
        <v>167</v>
      </c>
      <c r="AQ28" s="3">
        <f t="shared" si="116"/>
        <v>167</v>
      </c>
      <c r="AR28" s="3">
        <f t="shared" si="116"/>
        <v>167</v>
      </c>
      <c r="AS28" s="3">
        <f t="shared" si="116"/>
        <v>167</v>
      </c>
      <c r="AU28" s="3">
        <f t="shared" ref="AU28:BF28" si="117">IF(AND(AU$5&gt;=$C28,AU$5&lt;=$D28),$E28,0)</f>
        <v>167</v>
      </c>
      <c r="AV28" s="3">
        <f t="shared" si="117"/>
        <v>167</v>
      </c>
      <c r="AW28" s="3">
        <f t="shared" si="117"/>
        <v>167</v>
      </c>
      <c r="AX28" s="3">
        <f t="shared" si="117"/>
        <v>167</v>
      </c>
      <c r="AY28" s="3">
        <f t="shared" si="117"/>
        <v>167</v>
      </c>
      <c r="AZ28" s="3">
        <f t="shared" si="117"/>
        <v>167</v>
      </c>
      <c r="BA28" s="3">
        <f t="shared" si="117"/>
        <v>167</v>
      </c>
      <c r="BB28" s="3">
        <f t="shared" si="117"/>
        <v>167</v>
      </c>
      <c r="BC28" s="3">
        <f t="shared" si="117"/>
        <v>167</v>
      </c>
      <c r="BD28" s="3">
        <f t="shared" si="117"/>
        <v>167</v>
      </c>
      <c r="BE28" s="3">
        <f t="shared" si="117"/>
        <v>167</v>
      </c>
      <c r="BF28" s="3">
        <f t="shared" si="117"/>
        <v>167</v>
      </c>
      <c r="BG28" s="2"/>
      <c r="BH28" s="3">
        <f t="shared" ref="BH28:BS28" si="118">IF(AND(BH$5&gt;=$C28,BH$5&lt;=$D28),$E28,0)</f>
        <v>167</v>
      </c>
      <c r="BI28" s="3">
        <f t="shared" si="118"/>
        <v>167</v>
      </c>
      <c r="BJ28" s="3">
        <f t="shared" si="118"/>
        <v>167</v>
      </c>
      <c r="BK28" s="3">
        <f t="shared" si="118"/>
        <v>167</v>
      </c>
      <c r="BL28" s="3">
        <f t="shared" si="118"/>
        <v>167</v>
      </c>
      <c r="BM28" s="3">
        <f t="shared" si="118"/>
        <v>167</v>
      </c>
      <c r="BN28" s="3">
        <f t="shared" si="118"/>
        <v>167</v>
      </c>
      <c r="BO28" s="3">
        <f t="shared" si="118"/>
        <v>167</v>
      </c>
      <c r="BP28" s="3">
        <f t="shared" si="118"/>
        <v>167</v>
      </c>
      <c r="BQ28" s="3">
        <f t="shared" si="118"/>
        <v>167</v>
      </c>
      <c r="BR28" s="3">
        <f t="shared" si="118"/>
        <v>167</v>
      </c>
      <c r="BS28" s="3">
        <f t="shared" si="118"/>
        <v>167</v>
      </c>
      <c r="BT28" s="2"/>
    </row>
    <row r="29" spans="1:72" ht="15.75" customHeight="1">
      <c r="A29" s="54" t="str">
        <f>IF('Capital purchases'!C33="","",'Capital purchases'!C33)</f>
        <v>IT (Other)</v>
      </c>
      <c r="B29" s="2"/>
      <c r="C29" s="2">
        <f>IF($A29="","",'Capital purchases'!B33)</f>
        <v>1</v>
      </c>
      <c r="D29" s="3">
        <f>IF($A29="","",'Capital purchases'!J33)</f>
        <v>121</v>
      </c>
      <c r="E29" s="162">
        <f>IF($A29="","",'Capital purchases'!I33)</f>
        <v>42</v>
      </c>
      <c r="H29" s="3">
        <f t="shared" ref="H29:S29" si="119">IF(AND(H$5&gt;=$C29,H$5&lt;=$D29),$E29,0)</f>
        <v>42</v>
      </c>
      <c r="I29" s="3">
        <f t="shared" si="119"/>
        <v>42</v>
      </c>
      <c r="J29" s="3">
        <f t="shared" si="119"/>
        <v>42</v>
      </c>
      <c r="K29" s="3">
        <f t="shared" si="119"/>
        <v>42</v>
      </c>
      <c r="L29" s="3">
        <f t="shared" si="119"/>
        <v>42</v>
      </c>
      <c r="M29" s="3">
        <f t="shared" si="119"/>
        <v>42</v>
      </c>
      <c r="N29" s="3">
        <f t="shared" si="119"/>
        <v>42</v>
      </c>
      <c r="O29" s="3">
        <f t="shared" si="119"/>
        <v>42</v>
      </c>
      <c r="P29" s="3">
        <f t="shared" si="119"/>
        <v>42</v>
      </c>
      <c r="Q29" s="3">
        <f t="shared" si="119"/>
        <v>42</v>
      </c>
      <c r="R29" s="3">
        <f t="shared" si="119"/>
        <v>42</v>
      </c>
      <c r="S29" s="3">
        <f t="shared" si="119"/>
        <v>42</v>
      </c>
      <c r="U29" s="3">
        <f t="shared" ref="U29:AF29" si="120">IF(AND(U$5&gt;=$C29,U$5&lt;=$D29),$E29,0)</f>
        <v>42</v>
      </c>
      <c r="V29" s="3">
        <f t="shared" si="120"/>
        <v>42</v>
      </c>
      <c r="W29" s="3">
        <f t="shared" si="120"/>
        <v>42</v>
      </c>
      <c r="X29" s="3">
        <f t="shared" si="120"/>
        <v>42</v>
      </c>
      <c r="Y29" s="3">
        <f t="shared" si="120"/>
        <v>42</v>
      </c>
      <c r="Z29" s="3">
        <f t="shared" si="120"/>
        <v>42</v>
      </c>
      <c r="AA29" s="3">
        <f t="shared" si="120"/>
        <v>42</v>
      </c>
      <c r="AB29" s="3">
        <f t="shared" si="120"/>
        <v>42</v>
      </c>
      <c r="AC29" s="3">
        <f t="shared" si="120"/>
        <v>42</v>
      </c>
      <c r="AD29" s="3">
        <f t="shared" si="120"/>
        <v>42</v>
      </c>
      <c r="AE29" s="3">
        <f t="shared" si="120"/>
        <v>42</v>
      </c>
      <c r="AF29" s="3">
        <f t="shared" si="120"/>
        <v>42</v>
      </c>
      <c r="AH29" s="3">
        <f t="shared" ref="AH29:AS29" si="121">IF(AND(AH$5&gt;=$C29,AH$5&lt;=$D29),$E29,0)</f>
        <v>42</v>
      </c>
      <c r="AI29" s="3">
        <f t="shared" si="121"/>
        <v>42</v>
      </c>
      <c r="AJ29" s="3">
        <f t="shared" si="121"/>
        <v>42</v>
      </c>
      <c r="AK29" s="3">
        <f t="shared" si="121"/>
        <v>42</v>
      </c>
      <c r="AL29" s="3">
        <f t="shared" si="121"/>
        <v>42</v>
      </c>
      <c r="AM29" s="3">
        <f t="shared" si="121"/>
        <v>42</v>
      </c>
      <c r="AN29" s="3">
        <f t="shared" si="121"/>
        <v>42</v>
      </c>
      <c r="AO29" s="3">
        <f t="shared" si="121"/>
        <v>42</v>
      </c>
      <c r="AP29" s="3">
        <f t="shared" si="121"/>
        <v>42</v>
      </c>
      <c r="AQ29" s="3">
        <f t="shared" si="121"/>
        <v>42</v>
      </c>
      <c r="AR29" s="3">
        <f t="shared" si="121"/>
        <v>42</v>
      </c>
      <c r="AS29" s="3">
        <f t="shared" si="121"/>
        <v>42</v>
      </c>
      <c r="AU29" s="3">
        <f t="shared" ref="AU29:BF29" si="122">IF(AND(AU$5&gt;=$C29,AU$5&lt;=$D29),$E29,0)</f>
        <v>42</v>
      </c>
      <c r="AV29" s="3">
        <f t="shared" si="122"/>
        <v>42</v>
      </c>
      <c r="AW29" s="3">
        <f t="shared" si="122"/>
        <v>42</v>
      </c>
      <c r="AX29" s="3">
        <f t="shared" si="122"/>
        <v>42</v>
      </c>
      <c r="AY29" s="3">
        <f t="shared" si="122"/>
        <v>42</v>
      </c>
      <c r="AZ29" s="3">
        <f t="shared" si="122"/>
        <v>42</v>
      </c>
      <c r="BA29" s="3">
        <f t="shared" si="122"/>
        <v>42</v>
      </c>
      <c r="BB29" s="3">
        <f t="shared" si="122"/>
        <v>42</v>
      </c>
      <c r="BC29" s="3">
        <f t="shared" si="122"/>
        <v>42</v>
      </c>
      <c r="BD29" s="3">
        <f t="shared" si="122"/>
        <v>42</v>
      </c>
      <c r="BE29" s="3">
        <f t="shared" si="122"/>
        <v>42</v>
      </c>
      <c r="BF29" s="3">
        <f t="shared" si="122"/>
        <v>42</v>
      </c>
      <c r="BG29" s="2"/>
      <c r="BH29" s="3">
        <f t="shared" ref="BH29:BS29" si="123">IF(AND(BH$5&gt;=$C29,BH$5&lt;=$D29),$E29,0)</f>
        <v>42</v>
      </c>
      <c r="BI29" s="3">
        <f t="shared" si="123"/>
        <v>42</v>
      </c>
      <c r="BJ29" s="3">
        <f t="shared" si="123"/>
        <v>42</v>
      </c>
      <c r="BK29" s="3">
        <f t="shared" si="123"/>
        <v>42</v>
      </c>
      <c r="BL29" s="3">
        <f t="shared" si="123"/>
        <v>42</v>
      </c>
      <c r="BM29" s="3">
        <f t="shared" si="123"/>
        <v>42</v>
      </c>
      <c r="BN29" s="3">
        <f t="shared" si="123"/>
        <v>42</v>
      </c>
      <c r="BO29" s="3">
        <f t="shared" si="123"/>
        <v>42</v>
      </c>
      <c r="BP29" s="3">
        <f t="shared" si="123"/>
        <v>42</v>
      </c>
      <c r="BQ29" s="3">
        <f t="shared" si="123"/>
        <v>42</v>
      </c>
      <c r="BR29" s="3">
        <f t="shared" si="123"/>
        <v>42</v>
      </c>
      <c r="BS29" s="3">
        <f t="shared" si="123"/>
        <v>42</v>
      </c>
      <c r="BT29" s="2"/>
    </row>
    <row r="30" spans="1:72" ht="15.75" customHeight="1">
      <c r="A30" s="54" t="str">
        <f>IF('Capital purchases'!C34="","",'Capital purchases'!C34)</f>
        <v>Contingency (10%)</v>
      </c>
      <c r="B30" s="2"/>
      <c r="C30" s="2">
        <f>IF($A30="","",'Capital purchases'!B34)</f>
        <v>1</v>
      </c>
      <c r="D30" s="3">
        <f>IF($A30="","",'Capital purchases'!J34)</f>
        <v>181</v>
      </c>
      <c r="E30" s="162">
        <f>IF($A30="","",'Capital purchases'!I34)</f>
        <v>374</v>
      </c>
      <c r="H30" s="3">
        <f t="shared" ref="H30:S30" si="124">IF(AND(H$5&gt;=$C30,H$5&lt;=$D30),$E30,0)</f>
        <v>374</v>
      </c>
      <c r="I30" s="3">
        <f t="shared" si="124"/>
        <v>374</v>
      </c>
      <c r="J30" s="3">
        <f t="shared" si="124"/>
        <v>374</v>
      </c>
      <c r="K30" s="3">
        <f t="shared" si="124"/>
        <v>374</v>
      </c>
      <c r="L30" s="3">
        <f t="shared" si="124"/>
        <v>374</v>
      </c>
      <c r="M30" s="3">
        <f t="shared" si="124"/>
        <v>374</v>
      </c>
      <c r="N30" s="3">
        <f t="shared" si="124"/>
        <v>374</v>
      </c>
      <c r="O30" s="3">
        <f t="shared" si="124"/>
        <v>374</v>
      </c>
      <c r="P30" s="3">
        <f t="shared" si="124"/>
        <v>374</v>
      </c>
      <c r="Q30" s="3">
        <f t="shared" si="124"/>
        <v>374</v>
      </c>
      <c r="R30" s="3">
        <f t="shared" si="124"/>
        <v>374</v>
      </c>
      <c r="S30" s="3">
        <f t="shared" si="124"/>
        <v>374</v>
      </c>
      <c r="U30" s="3">
        <f t="shared" ref="U30:AF30" si="125">IF(AND(U$5&gt;=$C30,U$5&lt;=$D30),$E30,0)</f>
        <v>374</v>
      </c>
      <c r="V30" s="3">
        <f t="shared" si="125"/>
        <v>374</v>
      </c>
      <c r="W30" s="3">
        <f t="shared" si="125"/>
        <v>374</v>
      </c>
      <c r="X30" s="3">
        <f t="shared" si="125"/>
        <v>374</v>
      </c>
      <c r="Y30" s="3">
        <f t="shared" si="125"/>
        <v>374</v>
      </c>
      <c r="Z30" s="3">
        <f t="shared" si="125"/>
        <v>374</v>
      </c>
      <c r="AA30" s="3">
        <f t="shared" si="125"/>
        <v>374</v>
      </c>
      <c r="AB30" s="3">
        <f t="shared" si="125"/>
        <v>374</v>
      </c>
      <c r="AC30" s="3">
        <f t="shared" si="125"/>
        <v>374</v>
      </c>
      <c r="AD30" s="3">
        <f t="shared" si="125"/>
        <v>374</v>
      </c>
      <c r="AE30" s="3">
        <f t="shared" si="125"/>
        <v>374</v>
      </c>
      <c r="AF30" s="3">
        <f t="shared" si="125"/>
        <v>374</v>
      </c>
      <c r="AH30" s="3">
        <f t="shared" ref="AH30:AS30" si="126">IF(AND(AH$5&gt;=$C30,AH$5&lt;=$D30),$E30,0)</f>
        <v>374</v>
      </c>
      <c r="AI30" s="3">
        <f t="shared" si="126"/>
        <v>374</v>
      </c>
      <c r="AJ30" s="3">
        <f t="shared" si="126"/>
        <v>374</v>
      </c>
      <c r="AK30" s="3">
        <f t="shared" si="126"/>
        <v>374</v>
      </c>
      <c r="AL30" s="3">
        <f t="shared" si="126"/>
        <v>374</v>
      </c>
      <c r="AM30" s="3">
        <f t="shared" si="126"/>
        <v>374</v>
      </c>
      <c r="AN30" s="3">
        <f t="shared" si="126"/>
        <v>374</v>
      </c>
      <c r="AO30" s="3">
        <f t="shared" si="126"/>
        <v>374</v>
      </c>
      <c r="AP30" s="3">
        <f t="shared" si="126"/>
        <v>374</v>
      </c>
      <c r="AQ30" s="3">
        <f t="shared" si="126"/>
        <v>374</v>
      </c>
      <c r="AR30" s="3">
        <f t="shared" si="126"/>
        <v>374</v>
      </c>
      <c r="AS30" s="3">
        <f t="shared" si="126"/>
        <v>374</v>
      </c>
      <c r="AU30" s="3">
        <f t="shared" ref="AU30:BF30" si="127">IF(AND(AU$5&gt;=$C30,AU$5&lt;=$D30),$E30,0)</f>
        <v>374</v>
      </c>
      <c r="AV30" s="3">
        <f t="shared" si="127"/>
        <v>374</v>
      </c>
      <c r="AW30" s="3">
        <f t="shared" si="127"/>
        <v>374</v>
      </c>
      <c r="AX30" s="3">
        <f t="shared" si="127"/>
        <v>374</v>
      </c>
      <c r="AY30" s="3">
        <f t="shared" si="127"/>
        <v>374</v>
      </c>
      <c r="AZ30" s="3">
        <f t="shared" si="127"/>
        <v>374</v>
      </c>
      <c r="BA30" s="3">
        <f t="shared" si="127"/>
        <v>374</v>
      </c>
      <c r="BB30" s="3">
        <f t="shared" si="127"/>
        <v>374</v>
      </c>
      <c r="BC30" s="3">
        <f t="shared" si="127"/>
        <v>374</v>
      </c>
      <c r="BD30" s="3">
        <f t="shared" si="127"/>
        <v>374</v>
      </c>
      <c r="BE30" s="3">
        <f t="shared" si="127"/>
        <v>374</v>
      </c>
      <c r="BF30" s="3">
        <f t="shared" si="127"/>
        <v>374</v>
      </c>
      <c r="BG30" s="2"/>
      <c r="BH30" s="3">
        <f t="shared" ref="BH30:BS30" si="128">IF(AND(BH$5&gt;=$C30,BH$5&lt;=$D30),$E30,0)</f>
        <v>374</v>
      </c>
      <c r="BI30" s="3">
        <f t="shared" si="128"/>
        <v>374</v>
      </c>
      <c r="BJ30" s="3">
        <f t="shared" si="128"/>
        <v>374</v>
      </c>
      <c r="BK30" s="3">
        <f t="shared" si="128"/>
        <v>374</v>
      </c>
      <c r="BL30" s="3">
        <f t="shared" si="128"/>
        <v>374</v>
      </c>
      <c r="BM30" s="3">
        <f t="shared" si="128"/>
        <v>374</v>
      </c>
      <c r="BN30" s="3">
        <f t="shared" si="128"/>
        <v>374</v>
      </c>
      <c r="BO30" s="3">
        <f t="shared" si="128"/>
        <v>374</v>
      </c>
      <c r="BP30" s="3">
        <f t="shared" si="128"/>
        <v>374</v>
      </c>
      <c r="BQ30" s="3">
        <f t="shared" si="128"/>
        <v>374</v>
      </c>
      <c r="BR30" s="3">
        <f t="shared" si="128"/>
        <v>374</v>
      </c>
      <c r="BS30" s="3">
        <f t="shared" si="128"/>
        <v>374</v>
      </c>
      <c r="BT30" s="2"/>
    </row>
    <row r="31" spans="1:72" ht="15.75" customHeight="1">
      <c r="A31" s="54" t="str">
        <f>IF('Capital purchases'!C35="","",'Capital purchases'!C35)</f>
        <v/>
      </c>
      <c r="B31" s="2"/>
      <c r="C31" s="2" t="str">
        <f>IF($A31="","",'Capital purchases'!B35)</f>
        <v/>
      </c>
      <c r="D31" s="3" t="str">
        <f>IF($A31="","",'Capital purchases'!J35)</f>
        <v/>
      </c>
      <c r="E31" s="162" t="str">
        <f>IF($A31="","",'Capital purchases'!I35)</f>
        <v/>
      </c>
      <c r="H31" s="3">
        <f t="shared" ref="H31:S31" si="129">IF(AND(H$5&gt;=$C31,H$5&lt;=$D31),$E31,0)</f>
        <v>0</v>
      </c>
      <c r="I31" s="3">
        <f t="shared" si="129"/>
        <v>0</v>
      </c>
      <c r="J31" s="3">
        <f t="shared" si="129"/>
        <v>0</v>
      </c>
      <c r="K31" s="3">
        <f t="shared" si="129"/>
        <v>0</v>
      </c>
      <c r="L31" s="3">
        <f t="shared" si="129"/>
        <v>0</v>
      </c>
      <c r="M31" s="3">
        <f t="shared" si="129"/>
        <v>0</v>
      </c>
      <c r="N31" s="3">
        <f t="shared" si="129"/>
        <v>0</v>
      </c>
      <c r="O31" s="3">
        <f t="shared" si="129"/>
        <v>0</v>
      </c>
      <c r="P31" s="3">
        <f t="shared" si="129"/>
        <v>0</v>
      </c>
      <c r="Q31" s="3">
        <f t="shared" si="129"/>
        <v>0</v>
      </c>
      <c r="R31" s="3">
        <f t="shared" si="129"/>
        <v>0</v>
      </c>
      <c r="S31" s="3">
        <f t="shared" si="129"/>
        <v>0</v>
      </c>
      <c r="U31" s="3">
        <f t="shared" ref="U31:AF31" si="130">IF(AND(U$5&gt;=$C31,U$5&lt;=$D31),$E31,0)</f>
        <v>0</v>
      </c>
      <c r="V31" s="3">
        <f t="shared" si="130"/>
        <v>0</v>
      </c>
      <c r="W31" s="3">
        <f t="shared" si="130"/>
        <v>0</v>
      </c>
      <c r="X31" s="3">
        <f t="shared" si="130"/>
        <v>0</v>
      </c>
      <c r="Y31" s="3">
        <f t="shared" si="130"/>
        <v>0</v>
      </c>
      <c r="Z31" s="3">
        <f t="shared" si="130"/>
        <v>0</v>
      </c>
      <c r="AA31" s="3">
        <f t="shared" si="130"/>
        <v>0</v>
      </c>
      <c r="AB31" s="3">
        <f t="shared" si="130"/>
        <v>0</v>
      </c>
      <c r="AC31" s="3">
        <f t="shared" si="130"/>
        <v>0</v>
      </c>
      <c r="AD31" s="3">
        <f t="shared" si="130"/>
        <v>0</v>
      </c>
      <c r="AE31" s="3">
        <f t="shared" si="130"/>
        <v>0</v>
      </c>
      <c r="AF31" s="3">
        <f t="shared" si="130"/>
        <v>0</v>
      </c>
      <c r="AH31" s="3">
        <f t="shared" ref="AH31:AS31" si="131">IF(AND(AH$5&gt;=$C31,AH$5&lt;=$D31),$E31,0)</f>
        <v>0</v>
      </c>
      <c r="AI31" s="3">
        <f t="shared" si="131"/>
        <v>0</v>
      </c>
      <c r="AJ31" s="3">
        <f t="shared" si="131"/>
        <v>0</v>
      </c>
      <c r="AK31" s="3">
        <f t="shared" si="131"/>
        <v>0</v>
      </c>
      <c r="AL31" s="3">
        <f t="shared" si="131"/>
        <v>0</v>
      </c>
      <c r="AM31" s="3">
        <f t="shared" si="131"/>
        <v>0</v>
      </c>
      <c r="AN31" s="3">
        <f t="shared" si="131"/>
        <v>0</v>
      </c>
      <c r="AO31" s="3">
        <f t="shared" si="131"/>
        <v>0</v>
      </c>
      <c r="AP31" s="3">
        <f t="shared" si="131"/>
        <v>0</v>
      </c>
      <c r="AQ31" s="3">
        <f t="shared" si="131"/>
        <v>0</v>
      </c>
      <c r="AR31" s="3">
        <f t="shared" si="131"/>
        <v>0</v>
      </c>
      <c r="AS31" s="3">
        <f t="shared" si="131"/>
        <v>0</v>
      </c>
      <c r="AU31" s="3">
        <f t="shared" ref="AU31:BF31" si="132">IF(AND(AU$5&gt;=$C31,AU$5&lt;=$D31),$E31,0)</f>
        <v>0</v>
      </c>
      <c r="AV31" s="3">
        <f t="shared" si="132"/>
        <v>0</v>
      </c>
      <c r="AW31" s="3">
        <f t="shared" si="132"/>
        <v>0</v>
      </c>
      <c r="AX31" s="3">
        <f t="shared" si="132"/>
        <v>0</v>
      </c>
      <c r="AY31" s="3">
        <f t="shared" si="132"/>
        <v>0</v>
      </c>
      <c r="AZ31" s="3">
        <f t="shared" si="132"/>
        <v>0</v>
      </c>
      <c r="BA31" s="3">
        <f t="shared" si="132"/>
        <v>0</v>
      </c>
      <c r="BB31" s="3">
        <f t="shared" si="132"/>
        <v>0</v>
      </c>
      <c r="BC31" s="3">
        <f t="shared" si="132"/>
        <v>0</v>
      </c>
      <c r="BD31" s="3">
        <f t="shared" si="132"/>
        <v>0</v>
      </c>
      <c r="BE31" s="3">
        <f t="shared" si="132"/>
        <v>0</v>
      </c>
      <c r="BF31" s="3">
        <f t="shared" si="132"/>
        <v>0</v>
      </c>
      <c r="BG31" s="2"/>
      <c r="BH31" s="3">
        <f t="shared" ref="BH31:BS31" si="133">IF(AND(BH$5&gt;=$C31,BH$5&lt;=$D31),$E31,0)</f>
        <v>0</v>
      </c>
      <c r="BI31" s="3">
        <f t="shared" si="133"/>
        <v>0</v>
      </c>
      <c r="BJ31" s="3">
        <f t="shared" si="133"/>
        <v>0</v>
      </c>
      <c r="BK31" s="3">
        <f t="shared" si="133"/>
        <v>0</v>
      </c>
      <c r="BL31" s="3">
        <f t="shared" si="133"/>
        <v>0</v>
      </c>
      <c r="BM31" s="3">
        <f t="shared" si="133"/>
        <v>0</v>
      </c>
      <c r="BN31" s="3">
        <f t="shared" si="133"/>
        <v>0</v>
      </c>
      <c r="BO31" s="3">
        <f t="shared" si="133"/>
        <v>0</v>
      </c>
      <c r="BP31" s="3">
        <f t="shared" si="133"/>
        <v>0</v>
      </c>
      <c r="BQ31" s="3">
        <f t="shared" si="133"/>
        <v>0</v>
      </c>
      <c r="BR31" s="3">
        <f t="shared" si="133"/>
        <v>0</v>
      </c>
      <c r="BS31" s="3">
        <f t="shared" si="133"/>
        <v>0</v>
      </c>
      <c r="BT31" s="2"/>
    </row>
    <row r="32" spans="1:72" ht="15.75" customHeight="1">
      <c r="A32" s="54" t="str">
        <f>IF('Capital purchases'!C36="","",'Capital purchases'!C36)</f>
        <v/>
      </c>
      <c r="B32" s="2"/>
      <c r="C32" s="2" t="str">
        <f>IF($A32="","",'Capital purchases'!B36)</f>
        <v/>
      </c>
      <c r="D32" s="3" t="str">
        <f>IF($A32="","",'Capital purchases'!J36)</f>
        <v/>
      </c>
      <c r="E32" s="162" t="str">
        <f>IF($A32="","",'Capital purchases'!I36)</f>
        <v/>
      </c>
      <c r="H32" s="3">
        <f t="shared" ref="H32:S32" si="134">IF(AND(H$5&gt;=$C32,H$5&lt;=$D32),$E32,0)</f>
        <v>0</v>
      </c>
      <c r="I32" s="3">
        <f t="shared" si="134"/>
        <v>0</v>
      </c>
      <c r="J32" s="3">
        <f t="shared" si="134"/>
        <v>0</v>
      </c>
      <c r="K32" s="3">
        <f t="shared" si="134"/>
        <v>0</v>
      </c>
      <c r="L32" s="3">
        <f t="shared" si="134"/>
        <v>0</v>
      </c>
      <c r="M32" s="3">
        <f t="shared" si="134"/>
        <v>0</v>
      </c>
      <c r="N32" s="3">
        <f t="shared" si="134"/>
        <v>0</v>
      </c>
      <c r="O32" s="3">
        <f t="shared" si="134"/>
        <v>0</v>
      </c>
      <c r="P32" s="3">
        <f t="shared" si="134"/>
        <v>0</v>
      </c>
      <c r="Q32" s="3">
        <f t="shared" si="134"/>
        <v>0</v>
      </c>
      <c r="R32" s="3">
        <f t="shared" si="134"/>
        <v>0</v>
      </c>
      <c r="S32" s="3">
        <f t="shared" si="134"/>
        <v>0</v>
      </c>
      <c r="U32" s="3">
        <f t="shared" ref="U32:AF32" si="135">IF(AND(U$5&gt;=$C32,U$5&lt;=$D32),$E32,0)</f>
        <v>0</v>
      </c>
      <c r="V32" s="3">
        <f t="shared" si="135"/>
        <v>0</v>
      </c>
      <c r="W32" s="3">
        <f t="shared" si="135"/>
        <v>0</v>
      </c>
      <c r="X32" s="3">
        <f t="shared" si="135"/>
        <v>0</v>
      </c>
      <c r="Y32" s="3">
        <f t="shared" si="135"/>
        <v>0</v>
      </c>
      <c r="Z32" s="3">
        <f t="shared" si="135"/>
        <v>0</v>
      </c>
      <c r="AA32" s="3">
        <f t="shared" si="135"/>
        <v>0</v>
      </c>
      <c r="AB32" s="3">
        <f t="shared" si="135"/>
        <v>0</v>
      </c>
      <c r="AC32" s="3">
        <f t="shared" si="135"/>
        <v>0</v>
      </c>
      <c r="AD32" s="3">
        <f t="shared" si="135"/>
        <v>0</v>
      </c>
      <c r="AE32" s="3">
        <f t="shared" si="135"/>
        <v>0</v>
      </c>
      <c r="AF32" s="3">
        <f t="shared" si="135"/>
        <v>0</v>
      </c>
      <c r="AH32" s="3">
        <f t="shared" ref="AH32:AS32" si="136">IF(AND(AH$5&gt;=$C32,AH$5&lt;=$D32),$E32,0)</f>
        <v>0</v>
      </c>
      <c r="AI32" s="3">
        <f t="shared" si="136"/>
        <v>0</v>
      </c>
      <c r="AJ32" s="3">
        <f t="shared" si="136"/>
        <v>0</v>
      </c>
      <c r="AK32" s="3">
        <f t="shared" si="136"/>
        <v>0</v>
      </c>
      <c r="AL32" s="3">
        <f t="shared" si="136"/>
        <v>0</v>
      </c>
      <c r="AM32" s="3">
        <f t="shared" si="136"/>
        <v>0</v>
      </c>
      <c r="AN32" s="3">
        <f t="shared" si="136"/>
        <v>0</v>
      </c>
      <c r="AO32" s="3">
        <f t="shared" si="136"/>
        <v>0</v>
      </c>
      <c r="AP32" s="3">
        <f t="shared" si="136"/>
        <v>0</v>
      </c>
      <c r="AQ32" s="3">
        <f t="shared" si="136"/>
        <v>0</v>
      </c>
      <c r="AR32" s="3">
        <f t="shared" si="136"/>
        <v>0</v>
      </c>
      <c r="AS32" s="3">
        <f t="shared" si="136"/>
        <v>0</v>
      </c>
      <c r="AU32" s="3">
        <f t="shared" ref="AU32:BF32" si="137">IF(AND(AU$5&gt;=$C32,AU$5&lt;=$D32),$E32,0)</f>
        <v>0</v>
      </c>
      <c r="AV32" s="3">
        <f t="shared" si="137"/>
        <v>0</v>
      </c>
      <c r="AW32" s="3">
        <f t="shared" si="137"/>
        <v>0</v>
      </c>
      <c r="AX32" s="3">
        <f t="shared" si="137"/>
        <v>0</v>
      </c>
      <c r="AY32" s="3">
        <f t="shared" si="137"/>
        <v>0</v>
      </c>
      <c r="AZ32" s="3">
        <f t="shared" si="137"/>
        <v>0</v>
      </c>
      <c r="BA32" s="3">
        <f t="shared" si="137"/>
        <v>0</v>
      </c>
      <c r="BB32" s="3">
        <f t="shared" si="137"/>
        <v>0</v>
      </c>
      <c r="BC32" s="3">
        <f t="shared" si="137"/>
        <v>0</v>
      </c>
      <c r="BD32" s="3">
        <f t="shared" si="137"/>
        <v>0</v>
      </c>
      <c r="BE32" s="3">
        <f t="shared" si="137"/>
        <v>0</v>
      </c>
      <c r="BF32" s="3">
        <f t="shared" si="137"/>
        <v>0</v>
      </c>
      <c r="BG32" s="2"/>
      <c r="BH32" s="3">
        <f t="shared" ref="BH32:BS32" si="138">IF(AND(BH$5&gt;=$C32,BH$5&lt;=$D32),$E32,0)</f>
        <v>0</v>
      </c>
      <c r="BI32" s="3">
        <f t="shared" si="138"/>
        <v>0</v>
      </c>
      <c r="BJ32" s="3">
        <f t="shared" si="138"/>
        <v>0</v>
      </c>
      <c r="BK32" s="3">
        <f t="shared" si="138"/>
        <v>0</v>
      </c>
      <c r="BL32" s="3">
        <f t="shared" si="138"/>
        <v>0</v>
      </c>
      <c r="BM32" s="3">
        <f t="shared" si="138"/>
        <v>0</v>
      </c>
      <c r="BN32" s="3">
        <f t="shared" si="138"/>
        <v>0</v>
      </c>
      <c r="BO32" s="3">
        <f t="shared" si="138"/>
        <v>0</v>
      </c>
      <c r="BP32" s="3">
        <f t="shared" si="138"/>
        <v>0</v>
      </c>
      <c r="BQ32" s="3">
        <f t="shared" si="138"/>
        <v>0</v>
      </c>
      <c r="BR32" s="3">
        <f t="shared" si="138"/>
        <v>0</v>
      </c>
      <c r="BS32" s="3">
        <f t="shared" si="138"/>
        <v>0</v>
      </c>
      <c r="BT32" s="2"/>
    </row>
    <row r="33" spans="1:72" ht="15.75" customHeight="1">
      <c r="A33" s="54" t="str">
        <f>IF('Capital purchases'!C37="","",'Capital purchases'!C37)</f>
        <v/>
      </c>
      <c r="B33" s="2"/>
      <c r="C33" s="2" t="str">
        <f>IF($A33="","",'Capital purchases'!B37)</f>
        <v/>
      </c>
      <c r="D33" s="3" t="str">
        <f>IF($A33="","",'Capital purchases'!J37)</f>
        <v/>
      </c>
      <c r="E33" s="162" t="str">
        <f>IF($A33="","",'Capital purchases'!I37)</f>
        <v/>
      </c>
      <c r="H33" s="3">
        <f t="shared" ref="H33:S33" si="139">IF(AND(H$5&gt;=$C33,H$5&lt;=$D33),$E33,0)</f>
        <v>0</v>
      </c>
      <c r="I33" s="3">
        <f t="shared" si="139"/>
        <v>0</v>
      </c>
      <c r="J33" s="3">
        <f t="shared" si="139"/>
        <v>0</v>
      </c>
      <c r="K33" s="3">
        <f t="shared" si="139"/>
        <v>0</v>
      </c>
      <c r="L33" s="3">
        <f t="shared" si="139"/>
        <v>0</v>
      </c>
      <c r="M33" s="3">
        <f t="shared" si="139"/>
        <v>0</v>
      </c>
      <c r="N33" s="3">
        <f t="shared" si="139"/>
        <v>0</v>
      </c>
      <c r="O33" s="3">
        <f t="shared" si="139"/>
        <v>0</v>
      </c>
      <c r="P33" s="3">
        <f t="shared" si="139"/>
        <v>0</v>
      </c>
      <c r="Q33" s="3">
        <f t="shared" si="139"/>
        <v>0</v>
      </c>
      <c r="R33" s="3">
        <f t="shared" si="139"/>
        <v>0</v>
      </c>
      <c r="S33" s="3">
        <f t="shared" si="139"/>
        <v>0</v>
      </c>
      <c r="U33" s="3">
        <f t="shared" ref="U33:AF33" si="140">IF(AND(U$5&gt;=$C33,U$5&lt;=$D33),$E33,0)</f>
        <v>0</v>
      </c>
      <c r="V33" s="3">
        <f t="shared" si="140"/>
        <v>0</v>
      </c>
      <c r="W33" s="3">
        <f t="shared" si="140"/>
        <v>0</v>
      </c>
      <c r="X33" s="3">
        <f t="shared" si="140"/>
        <v>0</v>
      </c>
      <c r="Y33" s="3">
        <f t="shared" si="140"/>
        <v>0</v>
      </c>
      <c r="Z33" s="3">
        <f t="shared" si="140"/>
        <v>0</v>
      </c>
      <c r="AA33" s="3">
        <f t="shared" si="140"/>
        <v>0</v>
      </c>
      <c r="AB33" s="3">
        <f t="shared" si="140"/>
        <v>0</v>
      </c>
      <c r="AC33" s="3">
        <f t="shared" si="140"/>
        <v>0</v>
      </c>
      <c r="AD33" s="3">
        <f t="shared" si="140"/>
        <v>0</v>
      </c>
      <c r="AE33" s="3">
        <f t="shared" si="140"/>
        <v>0</v>
      </c>
      <c r="AF33" s="3">
        <f t="shared" si="140"/>
        <v>0</v>
      </c>
      <c r="AH33" s="3">
        <f t="shared" ref="AH33:AS33" si="141">IF(AND(AH$5&gt;=$C33,AH$5&lt;=$D33),$E33,0)</f>
        <v>0</v>
      </c>
      <c r="AI33" s="3">
        <f t="shared" si="141"/>
        <v>0</v>
      </c>
      <c r="AJ33" s="3">
        <f t="shared" si="141"/>
        <v>0</v>
      </c>
      <c r="AK33" s="3">
        <f t="shared" si="141"/>
        <v>0</v>
      </c>
      <c r="AL33" s="3">
        <f t="shared" si="141"/>
        <v>0</v>
      </c>
      <c r="AM33" s="3">
        <f t="shared" si="141"/>
        <v>0</v>
      </c>
      <c r="AN33" s="3">
        <f t="shared" si="141"/>
        <v>0</v>
      </c>
      <c r="AO33" s="3">
        <f t="shared" si="141"/>
        <v>0</v>
      </c>
      <c r="AP33" s="3">
        <f t="shared" si="141"/>
        <v>0</v>
      </c>
      <c r="AQ33" s="3">
        <f t="shared" si="141"/>
        <v>0</v>
      </c>
      <c r="AR33" s="3">
        <f t="shared" si="141"/>
        <v>0</v>
      </c>
      <c r="AS33" s="3">
        <f t="shared" si="141"/>
        <v>0</v>
      </c>
      <c r="AU33" s="3">
        <f t="shared" ref="AU33:BF33" si="142">IF(AND(AU$5&gt;=$C33,AU$5&lt;=$D33),$E33,0)</f>
        <v>0</v>
      </c>
      <c r="AV33" s="3">
        <f t="shared" si="142"/>
        <v>0</v>
      </c>
      <c r="AW33" s="3">
        <f t="shared" si="142"/>
        <v>0</v>
      </c>
      <c r="AX33" s="3">
        <f t="shared" si="142"/>
        <v>0</v>
      </c>
      <c r="AY33" s="3">
        <f t="shared" si="142"/>
        <v>0</v>
      </c>
      <c r="AZ33" s="3">
        <f t="shared" si="142"/>
        <v>0</v>
      </c>
      <c r="BA33" s="3">
        <f t="shared" si="142"/>
        <v>0</v>
      </c>
      <c r="BB33" s="3">
        <f t="shared" si="142"/>
        <v>0</v>
      </c>
      <c r="BC33" s="3">
        <f t="shared" si="142"/>
        <v>0</v>
      </c>
      <c r="BD33" s="3">
        <f t="shared" si="142"/>
        <v>0</v>
      </c>
      <c r="BE33" s="3">
        <f t="shared" si="142"/>
        <v>0</v>
      </c>
      <c r="BF33" s="3">
        <f t="shared" si="142"/>
        <v>0</v>
      </c>
      <c r="BG33" s="2"/>
      <c r="BH33" s="3">
        <f t="shared" ref="BH33:BS33" si="143">IF(AND(BH$5&gt;=$C33,BH$5&lt;=$D33),$E33,0)</f>
        <v>0</v>
      </c>
      <c r="BI33" s="3">
        <f t="shared" si="143"/>
        <v>0</v>
      </c>
      <c r="BJ33" s="3">
        <f t="shared" si="143"/>
        <v>0</v>
      </c>
      <c r="BK33" s="3">
        <f t="shared" si="143"/>
        <v>0</v>
      </c>
      <c r="BL33" s="3">
        <f t="shared" si="143"/>
        <v>0</v>
      </c>
      <c r="BM33" s="3">
        <f t="shared" si="143"/>
        <v>0</v>
      </c>
      <c r="BN33" s="3">
        <f t="shared" si="143"/>
        <v>0</v>
      </c>
      <c r="BO33" s="3">
        <f t="shared" si="143"/>
        <v>0</v>
      </c>
      <c r="BP33" s="3">
        <f t="shared" si="143"/>
        <v>0</v>
      </c>
      <c r="BQ33" s="3">
        <f t="shared" si="143"/>
        <v>0</v>
      </c>
      <c r="BR33" s="3">
        <f t="shared" si="143"/>
        <v>0</v>
      </c>
      <c r="BS33" s="3">
        <f t="shared" si="143"/>
        <v>0</v>
      </c>
      <c r="BT33" s="2"/>
    </row>
    <row r="34" spans="1:72" ht="15.75" customHeight="1">
      <c r="A34" s="54" t="str">
        <f>IF('Capital purchases'!C38="","",'Capital purchases'!C38)</f>
        <v/>
      </c>
      <c r="B34" s="2"/>
      <c r="C34" s="2" t="str">
        <f>IF($A34="","",'Capital purchases'!B38)</f>
        <v/>
      </c>
      <c r="D34" s="3" t="str">
        <f>IF($A34="","",'Capital purchases'!J38)</f>
        <v/>
      </c>
      <c r="E34" s="162" t="str">
        <f>IF($A34="","",'Capital purchases'!I38)</f>
        <v/>
      </c>
      <c r="H34" s="3">
        <f t="shared" ref="H34:S34" si="144">IF(AND(H$5&gt;=$C34,H$5&lt;=$D34),$E34,0)</f>
        <v>0</v>
      </c>
      <c r="I34" s="3">
        <f t="shared" si="144"/>
        <v>0</v>
      </c>
      <c r="J34" s="3">
        <f t="shared" si="144"/>
        <v>0</v>
      </c>
      <c r="K34" s="3">
        <f t="shared" si="144"/>
        <v>0</v>
      </c>
      <c r="L34" s="3">
        <f t="shared" si="144"/>
        <v>0</v>
      </c>
      <c r="M34" s="3">
        <f t="shared" si="144"/>
        <v>0</v>
      </c>
      <c r="N34" s="3">
        <f t="shared" si="144"/>
        <v>0</v>
      </c>
      <c r="O34" s="3">
        <f t="shared" si="144"/>
        <v>0</v>
      </c>
      <c r="P34" s="3">
        <f t="shared" si="144"/>
        <v>0</v>
      </c>
      <c r="Q34" s="3">
        <f t="shared" si="144"/>
        <v>0</v>
      </c>
      <c r="R34" s="3">
        <f t="shared" si="144"/>
        <v>0</v>
      </c>
      <c r="S34" s="3">
        <f t="shared" si="144"/>
        <v>0</v>
      </c>
      <c r="U34" s="3">
        <f t="shared" ref="U34:AF34" si="145">IF(AND(U$5&gt;=$C34,U$5&lt;=$D34),$E34,0)</f>
        <v>0</v>
      </c>
      <c r="V34" s="3">
        <f t="shared" si="145"/>
        <v>0</v>
      </c>
      <c r="W34" s="3">
        <f t="shared" si="145"/>
        <v>0</v>
      </c>
      <c r="X34" s="3">
        <f t="shared" si="145"/>
        <v>0</v>
      </c>
      <c r="Y34" s="3">
        <f t="shared" si="145"/>
        <v>0</v>
      </c>
      <c r="Z34" s="3">
        <f t="shared" si="145"/>
        <v>0</v>
      </c>
      <c r="AA34" s="3">
        <f t="shared" si="145"/>
        <v>0</v>
      </c>
      <c r="AB34" s="3">
        <f t="shared" si="145"/>
        <v>0</v>
      </c>
      <c r="AC34" s="3">
        <f t="shared" si="145"/>
        <v>0</v>
      </c>
      <c r="AD34" s="3">
        <f t="shared" si="145"/>
        <v>0</v>
      </c>
      <c r="AE34" s="3">
        <f t="shared" si="145"/>
        <v>0</v>
      </c>
      <c r="AF34" s="3">
        <f t="shared" si="145"/>
        <v>0</v>
      </c>
      <c r="AH34" s="3">
        <f t="shared" ref="AH34:AS34" si="146">IF(AND(AH$5&gt;=$C34,AH$5&lt;=$D34),$E34,0)</f>
        <v>0</v>
      </c>
      <c r="AI34" s="3">
        <f t="shared" si="146"/>
        <v>0</v>
      </c>
      <c r="AJ34" s="3">
        <f t="shared" si="146"/>
        <v>0</v>
      </c>
      <c r="AK34" s="3">
        <f t="shared" si="146"/>
        <v>0</v>
      </c>
      <c r="AL34" s="3">
        <f t="shared" si="146"/>
        <v>0</v>
      </c>
      <c r="AM34" s="3">
        <f t="shared" si="146"/>
        <v>0</v>
      </c>
      <c r="AN34" s="3">
        <f t="shared" si="146"/>
        <v>0</v>
      </c>
      <c r="AO34" s="3">
        <f t="shared" si="146"/>
        <v>0</v>
      </c>
      <c r="AP34" s="3">
        <f t="shared" si="146"/>
        <v>0</v>
      </c>
      <c r="AQ34" s="3">
        <f t="shared" si="146"/>
        <v>0</v>
      </c>
      <c r="AR34" s="3">
        <f t="shared" si="146"/>
        <v>0</v>
      </c>
      <c r="AS34" s="3">
        <f t="shared" si="146"/>
        <v>0</v>
      </c>
      <c r="AU34" s="3">
        <f t="shared" ref="AU34:BF34" si="147">IF(AND(AU$5&gt;=$C34,AU$5&lt;=$D34),$E34,0)</f>
        <v>0</v>
      </c>
      <c r="AV34" s="3">
        <f t="shared" si="147"/>
        <v>0</v>
      </c>
      <c r="AW34" s="3">
        <f t="shared" si="147"/>
        <v>0</v>
      </c>
      <c r="AX34" s="3">
        <f t="shared" si="147"/>
        <v>0</v>
      </c>
      <c r="AY34" s="3">
        <f t="shared" si="147"/>
        <v>0</v>
      </c>
      <c r="AZ34" s="3">
        <f t="shared" si="147"/>
        <v>0</v>
      </c>
      <c r="BA34" s="3">
        <f t="shared" si="147"/>
        <v>0</v>
      </c>
      <c r="BB34" s="3">
        <f t="shared" si="147"/>
        <v>0</v>
      </c>
      <c r="BC34" s="3">
        <f t="shared" si="147"/>
        <v>0</v>
      </c>
      <c r="BD34" s="3">
        <f t="shared" si="147"/>
        <v>0</v>
      </c>
      <c r="BE34" s="3">
        <f t="shared" si="147"/>
        <v>0</v>
      </c>
      <c r="BF34" s="3">
        <f t="shared" si="147"/>
        <v>0</v>
      </c>
      <c r="BG34" s="2"/>
      <c r="BH34" s="3">
        <f t="shared" ref="BH34:BS34" si="148">IF(AND(BH$5&gt;=$C34,BH$5&lt;=$D34),$E34,0)</f>
        <v>0</v>
      </c>
      <c r="BI34" s="3">
        <f t="shared" si="148"/>
        <v>0</v>
      </c>
      <c r="BJ34" s="3">
        <f t="shared" si="148"/>
        <v>0</v>
      </c>
      <c r="BK34" s="3">
        <f t="shared" si="148"/>
        <v>0</v>
      </c>
      <c r="BL34" s="3">
        <f t="shared" si="148"/>
        <v>0</v>
      </c>
      <c r="BM34" s="3">
        <f t="shared" si="148"/>
        <v>0</v>
      </c>
      <c r="BN34" s="3">
        <f t="shared" si="148"/>
        <v>0</v>
      </c>
      <c r="BO34" s="3">
        <f t="shared" si="148"/>
        <v>0</v>
      </c>
      <c r="BP34" s="3">
        <f t="shared" si="148"/>
        <v>0</v>
      </c>
      <c r="BQ34" s="3">
        <f t="shared" si="148"/>
        <v>0</v>
      </c>
      <c r="BR34" s="3">
        <f t="shared" si="148"/>
        <v>0</v>
      </c>
      <c r="BS34" s="3">
        <f t="shared" si="148"/>
        <v>0</v>
      </c>
      <c r="BT34" s="2"/>
    </row>
    <row r="35" spans="1:72" ht="15.75" customHeight="1">
      <c r="A35" s="54" t="str">
        <f>IF('Capital purchases'!C39="","",'Capital purchases'!C39)</f>
        <v/>
      </c>
      <c r="B35" s="2"/>
      <c r="C35" s="2" t="str">
        <f>IF($A35="","",'Capital purchases'!B39)</f>
        <v/>
      </c>
      <c r="D35" s="3" t="str">
        <f>IF($A35="","",'Capital purchases'!J39)</f>
        <v/>
      </c>
      <c r="E35" s="162" t="str">
        <f>IF($A35="","",'Capital purchases'!I39)</f>
        <v/>
      </c>
      <c r="H35" s="3">
        <f t="shared" ref="H35:S35" si="149">IF(AND(H$5&gt;=$C35,H$5&lt;=$D35),$E35,0)</f>
        <v>0</v>
      </c>
      <c r="I35" s="3">
        <f t="shared" si="149"/>
        <v>0</v>
      </c>
      <c r="J35" s="3">
        <f t="shared" si="149"/>
        <v>0</v>
      </c>
      <c r="K35" s="3">
        <f t="shared" si="149"/>
        <v>0</v>
      </c>
      <c r="L35" s="3">
        <f t="shared" si="149"/>
        <v>0</v>
      </c>
      <c r="M35" s="3">
        <f t="shared" si="149"/>
        <v>0</v>
      </c>
      <c r="N35" s="3">
        <f t="shared" si="149"/>
        <v>0</v>
      </c>
      <c r="O35" s="3">
        <f t="shared" si="149"/>
        <v>0</v>
      </c>
      <c r="P35" s="3">
        <f t="shared" si="149"/>
        <v>0</v>
      </c>
      <c r="Q35" s="3">
        <f t="shared" si="149"/>
        <v>0</v>
      </c>
      <c r="R35" s="3">
        <f t="shared" si="149"/>
        <v>0</v>
      </c>
      <c r="S35" s="3">
        <f t="shared" si="149"/>
        <v>0</v>
      </c>
      <c r="U35" s="3">
        <f t="shared" ref="U35:AF35" si="150">IF(AND(U$5&gt;=$C35,U$5&lt;=$D35),$E35,0)</f>
        <v>0</v>
      </c>
      <c r="V35" s="3">
        <f t="shared" si="150"/>
        <v>0</v>
      </c>
      <c r="W35" s="3">
        <f t="shared" si="150"/>
        <v>0</v>
      </c>
      <c r="X35" s="3">
        <f t="shared" si="150"/>
        <v>0</v>
      </c>
      <c r="Y35" s="3">
        <f t="shared" si="150"/>
        <v>0</v>
      </c>
      <c r="Z35" s="3">
        <f t="shared" si="150"/>
        <v>0</v>
      </c>
      <c r="AA35" s="3">
        <f t="shared" si="150"/>
        <v>0</v>
      </c>
      <c r="AB35" s="3">
        <f t="shared" si="150"/>
        <v>0</v>
      </c>
      <c r="AC35" s="3">
        <f t="shared" si="150"/>
        <v>0</v>
      </c>
      <c r="AD35" s="3">
        <f t="shared" si="150"/>
        <v>0</v>
      </c>
      <c r="AE35" s="3">
        <f t="shared" si="150"/>
        <v>0</v>
      </c>
      <c r="AF35" s="3">
        <f t="shared" si="150"/>
        <v>0</v>
      </c>
      <c r="AH35" s="3">
        <f t="shared" ref="AH35:AS35" si="151">IF(AND(AH$5&gt;=$C35,AH$5&lt;=$D35),$E35,0)</f>
        <v>0</v>
      </c>
      <c r="AI35" s="3">
        <f t="shared" si="151"/>
        <v>0</v>
      </c>
      <c r="AJ35" s="3">
        <f t="shared" si="151"/>
        <v>0</v>
      </c>
      <c r="AK35" s="3">
        <f t="shared" si="151"/>
        <v>0</v>
      </c>
      <c r="AL35" s="3">
        <f t="shared" si="151"/>
        <v>0</v>
      </c>
      <c r="AM35" s="3">
        <f t="shared" si="151"/>
        <v>0</v>
      </c>
      <c r="AN35" s="3">
        <f t="shared" si="151"/>
        <v>0</v>
      </c>
      <c r="AO35" s="3">
        <f t="shared" si="151"/>
        <v>0</v>
      </c>
      <c r="AP35" s="3">
        <f t="shared" si="151"/>
        <v>0</v>
      </c>
      <c r="AQ35" s="3">
        <f t="shared" si="151"/>
        <v>0</v>
      </c>
      <c r="AR35" s="3">
        <f t="shared" si="151"/>
        <v>0</v>
      </c>
      <c r="AS35" s="3">
        <f t="shared" si="151"/>
        <v>0</v>
      </c>
      <c r="AU35" s="3">
        <f t="shared" ref="AU35:BF35" si="152">IF(AND(AU$5&gt;=$C35,AU$5&lt;=$D35),$E35,0)</f>
        <v>0</v>
      </c>
      <c r="AV35" s="3">
        <f t="shared" si="152"/>
        <v>0</v>
      </c>
      <c r="AW35" s="3">
        <f t="shared" si="152"/>
        <v>0</v>
      </c>
      <c r="AX35" s="3">
        <f t="shared" si="152"/>
        <v>0</v>
      </c>
      <c r="AY35" s="3">
        <f t="shared" si="152"/>
        <v>0</v>
      </c>
      <c r="AZ35" s="3">
        <f t="shared" si="152"/>
        <v>0</v>
      </c>
      <c r="BA35" s="3">
        <f t="shared" si="152"/>
        <v>0</v>
      </c>
      <c r="BB35" s="3">
        <f t="shared" si="152"/>
        <v>0</v>
      </c>
      <c r="BC35" s="3">
        <f t="shared" si="152"/>
        <v>0</v>
      </c>
      <c r="BD35" s="3">
        <f t="shared" si="152"/>
        <v>0</v>
      </c>
      <c r="BE35" s="3">
        <f t="shared" si="152"/>
        <v>0</v>
      </c>
      <c r="BF35" s="3">
        <f t="shared" si="152"/>
        <v>0</v>
      </c>
      <c r="BG35" s="2"/>
      <c r="BH35" s="3">
        <f t="shared" ref="BH35:BS35" si="153">IF(AND(BH$5&gt;=$C35,BH$5&lt;=$D35),$E35,0)</f>
        <v>0</v>
      </c>
      <c r="BI35" s="3">
        <f t="shared" si="153"/>
        <v>0</v>
      </c>
      <c r="BJ35" s="3">
        <f t="shared" si="153"/>
        <v>0</v>
      </c>
      <c r="BK35" s="3">
        <f t="shared" si="153"/>
        <v>0</v>
      </c>
      <c r="BL35" s="3">
        <f t="shared" si="153"/>
        <v>0</v>
      </c>
      <c r="BM35" s="3">
        <f t="shared" si="153"/>
        <v>0</v>
      </c>
      <c r="BN35" s="3">
        <f t="shared" si="153"/>
        <v>0</v>
      </c>
      <c r="BO35" s="3">
        <f t="shared" si="153"/>
        <v>0</v>
      </c>
      <c r="BP35" s="3">
        <f t="shared" si="153"/>
        <v>0</v>
      </c>
      <c r="BQ35" s="3">
        <f t="shared" si="153"/>
        <v>0</v>
      </c>
      <c r="BR35" s="3">
        <f t="shared" si="153"/>
        <v>0</v>
      </c>
      <c r="BS35" s="3">
        <f t="shared" si="153"/>
        <v>0</v>
      </c>
      <c r="BT35" s="2"/>
    </row>
    <row r="36" spans="1:72" ht="15.75" customHeight="1">
      <c r="A36" s="54" t="str">
        <f>IF('Capital purchases'!C40="","",'Capital purchases'!C40)</f>
        <v/>
      </c>
      <c r="B36" s="2"/>
      <c r="C36" s="2" t="str">
        <f>IF($A36="","",'Capital purchases'!B40)</f>
        <v/>
      </c>
      <c r="D36" s="3" t="str">
        <f>IF($A36="","",'Capital purchases'!J40)</f>
        <v/>
      </c>
      <c r="E36" s="162" t="str">
        <f>IF($A36="","",'Capital purchases'!I40)</f>
        <v/>
      </c>
      <c r="H36" s="3">
        <f t="shared" ref="H36:S36" si="154">IF(AND(H$5&gt;=$C36,H$5&lt;=$D36),$E36,0)</f>
        <v>0</v>
      </c>
      <c r="I36" s="3">
        <f t="shared" si="154"/>
        <v>0</v>
      </c>
      <c r="J36" s="3">
        <f t="shared" si="154"/>
        <v>0</v>
      </c>
      <c r="K36" s="3">
        <f t="shared" si="154"/>
        <v>0</v>
      </c>
      <c r="L36" s="3">
        <f t="shared" si="154"/>
        <v>0</v>
      </c>
      <c r="M36" s="3">
        <f t="shared" si="154"/>
        <v>0</v>
      </c>
      <c r="N36" s="3">
        <f t="shared" si="154"/>
        <v>0</v>
      </c>
      <c r="O36" s="3">
        <f t="shared" si="154"/>
        <v>0</v>
      </c>
      <c r="P36" s="3">
        <f t="shared" si="154"/>
        <v>0</v>
      </c>
      <c r="Q36" s="3">
        <f t="shared" si="154"/>
        <v>0</v>
      </c>
      <c r="R36" s="3">
        <f t="shared" si="154"/>
        <v>0</v>
      </c>
      <c r="S36" s="3">
        <f t="shared" si="154"/>
        <v>0</v>
      </c>
      <c r="U36" s="3">
        <f t="shared" ref="U36:AF36" si="155">IF(AND(U$5&gt;=$C36,U$5&lt;=$D36),$E36,0)</f>
        <v>0</v>
      </c>
      <c r="V36" s="3">
        <f t="shared" si="155"/>
        <v>0</v>
      </c>
      <c r="W36" s="3">
        <f t="shared" si="155"/>
        <v>0</v>
      </c>
      <c r="X36" s="3">
        <f t="shared" si="155"/>
        <v>0</v>
      </c>
      <c r="Y36" s="3">
        <f t="shared" si="155"/>
        <v>0</v>
      </c>
      <c r="Z36" s="3">
        <f t="shared" si="155"/>
        <v>0</v>
      </c>
      <c r="AA36" s="3">
        <f t="shared" si="155"/>
        <v>0</v>
      </c>
      <c r="AB36" s="3">
        <f t="shared" si="155"/>
        <v>0</v>
      </c>
      <c r="AC36" s="3">
        <f t="shared" si="155"/>
        <v>0</v>
      </c>
      <c r="AD36" s="3">
        <f t="shared" si="155"/>
        <v>0</v>
      </c>
      <c r="AE36" s="3">
        <f t="shared" si="155"/>
        <v>0</v>
      </c>
      <c r="AF36" s="3">
        <f t="shared" si="155"/>
        <v>0</v>
      </c>
      <c r="AH36" s="3">
        <f t="shared" ref="AH36:AS36" si="156">IF(AND(AH$5&gt;=$C36,AH$5&lt;=$D36),$E36,0)</f>
        <v>0</v>
      </c>
      <c r="AI36" s="3">
        <f t="shared" si="156"/>
        <v>0</v>
      </c>
      <c r="AJ36" s="3">
        <f t="shared" si="156"/>
        <v>0</v>
      </c>
      <c r="AK36" s="3">
        <f t="shared" si="156"/>
        <v>0</v>
      </c>
      <c r="AL36" s="3">
        <f t="shared" si="156"/>
        <v>0</v>
      </c>
      <c r="AM36" s="3">
        <f t="shared" si="156"/>
        <v>0</v>
      </c>
      <c r="AN36" s="3">
        <f t="shared" si="156"/>
        <v>0</v>
      </c>
      <c r="AO36" s="3">
        <f t="shared" si="156"/>
        <v>0</v>
      </c>
      <c r="AP36" s="3">
        <f t="shared" si="156"/>
        <v>0</v>
      </c>
      <c r="AQ36" s="3">
        <f t="shared" si="156"/>
        <v>0</v>
      </c>
      <c r="AR36" s="3">
        <f t="shared" si="156"/>
        <v>0</v>
      </c>
      <c r="AS36" s="3">
        <f t="shared" si="156"/>
        <v>0</v>
      </c>
      <c r="AU36" s="3">
        <f t="shared" ref="AU36:BF36" si="157">IF(AND(AU$5&gt;=$C36,AU$5&lt;=$D36),$E36,0)</f>
        <v>0</v>
      </c>
      <c r="AV36" s="3">
        <f t="shared" si="157"/>
        <v>0</v>
      </c>
      <c r="AW36" s="3">
        <f t="shared" si="157"/>
        <v>0</v>
      </c>
      <c r="AX36" s="3">
        <f t="shared" si="157"/>
        <v>0</v>
      </c>
      <c r="AY36" s="3">
        <f t="shared" si="157"/>
        <v>0</v>
      </c>
      <c r="AZ36" s="3">
        <f t="shared" si="157"/>
        <v>0</v>
      </c>
      <c r="BA36" s="3">
        <f t="shared" si="157"/>
        <v>0</v>
      </c>
      <c r="BB36" s="3">
        <f t="shared" si="157"/>
        <v>0</v>
      </c>
      <c r="BC36" s="3">
        <f t="shared" si="157"/>
        <v>0</v>
      </c>
      <c r="BD36" s="3">
        <f t="shared" si="157"/>
        <v>0</v>
      </c>
      <c r="BE36" s="3">
        <f t="shared" si="157"/>
        <v>0</v>
      </c>
      <c r="BF36" s="3">
        <f t="shared" si="157"/>
        <v>0</v>
      </c>
      <c r="BG36" s="2"/>
      <c r="BH36" s="3">
        <f t="shared" ref="BH36:BS36" si="158">IF(AND(BH$5&gt;=$C36,BH$5&lt;=$D36),$E36,0)</f>
        <v>0</v>
      </c>
      <c r="BI36" s="3">
        <f t="shared" si="158"/>
        <v>0</v>
      </c>
      <c r="BJ36" s="3">
        <f t="shared" si="158"/>
        <v>0</v>
      </c>
      <c r="BK36" s="3">
        <f t="shared" si="158"/>
        <v>0</v>
      </c>
      <c r="BL36" s="3">
        <f t="shared" si="158"/>
        <v>0</v>
      </c>
      <c r="BM36" s="3">
        <f t="shared" si="158"/>
        <v>0</v>
      </c>
      <c r="BN36" s="3">
        <f t="shared" si="158"/>
        <v>0</v>
      </c>
      <c r="BO36" s="3">
        <f t="shared" si="158"/>
        <v>0</v>
      </c>
      <c r="BP36" s="3">
        <f t="shared" si="158"/>
        <v>0</v>
      </c>
      <c r="BQ36" s="3">
        <f t="shared" si="158"/>
        <v>0</v>
      </c>
      <c r="BR36" s="3">
        <f t="shared" si="158"/>
        <v>0</v>
      </c>
      <c r="BS36" s="3">
        <f t="shared" si="158"/>
        <v>0</v>
      </c>
      <c r="BT36" s="2"/>
    </row>
    <row r="37" spans="1:72" ht="15.75" customHeight="1">
      <c r="A37" s="54" t="str">
        <f>IF('Capital purchases'!C41="","",'Capital purchases'!C41)</f>
        <v/>
      </c>
      <c r="B37" s="2"/>
      <c r="C37" s="2" t="str">
        <f>IF($A37="","",'Capital purchases'!B41)</f>
        <v/>
      </c>
      <c r="D37" s="3" t="str">
        <f>IF($A37="","",'Capital purchases'!J41)</f>
        <v/>
      </c>
      <c r="E37" s="162" t="str">
        <f>IF($A37="","",'Capital purchases'!I41)</f>
        <v/>
      </c>
      <c r="H37" s="3">
        <f t="shared" ref="H37:S37" si="159">IF(AND(H$5&gt;=$C37,H$5&lt;=$D37),$E37,0)</f>
        <v>0</v>
      </c>
      <c r="I37" s="3">
        <f t="shared" si="159"/>
        <v>0</v>
      </c>
      <c r="J37" s="3">
        <f t="shared" si="159"/>
        <v>0</v>
      </c>
      <c r="K37" s="3">
        <f t="shared" si="159"/>
        <v>0</v>
      </c>
      <c r="L37" s="3">
        <f t="shared" si="159"/>
        <v>0</v>
      </c>
      <c r="M37" s="3">
        <f t="shared" si="159"/>
        <v>0</v>
      </c>
      <c r="N37" s="3">
        <f t="shared" si="159"/>
        <v>0</v>
      </c>
      <c r="O37" s="3">
        <f t="shared" si="159"/>
        <v>0</v>
      </c>
      <c r="P37" s="3">
        <f t="shared" si="159"/>
        <v>0</v>
      </c>
      <c r="Q37" s="3">
        <f t="shared" si="159"/>
        <v>0</v>
      </c>
      <c r="R37" s="3">
        <f t="shared" si="159"/>
        <v>0</v>
      </c>
      <c r="S37" s="3">
        <f t="shared" si="159"/>
        <v>0</v>
      </c>
      <c r="U37" s="3">
        <f t="shared" ref="U37:AF37" si="160">IF(AND(U$5&gt;=$C37,U$5&lt;=$D37),$E37,0)</f>
        <v>0</v>
      </c>
      <c r="V37" s="3">
        <f t="shared" si="160"/>
        <v>0</v>
      </c>
      <c r="W37" s="3">
        <f t="shared" si="160"/>
        <v>0</v>
      </c>
      <c r="X37" s="3">
        <f t="shared" si="160"/>
        <v>0</v>
      </c>
      <c r="Y37" s="3">
        <f t="shared" si="160"/>
        <v>0</v>
      </c>
      <c r="Z37" s="3">
        <f t="shared" si="160"/>
        <v>0</v>
      </c>
      <c r="AA37" s="3">
        <f t="shared" si="160"/>
        <v>0</v>
      </c>
      <c r="AB37" s="3">
        <f t="shared" si="160"/>
        <v>0</v>
      </c>
      <c r="AC37" s="3">
        <f t="shared" si="160"/>
        <v>0</v>
      </c>
      <c r="AD37" s="3">
        <f t="shared" si="160"/>
        <v>0</v>
      </c>
      <c r="AE37" s="3">
        <f t="shared" si="160"/>
        <v>0</v>
      </c>
      <c r="AF37" s="3">
        <f t="shared" si="160"/>
        <v>0</v>
      </c>
      <c r="AH37" s="3">
        <f t="shared" ref="AH37:AS37" si="161">IF(AND(AH$5&gt;=$C37,AH$5&lt;=$D37),$E37,0)</f>
        <v>0</v>
      </c>
      <c r="AI37" s="3">
        <f t="shared" si="161"/>
        <v>0</v>
      </c>
      <c r="AJ37" s="3">
        <f t="shared" si="161"/>
        <v>0</v>
      </c>
      <c r="AK37" s="3">
        <f t="shared" si="161"/>
        <v>0</v>
      </c>
      <c r="AL37" s="3">
        <f t="shared" si="161"/>
        <v>0</v>
      </c>
      <c r="AM37" s="3">
        <f t="shared" si="161"/>
        <v>0</v>
      </c>
      <c r="AN37" s="3">
        <f t="shared" si="161"/>
        <v>0</v>
      </c>
      <c r="AO37" s="3">
        <f t="shared" si="161"/>
        <v>0</v>
      </c>
      <c r="AP37" s="3">
        <f t="shared" si="161"/>
        <v>0</v>
      </c>
      <c r="AQ37" s="3">
        <f t="shared" si="161"/>
        <v>0</v>
      </c>
      <c r="AR37" s="3">
        <f t="shared" si="161"/>
        <v>0</v>
      </c>
      <c r="AS37" s="3">
        <f t="shared" si="161"/>
        <v>0</v>
      </c>
      <c r="AU37" s="3">
        <f t="shared" ref="AU37:BF37" si="162">IF(AND(AU$5&gt;=$C37,AU$5&lt;=$D37),$E37,0)</f>
        <v>0</v>
      </c>
      <c r="AV37" s="3">
        <f t="shared" si="162"/>
        <v>0</v>
      </c>
      <c r="AW37" s="3">
        <f t="shared" si="162"/>
        <v>0</v>
      </c>
      <c r="AX37" s="3">
        <f t="shared" si="162"/>
        <v>0</v>
      </c>
      <c r="AY37" s="3">
        <f t="shared" si="162"/>
        <v>0</v>
      </c>
      <c r="AZ37" s="3">
        <f t="shared" si="162"/>
        <v>0</v>
      </c>
      <c r="BA37" s="3">
        <f t="shared" si="162"/>
        <v>0</v>
      </c>
      <c r="BB37" s="3">
        <f t="shared" si="162"/>
        <v>0</v>
      </c>
      <c r="BC37" s="3">
        <f t="shared" si="162"/>
        <v>0</v>
      </c>
      <c r="BD37" s="3">
        <f t="shared" si="162"/>
        <v>0</v>
      </c>
      <c r="BE37" s="3">
        <f t="shared" si="162"/>
        <v>0</v>
      </c>
      <c r="BF37" s="3">
        <f t="shared" si="162"/>
        <v>0</v>
      </c>
      <c r="BG37" s="2"/>
      <c r="BH37" s="3">
        <f t="shared" ref="BH37:BS37" si="163">IF(AND(BH$5&gt;=$C37,BH$5&lt;=$D37),$E37,0)</f>
        <v>0</v>
      </c>
      <c r="BI37" s="3">
        <f t="shared" si="163"/>
        <v>0</v>
      </c>
      <c r="BJ37" s="3">
        <f t="shared" si="163"/>
        <v>0</v>
      </c>
      <c r="BK37" s="3">
        <f t="shared" si="163"/>
        <v>0</v>
      </c>
      <c r="BL37" s="3">
        <f t="shared" si="163"/>
        <v>0</v>
      </c>
      <c r="BM37" s="3">
        <f t="shared" si="163"/>
        <v>0</v>
      </c>
      <c r="BN37" s="3">
        <f t="shared" si="163"/>
        <v>0</v>
      </c>
      <c r="BO37" s="3">
        <f t="shared" si="163"/>
        <v>0</v>
      </c>
      <c r="BP37" s="3">
        <f t="shared" si="163"/>
        <v>0</v>
      </c>
      <c r="BQ37" s="3">
        <f t="shared" si="163"/>
        <v>0</v>
      </c>
      <c r="BR37" s="3">
        <f t="shared" si="163"/>
        <v>0</v>
      </c>
      <c r="BS37" s="3">
        <f t="shared" si="163"/>
        <v>0</v>
      </c>
      <c r="BT37" s="2"/>
    </row>
    <row r="38" spans="1:72" ht="15.75" customHeight="1">
      <c r="A38" s="54" t="str">
        <f>IF('Capital purchases'!C42="","",'Capital purchases'!C42)</f>
        <v/>
      </c>
      <c r="B38" s="2"/>
      <c r="C38" s="2" t="str">
        <f>IF($A38="","",'Capital purchases'!B42)</f>
        <v/>
      </c>
      <c r="D38" s="3" t="str">
        <f>IF($A38="","",'Capital purchases'!J42)</f>
        <v/>
      </c>
      <c r="E38" s="162" t="str">
        <f>IF($A38="","",'Capital purchases'!I42)</f>
        <v/>
      </c>
      <c r="H38" s="3">
        <f t="shared" ref="H38:S38" si="164">IF(AND(H$5&gt;=$C38,H$5&lt;=$D38),$E38,0)</f>
        <v>0</v>
      </c>
      <c r="I38" s="3">
        <f t="shared" si="164"/>
        <v>0</v>
      </c>
      <c r="J38" s="3">
        <f t="shared" si="164"/>
        <v>0</v>
      </c>
      <c r="K38" s="3">
        <f t="shared" si="164"/>
        <v>0</v>
      </c>
      <c r="L38" s="3">
        <f t="shared" si="164"/>
        <v>0</v>
      </c>
      <c r="M38" s="3">
        <f t="shared" si="164"/>
        <v>0</v>
      </c>
      <c r="N38" s="3">
        <f t="shared" si="164"/>
        <v>0</v>
      </c>
      <c r="O38" s="3">
        <f t="shared" si="164"/>
        <v>0</v>
      </c>
      <c r="P38" s="3">
        <f t="shared" si="164"/>
        <v>0</v>
      </c>
      <c r="Q38" s="3">
        <f t="shared" si="164"/>
        <v>0</v>
      </c>
      <c r="R38" s="3">
        <f t="shared" si="164"/>
        <v>0</v>
      </c>
      <c r="S38" s="3">
        <f t="shared" si="164"/>
        <v>0</v>
      </c>
      <c r="U38" s="3">
        <f t="shared" ref="U38:AF38" si="165">IF(AND(U$5&gt;=$C38,U$5&lt;=$D38),$E38,0)</f>
        <v>0</v>
      </c>
      <c r="V38" s="3">
        <f t="shared" si="165"/>
        <v>0</v>
      </c>
      <c r="W38" s="3">
        <f t="shared" si="165"/>
        <v>0</v>
      </c>
      <c r="X38" s="3">
        <f t="shared" si="165"/>
        <v>0</v>
      </c>
      <c r="Y38" s="3">
        <f t="shared" si="165"/>
        <v>0</v>
      </c>
      <c r="Z38" s="3">
        <f t="shared" si="165"/>
        <v>0</v>
      </c>
      <c r="AA38" s="3">
        <f t="shared" si="165"/>
        <v>0</v>
      </c>
      <c r="AB38" s="3">
        <f t="shared" si="165"/>
        <v>0</v>
      </c>
      <c r="AC38" s="3">
        <f t="shared" si="165"/>
        <v>0</v>
      </c>
      <c r="AD38" s="3">
        <f t="shared" si="165"/>
        <v>0</v>
      </c>
      <c r="AE38" s="3">
        <f t="shared" si="165"/>
        <v>0</v>
      </c>
      <c r="AF38" s="3">
        <f t="shared" si="165"/>
        <v>0</v>
      </c>
      <c r="AH38" s="3">
        <f t="shared" ref="AH38:AS38" si="166">IF(AND(AH$5&gt;=$C38,AH$5&lt;=$D38),$E38,0)</f>
        <v>0</v>
      </c>
      <c r="AI38" s="3">
        <f t="shared" si="166"/>
        <v>0</v>
      </c>
      <c r="AJ38" s="3">
        <f t="shared" si="166"/>
        <v>0</v>
      </c>
      <c r="AK38" s="3">
        <f t="shared" si="166"/>
        <v>0</v>
      </c>
      <c r="AL38" s="3">
        <f t="shared" si="166"/>
        <v>0</v>
      </c>
      <c r="AM38" s="3">
        <f t="shared" si="166"/>
        <v>0</v>
      </c>
      <c r="AN38" s="3">
        <f t="shared" si="166"/>
        <v>0</v>
      </c>
      <c r="AO38" s="3">
        <f t="shared" si="166"/>
        <v>0</v>
      </c>
      <c r="AP38" s="3">
        <f t="shared" si="166"/>
        <v>0</v>
      </c>
      <c r="AQ38" s="3">
        <f t="shared" si="166"/>
        <v>0</v>
      </c>
      <c r="AR38" s="3">
        <f t="shared" si="166"/>
        <v>0</v>
      </c>
      <c r="AS38" s="3">
        <f t="shared" si="166"/>
        <v>0</v>
      </c>
      <c r="AU38" s="3">
        <f t="shared" ref="AU38:BF38" si="167">IF(AND(AU$5&gt;=$C38,AU$5&lt;=$D38),$E38,0)</f>
        <v>0</v>
      </c>
      <c r="AV38" s="3">
        <f t="shared" si="167"/>
        <v>0</v>
      </c>
      <c r="AW38" s="3">
        <f t="shared" si="167"/>
        <v>0</v>
      </c>
      <c r="AX38" s="3">
        <f t="shared" si="167"/>
        <v>0</v>
      </c>
      <c r="AY38" s="3">
        <f t="shared" si="167"/>
        <v>0</v>
      </c>
      <c r="AZ38" s="3">
        <f t="shared" si="167"/>
        <v>0</v>
      </c>
      <c r="BA38" s="3">
        <f t="shared" si="167"/>
        <v>0</v>
      </c>
      <c r="BB38" s="3">
        <f t="shared" si="167"/>
        <v>0</v>
      </c>
      <c r="BC38" s="3">
        <f t="shared" si="167"/>
        <v>0</v>
      </c>
      <c r="BD38" s="3">
        <f t="shared" si="167"/>
        <v>0</v>
      </c>
      <c r="BE38" s="3">
        <f t="shared" si="167"/>
        <v>0</v>
      </c>
      <c r="BF38" s="3">
        <f t="shared" si="167"/>
        <v>0</v>
      </c>
      <c r="BG38" s="2"/>
      <c r="BH38" s="3">
        <f t="shared" ref="BH38:BS38" si="168">IF(AND(BH$5&gt;=$C38,BH$5&lt;=$D38),$E38,0)</f>
        <v>0</v>
      </c>
      <c r="BI38" s="3">
        <f t="shared" si="168"/>
        <v>0</v>
      </c>
      <c r="BJ38" s="3">
        <f t="shared" si="168"/>
        <v>0</v>
      </c>
      <c r="BK38" s="3">
        <f t="shared" si="168"/>
        <v>0</v>
      </c>
      <c r="BL38" s="3">
        <f t="shared" si="168"/>
        <v>0</v>
      </c>
      <c r="BM38" s="3">
        <f t="shared" si="168"/>
        <v>0</v>
      </c>
      <c r="BN38" s="3">
        <f t="shared" si="168"/>
        <v>0</v>
      </c>
      <c r="BO38" s="3">
        <f t="shared" si="168"/>
        <v>0</v>
      </c>
      <c r="BP38" s="3">
        <f t="shared" si="168"/>
        <v>0</v>
      </c>
      <c r="BQ38" s="3">
        <f t="shared" si="168"/>
        <v>0</v>
      </c>
      <c r="BR38" s="3">
        <f t="shared" si="168"/>
        <v>0</v>
      </c>
      <c r="BS38" s="3">
        <f t="shared" si="168"/>
        <v>0</v>
      </c>
      <c r="BT38" s="2"/>
    </row>
    <row r="39" spans="1:72" ht="15.75" customHeight="1">
      <c r="A39" s="54" t="str">
        <f>IF('Capital purchases'!C43="","",'Capital purchases'!C43)</f>
        <v/>
      </c>
      <c r="B39" s="2"/>
      <c r="C39" s="2" t="str">
        <f>IF($A39="","",'Capital purchases'!B43)</f>
        <v/>
      </c>
      <c r="D39" s="3" t="str">
        <f>IF($A39="","",'Capital purchases'!J43)</f>
        <v/>
      </c>
      <c r="E39" s="162" t="str">
        <f>IF($A39="","",'Capital purchases'!I43)</f>
        <v/>
      </c>
      <c r="H39" s="3">
        <f t="shared" ref="H39:S39" si="169">IF(AND(H$5&gt;=$C39,H$5&lt;=$D39),$E39,0)</f>
        <v>0</v>
      </c>
      <c r="I39" s="3">
        <f t="shared" si="169"/>
        <v>0</v>
      </c>
      <c r="J39" s="3">
        <f t="shared" si="169"/>
        <v>0</v>
      </c>
      <c r="K39" s="3">
        <f t="shared" si="169"/>
        <v>0</v>
      </c>
      <c r="L39" s="3">
        <f t="shared" si="169"/>
        <v>0</v>
      </c>
      <c r="M39" s="3">
        <f t="shared" si="169"/>
        <v>0</v>
      </c>
      <c r="N39" s="3">
        <f t="shared" si="169"/>
        <v>0</v>
      </c>
      <c r="O39" s="3">
        <f t="shared" si="169"/>
        <v>0</v>
      </c>
      <c r="P39" s="3">
        <f t="shared" si="169"/>
        <v>0</v>
      </c>
      <c r="Q39" s="3">
        <f t="shared" si="169"/>
        <v>0</v>
      </c>
      <c r="R39" s="3">
        <f t="shared" si="169"/>
        <v>0</v>
      </c>
      <c r="S39" s="3">
        <f t="shared" si="169"/>
        <v>0</v>
      </c>
      <c r="U39" s="3">
        <f t="shared" ref="U39:AF39" si="170">IF(AND(U$5&gt;=$C39,U$5&lt;=$D39),$E39,0)</f>
        <v>0</v>
      </c>
      <c r="V39" s="3">
        <f t="shared" si="170"/>
        <v>0</v>
      </c>
      <c r="W39" s="3">
        <f t="shared" si="170"/>
        <v>0</v>
      </c>
      <c r="X39" s="3">
        <f t="shared" si="170"/>
        <v>0</v>
      </c>
      <c r="Y39" s="3">
        <f t="shared" si="170"/>
        <v>0</v>
      </c>
      <c r="Z39" s="3">
        <f t="shared" si="170"/>
        <v>0</v>
      </c>
      <c r="AA39" s="3">
        <f t="shared" si="170"/>
        <v>0</v>
      </c>
      <c r="AB39" s="3">
        <f t="shared" si="170"/>
        <v>0</v>
      </c>
      <c r="AC39" s="3">
        <f t="shared" si="170"/>
        <v>0</v>
      </c>
      <c r="AD39" s="3">
        <f t="shared" si="170"/>
        <v>0</v>
      </c>
      <c r="AE39" s="3">
        <f t="shared" si="170"/>
        <v>0</v>
      </c>
      <c r="AF39" s="3">
        <f t="shared" si="170"/>
        <v>0</v>
      </c>
      <c r="AH39" s="3">
        <f t="shared" ref="AH39:AS39" si="171">IF(AND(AH$5&gt;=$C39,AH$5&lt;=$D39),$E39,0)</f>
        <v>0</v>
      </c>
      <c r="AI39" s="3">
        <f t="shared" si="171"/>
        <v>0</v>
      </c>
      <c r="AJ39" s="3">
        <f t="shared" si="171"/>
        <v>0</v>
      </c>
      <c r="AK39" s="3">
        <f t="shared" si="171"/>
        <v>0</v>
      </c>
      <c r="AL39" s="3">
        <f t="shared" si="171"/>
        <v>0</v>
      </c>
      <c r="AM39" s="3">
        <f t="shared" si="171"/>
        <v>0</v>
      </c>
      <c r="AN39" s="3">
        <f t="shared" si="171"/>
        <v>0</v>
      </c>
      <c r="AO39" s="3">
        <f t="shared" si="171"/>
        <v>0</v>
      </c>
      <c r="AP39" s="3">
        <f t="shared" si="171"/>
        <v>0</v>
      </c>
      <c r="AQ39" s="3">
        <f t="shared" si="171"/>
        <v>0</v>
      </c>
      <c r="AR39" s="3">
        <f t="shared" si="171"/>
        <v>0</v>
      </c>
      <c r="AS39" s="3">
        <f t="shared" si="171"/>
        <v>0</v>
      </c>
      <c r="AU39" s="3">
        <f t="shared" ref="AU39:BF39" si="172">IF(AND(AU$5&gt;=$C39,AU$5&lt;=$D39),$E39,0)</f>
        <v>0</v>
      </c>
      <c r="AV39" s="3">
        <f t="shared" si="172"/>
        <v>0</v>
      </c>
      <c r="AW39" s="3">
        <f t="shared" si="172"/>
        <v>0</v>
      </c>
      <c r="AX39" s="3">
        <f t="shared" si="172"/>
        <v>0</v>
      </c>
      <c r="AY39" s="3">
        <f t="shared" si="172"/>
        <v>0</v>
      </c>
      <c r="AZ39" s="3">
        <f t="shared" si="172"/>
        <v>0</v>
      </c>
      <c r="BA39" s="3">
        <f t="shared" si="172"/>
        <v>0</v>
      </c>
      <c r="BB39" s="3">
        <f t="shared" si="172"/>
        <v>0</v>
      </c>
      <c r="BC39" s="3">
        <f t="shared" si="172"/>
        <v>0</v>
      </c>
      <c r="BD39" s="3">
        <f t="shared" si="172"/>
        <v>0</v>
      </c>
      <c r="BE39" s="3">
        <f t="shared" si="172"/>
        <v>0</v>
      </c>
      <c r="BF39" s="3">
        <f t="shared" si="172"/>
        <v>0</v>
      </c>
      <c r="BG39" s="2"/>
      <c r="BH39" s="3">
        <f t="shared" ref="BH39:BS39" si="173">IF(AND(BH$5&gt;=$C39,BH$5&lt;=$D39),$E39,0)</f>
        <v>0</v>
      </c>
      <c r="BI39" s="3">
        <f t="shared" si="173"/>
        <v>0</v>
      </c>
      <c r="BJ39" s="3">
        <f t="shared" si="173"/>
        <v>0</v>
      </c>
      <c r="BK39" s="3">
        <f t="shared" si="173"/>
        <v>0</v>
      </c>
      <c r="BL39" s="3">
        <f t="shared" si="173"/>
        <v>0</v>
      </c>
      <c r="BM39" s="3">
        <f t="shared" si="173"/>
        <v>0</v>
      </c>
      <c r="BN39" s="3">
        <f t="shared" si="173"/>
        <v>0</v>
      </c>
      <c r="BO39" s="3">
        <f t="shared" si="173"/>
        <v>0</v>
      </c>
      <c r="BP39" s="3">
        <f t="shared" si="173"/>
        <v>0</v>
      </c>
      <c r="BQ39" s="3">
        <f t="shared" si="173"/>
        <v>0</v>
      </c>
      <c r="BR39" s="3">
        <f t="shared" si="173"/>
        <v>0</v>
      </c>
      <c r="BS39" s="3">
        <f t="shared" si="173"/>
        <v>0</v>
      </c>
      <c r="BT39" s="2"/>
    </row>
    <row r="40" spans="1:72" ht="15.75" customHeight="1">
      <c r="A40" s="54" t="str">
        <f>IF('Capital purchases'!C44="","",'Capital purchases'!C44)</f>
        <v/>
      </c>
      <c r="B40" s="2"/>
      <c r="C40" s="2" t="str">
        <f>IF($A40="","",'Capital purchases'!B44)</f>
        <v/>
      </c>
      <c r="D40" s="3" t="str">
        <f>IF($A40="","",'Capital purchases'!J44)</f>
        <v/>
      </c>
      <c r="E40" s="162" t="str">
        <f>IF($A40="","",'Capital purchases'!I44)</f>
        <v/>
      </c>
      <c r="H40" s="3">
        <f t="shared" ref="H40:S40" si="174">IF(AND(H$5&gt;=$C40,H$5&lt;=$D40),$E40,0)</f>
        <v>0</v>
      </c>
      <c r="I40" s="3">
        <f t="shared" si="174"/>
        <v>0</v>
      </c>
      <c r="J40" s="3">
        <f t="shared" si="174"/>
        <v>0</v>
      </c>
      <c r="K40" s="3">
        <f t="shared" si="174"/>
        <v>0</v>
      </c>
      <c r="L40" s="3">
        <f t="shared" si="174"/>
        <v>0</v>
      </c>
      <c r="M40" s="3">
        <f t="shared" si="174"/>
        <v>0</v>
      </c>
      <c r="N40" s="3">
        <f t="shared" si="174"/>
        <v>0</v>
      </c>
      <c r="O40" s="3">
        <f t="shared" si="174"/>
        <v>0</v>
      </c>
      <c r="P40" s="3">
        <f t="shared" si="174"/>
        <v>0</v>
      </c>
      <c r="Q40" s="3">
        <f t="shared" si="174"/>
        <v>0</v>
      </c>
      <c r="R40" s="3">
        <f t="shared" si="174"/>
        <v>0</v>
      </c>
      <c r="S40" s="3">
        <f t="shared" si="174"/>
        <v>0</v>
      </c>
      <c r="U40" s="3">
        <f t="shared" ref="U40:AF40" si="175">IF(AND(U$5&gt;=$C40,U$5&lt;=$D40),$E40,0)</f>
        <v>0</v>
      </c>
      <c r="V40" s="3">
        <f t="shared" si="175"/>
        <v>0</v>
      </c>
      <c r="W40" s="3">
        <f t="shared" si="175"/>
        <v>0</v>
      </c>
      <c r="X40" s="3">
        <f t="shared" si="175"/>
        <v>0</v>
      </c>
      <c r="Y40" s="3">
        <f t="shared" si="175"/>
        <v>0</v>
      </c>
      <c r="Z40" s="3">
        <f t="shared" si="175"/>
        <v>0</v>
      </c>
      <c r="AA40" s="3">
        <f t="shared" si="175"/>
        <v>0</v>
      </c>
      <c r="AB40" s="3">
        <f t="shared" si="175"/>
        <v>0</v>
      </c>
      <c r="AC40" s="3">
        <f t="shared" si="175"/>
        <v>0</v>
      </c>
      <c r="AD40" s="3">
        <f t="shared" si="175"/>
        <v>0</v>
      </c>
      <c r="AE40" s="3">
        <f t="shared" si="175"/>
        <v>0</v>
      </c>
      <c r="AF40" s="3">
        <f t="shared" si="175"/>
        <v>0</v>
      </c>
      <c r="AH40" s="3">
        <f t="shared" ref="AH40:AS40" si="176">IF(AND(AH$5&gt;=$C40,AH$5&lt;=$D40),$E40,0)</f>
        <v>0</v>
      </c>
      <c r="AI40" s="3">
        <f t="shared" si="176"/>
        <v>0</v>
      </c>
      <c r="AJ40" s="3">
        <f t="shared" si="176"/>
        <v>0</v>
      </c>
      <c r="AK40" s="3">
        <f t="shared" si="176"/>
        <v>0</v>
      </c>
      <c r="AL40" s="3">
        <f t="shared" si="176"/>
        <v>0</v>
      </c>
      <c r="AM40" s="3">
        <f t="shared" si="176"/>
        <v>0</v>
      </c>
      <c r="AN40" s="3">
        <f t="shared" si="176"/>
        <v>0</v>
      </c>
      <c r="AO40" s="3">
        <f t="shared" si="176"/>
        <v>0</v>
      </c>
      <c r="AP40" s="3">
        <f t="shared" si="176"/>
        <v>0</v>
      </c>
      <c r="AQ40" s="3">
        <f t="shared" si="176"/>
        <v>0</v>
      </c>
      <c r="AR40" s="3">
        <f t="shared" si="176"/>
        <v>0</v>
      </c>
      <c r="AS40" s="3">
        <f t="shared" si="176"/>
        <v>0</v>
      </c>
      <c r="AU40" s="3">
        <f t="shared" ref="AU40:BF40" si="177">IF(AND(AU$5&gt;=$C40,AU$5&lt;=$D40),$E40,0)</f>
        <v>0</v>
      </c>
      <c r="AV40" s="3">
        <f t="shared" si="177"/>
        <v>0</v>
      </c>
      <c r="AW40" s="3">
        <f t="shared" si="177"/>
        <v>0</v>
      </c>
      <c r="AX40" s="3">
        <f t="shared" si="177"/>
        <v>0</v>
      </c>
      <c r="AY40" s="3">
        <f t="shared" si="177"/>
        <v>0</v>
      </c>
      <c r="AZ40" s="3">
        <f t="shared" si="177"/>
        <v>0</v>
      </c>
      <c r="BA40" s="3">
        <f t="shared" si="177"/>
        <v>0</v>
      </c>
      <c r="BB40" s="3">
        <f t="shared" si="177"/>
        <v>0</v>
      </c>
      <c r="BC40" s="3">
        <f t="shared" si="177"/>
        <v>0</v>
      </c>
      <c r="BD40" s="3">
        <f t="shared" si="177"/>
        <v>0</v>
      </c>
      <c r="BE40" s="3">
        <f t="shared" si="177"/>
        <v>0</v>
      </c>
      <c r="BF40" s="3">
        <f t="shared" si="177"/>
        <v>0</v>
      </c>
      <c r="BG40" s="2"/>
      <c r="BH40" s="3">
        <f t="shared" ref="BH40:BS40" si="178">IF(AND(BH$5&gt;=$C40,BH$5&lt;=$D40),$E40,0)</f>
        <v>0</v>
      </c>
      <c r="BI40" s="3">
        <f t="shared" si="178"/>
        <v>0</v>
      </c>
      <c r="BJ40" s="3">
        <f t="shared" si="178"/>
        <v>0</v>
      </c>
      <c r="BK40" s="3">
        <f t="shared" si="178"/>
        <v>0</v>
      </c>
      <c r="BL40" s="3">
        <f t="shared" si="178"/>
        <v>0</v>
      </c>
      <c r="BM40" s="3">
        <f t="shared" si="178"/>
        <v>0</v>
      </c>
      <c r="BN40" s="3">
        <f t="shared" si="178"/>
        <v>0</v>
      </c>
      <c r="BO40" s="3">
        <f t="shared" si="178"/>
        <v>0</v>
      </c>
      <c r="BP40" s="3">
        <f t="shared" si="178"/>
        <v>0</v>
      </c>
      <c r="BQ40" s="3">
        <f t="shared" si="178"/>
        <v>0</v>
      </c>
      <c r="BR40" s="3">
        <f t="shared" si="178"/>
        <v>0</v>
      </c>
      <c r="BS40" s="3">
        <f t="shared" si="178"/>
        <v>0</v>
      </c>
      <c r="BT40" s="2"/>
    </row>
    <row r="41" spans="1:72" ht="15.75" customHeight="1">
      <c r="A41" s="54" t="str">
        <f>IF('Capital purchases'!C45="","",'Capital purchases'!C45)</f>
        <v/>
      </c>
      <c r="B41" s="2"/>
      <c r="C41" s="2" t="str">
        <f>IF($A41="","",'Capital purchases'!B45)</f>
        <v/>
      </c>
      <c r="D41" s="3" t="str">
        <f>IF($A41="","",'Capital purchases'!J45)</f>
        <v/>
      </c>
      <c r="E41" s="162" t="str">
        <f>IF($A41="","",'Capital purchases'!I45)</f>
        <v/>
      </c>
      <c r="H41" s="3">
        <f t="shared" ref="H41:S41" si="179">IF(AND(H$5&gt;=$C41,H$5&lt;=$D41),$E41,0)</f>
        <v>0</v>
      </c>
      <c r="I41" s="3">
        <f t="shared" si="179"/>
        <v>0</v>
      </c>
      <c r="J41" s="3">
        <f t="shared" si="179"/>
        <v>0</v>
      </c>
      <c r="K41" s="3">
        <f t="shared" si="179"/>
        <v>0</v>
      </c>
      <c r="L41" s="3">
        <f t="shared" si="179"/>
        <v>0</v>
      </c>
      <c r="M41" s="3">
        <f t="shared" si="179"/>
        <v>0</v>
      </c>
      <c r="N41" s="3">
        <f t="shared" si="179"/>
        <v>0</v>
      </c>
      <c r="O41" s="3">
        <f t="shared" si="179"/>
        <v>0</v>
      </c>
      <c r="P41" s="3">
        <f t="shared" si="179"/>
        <v>0</v>
      </c>
      <c r="Q41" s="3">
        <f t="shared" si="179"/>
        <v>0</v>
      </c>
      <c r="R41" s="3">
        <f t="shared" si="179"/>
        <v>0</v>
      </c>
      <c r="S41" s="3">
        <f t="shared" si="179"/>
        <v>0</v>
      </c>
      <c r="U41" s="3">
        <f t="shared" ref="U41:AF41" si="180">IF(AND(U$5&gt;=$C41,U$5&lt;=$D41),$E41,0)</f>
        <v>0</v>
      </c>
      <c r="V41" s="3">
        <f t="shared" si="180"/>
        <v>0</v>
      </c>
      <c r="W41" s="3">
        <f t="shared" si="180"/>
        <v>0</v>
      </c>
      <c r="X41" s="3">
        <f t="shared" si="180"/>
        <v>0</v>
      </c>
      <c r="Y41" s="3">
        <f t="shared" si="180"/>
        <v>0</v>
      </c>
      <c r="Z41" s="3">
        <f t="shared" si="180"/>
        <v>0</v>
      </c>
      <c r="AA41" s="3">
        <f t="shared" si="180"/>
        <v>0</v>
      </c>
      <c r="AB41" s="3">
        <f t="shared" si="180"/>
        <v>0</v>
      </c>
      <c r="AC41" s="3">
        <f t="shared" si="180"/>
        <v>0</v>
      </c>
      <c r="AD41" s="3">
        <f t="shared" si="180"/>
        <v>0</v>
      </c>
      <c r="AE41" s="3">
        <f t="shared" si="180"/>
        <v>0</v>
      </c>
      <c r="AF41" s="3">
        <f t="shared" si="180"/>
        <v>0</v>
      </c>
      <c r="AH41" s="3">
        <f t="shared" ref="AH41:AS41" si="181">IF(AND(AH$5&gt;=$C41,AH$5&lt;=$D41),$E41,0)</f>
        <v>0</v>
      </c>
      <c r="AI41" s="3">
        <f t="shared" si="181"/>
        <v>0</v>
      </c>
      <c r="AJ41" s="3">
        <f t="shared" si="181"/>
        <v>0</v>
      </c>
      <c r="AK41" s="3">
        <f t="shared" si="181"/>
        <v>0</v>
      </c>
      <c r="AL41" s="3">
        <f t="shared" si="181"/>
        <v>0</v>
      </c>
      <c r="AM41" s="3">
        <f t="shared" si="181"/>
        <v>0</v>
      </c>
      <c r="AN41" s="3">
        <f t="shared" si="181"/>
        <v>0</v>
      </c>
      <c r="AO41" s="3">
        <f t="shared" si="181"/>
        <v>0</v>
      </c>
      <c r="AP41" s="3">
        <f t="shared" si="181"/>
        <v>0</v>
      </c>
      <c r="AQ41" s="3">
        <f t="shared" si="181"/>
        <v>0</v>
      </c>
      <c r="AR41" s="3">
        <f t="shared" si="181"/>
        <v>0</v>
      </c>
      <c r="AS41" s="3">
        <f t="shared" si="181"/>
        <v>0</v>
      </c>
      <c r="AU41" s="3">
        <f t="shared" ref="AU41:BF41" si="182">IF(AND(AU$5&gt;=$C41,AU$5&lt;=$D41),$E41,0)</f>
        <v>0</v>
      </c>
      <c r="AV41" s="3">
        <f t="shared" si="182"/>
        <v>0</v>
      </c>
      <c r="AW41" s="3">
        <f t="shared" si="182"/>
        <v>0</v>
      </c>
      <c r="AX41" s="3">
        <f t="shared" si="182"/>
        <v>0</v>
      </c>
      <c r="AY41" s="3">
        <f t="shared" si="182"/>
        <v>0</v>
      </c>
      <c r="AZ41" s="3">
        <f t="shared" si="182"/>
        <v>0</v>
      </c>
      <c r="BA41" s="3">
        <f t="shared" si="182"/>
        <v>0</v>
      </c>
      <c r="BB41" s="3">
        <f t="shared" si="182"/>
        <v>0</v>
      </c>
      <c r="BC41" s="3">
        <f t="shared" si="182"/>
        <v>0</v>
      </c>
      <c r="BD41" s="3">
        <f t="shared" si="182"/>
        <v>0</v>
      </c>
      <c r="BE41" s="3">
        <f t="shared" si="182"/>
        <v>0</v>
      </c>
      <c r="BF41" s="3">
        <f t="shared" si="182"/>
        <v>0</v>
      </c>
      <c r="BG41" s="2"/>
      <c r="BH41" s="3">
        <f t="shared" ref="BH41:BS41" si="183">IF(AND(BH$5&gt;=$C41,BH$5&lt;=$D41),$E41,0)</f>
        <v>0</v>
      </c>
      <c r="BI41" s="3">
        <f t="shared" si="183"/>
        <v>0</v>
      </c>
      <c r="BJ41" s="3">
        <f t="shared" si="183"/>
        <v>0</v>
      </c>
      <c r="BK41" s="3">
        <f t="shared" si="183"/>
        <v>0</v>
      </c>
      <c r="BL41" s="3">
        <f t="shared" si="183"/>
        <v>0</v>
      </c>
      <c r="BM41" s="3">
        <f t="shared" si="183"/>
        <v>0</v>
      </c>
      <c r="BN41" s="3">
        <f t="shared" si="183"/>
        <v>0</v>
      </c>
      <c r="BO41" s="3">
        <f t="shared" si="183"/>
        <v>0</v>
      </c>
      <c r="BP41" s="3">
        <f t="shared" si="183"/>
        <v>0</v>
      </c>
      <c r="BQ41" s="3">
        <f t="shared" si="183"/>
        <v>0</v>
      </c>
      <c r="BR41" s="3">
        <f t="shared" si="183"/>
        <v>0</v>
      </c>
      <c r="BS41" s="3">
        <f t="shared" si="183"/>
        <v>0</v>
      </c>
      <c r="BT41" s="2"/>
    </row>
    <row r="42" spans="1:72" ht="15.75" customHeight="1">
      <c r="A42" s="54" t="str">
        <f>IF('Capital purchases'!C46="","",'Capital purchases'!C46)</f>
        <v/>
      </c>
      <c r="B42" s="2"/>
      <c r="C42" s="2" t="str">
        <f>IF($A42="","",'Capital purchases'!B46)</f>
        <v/>
      </c>
      <c r="D42" s="3" t="str">
        <f>IF($A42="","",'Capital purchases'!J46)</f>
        <v/>
      </c>
      <c r="E42" s="162" t="str">
        <f>IF($A42="","",'Capital purchases'!I46)</f>
        <v/>
      </c>
      <c r="H42" s="3">
        <f t="shared" ref="H42:S42" si="184">IF(AND(H$5&gt;=$C42,H$5&lt;=$D42),$E42,0)</f>
        <v>0</v>
      </c>
      <c r="I42" s="3">
        <f t="shared" si="184"/>
        <v>0</v>
      </c>
      <c r="J42" s="3">
        <f t="shared" si="184"/>
        <v>0</v>
      </c>
      <c r="K42" s="3">
        <f t="shared" si="184"/>
        <v>0</v>
      </c>
      <c r="L42" s="3">
        <f t="shared" si="184"/>
        <v>0</v>
      </c>
      <c r="M42" s="3">
        <f t="shared" si="184"/>
        <v>0</v>
      </c>
      <c r="N42" s="3">
        <f t="shared" si="184"/>
        <v>0</v>
      </c>
      <c r="O42" s="3">
        <f t="shared" si="184"/>
        <v>0</v>
      </c>
      <c r="P42" s="3">
        <f t="shared" si="184"/>
        <v>0</v>
      </c>
      <c r="Q42" s="3">
        <f t="shared" si="184"/>
        <v>0</v>
      </c>
      <c r="R42" s="3">
        <f t="shared" si="184"/>
        <v>0</v>
      </c>
      <c r="S42" s="3">
        <f t="shared" si="184"/>
        <v>0</v>
      </c>
      <c r="U42" s="3">
        <f t="shared" ref="U42:AF42" si="185">IF(AND(U$5&gt;=$C42,U$5&lt;=$D42),$E42,0)</f>
        <v>0</v>
      </c>
      <c r="V42" s="3">
        <f t="shared" si="185"/>
        <v>0</v>
      </c>
      <c r="W42" s="3">
        <f t="shared" si="185"/>
        <v>0</v>
      </c>
      <c r="X42" s="3">
        <f t="shared" si="185"/>
        <v>0</v>
      </c>
      <c r="Y42" s="3">
        <f t="shared" si="185"/>
        <v>0</v>
      </c>
      <c r="Z42" s="3">
        <f t="shared" si="185"/>
        <v>0</v>
      </c>
      <c r="AA42" s="3">
        <f t="shared" si="185"/>
        <v>0</v>
      </c>
      <c r="AB42" s="3">
        <f t="shared" si="185"/>
        <v>0</v>
      </c>
      <c r="AC42" s="3">
        <f t="shared" si="185"/>
        <v>0</v>
      </c>
      <c r="AD42" s="3">
        <f t="shared" si="185"/>
        <v>0</v>
      </c>
      <c r="AE42" s="3">
        <f t="shared" si="185"/>
        <v>0</v>
      </c>
      <c r="AF42" s="3">
        <f t="shared" si="185"/>
        <v>0</v>
      </c>
      <c r="AH42" s="3">
        <f t="shared" ref="AH42:AS42" si="186">IF(AND(AH$5&gt;=$C42,AH$5&lt;=$D42),$E42,0)</f>
        <v>0</v>
      </c>
      <c r="AI42" s="3">
        <f t="shared" si="186"/>
        <v>0</v>
      </c>
      <c r="AJ42" s="3">
        <f t="shared" si="186"/>
        <v>0</v>
      </c>
      <c r="AK42" s="3">
        <f t="shared" si="186"/>
        <v>0</v>
      </c>
      <c r="AL42" s="3">
        <f t="shared" si="186"/>
        <v>0</v>
      </c>
      <c r="AM42" s="3">
        <f t="shared" si="186"/>
        <v>0</v>
      </c>
      <c r="AN42" s="3">
        <f t="shared" si="186"/>
        <v>0</v>
      </c>
      <c r="AO42" s="3">
        <f t="shared" si="186"/>
        <v>0</v>
      </c>
      <c r="AP42" s="3">
        <f t="shared" si="186"/>
        <v>0</v>
      </c>
      <c r="AQ42" s="3">
        <f t="shared" si="186"/>
        <v>0</v>
      </c>
      <c r="AR42" s="3">
        <f t="shared" si="186"/>
        <v>0</v>
      </c>
      <c r="AS42" s="3">
        <f t="shared" si="186"/>
        <v>0</v>
      </c>
      <c r="AU42" s="3">
        <f t="shared" ref="AU42:BF42" si="187">IF(AND(AU$5&gt;=$C42,AU$5&lt;=$D42),$E42,0)</f>
        <v>0</v>
      </c>
      <c r="AV42" s="3">
        <f t="shared" si="187"/>
        <v>0</v>
      </c>
      <c r="AW42" s="3">
        <f t="shared" si="187"/>
        <v>0</v>
      </c>
      <c r="AX42" s="3">
        <f t="shared" si="187"/>
        <v>0</v>
      </c>
      <c r="AY42" s="3">
        <f t="shared" si="187"/>
        <v>0</v>
      </c>
      <c r="AZ42" s="3">
        <f t="shared" si="187"/>
        <v>0</v>
      </c>
      <c r="BA42" s="3">
        <f t="shared" si="187"/>
        <v>0</v>
      </c>
      <c r="BB42" s="3">
        <f t="shared" si="187"/>
        <v>0</v>
      </c>
      <c r="BC42" s="3">
        <f t="shared" si="187"/>
        <v>0</v>
      </c>
      <c r="BD42" s="3">
        <f t="shared" si="187"/>
        <v>0</v>
      </c>
      <c r="BE42" s="3">
        <f t="shared" si="187"/>
        <v>0</v>
      </c>
      <c r="BF42" s="3">
        <f t="shared" si="187"/>
        <v>0</v>
      </c>
      <c r="BG42" s="2"/>
      <c r="BH42" s="3">
        <f t="shared" ref="BH42:BS42" si="188">IF(AND(BH$5&gt;=$C42,BH$5&lt;=$D42),$E42,0)</f>
        <v>0</v>
      </c>
      <c r="BI42" s="3">
        <f t="shared" si="188"/>
        <v>0</v>
      </c>
      <c r="BJ42" s="3">
        <f t="shared" si="188"/>
        <v>0</v>
      </c>
      <c r="BK42" s="3">
        <f t="shared" si="188"/>
        <v>0</v>
      </c>
      <c r="BL42" s="3">
        <f t="shared" si="188"/>
        <v>0</v>
      </c>
      <c r="BM42" s="3">
        <f t="shared" si="188"/>
        <v>0</v>
      </c>
      <c r="BN42" s="3">
        <f t="shared" si="188"/>
        <v>0</v>
      </c>
      <c r="BO42" s="3">
        <f t="shared" si="188"/>
        <v>0</v>
      </c>
      <c r="BP42" s="3">
        <f t="shared" si="188"/>
        <v>0</v>
      </c>
      <c r="BQ42" s="3">
        <f t="shared" si="188"/>
        <v>0</v>
      </c>
      <c r="BR42" s="3">
        <f t="shared" si="188"/>
        <v>0</v>
      </c>
      <c r="BS42" s="3">
        <f t="shared" si="188"/>
        <v>0</v>
      </c>
      <c r="BT42" s="2"/>
    </row>
    <row r="43" spans="1:72" ht="15.75" customHeight="1">
      <c r="A43" s="54" t="str">
        <f>IF('Capital purchases'!C47="","",'Capital purchases'!C47)</f>
        <v/>
      </c>
      <c r="B43" s="2"/>
      <c r="C43" s="2" t="str">
        <f>IF($A43="","",'Capital purchases'!B47)</f>
        <v/>
      </c>
      <c r="D43" s="3" t="str">
        <f>IF($A43="","",'Capital purchases'!J47)</f>
        <v/>
      </c>
      <c r="E43" s="162" t="str">
        <f>IF($A43="","",'Capital purchases'!I47)</f>
        <v/>
      </c>
      <c r="H43" s="3">
        <f t="shared" ref="H43:S43" si="189">IF(AND(H$5&gt;=$C43,H$5&lt;=$D43),$E43,0)</f>
        <v>0</v>
      </c>
      <c r="I43" s="3">
        <f t="shared" si="189"/>
        <v>0</v>
      </c>
      <c r="J43" s="3">
        <f t="shared" si="189"/>
        <v>0</v>
      </c>
      <c r="K43" s="3">
        <f t="shared" si="189"/>
        <v>0</v>
      </c>
      <c r="L43" s="3">
        <f t="shared" si="189"/>
        <v>0</v>
      </c>
      <c r="M43" s="3">
        <f t="shared" si="189"/>
        <v>0</v>
      </c>
      <c r="N43" s="3">
        <f t="shared" si="189"/>
        <v>0</v>
      </c>
      <c r="O43" s="3">
        <f t="shared" si="189"/>
        <v>0</v>
      </c>
      <c r="P43" s="3">
        <f t="shared" si="189"/>
        <v>0</v>
      </c>
      <c r="Q43" s="3">
        <f t="shared" si="189"/>
        <v>0</v>
      </c>
      <c r="R43" s="3">
        <f t="shared" si="189"/>
        <v>0</v>
      </c>
      <c r="S43" s="3">
        <f t="shared" si="189"/>
        <v>0</v>
      </c>
      <c r="U43" s="3">
        <f t="shared" ref="U43:AF43" si="190">IF(AND(U$5&gt;=$C43,U$5&lt;=$D43),$E43,0)</f>
        <v>0</v>
      </c>
      <c r="V43" s="3">
        <f t="shared" si="190"/>
        <v>0</v>
      </c>
      <c r="W43" s="3">
        <f t="shared" si="190"/>
        <v>0</v>
      </c>
      <c r="X43" s="3">
        <f t="shared" si="190"/>
        <v>0</v>
      </c>
      <c r="Y43" s="3">
        <f t="shared" si="190"/>
        <v>0</v>
      </c>
      <c r="Z43" s="3">
        <f t="shared" si="190"/>
        <v>0</v>
      </c>
      <c r="AA43" s="3">
        <f t="shared" si="190"/>
        <v>0</v>
      </c>
      <c r="AB43" s="3">
        <f t="shared" si="190"/>
        <v>0</v>
      </c>
      <c r="AC43" s="3">
        <f t="shared" si="190"/>
        <v>0</v>
      </c>
      <c r="AD43" s="3">
        <f t="shared" si="190"/>
        <v>0</v>
      </c>
      <c r="AE43" s="3">
        <f t="shared" si="190"/>
        <v>0</v>
      </c>
      <c r="AF43" s="3">
        <f t="shared" si="190"/>
        <v>0</v>
      </c>
      <c r="AH43" s="3">
        <f t="shared" ref="AH43:AS43" si="191">IF(AND(AH$5&gt;=$C43,AH$5&lt;=$D43),$E43,0)</f>
        <v>0</v>
      </c>
      <c r="AI43" s="3">
        <f t="shared" si="191"/>
        <v>0</v>
      </c>
      <c r="AJ43" s="3">
        <f t="shared" si="191"/>
        <v>0</v>
      </c>
      <c r="AK43" s="3">
        <f t="shared" si="191"/>
        <v>0</v>
      </c>
      <c r="AL43" s="3">
        <f t="shared" si="191"/>
        <v>0</v>
      </c>
      <c r="AM43" s="3">
        <f t="shared" si="191"/>
        <v>0</v>
      </c>
      <c r="AN43" s="3">
        <f t="shared" si="191"/>
        <v>0</v>
      </c>
      <c r="AO43" s="3">
        <f t="shared" si="191"/>
        <v>0</v>
      </c>
      <c r="AP43" s="3">
        <f t="shared" si="191"/>
        <v>0</v>
      </c>
      <c r="AQ43" s="3">
        <f t="shared" si="191"/>
        <v>0</v>
      </c>
      <c r="AR43" s="3">
        <f t="shared" si="191"/>
        <v>0</v>
      </c>
      <c r="AS43" s="3">
        <f t="shared" si="191"/>
        <v>0</v>
      </c>
      <c r="AU43" s="3">
        <f t="shared" ref="AU43:BF43" si="192">IF(AND(AU$5&gt;=$C43,AU$5&lt;=$D43),$E43,0)</f>
        <v>0</v>
      </c>
      <c r="AV43" s="3">
        <f t="shared" si="192"/>
        <v>0</v>
      </c>
      <c r="AW43" s="3">
        <f t="shared" si="192"/>
        <v>0</v>
      </c>
      <c r="AX43" s="3">
        <f t="shared" si="192"/>
        <v>0</v>
      </c>
      <c r="AY43" s="3">
        <f t="shared" si="192"/>
        <v>0</v>
      </c>
      <c r="AZ43" s="3">
        <f t="shared" si="192"/>
        <v>0</v>
      </c>
      <c r="BA43" s="3">
        <f t="shared" si="192"/>
        <v>0</v>
      </c>
      <c r="BB43" s="3">
        <f t="shared" si="192"/>
        <v>0</v>
      </c>
      <c r="BC43" s="3">
        <f t="shared" si="192"/>
        <v>0</v>
      </c>
      <c r="BD43" s="3">
        <f t="shared" si="192"/>
        <v>0</v>
      </c>
      <c r="BE43" s="3">
        <f t="shared" si="192"/>
        <v>0</v>
      </c>
      <c r="BF43" s="3">
        <f t="shared" si="192"/>
        <v>0</v>
      </c>
      <c r="BG43" s="2"/>
      <c r="BH43" s="3">
        <f t="shared" ref="BH43:BS43" si="193">IF(AND(BH$5&gt;=$C43,BH$5&lt;=$D43),$E43,0)</f>
        <v>0</v>
      </c>
      <c r="BI43" s="3">
        <f t="shared" si="193"/>
        <v>0</v>
      </c>
      <c r="BJ43" s="3">
        <f t="shared" si="193"/>
        <v>0</v>
      </c>
      <c r="BK43" s="3">
        <f t="shared" si="193"/>
        <v>0</v>
      </c>
      <c r="BL43" s="3">
        <f t="shared" si="193"/>
        <v>0</v>
      </c>
      <c r="BM43" s="3">
        <f t="shared" si="193"/>
        <v>0</v>
      </c>
      <c r="BN43" s="3">
        <f t="shared" si="193"/>
        <v>0</v>
      </c>
      <c r="BO43" s="3">
        <f t="shared" si="193"/>
        <v>0</v>
      </c>
      <c r="BP43" s="3">
        <f t="shared" si="193"/>
        <v>0</v>
      </c>
      <c r="BQ43" s="3">
        <f t="shared" si="193"/>
        <v>0</v>
      </c>
      <c r="BR43" s="3">
        <f t="shared" si="193"/>
        <v>0</v>
      </c>
      <c r="BS43" s="3">
        <f t="shared" si="193"/>
        <v>0</v>
      </c>
      <c r="BT43" s="2"/>
    </row>
    <row r="44" spans="1:72" ht="15.75" customHeight="1">
      <c r="A44" s="54" t="str">
        <f>IF('Capital purchases'!C48="","",'Capital purchases'!C48)</f>
        <v/>
      </c>
      <c r="B44" s="2"/>
      <c r="C44" s="2" t="str">
        <f>IF($A44="","",'Capital purchases'!B48)</f>
        <v/>
      </c>
      <c r="D44" s="3" t="str">
        <f>IF($A44="","",'Capital purchases'!J48)</f>
        <v/>
      </c>
      <c r="E44" s="162" t="str">
        <f>IF($A44="","",'Capital purchases'!I48)</f>
        <v/>
      </c>
      <c r="H44" s="3">
        <f t="shared" ref="H44:S44" si="194">IF(AND(H$5&gt;=$C44,H$5&lt;=$D44),$E44,0)</f>
        <v>0</v>
      </c>
      <c r="I44" s="3">
        <f t="shared" si="194"/>
        <v>0</v>
      </c>
      <c r="J44" s="3">
        <f t="shared" si="194"/>
        <v>0</v>
      </c>
      <c r="K44" s="3">
        <f t="shared" si="194"/>
        <v>0</v>
      </c>
      <c r="L44" s="3">
        <f t="shared" si="194"/>
        <v>0</v>
      </c>
      <c r="M44" s="3">
        <f t="shared" si="194"/>
        <v>0</v>
      </c>
      <c r="N44" s="3">
        <f t="shared" si="194"/>
        <v>0</v>
      </c>
      <c r="O44" s="3">
        <f t="shared" si="194"/>
        <v>0</v>
      </c>
      <c r="P44" s="3">
        <f t="shared" si="194"/>
        <v>0</v>
      </c>
      <c r="Q44" s="3">
        <f t="shared" si="194"/>
        <v>0</v>
      </c>
      <c r="R44" s="3">
        <f t="shared" si="194"/>
        <v>0</v>
      </c>
      <c r="S44" s="3">
        <f t="shared" si="194"/>
        <v>0</v>
      </c>
      <c r="U44" s="3">
        <f t="shared" ref="U44:AF44" si="195">IF(AND(U$5&gt;=$C44,U$5&lt;=$D44),$E44,0)</f>
        <v>0</v>
      </c>
      <c r="V44" s="3">
        <f t="shared" si="195"/>
        <v>0</v>
      </c>
      <c r="W44" s="3">
        <f t="shared" si="195"/>
        <v>0</v>
      </c>
      <c r="X44" s="3">
        <f t="shared" si="195"/>
        <v>0</v>
      </c>
      <c r="Y44" s="3">
        <f t="shared" si="195"/>
        <v>0</v>
      </c>
      <c r="Z44" s="3">
        <f t="shared" si="195"/>
        <v>0</v>
      </c>
      <c r="AA44" s="3">
        <f t="shared" si="195"/>
        <v>0</v>
      </c>
      <c r="AB44" s="3">
        <f t="shared" si="195"/>
        <v>0</v>
      </c>
      <c r="AC44" s="3">
        <f t="shared" si="195"/>
        <v>0</v>
      </c>
      <c r="AD44" s="3">
        <f t="shared" si="195"/>
        <v>0</v>
      </c>
      <c r="AE44" s="3">
        <f t="shared" si="195"/>
        <v>0</v>
      </c>
      <c r="AF44" s="3">
        <f t="shared" si="195"/>
        <v>0</v>
      </c>
      <c r="AH44" s="3">
        <f t="shared" ref="AH44:AS44" si="196">IF(AND(AH$5&gt;=$C44,AH$5&lt;=$D44),$E44,0)</f>
        <v>0</v>
      </c>
      <c r="AI44" s="3">
        <f t="shared" si="196"/>
        <v>0</v>
      </c>
      <c r="AJ44" s="3">
        <f t="shared" si="196"/>
        <v>0</v>
      </c>
      <c r="AK44" s="3">
        <f t="shared" si="196"/>
        <v>0</v>
      </c>
      <c r="AL44" s="3">
        <f t="shared" si="196"/>
        <v>0</v>
      </c>
      <c r="AM44" s="3">
        <f t="shared" si="196"/>
        <v>0</v>
      </c>
      <c r="AN44" s="3">
        <f t="shared" si="196"/>
        <v>0</v>
      </c>
      <c r="AO44" s="3">
        <f t="shared" si="196"/>
        <v>0</v>
      </c>
      <c r="AP44" s="3">
        <f t="shared" si="196"/>
        <v>0</v>
      </c>
      <c r="AQ44" s="3">
        <f t="shared" si="196"/>
        <v>0</v>
      </c>
      <c r="AR44" s="3">
        <f t="shared" si="196"/>
        <v>0</v>
      </c>
      <c r="AS44" s="3">
        <f t="shared" si="196"/>
        <v>0</v>
      </c>
      <c r="AU44" s="3">
        <f t="shared" ref="AU44:BF44" si="197">IF(AND(AU$5&gt;=$C44,AU$5&lt;=$D44),$E44,0)</f>
        <v>0</v>
      </c>
      <c r="AV44" s="3">
        <f t="shared" si="197"/>
        <v>0</v>
      </c>
      <c r="AW44" s="3">
        <f t="shared" si="197"/>
        <v>0</v>
      </c>
      <c r="AX44" s="3">
        <f t="shared" si="197"/>
        <v>0</v>
      </c>
      <c r="AY44" s="3">
        <f t="shared" si="197"/>
        <v>0</v>
      </c>
      <c r="AZ44" s="3">
        <f t="shared" si="197"/>
        <v>0</v>
      </c>
      <c r="BA44" s="3">
        <f t="shared" si="197"/>
        <v>0</v>
      </c>
      <c r="BB44" s="3">
        <f t="shared" si="197"/>
        <v>0</v>
      </c>
      <c r="BC44" s="3">
        <f t="shared" si="197"/>
        <v>0</v>
      </c>
      <c r="BD44" s="3">
        <f t="shared" si="197"/>
        <v>0</v>
      </c>
      <c r="BE44" s="3">
        <f t="shared" si="197"/>
        <v>0</v>
      </c>
      <c r="BF44" s="3">
        <f t="shared" si="197"/>
        <v>0</v>
      </c>
      <c r="BG44" s="2"/>
      <c r="BH44" s="3">
        <f t="shared" ref="BH44:BS44" si="198">IF(AND(BH$5&gt;=$C44,BH$5&lt;=$D44),$E44,0)</f>
        <v>0</v>
      </c>
      <c r="BI44" s="3">
        <f t="shared" si="198"/>
        <v>0</v>
      </c>
      <c r="BJ44" s="3">
        <f t="shared" si="198"/>
        <v>0</v>
      </c>
      <c r="BK44" s="3">
        <f t="shared" si="198"/>
        <v>0</v>
      </c>
      <c r="BL44" s="3">
        <f t="shared" si="198"/>
        <v>0</v>
      </c>
      <c r="BM44" s="3">
        <f t="shared" si="198"/>
        <v>0</v>
      </c>
      <c r="BN44" s="3">
        <f t="shared" si="198"/>
        <v>0</v>
      </c>
      <c r="BO44" s="3">
        <f t="shared" si="198"/>
        <v>0</v>
      </c>
      <c r="BP44" s="3">
        <f t="shared" si="198"/>
        <v>0</v>
      </c>
      <c r="BQ44" s="3">
        <f t="shared" si="198"/>
        <v>0</v>
      </c>
      <c r="BR44" s="3">
        <f t="shared" si="198"/>
        <v>0</v>
      </c>
      <c r="BS44" s="3">
        <f t="shared" si="198"/>
        <v>0</v>
      </c>
      <c r="BT44" s="2"/>
    </row>
    <row r="45" spans="1:72" ht="15.75" customHeight="1">
      <c r="A45" s="54" t="str">
        <f>IF('Capital purchases'!C49="","",'Capital purchases'!C49)</f>
        <v/>
      </c>
      <c r="B45" s="2"/>
      <c r="C45" s="2" t="str">
        <f>IF($A45="","",'Capital purchases'!B49)</f>
        <v/>
      </c>
      <c r="D45" s="3" t="str">
        <f>IF($A45="","",'Capital purchases'!J49)</f>
        <v/>
      </c>
      <c r="E45" s="162" t="str">
        <f>IF($A45="","",'Capital purchases'!I49)</f>
        <v/>
      </c>
      <c r="H45" s="3">
        <f t="shared" ref="H45:S45" si="199">IF(AND(H$5&gt;=$C45,H$5&lt;=$D45),$E45,0)</f>
        <v>0</v>
      </c>
      <c r="I45" s="3">
        <f t="shared" si="199"/>
        <v>0</v>
      </c>
      <c r="J45" s="3">
        <f t="shared" si="199"/>
        <v>0</v>
      </c>
      <c r="K45" s="3">
        <f t="shared" si="199"/>
        <v>0</v>
      </c>
      <c r="L45" s="3">
        <f t="shared" si="199"/>
        <v>0</v>
      </c>
      <c r="M45" s="3">
        <f t="shared" si="199"/>
        <v>0</v>
      </c>
      <c r="N45" s="3">
        <f t="shared" si="199"/>
        <v>0</v>
      </c>
      <c r="O45" s="3">
        <f t="shared" si="199"/>
        <v>0</v>
      </c>
      <c r="P45" s="3">
        <f t="shared" si="199"/>
        <v>0</v>
      </c>
      <c r="Q45" s="3">
        <f t="shared" si="199"/>
        <v>0</v>
      </c>
      <c r="R45" s="3">
        <f t="shared" si="199"/>
        <v>0</v>
      </c>
      <c r="S45" s="3">
        <f t="shared" si="199"/>
        <v>0</v>
      </c>
      <c r="U45" s="3">
        <f t="shared" ref="U45:AF45" si="200">IF(AND(U$5&gt;=$C45,U$5&lt;=$D45),$E45,0)</f>
        <v>0</v>
      </c>
      <c r="V45" s="3">
        <f t="shared" si="200"/>
        <v>0</v>
      </c>
      <c r="W45" s="3">
        <f t="shared" si="200"/>
        <v>0</v>
      </c>
      <c r="X45" s="3">
        <f t="shared" si="200"/>
        <v>0</v>
      </c>
      <c r="Y45" s="3">
        <f t="shared" si="200"/>
        <v>0</v>
      </c>
      <c r="Z45" s="3">
        <f t="shared" si="200"/>
        <v>0</v>
      </c>
      <c r="AA45" s="3">
        <f t="shared" si="200"/>
        <v>0</v>
      </c>
      <c r="AB45" s="3">
        <f t="shared" si="200"/>
        <v>0</v>
      </c>
      <c r="AC45" s="3">
        <f t="shared" si="200"/>
        <v>0</v>
      </c>
      <c r="AD45" s="3">
        <f t="shared" si="200"/>
        <v>0</v>
      </c>
      <c r="AE45" s="3">
        <f t="shared" si="200"/>
        <v>0</v>
      </c>
      <c r="AF45" s="3">
        <f t="shared" si="200"/>
        <v>0</v>
      </c>
      <c r="AH45" s="3">
        <f t="shared" ref="AH45:AS45" si="201">IF(AND(AH$5&gt;=$C45,AH$5&lt;=$D45),$E45,0)</f>
        <v>0</v>
      </c>
      <c r="AI45" s="3">
        <f t="shared" si="201"/>
        <v>0</v>
      </c>
      <c r="AJ45" s="3">
        <f t="shared" si="201"/>
        <v>0</v>
      </c>
      <c r="AK45" s="3">
        <f t="shared" si="201"/>
        <v>0</v>
      </c>
      <c r="AL45" s="3">
        <f t="shared" si="201"/>
        <v>0</v>
      </c>
      <c r="AM45" s="3">
        <f t="shared" si="201"/>
        <v>0</v>
      </c>
      <c r="AN45" s="3">
        <f t="shared" si="201"/>
        <v>0</v>
      </c>
      <c r="AO45" s="3">
        <f t="shared" si="201"/>
        <v>0</v>
      </c>
      <c r="AP45" s="3">
        <f t="shared" si="201"/>
        <v>0</v>
      </c>
      <c r="AQ45" s="3">
        <f t="shared" si="201"/>
        <v>0</v>
      </c>
      <c r="AR45" s="3">
        <f t="shared" si="201"/>
        <v>0</v>
      </c>
      <c r="AS45" s="3">
        <f t="shared" si="201"/>
        <v>0</v>
      </c>
      <c r="AU45" s="3">
        <f t="shared" ref="AU45:BF45" si="202">IF(AND(AU$5&gt;=$C45,AU$5&lt;=$D45),$E45,0)</f>
        <v>0</v>
      </c>
      <c r="AV45" s="3">
        <f t="shared" si="202"/>
        <v>0</v>
      </c>
      <c r="AW45" s="3">
        <f t="shared" si="202"/>
        <v>0</v>
      </c>
      <c r="AX45" s="3">
        <f t="shared" si="202"/>
        <v>0</v>
      </c>
      <c r="AY45" s="3">
        <f t="shared" si="202"/>
        <v>0</v>
      </c>
      <c r="AZ45" s="3">
        <f t="shared" si="202"/>
        <v>0</v>
      </c>
      <c r="BA45" s="3">
        <f t="shared" si="202"/>
        <v>0</v>
      </c>
      <c r="BB45" s="3">
        <f t="shared" si="202"/>
        <v>0</v>
      </c>
      <c r="BC45" s="3">
        <f t="shared" si="202"/>
        <v>0</v>
      </c>
      <c r="BD45" s="3">
        <f t="shared" si="202"/>
        <v>0</v>
      </c>
      <c r="BE45" s="3">
        <f t="shared" si="202"/>
        <v>0</v>
      </c>
      <c r="BF45" s="3">
        <f t="shared" si="202"/>
        <v>0</v>
      </c>
      <c r="BG45" s="2"/>
      <c r="BH45" s="3">
        <f t="shared" ref="BH45:BS45" si="203">IF(AND(BH$5&gt;=$C45,BH$5&lt;=$D45),$E45,0)</f>
        <v>0</v>
      </c>
      <c r="BI45" s="3">
        <f t="shared" si="203"/>
        <v>0</v>
      </c>
      <c r="BJ45" s="3">
        <f t="shared" si="203"/>
        <v>0</v>
      </c>
      <c r="BK45" s="3">
        <f t="shared" si="203"/>
        <v>0</v>
      </c>
      <c r="BL45" s="3">
        <f t="shared" si="203"/>
        <v>0</v>
      </c>
      <c r="BM45" s="3">
        <f t="shared" si="203"/>
        <v>0</v>
      </c>
      <c r="BN45" s="3">
        <f t="shared" si="203"/>
        <v>0</v>
      </c>
      <c r="BO45" s="3">
        <f t="shared" si="203"/>
        <v>0</v>
      </c>
      <c r="BP45" s="3">
        <f t="shared" si="203"/>
        <v>0</v>
      </c>
      <c r="BQ45" s="3">
        <f t="shared" si="203"/>
        <v>0</v>
      </c>
      <c r="BR45" s="3">
        <f t="shared" si="203"/>
        <v>0</v>
      </c>
      <c r="BS45" s="3">
        <f t="shared" si="203"/>
        <v>0</v>
      </c>
      <c r="BT45" s="2"/>
    </row>
    <row r="46" spans="1:72" ht="15.75" customHeight="1">
      <c r="A46" s="54" t="str">
        <f>IF('Capital purchases'!C50="","",'Capital purchases'!C50)</f>
        <v/>
      </c>
      <c r="B46" s="2"/>
      <c r="C46" s="2" t="str">
        <f>IF($A46="","",'Capital purchases'!B50)</f>
        <v/>
      </c>
      <c r="D46" s="3" t="str">
        <f>IF($A46="","",'Capital purchases'!J50)</f>
        <v/>
      </c>
      <c r="E46" s="162" t="str">
        <f>IF($A46="","",'Capital purchases'!I50)</f>
        <v/>
      </c>
      <c r="H46" s="3">
        <f t="shared" ref="H46:S46" si="204">IF(AND(H$5&gt;=$C46,H$5&lt;=$D46),$E46,0)</f>
        <v>0</v>
      </c>
      <c r="I46" s="3">
        <f t="shared" si="204"/>
        <v>0</v>
      </c>
      <c r="J46" s="3">
        <f t="shared" si="204"/>
        <v>0</v>
      </c>
      <c r="K46" s="3">
        <f t="shared" si="204"/>
        <v>0</v>
      </c>
      <c r="L46" s="3">
        <f t="shared" si="204"/>
        <v>0</v>
      </c>
      <c r="M46" s="3">
        <f t="shared" si="204"/>
        <v>0</v>
      </c>
      <c r="N46" s="3">
        <f t="shared" si="204"/>
        <v>0</v>
      </c>
      <c r="O46" s="3">
        <f t="shared" si="204"/>
        <v>0</v>
      </c>
      <c r="P46" s="3">
        <f t="shared" si="204"/>
        <v>0</v>
      </c>
      <c r="Q46" s="3">
        <f t="shared" si="204"/>
        <v>0</v>
      </c>
      <c r="R46" s="3">
        <f t="shared" si="204"/>
        <v>0</v>
      </c>
      <c r="S46" s="3">
        <f t="shared" si="204"/>
        <v>0</v>
      </c>
      <c r="U46" s="3">
        <f t="shared" ref="U46:AF46" si="205">IF(AND(U$5&gt;=$C46,U$5&lt;=$D46),$E46,0)</f>
        <v>0</v>
      </c>
      <c r="V46" s="3">
        <f t="shared" si="205"/>
        <v>0</v>
      </c>
      <c r="W46" s="3">
        <f t="shared" si="205"/>
        <v>0</v>
      </c>
      <c r="X46" s="3">
        <f t="shared" si="205"/>
        <v>0</v>
      </c>
      <c r="Y46" s="3">
        <f t="shared" si="205"/>
        <v>0</v>
      </c>
      <c r="Z46" s="3">
        <f t="shared" si="205"/>
        <v>0</v>
      </c>
      <c r="AA46" s="3">
        <f t="shared" si="205"/>
        <v>0</v>
      </c>
      <c r="AB46" s="3">
        <f t="shared" si="205"/>
        <v>0</v>
      </c>
      <c r="AC46" s="3">
        <f t="shared" si="205"/>
        <v>0</v>
      </c>
      <c r="AD46" s="3">
        <f t="shared" si="205"/>
        <v>0</v>
      </c>
      <c r="AE46" s="3">
        <f t="shared" si="205"/>
        <v>0</v>
      </c>
      <c r="AF46" s="3">
        <f t="shared" si="205"/>
        <v>0</v>
      </c>
      <c r="AH46" s="3">
        <f t="shared" ref="AH46:AS46" si="206">IF(AND(AH$5&gt;=$C46,AH$5&lt;=$D46),$E46,0)</f>
        <v>0</v>
      </c>
      <c r="AI46" s="3">
        <f t="shared" si="206"/>
        <v>0</v>
      </c>
      <c r="AJ46" s="3">
        <f t="shared" si="206"/>
        <v>0</v>
      </c>
      <c r="AK46" s="3">
        <f t="shared" si="206"/>
        <v>0</v>
      </c>
      <c r="AL46" s="3">
        <f t="shared" si="206"/>
        <v>0</v>
      </c>
      <c r="AM46" s="3">
        <f t="shared" si="206"/>
        <v>0</v>
      </c>
      <c r="AN46" s="3">
        <f t="shared" si="206"/>
        <v>0</v>
      </c>
      <c r="AO46" s="3">
        <f t="shared" si="206"/>
        <v>0</v>
      </c>
      <c r="AP46" s="3">
        <f t="shared" si="206"/>
        <v>0</v>
      </c>
      <c r="AQ46" s="3">
        <f t="shared" si="206"/>
        <v>0</v>
      </c>
      <c r="AR46" s="3">
        <f t="shared" si="206"/>
        <v>0</v>
      </c>
      <c r="AS46" s="3">
        <f t="shared" si="206"/>
        <v>0</v>
      </c>
      <c r="AU46" s="3">
        <f t="shared" ref="AU46:BF46" si="207">IF(AND(AU$5&gt;=$C46,AU$5&lt;=$D46),$E46,0)</f>
        <v>0</v>
      </c>
      <c r="AV46" s="3">
        <f t="shared" si="207"/>
        <v>0</v>
      </c>
      <c r="AW46" s="3">
        <f t="shared" si="207"/>
        <v>0</v>
      </c>
      <c r="AX46" s="3">
        <f t="shared" si="207"/>
        <v>0</v>
      </c>
      <c r="AY46" s="3">
        <f t="shared" si="207"/>
        <v>0</v>
      </c>
      <c r="AZ46" s="3">
        <f t="shared" si="207"/>
        <v>0</v>
      </c>
      <c r="BA46" s="3">
        <f t="shared" si="207"/>
        <v>0</v>
      </c>
      <c r="BB46" s="3">
        <f t="shared" si="207"/>
        <v>0</v>
      </c>
      <c r="BC46" s="3">
        <f t="shared" si="207"/>
        <v>0</v>
      </c>
      <c r="BD46" s="3">
        <f t="shared" si="207"/>
        <v>0</v>
      </c>
      <c r="BE46" s="3">
        <f t="shared" si="207"/>
        <v>0</v>
      </c>
      <c r="BF46" s="3">
        <f t="shared" si="207"/>
        <v>0</v>
      </c>
      <c r="BG46" s="2"/>
      <c r="BH46" s="3">
        <f t="shared" ref="BH46:BS46" si="208">IF(AND(BH$5&gt;=$C46,BH$5&lt;=$D46),$E46,0)</f>
        <v>0</v>
      </c>
      <c r="BI46" s="3">
        <f t="shared" si="208"/>
        <v>0</v>
      </c>
      <c r="BJ46" s="3">
        <f t="shared" si="208"/>
        <v>0</v>
      </c>
      <c r="BK46" s="3">
        <f t="shared" si="208"/>
        <v>0</v>
      </c>
      <c r="BL46" s="3">
        <f t="shared" si="208"/>
        <v>0</v>
      </c>
      <c r="BM46" s="3">
        <f t="shared" si="208"/>
        <v>0</v>
      </c>
      <c r="BN46" s="3">
        <f t="shared" si="208"/>
        <v>0</v>
      </c>
      <c r="BO46" s="3">
        <f t="shared" si="208"/>
        <v>0</v>
      </c>
      <c r="BP46" s="3">
        <f t="shared" si="208"/>
        <v>0</v>
      </c>
      <c r="BQ46" s="3">
        <f t="shared" si="208"/>
        <v>0</v>
      </c>
      <c r="BR46" s="3">
        <f t="shared" si="208"/>
        <v>0</v>
      </c>
      <c r="BS46" s="3">
        <f t="shared" si="208"/>
        <v>0</v>
      </c>
      <c r="BT46" s="2"/>
    </row>
    <row r="47" spans="1:72" ht="15.75" customHeight="1">
      <c r="A47" s="54" t="str">
        <f>IF('Capital purchases'!C51="","",'Capital purchases'!C51)</f>
        <v/>
      </c>
      <c r="B47" s="2"/>
      <c r="C47" s="2" t="str">
        <f>IF($A47="","",'Capital purchases'!B51)</f>
        <v/>
      </c>
      <c r="D47" s="3" t="str">
        <f>IF($A47="","",'Capital purchases'!J51)</f>
        <v/>
      </c>
      <c r="E47" s="162" t="str">
        <f>IF($A47="","",'Capital purchases'!I51)</f>
        <v/>
      </c>
      <c r="H47" s="3">
        <f t="shared" ref="H47:S47" si="209">IF(AND(H$5&gt;=$C47,H$5&lt;=$D47),$E47,0)</f>
        <v>0</v>
      </c>
      <c r="I47" s="3">
        <f t="shared" si="209"/>
        <v>0</v>
      </c>
      <c r="J47" s="3">
        <f t="shared" si="209"/>
        <v>0</v>
      </c>
      <c r="K47" s="3">
        <f t="shared" si="209"/>
        <v>0</v>
      </c>
      <c r="L47" s="3">
        <f t="shared" si="209"/>
        <v>0</v>
      </c>
      <c r="M47" s="3">
        <f t="shared" si="209"/>
        <v>0</v>
      </c>
      <c r="N47" s="3">
        <f t="shared" si="209"/>
        <v>0</v>
      </c>
      <c r="O47" s="3">
        <f t="shared" si="209"/>
        <v>0</v>
      </c>
      <c r="P47" s="3">
        <f t="shared" si="209"/>
        <v>0</v>
      </c>
      <c r="Q47" s="3">
        <f t="shared" si="209"/>
        <v>0</v>
      </c>
      <c r="R47" s="3">
        <f t="shared" si="209"/>
        <v>0</v>
      </c>
      <c r="S47" s="3">
        <f t="shared" si="209"/>
        <v>0</v>
      </c>
      <c r="U47" s="3">
        <f t="shared" ref="U47:AF47" si="210">IF(AND(U$5&gt;=$C47,U$5&lt;=$D47),$E47,0)</f>
        <v>0</v>
      </c>
      <c r="V47" s="3">
        <f t="shared" si="210"/>
        <v>0</v>
      </c>
      <c r="W47" s="3">
        <f t="shared" si="210"/>
        <v>0</v>
      </c>
      <c r="X47" s="3">
        <f t="shared" si="210"/>
        <v>0</v>
      </c>
      <c r="Y47" s="3">
        <f t="shared" si="210"/>
        <v>0</v>
      </c>
      <c r="Z47" s="3">
        <f t="shared" si="210"/>
        <v>0</v>
      </c>
      <c r="AA47" s="3">
        <f t="shared" si="210"/>
        <v>0</v>
      </c>
      <c r="AB47" s="3">
        <f t="shared" si="210"/>
        <v>0</v>
      </c>
      <c r="AC47" s="3">
        <f t="shared" si="210"/>
        <v>0</v>
      </c>
      <c r="AD47" s="3">
        <f t="shared" si="210"/>
        <v>0</v>
      </c>
      <c r="AE47" s="3">
        <f t="shared" si="210"/>
        <v>0</v>
      </c>
      <c r="AF47" s="3">
        <f t="shared" si="210"/>
        <v>0</v>
      </c>
      <c r="AH47" s="3">
        <f t="shared" ref="AH47:AS47" si="211">IF(AND(AH$5&gt;=$C47,AH$5&lt;=$D47),$E47,0)</f>
        <v>0</v>
      </c>
      <c r="AI47" s="3">
        <f t="shared" si="211"/>
        <v>0</v>
      </c>
      <c r="AJ47" s="3">
        <f t="shared" si="211"/>
        <v>0</v>
      </c>
      <c r="AK47" s="3">
        <f t="shared" si="211"/>
        <v>0</v>
      </c>
      <c r="AL47" s="3">
        <f t="shared" si="211"/>
        <v>0</v>
      </c>
      <c r="AM47" s="3">
        <f t="shared" si="211"/>
        <v>0</v>
      </c>
      <c r="AN47" s="3">
        <f t="shared" si="211"/>
        <v>0</v>
      </c>
      <c r="AO47" s="3">
        <f t="shared" si="211"/>
        <v>0</v>
      </c>
      <c r="AP47" s="3">
        <f t="shared" si="211"/>
        <v>0</v>
      </c>
      <c r="AQ47" s="3">
        <f t="shared" si="211"/>
        <v>0</v>
      </c>
      <c r="AR47" s="3">
        <f t="shared" si="211"/>
        <v>0</v>
      </c>
      <c r="AS47" s="3">
        <f t="shared" si="211"/>
        <v>0</v>
      </c>
      <c r="AU47" s="3">
        <f t="shared" ref="AU47:BF47" si="212">IF(AND(AU$5&gt;=$C47,AU$5&lt;=$D47),$E47,0)</f>
        <v>0</v>
      </c>
      <c r="AV47" s="3">
        <f t="shared" si="212"/>
        <v>0</v>
      </c>
      <c r="AW47" s="3">
        <f t="shared" si="212"/>
        <v>0</v>
      </c>
      <c r="AX47" s="3">
        <f t="shared" si="212"/>
        <v>0</v>
      </c>
      <c r="AY47" s="3">
        <f t="shared" si="212"/>
        <v>0</v>
      </c>
      <c r="AZ47" s="3">
        <f t="shared" si="212"/>
        <v>0</v>
      </c>
      <c r="BA47" s="3">
        <f t="shared" si="212"/>
        <v>0</v>
      </c>
      <c r="BB47" s="3">
        <f t="shared" si="212"/>
        <v>0</v>
      </c>
      <c r="BC47" s="3">
        <f t="shared" si="212"/>
        <v>0</v>
      </c>
      <c r="BD47" s="3">
        <f t="shared" si="212"/>
        <v>0</v>
      </c>
      <c r="BE47" s="3">
        <f t="shared" si="212"/>
        <v>0</v>
      </c>
      <c r="BF47" s="3">
        <f t="shared" si="212"/>
        <v>0</v>
      </c>
      <c r="BG47" s="2"/>
      <c r="BH47" s="3">
        <f t="shared" ref="BH47:BS47" si="213">IF(AND(BH$5&gt;=$C47,BH$5&lt;=$D47),$E47,0)</f>
        <v>0</v>
      </c>
      <c r="BI47" s="3">
        <f t="shared" si="213"/>
        <v>0</v>
      </c>
      <c r="BJ47" s="3">
        <f t="shared" si="213"/>
        <v>0</v>
      </c>
      <c r="BK47" s="3">
        <f t="shared" si="213"/>
        <v>0</v>
      </c>
      <c r="BL47" s="3">
        <f t="shared" si="213"/>
        <v>0</v>
      </c>
      <c r="BM47" s="3">
        <f t="shared" si="213"/>
        <v>0</v>
      </c>
      <c r="BN47" s="3">
        <f t="shared" si="213"/>
        <v>0</v>
      </c>
      <c r="BO47" s="3">
        <f t="shared" si="213"/>
        <v>0</v>
      </c>
      <c r="BP47" s="3">
        <f t="shared" si="213"/>
        <v>0</v>
      </c>
      <c r="BQ47" s="3">
        <f t="shared" si="213"/>
        <v>0</v>
      </c>
      <c r="BR47" s="3">
        <f t="shared" si="213"/>
        <v>0</v>
      </c>
      <c r="BS47" s="3">
        <f t="shared" si="213"/>
        <v>0</v>
      </c>
      <c r="BT47" s="2"/>
    </row>
    <row r="48" spans="1:72" ht="15.75" customHeight="1">
      <c r="A48" s="54" t="str">
        <f>IF('Capital purchases'!C52="","",'Capital purchases'!C52)</f>
        <v/>
      </c>
      <c r="B48" s="2"/>
      <c r="C48" s="2" t="str">
        <f>IF($A48="","",'Capital purchases'!B52)</f>
        <v/>
      </c>
      <c r="D48" s="3" t="str">
        <f>IF($A48="","",'Capital purchases'!J52)</f>
        <v/>
      </c>
      <c r="E48" s="162" t="str">
        <f>IF($A48="","",'Capital purchases'!I52)</f>
        <v/>
      </c>
      <c r="H48" s="3">
        <f t="shared" ref="H48:S48" si="214">IF(AND(H$5&gt;=$C48,H$5&lt;=$D48),$E48,0)</f>
        <v>0</v>
      </c>
      <c r="I48" s="3">
        <f t="shared" si="214"/>
        <v>0</v>
      </c>
      <c r="J48" s="3">
        <f t="shared" si="214"/>
        <v>0</v>
      </c>
      <c r="K48" s="3">
        <f t="shared" si="214"/>
        <v>0</v>
      </c>
      <c r="L48" s="3">
        <f t="shared" si="214"/>
        <v>0</v>
      </c>
      <c r="M48" s="3">
        <f t="shared" si="214"/>
        <v>0</v>
      </c>
      <c r="N48" s="3">
        <f t="shared" si="214"/>
        <v>0</v>
      </c>
      <c r="O48" s="3">
        <f t="shared" si="214"/>
        <v>0</v>
      </c>
      <c r="P48" s="3">
        <f t="shared" si="214"/>
        <v>0</v>
      </c>
      <c r="Q48" s="3">
        <f t="shared" si="214"/>
        <v>0</v>
      </c>
      <c r="R48" s="3">
        <f t="shared" si="214"/>
        <v>0</v>
      </c>
      <c r="S48" s="3">
        <f t="shared" si="214"/>
        <v>0</v>
      </c>
      <c r="U48" s="3">
        <f t="shared" ref="U48:AF48" si="215">IF(AND(U$5&gt;=$C48,U$5&lt;=$D48),$E48,0)</f>
        <v>0</v>
      </c>
      <c r="V48" s="3">
        <f t="shared" si="215"/>
        <v>0</v>
      </c>
      <c r="W48" s="3">
        <f t="shared" si="215"/>
        <v>0</v>
      </c>
      <c r="X48" s="3">
        <f t="shared" si="215"/>
        <v>0</v>
      </c>
      <c r="Y48" s="3">
        <f t="shared" si="215"/>
        <v>0</v>
      </c>
      <c r="Z48" s="3">
        <f t="shared" si="215"/>
        <v>0</v>
      </c>
      <c r="AA48" s="3">
        <f t="shared" si="215"/>
        <v>0</v>
      </c>
      <c r="AB48" s="3">
        <f t="shared" si="215"/>
        <v>0</v>
      </c>
      <c r="AC48" s="3">
        <f t="shared" si="215"/>
        <v>0</v>
      </c>
      <c r="AD48" s="3">
        <f t="shared" si="215"/>
        <v>0</v>
      </c>
      <c r="AE48" s="3">
        <f t="shared" si="215"/>
        <v>0</v>
      </c>
      <c r="AF48" s="3">
        <f t="shared" si="215"/>
        <v>0</v>
      </c>
      <c r="AH48" s="3">
        <f t="shared" ref="AH48:AS48" si="216">IF(AND(AH$5&gt;=$C48,AH$5&lt;=$D48),$E48,0)</f>
        <v>0</v>
      </c>
      <c r="AI48" s="3">
        <f t="shared" si="216"/>
        <v>0</v>
      </c>
      <c r="AJ48" s="3">
        <f t="shared" si="216"/>
        <v>0</v>
      </c>
      <c r="AK48" s="3">
        <f t="shared" si="216"/>
        <v>0</v>
      </c>
      <c r="AL48" s="3">
        <f t="shared" si="216"/>
        <v>0</v>
      </c>
      <c r="AM48" s="3">
        <f t="shared" si="216"/>
        <v>0</v>
      </c>
      <c r="AN48" s="3">
        <f t="shared" si="216"/>
        <v>0</v>
      </c>
      <c r="AO48" s="3">
        <f t="shared" si="216"/>
        <v>0</v>
      </c>
      <c r="AP48" s="3">
        <f t="shared" si="216"/>
        <v>0</v>
      </c>
      <c r="AQ48" s="3">
        <f t="shared" si="216"/>
        <v>0</v>
      </c>
      <c r="AR48" s="3">
        <f t="shared" si="216"/>
        <v>0</v>
      </c>
      <c r="AS48" s="3">
        <f t="shared" si="216"/>
        <v>0</v>
      </c>
      <c r="AU48" s="3">
        <f t="shared" ref="AU48:BF48" si="217">IF(AND(AU$5&gt;=$C48,AU$5&lt;=$D48),$E48,0)</f>
        <v>0</v>
      </c>
      <c r="AV48" s="3">
        <f t="shared" si="217"/>
        <v>0</v>
      </c>
      <c r="AW48" s="3">
        <f t="shared" si="217"/>
        <v>0</v>
      </c>
      <c r="AX48" s="3">
        <f t="shared" si="217"/>
        <v>0</v>
      </c>
      <c r="AY48" s="3">
        <f t="shared" si="217"/>
        <v>0</v>
      </c>
      <c r="AZ48" s="3">
        <f t="shared" si="217"/>
        <v>0</v>
      </c>
      <c r="BA48" s="3">
        <f t="shared" si="217"/>
        <v>0</v>
      </c>
      <c r="BB48" s="3">
        <f t="shared" si="217"/>
        <v>0</v>
      </c>
      <c r="BC48" s="3">
        <f t="shared" si="217"/>
        <v>0</v>
      </c>
      <c r="BD48" s="3">
        <f t="shared" si="217"/>
        <v>0</v>
      </c>
      <c r="BE48" s="3">
        <f t="shared" si="217"/>
        <v>0</v>
      </c>
      <c r="BF48" s="3">
        <f t="shared" si="217"/>
        <v>0</v>
      </c>
      <c r="BG48" s="2"/>
      <c r="BH48" s="3">
        <f t="shared" ref="BH48:BS48" si="218">IF(AND(BH$5&gt;=$C48,BH$5&lt;=$D48),$E48,0)</f>
        <v>0</v>
      </c>
      <c r="BI48" s="3">
        <f t="shared" si="218"/>
        <v>0</v>
      </c>
      <c r="BJ48" s="3">
        <f t="shared" si="218"/>
        <v>0</v>
      </c>
      <c r="BK48" s="3">
        <f t="shared" si="218"/>
        <v>0</v>
      </c>
      <c r="BL48" s="3">
        <f t="shared" si="218"/>
        <v>0</v>
      </c>
      <c r="BM48" s="3">
        <f t="shared" si="218"/>
        <v>0</v>
      </c>
      <c r="BN48" s="3">
        <f t="shared" si="218"/>
        <v>0</v>
      </c>
      <c r="BO48" s="3">
        <f t="shared" si="218"/>
        <v>0</v>
      </c>
      <c r="BP48" s="3">
        <f t="shared" si="218"/>
        <v>0</v>
      </c>
      <c r="BQ48" s="3">
        <f t="shared" si="218"/>
        <v>0</v>
      </c>
      <c r="BR48" s="3">
        <f t="shared" si="218"/>
        <v>0</v>
      </c>
      <c r="BS48" s="3">
        <f t="shared" si="218"/>
        <v>0</v>
      </c>
      <c r="BT48" s="2"/>
    </row>
    <row r="49" spans="1:72" ht="15.75" customHeight="1">
      <c r="A49" s="54" t="str">
        <f>IF('Capital purchases'!C53="","",'Capital purchases'!C53)</f>
        <v/>
      </c>
      <c r="B49" s="2"/>
      <c r="C49" s="2" t="str">
        <f>IF($A49="","",'Capital purchases'!B53)</f>
        <v/>
      </c>
      <c r="D49" s="3" t="str">
        <f>IF($A49="","",'Capital purchases'!J53)</f>
        <v/>
      </c>
      <c r="E49" s="162" t="str">
        <f>IF($A49="","",'Capital purchases'!I53)</f>
        <v/>
      </c>
      <c r="H49" s="3">
        <f t="shared" ref="H49:S49" si="219">IF(AND(H$5&gt;=$C49,H$5&lt;=$D49),$E49,0)</f>
        <v>0</v>
      </c>
      <c r="I49" s="3">
        <f t="shared" si="219"/>
        <v>0</v>
      </c>
      <c r="J49" s="3">
        <f t="shared" si="219"/>
        <v>0</v>
      </c>
      <c r="K49" s="3">
        <f t="shared" si="219"/>
        <v>0</v>
      </c>
      <c r="L49" s="3">
        <f t="shared" si="219"/>
        <v>0</v>
      </c>
      <c r="M49" s="3">
        <f t="shared" si="219"/>
        <v>0</v>
      </c>
      <c r="N49" s="3">
        <f t="shared" si="219"/>
        <v>0</v>
      </c>
      <c r="O49" s="3">
        <f t="shared" si="219"/>
        <v>0</v>
      </c>
      <c r="P49" s="3">
        <f t="shared" si="219"/>
        <v>0</v>
      </c>
      <c r="Q49" s="3">
        <f t="shared" si="219"/>
        <v>0</v>
      </c>
      <c r="R49" s="3">
        <f t="shared" si="219"/>
        <v>0</v>
      </c>
      <c r="S49" s="3">
        <f t="shared" si="219"/>
        <v>0</v>
      </c>
      <c r="U49" s="3">
        <f t="shared" ref="U49:AF49" si="220">IF(AND(U$5&gt;=$C49,U$5&lt;=$D49),$E49,0)</f>
        <v>0</v>
      </c>
      <c r="V49" s="3">
        <f t="shared" si="220"/>
        <v>0</v>
      </c>
      <c r="W49" s="3">
        <f t="shared" si="220"/>
        <v>0</v>
      </c>
      <c r="X49" s="3">
        <f t="shared" si="220"/>
        <v>0</v>
      </c>
      <c r="Y49" s="3">
        <f t="shared" si="220"/>
        <v>0</v>
      </c>
      <c r="Z49" s="3">
        <f t="shared" si="220"/>
        <v>0</v>
      </c>
      <c r="AA49" s="3">
        <f t="shared" si="220"/>
        <v>0</v>
      </c>
      <c r="AB49" s="3">
        <f t="shared" si="220"/>
        <v>0</v>
      </c>
      <c r="AC49" s="3">
        <f t="shared" si="220"/>
        <v>0</v>
      </c>
      <c r="AD49" s="3">
        <f t="shared" si="220"/>
        <v>0</v>
      </c>
      <c r="AE49" s="3">
        <f t="shared" si="220"/>
        <v>0</v>
      </c>
      <c r="AF49" s="3">
        <f t="shared" si="220"/>
        <v>0</v>
      </c>
      <c r="AH49" s="3">
        <f t="shared" ref="AH49:AS49" si="221">IF(AND(AH$5&gt;=$C49,AH$5&lt;=$D49),$E49,0)</f>
        <v>0</v>
      </c>
      <c r="AI49" s="3">
        <f t="shared" si="221"/>
        <v>0</v>
      </c>
      <c r="AJ49" s="3">
        <f t="shared" si="221"/>
        <v>0</v>
      </c>
      <c r="AK49" s="3">
        <f t="shared" si="221"/>
        <v>0</v>
      </c>
      <c r="AL49" s="3">
        <f t="shared" si="221"/>
        <v>0</v>
      </c>
      <c r="AM49" s="3">
        <f t="shared" si="221"/>
        <v>0</v>
      </c>
      <c r="AN49" s="3">
        <f t="shared" si="221"/>
        <v>0</v>
      </c>
      <c r="AO49" s="3">
        <f t="shared" si="221"/>
        <v>0</v>
      </c>
      <c r="AP49" s="3">
        <f t="shared" si="221"/>
        <v>0</v>
      </c>
      <c r="AQ49" s="3">
        <f t="shared" si="221"/>
        <v>0</v>
      </c>
      <c r="AR49" s="3">
        <f t="shared" si="221"/>
        <v>0</v>
      </c>
      <c r="AS49" s="3">
        <f t="shared" si="221"/>
        <v>0</v>
      </c>
      <c r="AU49" s="3">
        <f t="shared" ref="AU49:BF49" si="222">IF(AND(AU$5&gt;=$C49,AU$5&lt;=$D49),$E49,0)</f>
        <v>0</v>
      </c>
      <c r="AV49" s="3">
        <f t="shared" si="222"/>
        <v>0</v>
      </c>
      <c r="AW49" s="3">
        <f t="shared" si="222"/>
        <v>0</v>
      </c>
      <c r="AX49" s="3">
        <f t="shared" si="222"/>
        <v>0</v>
      </c>
      <c r="AY49" s="3">
        <f t="shared" si="222"/>
        <v>0</v>
      </c>
      <c r="AZ49" s="3">
        <f t="shared" si="222"/>
        <v>0</v>
      </c>
      <c r="BA49" s="3">
        <f t="shared" si="222"/>
        <v>0</v>
      </c>
      <c r="BB49" s="3">
        <f t="shared" si="222"/>
        <v>0</v>
      </c>
      <c r="BC49" s="3">
        <f t="shared" si="222"/>
        <v>0</v>
      </c>
      <c r="BD49" s="3">
        <f t="shared" si="222"/>
        <v>0</v>
      </c>
      <c r="BE49" s="3">
        <f t="shared" si="222"/>
        <v>0</v>
      </c>
      <c r="BF49" s="3">
        <f t="shared" si="222"/>
        <v>0</v>
      </c>
      <c r="BG49" s="2"/>
      <c r="BH49" s="3">
        <f t="shared" ref="BH49:BS49" si="223">IF(AND(BH$5&gt;=$C49,BH$5&lt;=$D49),$E49,0)</f>
        <v>0</v>
      </c>
      <c r="BI49" s="3">
        <f t="shared" si="223"/>
        <v>0</v>
      </c>
      <c r="BJ49" s="3">
        <f t="shared" si="223"/>
        <v>0</v>
      </c>
      <c r="BK49" s="3">
        <f t="shared" si="223"/>
        <v>0</v>
      </c>
      <c r="BL49" s="3">
        <f t="shared" si="223"/>
        <v>0</v>
      </c>
      <c r="BM49" s="3">
        <f t="shared" si="223"/>
        <v>0</v>
      </c>
      <c r="BN49" s="3">
        <f t="shared" si="223"/>
        <v>0</v>
      </c>
      <c r="BO49" s="3">
        <f t="shared" si="223"/>
        <v>0</v>
      </c>
      <c r="BP49" s="3">
        <f t="shared" si="223"/>
        <v>0</v>
      </c>
      <c r="BQ49" s="3">
        <f t="shared" si="223"/>
        <v>0</v>
      </c>
      <c r="BR49" s="3">
        <f t="shared" si="223"/>
        <v>0</v>
      </c>
      <c r="BS49" s="3">
        <f t="shared" si="223"/>
        <v>0</v>
      </c>
      <c r="BT49" s="2"/>
    </row>
    <row r="50" spans="1:72" ht="15.75" customHeight="1">
      <c r="A50" s="54" t="str">
        <f>IF('Capital purchases'!C54="","",'Capital purchases'!C54)</f>
        <v/>
      </c>
      <c r="B50" s="2"/>
      <c r="C50" s="2" t="str">
        <f>IF($A50="","",'Capital purchases'!B54)</f>
        <v/>
      </c>
      <c r="D50" s="3" t="str">
        <f>IF($A50="","",'Capital purchases'!J54)</f>
        <v/>
      </c>
      <c r="E50" s="162" t="str">
        <f>IF($A50="","",'Capital purchases'!I54)</f>
        <v/>
      </c>
      <c r="H50" s="3">
        <f t="shared" ref="H50:S50" si="224">IF(AND(H$5&gt;=$C50,H$5&lt;=$D50),$E50,0)</f>
        <v>0</v>
      </c>
      <c r="I50" s="3">
        <f t="shared" si="224"/>
        <v>0</v>
      </c>
      <c r="J50" s="3">
        <f t="shared" si="224"/>
        <v>0</v>
      </c>
      <c r="K50" s="3">
        <f t="shared" si="224"/>
        <v>0</v>
      </c>
      <c r="L50" s="3">
        <f t="shared" si="224"/>
        <v>0</v>
      </c>
      <c r="M50" s="3">
        <f t="shared" si="224"/>
        <v>0</v>
      </c>
      <c r="N50" s="3">
        <f t="shared" si="224"/>
        <v>0</v>
      </c>
      <c r="O50" s="3">
        <f t="shared" si="224"/>
        <v>0</v>
      </c>
      <c r="P50" s="3">
        <f t="shared" si="224"/>
        <v>0</v>
      </c>
      <c r="Q50" s="3">
        <f t="shared" si="224"/>
        <v>0</v>
      </c>
      <c r="R50" s="3">
        <f t="shared" si="224"/>
        <v>0</v>
      </c>
      <c r="S50" s="3">
        <f t="shared" si="224"/>
        <v>0</v>
      </c>
      <c r="U50" s="3">
        <f t="shared" ref="U50:AF50" si="225">IF(AND(U$5&gt;=$C50,U$5&lt;=$D50),$E50,0)</f>
        <v>0</v>
      </c>
      <c r="V50" s="3">
        <f t="shared" si="225"/>
        <v>0</v>
      </c>
      <c r="W50" s="3">
        <f t="shared" si="225"/>
        <v>0</v>
      </c>
      <c r="X50" s="3">
        <f t="shared" si="225"/>
        <v>0</v>
      </c>
      <c r="Y50" s="3">
        <f t="shared" si="225"/>
        <v>0</v>
      </c>
      <c r="Z50" s="3">
        <f t="shared" si="225"/>
        <v>0</v>
      </c>
      <c r="AA50" s="3">
        <f t="shared" si="225"/>
        <v>0</v>
      </c>
      <c r="AB50" s="3">
        <f t="shared" si="225"/>
        <v>0</v>
      </c>
      <c r="AC50" s="3">
        <f t="shared" si="225"/>
        <v>0</v>
      </c>
      <c r="AD50" s="3">
        <f t="shared" si="225"/>
        <v>0</v>
      </c>
      <c r="AE50" s="3">
        <f t="shared" si="225"/>
        <v>0</v>
      </c>
      <c r="AF50" s="3">
        <f t="shared" si="225"/>
        <v>0</v>
      </c>
      <c r="AH50" s="3">
        <f t="shared" ref="AH50:AS50" si="226">IF(AND(AH$5&gt;=$C50,AH$5&lt;=$D50),$E50,0)</f>
        <v>0</v>
      </c>
      <c r="AI50" s="3">
        <f t="shared" si="226"/>
        <v>0</v>
      </c>
      <c r="AJ50" s="3">
        <f t="shared" si="226"/>
        <v>0</v>
      </c>
      <c r="AK50" s="3">
        <f t="shared" si="226"/>
        <v>0</v>
      </c>
      <c r="AL50" s="3">
        <f t="shared" si="226"/>
        <v>0</v>
      </c>
      <c r="AM50" s="3">
        <f t="shared" si="226"/>
        <v>0</v>
      </c>
      <c r="AN50" s="3">
        <f t="shared" si="226"/>
        <v>0</v>
      </c>
      <c r="AO50" s="3">
        <f t="shared" si="226"/>
        <v>0</v>
      </c>
      <c r="AP50" s="3">
        <f t="shared" si="226"/>
        <v>0</v>
      </c>
      <c r="AQ50" s="3">
        <f t="shared" si="226"/>
        <v>0</v>
      </c>
      <c r="AR50" s="3">
        <f t="shared" si="226"/>
        <v>0</v>
      </c>
      <c r="AS50" s="3">
        <f t="shared" si="226"/>
        <v>0</v>
      </c>
      <c r="AU50" s="3">
        <f t="shared" ref="AU50:BF50" si="227">IF(AND(AU$5&gt;=$C50,AU$5&lt;=$D50),$E50,0)</f>
        <v>0</v>
      </c>
      <c r="AV50" s="3">
        <f t="shared" si="227"/>
        <v>0</v>
      </c>
      <c r="AW50" s="3">
        <f t="shared" si="227"/>
        <v>0</v>
      </c>
      <c r="AX50" s="3">
        <f t="shared" si="227"/>
        <v>0</v>
      </c>
      <c r="AY50" s="3">
        <f t="shared" si="227"/>
        <v>0</v>
      </c>
      <c r="AZ50" s="3">
        <f t="shared" si="227"/>
        <v>0</v>
      </c>
      <c r="BA50" s="3">
        <f t="shared" si="227"/>
        <v>0</v>
      </c>
      <c r="BB50" s="3">
        <f t="shared" si="227"/>
        <v>0</v>
      </c>
      <c r="BC50" s="3">
        <f t="shared" si="227"/>
        <v>0</v>
      </c>
      <c r="BD50" s="3">
        <f t="shared" si="227"/>
        <v>0</v>
      </c>
      <c r="BE50" s="3">
        <f t="shared" si="227"/>
        <v>0</v>
      </c>
      <c r="BF50" s="3">
        <f t="shared" si="227"/>
        <v>0</v>
      </c>
      <c r="BG50" s="2"/>
      <c r="BH50" s="3">
        <f t="shared" ref="BH50:BS50" si="228">IF(AND(BH$5&gt;=$C50,BH$5&lt;=$D50),$E50,0)</f>
        <v>0</v>
      </c>
      <c r="BI50" s="3">
        <f t="shared" si="228"/>
        <v>0</v>
      </c>
      <c r="BJ50" s="3">
        <f t="shared" si="228"/>
        <v>0</v>
      </c>
      <c r="BK50" s="3">
        <f t="shared" si="228"/>
        <v>0</v>
      </c>
      <c r="BL50" s="3">
        <f t="shared" si="228"/>
        <v>0</v>
      </c>
      <c r="BM50" s="3">
        <f t="shared" si="228"/>
        <v>0</v>
      </c>
      <c r="BN50" s="3">
        <f t="shared" si="228"/>
        <v>0</v>
      </c>
      <c r="BO50" s="3">
        <f t="shared" si="228"/>
        <v>0</v>
      </c>
      <c r="BP50" s="3">
        <f t="shared" si="228"/>
        <v>0</v>
      </c>
      <c r="BQ50" s="3">
        <f t="shared" si="228"/>
        <v>0</v>
      </c>
      <c r="BR50" s="3">
        <f t="shared" si="228"/>
        <v>0</v>
      </c>
      <c r="BS50" s="3">
        <f t="shared" si="228"/>
        <v>0</v>
      </c>
      <c r="BT50" s="2"/>
    </row>
    <row r="51" spans="1:72" ht="15.75" customHeight="1">
      <c r="A51" s="54" t="str">
        <f>IF('Capital purchases'!C55="","",'Capital purchases'!C55)</f>
        <v/>
      </c>
      <c r="B51" s="2"/>
      <c r="C51" s="2" t="str">
        <f>IF($A51="","",'Capital purchases'!B55)</f>
        <v/>
      </c>
      <c r="D51" s="3" t="str">
        <f>IF($A51="","",'Capital purchases'!J55)</f>
        <v/>
      </c>
      <c r="E51" s="162" t="str">
        <f>IF($A51="","",'Capital purchases'!I55)</f>
        <v/>
      </c>
      <c r="H51" s="3">
        <f t="shared" ref="H51:S51" si="229">IF(AND(H$5&gt;=$C51,H$5&lt;=$D51),$E51,0)</f>
        <v>0</v>
      </c>
      <c r="I51" s="3">
        <f t="shared" si="229"/>
        <v>0</v>
      </c>
      <c r="J51" s="3">
        <f t="shared" si="229"/>
        <v>0</v>
      </c>
      <c r="K51" s="3">
        <f t="shared" si="229"/>
        <v>0</v>
      </c>
      <c r="L51" s="3">
        <f t="shared" si="229"/>
        <v>0</v>
      </c>
      <c r="M51" s="3">
        <f t="shared" si="229"/>
        <v>0</v>
      </c>
      <c r="N51" s="3">
        <f t="shared" si="229"/>
        <v>0</v>
      </c>
      <c r="O51" s="3">
        <f t="shared" si="229"/>
        <v>0</v>
      </c>
      <c r="P51" s="3">
        <f t="shared" si="229"/>
        <v>0</v>
      </c>
      <c r="Q51" s="3">
        <f t="shared" si="229"/>
        <v>0</v>
      </c>
      <c r="R51" s="3">
        <f t="shared" si="229"/>
        <v>0</v>
      </c>
      <c r="S51" s="3">
        <f t="shared" si="229"/>
        <v>0</v>
      </c>
      <c r="U51" s="3">
        <f t="shared" ref="U51:AF51" si="230">IF(AND(U$5&gt;=$C51,U$5&lt;=$D51),$E51,0)</f>
        <v>0</v>
      </c>
      <c r="V51" s="3">
        <f t="shared" si="230"/>
        <v>0</v>
      </c>
      <c r="W51" s="3">
        <f t="shared" si="230"/>
        <v>0</v>
      </c>
      <c r="X51" s="3">
        <f t="shared" si="230"/>
        <v>0</v>
      </c>
      <c r="Y51" s="3">
        <f t="shared" si="230"/>
        <v>0</v>
      </c>
      <c r="Z51" s="3">
        <f t="shared" si="230"/>
        <v>0</v>
      </c>
      <c r="AA51" s="3">
        <f t="shared" si="230"/>
        <v>0</v>
      </c>
      <c r="AB51" s="3">
        <f t="shared" si="230"/>
        <v>0</v>
      </c>
      <c r="AC51" s="3">
        <f t="shared" si="230"/>
        <v>0</v>
      </c>
      <c r="AD51" s="3">
        <f t="shared" si="230"/>
        <v>0</v>
      </c>
      <c r="AE51" s="3">
        <f t="shared" si="230"/>
        <v>0</v>
      </c>
      <c r="AF51" s="3">
        <f t="shared" si="230"/>
        <v>0</v>
      </c>
      <c r="AH51" s="3">
        <f t="shared" ref="AH51:AS51" si="231">IF(AND(AH$5&gt;=$C51,AH$5&lt;=$D51),$E51,0)</f>
        <v>0</v>
      </c>
      <c r="AI51" s="3">
        <f t="shared" si="231"/>
        <v>0</v>
      </c>
      <c r="AJ51" s="3">
        <f t="shared" si="231"/>
        <v>0</v>
      </c>
      <c r="AK51" s="3">
        <f t="shared" si="231"/>
        <v>0</v>
      </c>
      <c r="AL51" s="3">
        <f t="shared" si="231"/>
        <v>0</v>
      </c>
      <c r="AM51" s="3">
        <f t="shared" si="231"/>
        <v>0</v>
      </c>
      <c r="AN51" s="3">
        <f t="shared" si="231"/>
        <v>0</v>
      </c>
      <c r="AO51" s="3">
        <f t="shared" si="231"/>
        <v>0</v>
      </c>
      <c r="AP51" s="3">
        <f t="shared" si="231"/>
        <v>0</v>
      </c>
      <c r="AQ51" s="3">
        <f t="shared" si="231"/>
        <v>0</v>
      </c>
      <c r="AR51" s="3">
        <f t="shared" si="231"/>
        <v>0</v>
      </c>
      <c r="AS51" s="3">
        <f t="shared" si="231"/>
        <v>0</v>
      </c>
      <c r="AU51" s="3">
        <f t="shared" ref="AU51:BF51" si="232">IF(AND(AU$5&gt;=$C51,AU$5&lt;=$D51),$E51,0)</f>
        <v>0</v>
      </c>
      <c r="AV51" s="3">
        <f t="shared" si="232"/>
        <v>0</v>
      </c>
      <c r="AW51" s="3">
        <f t="shared" si="232"/>
        <v>0</v>
      </c>
      <c r="AX51" s="3">
        <f t="shared" si="232"/>
        <v>0</v>
      </c>
      <c r="AY51" s="3">
        <f t="shared" si="232"/>
        <v>0</v>
      </c>
      <c r="AZ51" s="3">
        <f t="shared" si="232"/>
        <v>0</v>
      </c>
      <c r="BA51" s="3">
        <f t="shared" si="232"/>
        <v>0</v>
      </c>
      <c r="BB51" s="3">
        <f t="shared" si="232"/>
        <v>0</v>
      </c>
      <c r="BC51" s="3">
        <f t="shared" si="232"/>
        <v>0</v>
      </c>
      <c r="BD51" s="3">
        <f t="shared" si="232"/>
        <v>0</v>
      </c>
      <c r="BE51" s="3">
        <f t="shared" si="232"/>
        <v>0</v>
      </c>
      <c r="BF51" s="3">
        <f t="shared" si="232"/>
        <v>0</v>
      </c>
      <c r="BG51" s="2"/>
      <c r="BH51" s="3">
        <f t="shared" ref="BH51:BS51" si="233">IF(AND(BH$5&gt;=$C51,BH$5&lt;=$D51),$E51,0)</f>
        <v>0</v>
      </c>
      <c r="BI51" s="3">
        <f t="shared" si="233"/>
        <v>0</v>
      </c>
      <c r="BJ51" s="3">
        <f t="shared" si="233"/>
        <v>0</v>
      </c>
      <c r="BK51" s="3">
        <f t="shared" si="233"/>
        <v>0</v>
      </c>
      <c r="BL51" s="3">
        <f t="shared" si="233"/>
        <v>0</v>
      </c>
      <c r="BM51" s="3">
        <f t="shared" si="233"/>
        <v>0</v>
      </c>
      <c r="BN51" s="3">
        <f t="shared" si="233"/>
        <v>0</v>
      </c>
      <c r="BO51" s="3">
        <f t="shared" si="233"/>
        <v>0</v>
      </c>
      <c r="BP51" s="3">
        <f t="shared" si="233"/>
        <v>0</v>
      </c>
      <c r="BQ51" s="3">
        <f t="shared" si="233"/>
        <v>0</v>
      </c>
      <c r="BR51" s="3">
        <f t="shared" si="233"/>
        <v>0</v>
      </c>
      <c r="BS51" s="3">
        <f t="shared" si="233"/>
        <v>0</v>
      </c>
      <c r="BT51" s="2"/>
    </row>
    <row r="52" spans="1:72" ht="15.75" customHeight="1">
      <c r="A52" s="54" t="str">
        <f>IF('Capital purchases'!C56="","",'Capital purchases'!C56)</f>
        <v/>
      </c>
      <c r="B52" s="2"/>
      <c r="C52" s="2" t="str">
        <f>IF($A52="","",'Capital purchases'!B56)</f>
        <v/>
      </c>
      <c r="D52" s="3" t="str">
        <f>IF($A52="","",'Capital purchases'!J56)</f>
        <v/>
      </c>
      <c r="E52" s="162" t="str">
        <f>IF($A52="","",'Capital purchases'!I56)</f>
        <v/>
      </c>
      <c r="H52" s="3">
        <f t="shared" ref="H52:S52" si="234">IF(AND(H$5&gt;=$C52,H$5&lt;=$D52),$E52,0)</f>
        <v>0</v>
      </c>
      <c r="I52" s="3">
        <f t="shared" si="234"/>
        <v>0</v>
      </c>
      <c r="J52" s="3">
        <f t="shared" si="234"/>
        <v>0</v>
      </c>
      <c r="K52" s="3">
        <f t="shared" si="234"/>
        <v>0</v>
      </c>
      <c r="L52" s="3">
        <f t="shared" si="234"/>
        <v>0</v>
      </c>
      <c r="M52" s="3">
        <f t="shared" si="234"/>
        <v>0</v>
      </c>
      <c r="N52" s="3">
        <f t="shared" si="234"/>
        <v>0</v>
      </c>
      <c r="O52" s="3">
        <f t="shared" si="234"/>
        <v>0</v>
      </c>
      <c r="P52" s="3">
        <f t="shared" si="234"/>
        <v>0</v>
      </c>
      <c r="Q52" s="3">
        <f t="shared" si="234"/>
        <v>0</v>
      </c>
      <c r="R52" s="3">
        <f t="shared" si="234"/>
        <v>0</v>
      </c>
      <c r="S52" s="3">
        <f t="shared" si="234"/>
        <v>0</v>
      </c>
      <c r="U52" s="3">
        <f t="shared" ref="U52:AF52" si="235">IF(AND(U$5&gt;=$C52,U$5&lt;=$D52),$E52,0)</f>
        <v>0</v>
      </c>
      <c r="V52" s="3">
        <f t="shared" si="235"/>
        <v>0</v>
      </c>
      <c r="W52" s="3">
        <f t="shared" si="235"/>
        <v>0</v>
      </c>
      <c r="X52" s="3">
        <f t="shared" si="235"/>
        <v>0</v>
      </c>
      <c r="Y52" s="3">
        <f t="shared" si="235"/>
        <v>0</v>
      </c>
      <c r="Z52" s="3">
        <f t="shared" si="235"/>
        <v>0</v>
      </c>
      <c r="AA52" s="3">
        <f t="shared" si="235"/>
        <v>0</v>
      </c>
      <c r="AB52" s="3">
        <f t="shared" si="235"/>
        <v>0</v>
      </c>
      <c r="AC52" s="3">
        <f t="shared" si="235"/>
        <v>0</v>
      </c>
      <c r="AD52" s="3">
        <f t="shared" si="235"/>
        <v>0</v>
      </c>
      <c r="AE52" s="3">
        <f t="shared" si="235"/>
        <v>0</v>
      </c>
      <c r="AF52" s="3">
        <f t="shared" si="235"/>
        <v>0</v>
      </c>
      <c r="AH52" s="3">
        <f t="shared" ref="AH52:AS52" si="236">IF(AND(AH$5&gt;=$C52,AH$5&lt;=$D52),$E52,0)</f>
        <v>0</v>
      </c>
      <c r="AI52" s="3">
        <f t="shared" si="236"/>
        <v>0</v>
      </c>
      <c r="AJ52" s="3">
        <f t="shared" si="236"/>
        <v>0</v>
      </c>
      <c r="AK52" s="3">
        <f t="shared" si="236"/>
        <v>0</v>
      </c>
      <c r="AL52" s="3">
        <f t="shared" si="236"/>
        <v>0</v>
      </c>
      <c r="AM52" s="3">
        <f t="shared" si="236"/>
        <v>0</v>
      </c>
      <c r="AN52" s="3">
        <f t="shared" si="236"/>
        <v>0</v>
      </c>
      <c r="AO52" s="3">
        <f t="shared" si="236"/>
        <v>0</v>
      </c>
      <c r="AP52" s="3">
        <f t="shared" si="236"/>
        <v>0</v>
      </c>
      <c r="AQ52" s="3">
        <f t="shared" si="236"/>
        <v>0</v>
      </c>
      <c r="AR52" s="3">
        <f t="shared" si="236"/>
        <v>0</v>
      </c>
      <c r="AS52" s="3">
        <f t="shared" si="236"/>
        <v>0</v>
      </c>
      <c r="AU52" s="3">
        <f t="shared" ref="AU52:BF52" si="237">IF(AND(AU$5&gt;=$C52,AU$5&lt;=$D52),$E52,0)</f>
        <v>0</v>
      </c>
      <c r="AV52" s="3">
        <f t="shared" si="237"/>
        <v>0</v>
      </c>
      <c r="AW52" s="3">
        <f t="shared" si="237"/>
        <v>0</v>
      </c>
      <c r="AX52" s="3">
        <f t="shared" si="237"/>
        <v>0</v>
      </c>
      <c r="AY52" s="3">
        <f t="shared" si="237"/>
        <v>0</v>
      </c>
      <c r="AZ52" s="3">
        <f t="shared" si="237"/>
        <v>0</v>
      </c>
      <c r="BA52" s="3">
        <f t="shared" si="237"/>
        <v>0</v>
      </c>
      <c r="BB52" s="3">
        <f t="shared" si="237"/>
        <v>0</v>
      </c>
      <c r="BC52" s="3">
        <f t="shared" si="237"/>
        <v>0</v>
      </c>
      <c r="BD52" s="3">
        <f t="shared" si="237"/>
        <v>0</v>
      </c>
      <c r="BE52" s="3">
        <f t="shared" si="237"/>
        <v>0</v>
      </c>
      <c r="BF52" s="3">
        <f t="shared" si="237"/>
        <v>0</v>
      </c>
      <c r="BG52" s="2"/>
      <c r="BH52" s="3">
        <f t="shared" ref="BH52:BS52" si="238">IF(AND(BH$5&gt;=$C52,BH$5&lt;=$D52),$E52,0)</f>
        <v>0</v>
      </c>
      <c r="BI52" s="3">
        <f t="shared" si="238"/>
        <v>0</v>
      </c>
      <c r="BJ52" s="3">
        <f t="shared" si="238"/>
        <v>0</v>
      </c>
      <c r="BK52" s="3">
        <f t="shared" si="238"/>
        <v>0</v>
      </c>
      <c r="BL52" s="3">
        <f t="shared" si="238"/>
        <v>0</v>
      </c>
      <c r="BM52" s="3">
        <f t="shared" si="238"/>
        <v>0</v>
      </c>
      <c r="BN52" s="3">
        <f t="shared" si="238"/>
        <v>0</v>
      </c>
      <c r="BO52" s="3">
        <f t="shared" si="238"/>
        <v>0</v>
      </c>
      <c r="BP52" s="3">
        <f t="shared" si="238"/>
        <v>0</v>
      </c>
      <c r="BQ52" s="3">
        <f t="shared" si="238"/>
        <v>0</v>
      </c>
      <c r="BR52" s="3">
        <f t="shared" si="238"/>
        <v>0</v>
      </c>
      <c r="BS52" s="3">
        <f t="shared" si="238"/>
        <v>0</v>
      </c>
      <c r="BT52" s="2"/>
    </row>
    <row r="53" spans="1:72" ht="15.75" customHeight="1">
      <c r="A53" s="54" t="str">
        <f>IF('Capital purchases'!C57="","",'Capital purchases'!C57)</f>
        <v/>
      </c>
      <c r="B53" s="2"/>
      <c r="C53" s="2" t="str">
        <f>IF($A53="","",'Capital purchases'!B57)</f>
        <v/>
      </c>
      <c r="D53" s="3" t="str">
        <f>IF($A53="","",'Capital purchases'!J57)</f>
        <v/>
      </c>
      <c r="E53" s="162" t="str">
        <f>IF($A53="","",'Capital purchases'!I57)</f>
        <v/>
      </c>
      <c r="H53" s="3">
        <f t="shared" ref="H53:S53" si="239">IF(AND(H$5&gt;=$C53,H$5&lt;=$D53),$E53,0)</f>
        <v>0</v>
      </c>
      <c r="I53" s="3">
        <f t="shared" si="239"/>
        <v>0</v>
      </c>
      <c r="J53" s="3">
        <f t="shared" si="239"/>
        <v>0</v>
      </c>
      <c r="K53" s="3">
        <f t="shared" si="239"/>
        <v>0</v>
      </c>
      <c r="L53" s="3">
        <f t="shared" si="239"/>
        <v>0</v>
      </c>
      <c r="M53" s="3">
        <f t="shared" si="239"/>
        <v>0</v>
      </c>
      <c r="N53" s="3">
        <f t="shared" si="239"/>
        <v>0</v>
      </c>
      <c r="O53" s="3">
        <f t="shared" si="239"/>
        <v>0</v>
      </c>
      <c r="P53" s="3">
        <f t="shared" si="239"/>
        <v>0</v>
      </c>
      <c r="Q53" s="3">
        <f t="shared" si="239"/>
        <v>0</v>
      </c>
      <c r="R53" s="3">
        <f t="shared" si="239"/>
        <v>0</v>
      </c>
      <c r="S53" s="3">
        <f t="shared" si="239"/>
        <v>0</v>
      </c>
      <c r="U53" s="3">
        <f t="shared" ref="U53:AF53" si="240">IF(AND(U$5&gt;=$C53,U$5&lt;=$D53),$E53,0)</f>
        <v>0</v>
      </c>
      <c r="V53" s="3">
        <f t="shared" si="240"/>
        <v>0</v>
      </c>
      <c r="W53" s="3">
        <f t="shared" si="240"/>
        <v>0</v>
      </c>
      <c r="X53" s="3">
        <f t="shared" si="240"/>
        <v>0</v>
      </c>
      <c r="Y53" s="3">
        <f t="shared" si="240"/>
        <v>0</v>
      </c>
      <c r="Z53" s="3">
        <f t="shared" si="240"/>
        <v>0</v>
      </c>
      <c r="AA53" s="3">
        <f t="shared" si="240"/>
        <v>0</v>
      </c>
      <c r="AB53" s="3">
        <f t="shared" si="240"/>
        <v>0</v>
      </c>
      <c r="AC53" s="3">
        <f t="shared" si="240"/>
        <v>0</v>
      </c>
      <c r="AD53" s="3">
        <f t="shared" si="240"/>
        <v>0</v>
      </c>
      <c r="AE53" s="3">
        <f t="shared" si="240"/>
        <v>0</v>
      </c>
      <c r="AF53" s="3">
        <f t="shared" si="240"/>
        <v>0</v>
      </c>
      <c r="AH53" s="3">
        <f t="shared" ref="AH53:AS53" si="241">IF(AND(AH$5&gt;=$C53,AH$5&lt;=$D53),$E53,0)</f>
        <v>0</v>
      </c>
      <c r="AI53" s="3">
        <f t="shared" si="241"/>
        <v>0</v>
      </c>
      <c r="AJ53" s="3">
        <f t="shared" si="241"/>
        <v>0</v>
      </c>
      <c r="AK53" s="3">
        <f t="shared" si="241"/>
        <v>0</v>
      </c>
      <c r="AL53" s="3">
        <f t="shared" si="241"/>
        <v>0</v>
      </c>
      <c r="AM53" s="3">
        <f t="shared" si="241"/>
        <v>0</v>
      </c>
      <c r="AN53" s="3">
        <f t="shared" si="241"/>
        <v>0</v>
      </c>
      <c r="AO53" s="3">
        <f t="shared" si="241"/>
        <v>0</v>
      </c>
      <c r="AP53" s="3">
        <f t="shared" si="241"/>
        <v>0</v>
      </c>
      <c r="AQ53" s="3">
        <f t="shared" si="241"/>
        <v>0</v>
      </c>
      <c r="AR53" s="3">
        <f t="shared" si="241"/>
        <v>0</v>
      </c>
      <c r="AS53" s="3">
        <f t="shared" si="241"/>
        <v>0</v>
      </c>
      <c r="AU53" s="3">
        <f t="shared" ref="AU53:BF53" si="242">IF(AND(AU$5&gt;=$C53,AU$5&lt;=$D53),$E53,0)</f>
        <v>0</v>
      </c>
      <c r="AV53" s="3">
        <f t="shared" si="242"/>
        <v>0</v>
      </c>
      <c r="AW53" s="3">
        <f t="shared" si="242"/>
        <v>0</v>
      </c>
      <c r="AX53" s="3">
        <f t="shared" si="242"/>
        <v>0</v>
      </c>
      <c r="AY53" s="3">
        <f t="shared" si="242"/>
        <v>0</v>
      </c>
      <c r="AZ53" s="3">
        <f t="shared" si="242"/>
        <v>0</v>
      </c>
      <c r="BA53" s="3">
        <f t="shared" si="242"/>
        <v>0</v>
      </c>
      <c r="BB53" s="3">
        <f t="shared" si="242"/>
        <v>0</v>
      </c>
      <c r="BC53" s="3">
        <f t="shared" si="242"/>
        <v>0</v>
      </c>
      <c r="BD53" s="3">
        <f t="shared" si="242"/>
        <v>0</v>
      </c>
      <c r="BE53" s="3">
        <f t="shared" si="242"/>
        <v>0</v>
      </c>
      <c r="BF53" s="3">
        <f t="shared" si="242"/>
        <v>0</v>
      </c>
      <c r="BG53" s="2"/>
      <c r="BH53" s="3">
        <f t="shared" ref="BH53:BS53" si="243">IF(AND(BH$5&gt;=$C53,BH$5&lt;=$D53),$E53,0)</f>
        <v>0</v>
      </c>
      <c r="BI53" s="3">
        <f t="shared" si="243"/>
        <v>0</v>
      </c>
      <c r="BJ53" s="3">
        <f t="shared" si="243"/>
        <v>0</v>
      </c>
      <c r="BK53" s="3">
        <f t="shared" si="243"/>
        <v>0</v>
      </c>
      <c r="BL53" s="3">
        <f t="shared" si="243"/>
        <v>0</v>
      </c>
      <c r="BM53" s="3">
        <f t="shared" si="243"/>
        <v>0</v>
      </c>
      <c r="BN53" s="3">
        <f t="shared" si="243"/>
        <v>0</v>
      </c>
      <c r="BO53" s="3">
        <f t="shared" si="243"/>
        <v>0</v>
      </c>
      <c r="BP53" s="3">
        <f t="shared" si="243"/>
        <v>0</v>
      </c>
      <c r="BQ53" s="3">
        <f t="shared" si="243"/>
        <v>0</v>
      </c>
      <c r="BR53" s="3">
        <f t="shared" si="243"/>
        <v>0</v>
      </c>
      <c r="BS53" s="3">
        <f t="shared" si="243"/>
        <v>0</v>
      </c>
      <c r="BT53" s="2"/>
    </row>
    <row r="54" spans="1:72" ht="15.75" customHeight="1">
      <c r="A54" s="54" t="str">
        <f>IF('Capital purchases'!C58="","",'Capital purchases'!C58)</f>
        <v/>
      </c>
      <c r="B54" s="2"/>
      <c r="C54" s="2" t="str">
        <f>IF($A54="","",'Capital purchases'!B58)</f>
        <v/>
      </c>
      <c r="D54" s="3" t="str">
        <f>IF($A54="","",'Capital purchases'!J58)</f>
        <v/>
      </c>
      <c r="E54" s="162" t="str">
        <f>IF($A54="","",'Capital purchases'!I58)</f>
        <v/>
      </c>
      <c r="H54" s="3">
        <f t="shared" ref="H54:S54" si="244">IF(AND(H$5&gt;=$C54,H$5&lt;=$D54),$E54,0)</f>
        <v>0</v>
      </c>
      <c r="I54" s="3">
        <f t="shared" si="244"/>
        <v>0</v>
      </c>
      <c r="J54" s="3">
        <f t="shared" si="244"/>
        <v>0</v>
      </c>
      <c r="K54" s="3">
        <f t="shared" si="244"/>
        <v>0</v>
      </c>
      <c r="L54" s="3">
        <f t="shared" si="244"/>
        <v>0</v>
      </c>
      <c r="M54" s="3">
        <f t="shared" si="244"/>
        <v>0</v>
      </c>
      <c r="N54" s="3">
        <f t="shared" si="244"/>
        <v>0</v>
      </c>
      <c r="O54" s="3">
        <f t="shared" si="244"/>
        <v>0</v>
      </c>
      <c r="P54" s="3">
        <f t="shared" si="244"/>
        <v>0</v>
      </c>
      <c r="Q54" s="3">
        <f t="shared" si="244"/>
        <v>0</v>
      </c>
      <c r="R54" s="3">
        <f t="shared" si="244"/>
        <v>0</v>
      </c>
      <c r="S54" s="3">
        <f t="shared" si="244"/>
        <v>0</v>
      </c>
      <c r="U54" s="3">
        <f t="shared" ref="U54:AF54" si="245">IF(AND(U$5&gt;=$C54,U$5&lt;=$D54),$E54,0)</f>
        <v>0</v>
      </c>
      <c r="V54" s="3">
        <f t="shared" si="245"/>
        <v>0</v>
      </c>
      <c r="W54" s="3">
        <f t="shared" si="245"/>
        <v>0</v>
      </c>
      <c r="X54" s="3">
        <f t="shared" si="245"/>
        <v>0</v>
      </c>
      <c r="Y54" s="3">
        <f t="shared" si="245"/>
        <v>0</v>
      </c>
      <c r="Z54" s="3">
        <f t="shared" si="245"/>
        <v>0</v>
      </c>
      <c r="AA54" s="3">
        <f t="shared" si="245"/>
        <v>0</v>
      </c>
      <c r="AB54" s="3">
        <f t="shared" si="245"/>
        <v>0</v>
      </c>
      <c r="AC54" s="3">
        <f t="shared" si="245"/>
        <v>0</v>
      </c>
      <c r="AD54" s="3">
        <f t="shared" si="245"/>
        <v>0</v>
      </c>
      <c r="AE54" s="3">
        <f t="shared" si="245"/>
        <v>0</v>
      </c>
      <c r="AF54" s="3">
        <f t="shared" si="245"/>
        <v>0</v>
      </c>
      <c r="AH54" s="3">
        <f t="shared" ref="AH54:AS54" si="246">IF(AND(AH$5&gt;=$C54,AH$5&lt;=$D54),$E54,0)</f>
        <v>0</v>
      </c>
      <c r="AI54" s="3">
        <f t="shared" si="246"/>
        <v>0</v>
      </c>
      <c r="AJ54" s="3">
        <f t="shared" si="246"/>
        <v>0</v>
      </c>
      <c r="AK54" s="3">
        <f t="shared" si="246"/>
        <v>0</v>
      </c>
      <c r="AL54" s="3">
        <f t="shared" si="246"/>
        <v>0</v>
      </c>
      <c r="AM54" s="3">
        <f t="shared" si="246"/>
        <v>0</v>
      </c>
      <c r="AN54" s="3">
        <f t="shared" si="246"/>
        <v>0</v>
      </c>
      <c r="AO54" s="3">
        <f t="shared" si="246"/>
        <v>0</v>
      </c>
      <c r="AP54" s="3">
        <f t="shared" si="246"/>
        <v>0</v>
      </c>
      <c r="AQ54" s="3">
        <f t="shared" si="246"/>
        <v>0</v>
      </c>
      <c r="AR54" s="3">
        <f t="shared" si="246"/>
        <v>0</v>
      </c>
      <c r="AS54" s="3">
        <f t="shared" si="246"/>
        <v>0</v>
      </c>
      <c r="AU54" s="3">
        <f t="shared" ref="AU54:BF54" si="247">IF(AND(AU$5&gt;=$C54,AU$5&lt;=$D54),$E54,0)</f>
        <v>0</v>
      </c>
      <c r="AV54" s="3">
        <f t="shared" si="247"/>
        <v>0</v>
      </c>
      <c r="AW54" s="3">
        <f t="shared" si="247"/>
        <v>0</v>
      </c>
      <c r="AX54" s="3">
        <f t="shared" si="247"/>
        <v>0</v>
      </c>
      <c r="AY54" s="3">
        <f t="shared" si="247"/>
        <v>0</v>
      </c>
      <c r="AZ54" s="3">
        <f t="shared" si="247"/>
        <v>0</v>
      </c>
      <c r="BA54" s="3">
        <f t="shared" si="247"/>
        <v>0</v>
      </c>
      <c r="BB54" s="3">
        <f t="shared" si="247"/>
        <v>0</v>
      </c>
      <c r="BC54" s="3">
        <f t="shared" si="247"/>
        <v>0</v>
      </c>
      <c r="BD54" s="3">
        <f t="shared" si="247"/>
        <v>0</v>
      </c>
      <c r="BE54" s="3">
        <f t="shared" si="247"/>
        <v>0</v>
      </c>
      <c r="BF54" s="3">
        <f t="shared" si="247"/>
        <v>0</v>
      </c>
      <c r="BG54" s="2"/>
      <c r="BH54" s="3">
        <f t="shared" ref="BH54:BS54" si="248">IF(AND(BH$5&gt;=$C54,BH$5&lt;=$D54),$E54,0)</f>
        <v>0</v>
      </c>
      <c r="BI54" s="3">
        <f t="shared" si="248"/>
        <v>0</v>
      </c>
      <c r="BJ54" s="3">
        <f t="shared" si="248"/>
        <v>0</v>
      </c>
      <c r="BK54" s="3">
        <f t="shared" si="248"/>
        <v>0</v>
      </c>
      <c r="BL54" s="3">
        <f t="shared" si="248"/>
        <v>0</v>
      </c>
      <c r="BM54" s="3">
        <f t="shared" si="248"/>
        <v>0</v>
      </c>
      <c r="BN54" s="3">
        <f t="shared" si="248"/>
        <v>0</v>
      </c>
      <c r="BO54" s="3">
        <f t="shared" si="248"/>
        <v>0</v>
      </c>
      <c r="BP54" s="3">
        <f t="shared" si="248"/>
        <v>0</v>
      </c>
      <c r="BQ54" s="3">
        <f t="shared" si="248"/>
        <v>0</v>
      </c>
      <c r="BR54" s="3">
        <f t="shared" si="248"/>
        <v>0</v>
      </c>
      <c r="BS54" s="3">
        <f t="shared" si="248"/>
        <v>0</v>
      </c>
      <c r="BT54" s="2"/>
    </row>
    <row r="55" spans="1:72" ht="15.75" customHeight="1">
      <c r="A55" s="54" t="str">
        <f>IF('Capital purchases'!C59="","",'Capital purchases'!C59)</f>
        <v/>
      </c>
      <c r="B55" s="2"/>
      <c r="C55" s="2" t="str">
        <f>IF($A55="","",'Capital purchases'!B59)</f>
        <v/>
      </c>
      <c r="D55" s="3" t="str">
        <f>IF($A55="","",'Capital purchases'!J59)</f>
        <v/>
      </c>
      <c r="E55" s="162" t="str">
        <f>IF($A55="","",'Capital purchases'!I59)</f>
        <v/>
      </c>
      <c r="H55" s="3">
        <f t="shared" ref="H55:S55" si="249">IF(AND(H$5&gt;=$C55,H$5&lt;=$D55),$E55,0)</f>
        <v>0</v>
      </c>
      <c r="I55" s="3">
        <f t="shared" si="249"/>
        <v>0</v>
      </c>
      <c r="J55" s="3">
        <f t="shared" si="249"/>
        <v>0</v>
      </c>
      <c r="K55" s="3">
        <f t="shared" si="249"/>
        <v>0</v>
      </c>
      <c r="L55" s="3">
        <f t="shared" si="249"/>
        <v>0</v>
      </c>
      <c r="M55" s="3">
        <f t="shared" si="249"/>
        <v>0</v>
      </c>
      <c r="N55" s="3">
        <f t="shared" si="249"/>
        <v>0</v>
      </c>
      <c r="O55" s="3">
        <f t="shared" si="249"/>
        <v>0</v>
      </c>
      <c r="P55" s="3">
        <f t="shared" si="249"/>
        <v>0</v>
      </c>
      <c r="Q55" s="3">
        <f t="shared" si="249"/>
        <v>0</v>
      </c>
      <c r="R55" s="3">
        <f t="shared" si="249"/>
        <v>0</v>
      </c>
      <c r="S55" s="3">
        <f t="shared" si="249"/>
        <v>0</v>
      </c>
      <c r="U55" s="3">
        <f t="shared" ref="U55:AF55" si="250">IF(AND(U$5&gt;=$C55,U$5&lt;=$D55),$E55,0)</f>
        <v>0</v>
      </c>
      <c r="V55" s="3">
        <f t="shared" si="250"/>
        <v>0</v>
      </c>
      <c r="W55" s="3">
        <f t="shared" si="250"/>
        <v>0</v>
      </c>
      <c r="X55" s="3">
        <f t="shared" si="250"/>
        <v>0</v>
      </c>
      <c r="Y55" s="3">
        <f t="shared" si="250"/>
        <v>0</v>
      </c>
      <c r="Z55" s="3">
        <f t="shared" si="250"/>
        <v>0</v>
      </c>
      <c r="AA55" s="3">
        <f t="shared" si="250"/>
        <v>0</v>
      </c>
      <c r="AB55" s="3">
        <f t="shared" si="250"/>
        <v>0</v>
      </c>
      <c r="AC55" s="3">
        <f t="shared" si="250"/>
        <v>0</v>
      </c>
      <c r="AD55" s="3">
        <f t="shared" si="250"/>
        <v>0</v>
      </c>
      <c r="AE55" s="3">
        <f t="shared" si="250"/>
        <v>0</v>
      </c>
      <c r="AF55" s="3">
        <f t="shared" si="250"/>
        <v>0</v>
      </c>
      <c r="AH55" s="3">
        <f t="shared" ref="AH55:AS55" si="251">IF(AND(AH$5&gt;=$C55,AH$5&lt;=$D55),$E55,0)</f>
        <v>0</v>
      </c>
      <c r="AI55" s="3">
        <f t="shared" si="251"/>
        <v>0</v>
      </c>
      <c r="AJ55" s="3">
        <f t="shared" si="251"/>
        <v>0</v>
      </c>
      <c r="AK55" s="3">
        <f t="shared" si="251"/>
        <v>0</v>
      </c>
      <c r="AL55" s="3">
        <f t="shared" si="251"/>
        <v>0</v>
      </c>
      <c r="AM55" s="3">
        <f t="shared" si="251"/>
        <v>0</v>
      </c>
      <c r="AN55" s="3">
        <f t="shared" si="251"/>
        <v>0</v>
      </c>
      <c r="AO55" s="3">
        <f t="shared" si="251"/>
        <v>0</v>
      </c>
      <c r="AP55" s="3">
        <f t="shared" si="251"/>
        <v>0</v>
      </c>
      <c r="AQ55" s="3">
        <f t="shared" si="251"/>
        <v>0</v>
      </c>
      <c r="AR55" s="3">
        <f t="shared" si="251"/>
        <v>0</v>
      </c>
      <c r="AS55" s="3">
        <f t="shared" si="251"/>
        <v>0</v>
      </c>
      <c r="AU55" s="3">
        <f t="shared" ref="AU55:BF55" si="252">IF(AND(AU$5&gt;=$C55,AU$5&lt;=$D55),$E55,0)</f>
        <v>0</v>
      </c>
      <c r="AV55" s="3">
        <f t="shared" si="252"/>
        <v>0</v>
      </c>
      <c r="AW55" s="3">
        <f t="shared" si="252"/>
        <v>0</v>
      </c>
      <c r="AX55" s="3">
        <f t="shared" si="252"/>
        <v>0</v>
      </c>
      <c r="AY55" s="3">
        <f t="shared" si="252"/>
        <v>0</v>
      </c>
      <c r="AZ55" s="3">
        <f t="shared" si="252"/>
        <v>0</v>
      </c>
      <c r="BA55" s="3">
        <f t="shared" si="252"/>
        <v>0</v>
      </c>
      <c r="BB55" s="3">
        <f t="shared" si="252"/>
        <v>0</v>
      </c>
      <c r="BC55" s="3">
        <f t="shared" si="252"/>
        <v>0</v>
      </c>
      <c r="BD55" s="3">
        <f t="shared" si="252"/>
        <v>0</v>
      </c>
      <c r="BE55" s="3">
        <f t="shared" si="252"/>
        <v>0</v>
      </c>
      <c r="BF55" s="3">
        <f t="shared" si="252"/>
        <v>0</v>
      </c>
      <c r="BG55" s="2"/>
      <c r="BH55" s="3">
        <f t="shared" ref="BH55:BS55" si="253">IF(AND(BH$5&gt;=$C55,BH$5&lt;=$D55),$E55,0)</f>
        <v>0</v>
      </c>
      <c r="BI55" s="3">
        <f t="shared" si="253"/>
        <v>0</v>
      </c>
      <c r="BJ55" s="3">
        <f t="shared" si="253"/>
        <v>0</v>
      </c>
      <c r="BK55" s="3">
        <f t="shared" si="253"/>
        <v>0</v>
      </c>
      <c r="BL55" s="3">
        <f t="shared" si="253"/>
        <v>0</v>
      </c>
      <c r="BM55" s="3">
        <f t="shared" si="253"/>
        <v>0</v>
      </c>
      <c r="BN55" s="3">
        <f t="shared" si="253"/>
        <v>0</v>
      </c>
      <c r="BO55" s="3">
        <f t="shared" si="253"/>
        <v>0</v>
      </c>
      <c r="BP55" s="3">
        <f t="shared" si="253"/>
        <v>0</v>
      </c>
      <c r="BQ55" s="3">
        <f t="shared" si="253"/>
        <v>0</v>
      </c>
      <c r="BR55" s="3">
        <f t="shared" si="253"/>
        <v>0</v>
      </c>
      <c r="BS55" s="3">
        <f t="shared" si="253"/>
        <v>0</v>
      </c>
      <c r="BT55" s="2"/>
    </row>
    <row r="56" spans="1:72" ht="15.75" customHeight="1">
      <c r="A56" s="54" t="str">
        <f>IF('Capital purchases'!C60="","",'Capital purchases'!C60)</f>
        <v/>
      </c>
      <c r="B56" s="2"/>
      <c r="C56" s="2" t="str">
        <f>IF($A56="","",'Capital purchases'!B60)</f>
        <v/>
      </c>
      <c r="D56" s="3" t="str">
        <f>IF($A56="","",'Capital purchases'!J60)</f>
        <v/>
      </c>
      <c r="E56" s="162" t="str">
        <f>IF($A56="","",'Capital purchases'!I60)</f>
        <v/>
      </c>
      <c r="H56" s="3">
        <f t="shared" ref="H56:S56" si="254">IF(AND(H$5&gt;=$C56,H$5&lt;=$D56),$E56,0)</f>
        <v>0</v>
      </c>
      <c r="I56" s="3">
        <f t="shared" si="254"/>
        <v>0</v>
      </c>
      <c r="J56" s="3">
        <f t="shared" si="254"/>
        <v>0</v>
      </c>
      <c r="K56" s="3">
        <f t="shared" si="254"/>
        <v>0</v>
      </c>
      <c r="L56" s="3">
        <f t="shared" si="254"/>
        <v>0</v>
      </c>
      <c r="M56" s="3">
        <f t="shared" si="254"/>
        <v>0</v>
      </c>
      <c r="N56" s="3">
        <f t="shared" si="254"/>
        <v>0</v>
      </c>
      <c r="O56" s="3">
        <f t="shared" si="254"/>
        <v>0</v>
      </c>
      <c r="P56" s="3">
        <f t="shared" si="254"/>
        <v>0</v>
      </c>
      <c r="Q56" s="3">
        <f t="shared" si="254"/>
        <v>0</v>
      </c>
      <c r="R56" s="3">
        <f t="shared" si="254"/>
        <v>0</v>
      </c>
      <c r="S56" s="3">
        <f t="shared" si="254"/>
        <v>0</v>
      </c>
      <c r="U56" s="3">
        <f t="shared" ref="U56:AF56" si="255">IF(AND(U$5&gt;=$C56,U$5&lt;=$D56),$E56,0)</f>
        <v>0</v>
      </c>
      <c r="V56" s="3">
        <f t="shared" si="255"/>
        <v>0</v>
      </c>
      <c r="W56" s="3">
        <f t="shared" si="255"/>
        <v>0</v>
      </c>
      <c r="X56" s="3">
        <f t="shared" si="255"/>
        <v>0</v>
      </c>
      <c r="Y56" s="3">
        <f t="shared" si="255"/>
        <v>0</v>
      </c>
      <c r="Z56" s="3">
        <f t="shared" si="255"/>
        <v>0</v>
      </c>
      <c r="AA56" s="3">
        <f t="shared" si="255"/>
        <v>0</v>
      </c>
      <c r="AB56" s="3">
        <f t="shared" si="255"/>
        <v>0</v>
      </c>
      <c r="AC56" s="3">
        <f t="shared" si="255"/>
        <v>0</v>
      </c>
      <c r="AD56" s="3">
        <f t="shared" si="255"/>
        <v>0</v>
      </c>
      <c r="AE56" s="3">
        <f t="shared" si="255"/>
        <v>0</v>
      </c>
      <c r="AF56" s="3">
        <f t="shared" si="255"/>
        <v>0</v>
      </c>
      <c r="AH56" s="3">
        <f t="shared" ref="AH56:AS56" si="256">IF(AND(AH$5&gt;=$C56,AH$5&lt;=$D56),$E56,0)</f>
        <v>0</v>
      </c>
      <c r="AI56" s="3">
        <f t="shared" si="256"/>
        <v>0</v>
      </c>
      <c r="AJ56" s="3">
        <f t="shared" si="256"/>
        <v>0</v>
      </c>
      <c r="AK56" s="3">
        <f t="shared" si="256"/>
        <v>0</v>
      </c>
      <c r="AL56" s="3">
        <f t="shared" si="256"/>
        <v>0</v>
      </c>
      <c r="AM56" s="3">
        <f t="shared" si="256"/>
        <v>0</v>
      </c>
      <c r="AN56" s="3">
        <f t="shared" si="256"/>
        <v>0</v>
      </c>
      <c r="AO56" s="3">
        <f t="shared" si="256"/>
        <v>0</v>
      </c>
      <c r="AP56" s="3">
        <f t="shared" si="256"/>
        <v>0</v>
      </c>
      <c r="AQ56" s="3">
        <f t="shared" si="256"/>
        <v>0</v>
      </c>
      <c r="AR56" s="3">
        <f t="shared" si="256"/>
        <v>0</v>
      </c>
      <c r="AS56" s="3">
        <f t="shared" si="256"/>
        <v>0</v>
      </c>
      <c r="AU56" s="3">
        <f t="shared" ref="AU56:BF56" si="257">IF(AND(AU$5&gt;=$C56,AU$5&lt;=$D56),$E56,0)</f>
        <v>0</v>
      </c>
      <c r="AV56" s="3">
        <f t="shared" si="257"/>
        <v>0</v>
      </c>
      <c r="AW56" s="3">
        <f t="shared" si="257"/>
        <v>0</v>
      </c>
      <c r="AX56" s="3">
        <f t="shared" si="257"/>
        <v>0</v>
      </c>
      <c r="AY56" s="3">
        <f t="shared" si="257"/>
        <v>0</v>
      </c>
      <c r="AZ56" s="3">
        <f t="shared" si="257"/>
        <v>0</v>
      </c>
      <c r="BA56" s="3">
        <f t="shared" si="257"/>
        <v>0</v>
      </c>
      <c r="BB56" s="3">
        <f t="shared" si="257"/>
        <v>0</v>
      </c>
      <c r="BC56" s="3">
        <f t="shared" si="257"/>
        <v>0</v>
      </c>
      <c r="BD56" s="3">
        <f t="shared" si="257"/>
        <v>0</v>
      </c>
      <c r="BE56" s="3">
        <f t="shared" si="257"/>
        <v>0</v>
      </c>
      <c r="BF56" s="3">
        <f t="shared" si="257"/>
        <v>0</v>
      </c>
      <c r="BG56" s="2"/>
      <c r="BH56" s="3">
        <f t="shared" ref="BH56:BS56" si="258">IF(AND(BH$5&gt;=$C56,BH$5&lt;=$D56),$E56,0)</f>
        <v>0</v>
      </c>
      <c r="BI56" s="3">
        <f t="shared" si="258"/>
        <v>0</v>
      </c>
      <c r="BJ56" s="3">
        <f t="shared" si="258"/>
        <v>0</v>
      </c>
      <c r="BK56" s="3">
        <f t="shared" si="258"/>
        <v>0</v>
      </c>
      <c r="BL56" s="3">
        <f t="shared" si="258"/>
        <v>0</v>
      </c>
      <c r="BM56" s="3">
        <f t="shared" si="258"/>
        <v>0</v>
      </c>
      <c r="BN56" s="3">
        <f t="shared" si="258"/>
        <v>0</v>
      </c>
      <c r="BO56" s="3">
        <f t="shared" si="258"/>
        <v>0</v>
      </c>
      <c r="BP56" s="3">
        <f t="shared" si="258"/>
        <v>0</v>
      </c>
      <c r="BQ56" s="3">
        <f t="shared" si="258"/>
        <v>0</v>
      </c>
      <c r="BR56" s="3">
        <f t="shared" si="258"/>
        <v>0</v>
      </c>
      <c r="BS56" s="3">
        <f t="shared" si="258"/>
        <v>0</v>
      </c>
      <c r="BT56" s="2"/>
    </row>
    <row r="57" spans="1:72" ht="15.75" customHeight="1">
      <c r="A57" s="54" t="str">
        <f>IF('Capital purchases'!C61="","",'Capital purchases'!C61)</f>
        <v/>
      </c>
      <c r="B57" s="2"/>
      <c r="C57" s="2" t="str">
        <f>IF($A57="","",'Capital purchases'!B61)</f>
        <v/>
      </c>
      <c r="D57" s="3" t="str">
        <f>IF($A57="","",'Capital purchases'!J61)</f>
        <v/>
      </c>
      <c r="E57" s="162" t="str">
        <f>IF($A57="","",'Capital purchases'!I61)</f>
        <v/>
      </c>
      <c r="H57" s="3">
        <f t="shared" ref="H57:S57" si="259">IF(AND(H$5&gt;=$C57,H$5&lt;=$D57),$E57,0)</f>
        <v>0</v>
      </c>
      <c r="I57" s="3">
        <f t="shared" si="259"/>
        <v>0</v>
      </c>
      <c r="J57" s="3">
        <f t="shared" si="259"/>
        <v>0</v>
      </c>
      <c r="K57" s="3">
        <f t="shared" si="259"/>
        <v>0</v>
      </c>
      <c r="L57" s="3">
        <f t="shared" si="259"/>
        <v>0</v>
      </c>
      <c r="M57" s="3">
        <f t="shared" si="259"/>
        <v>0</v>
      </c>
      <c r="N57" s="3">
        <f t="shared" si="259"/>
        <v>0</v>
      </c>
      <c r="O57" s="3">
        <f t="shared" si="259"/>
        <v>0</v>
      </c>
      <c r="P57" s="3">
        <f t="shared" si="259"/>
        <v>0</v>
      </c>
      <c r="Q57" s="3">
        <f t="shared" si="259"/>
        <v>0</v>
      </c>
      <c r="R57" s="3">
        <f t="shared" si="259"/>
        <v>0</v>
      </c>
      <c r="S57" s="3">
        <f t="shared" si="259"/>
        <v>0</v>
      </c>
      <c r="U57" s="3">
        <f t="shared" ref="U57:AF57" si="260">IF(AND(U$5&gt;=$C57,U$5&lt;=$D57),$E57,0)</f>
        <v>0</v>
      </c>
      <c r="V57" s="3">
        <f t="shared" si="260"/>
        <v>0</v>
      </c>
      <c r="W57" s="3">
        <f t="shared" si="260"/>
        <v>0</v>
      </c>
      <c r="X57" s="3">
        <f t="shared" si="260"/>
        <v>0</v>
      </c>
      <c r="Y57" s="3">
        <f t="shared" si="260"/>
        <v>0</v>
      </c>
      <c r="Z57" s="3">
        <f t="shared" si="260"/>
        <v>0</v>
      </c>
      <c r="AA57" s="3">
        <f t="shared" si="260"/>
        <v>0</v>
      </c>
      <c r="AB57" s="3">
        <f t="shared" si="260"/>
        <v>0</v>
      </c>
      <c r="AC57" s="3">
        <f t="shared" si="260"/>
        <v>0</v>
      </c>
      <c r="AD57" s="3">
        <f t="shared" si="260"/>
        <v>0</v>
      </c>
      <c r="AE57" s="3">
        <f t="shared" si="260"/>
        <v>0</v>
      </c>
      <c r="AF57" s="3">
        <f t="shared" si="260"/>
        <v>0</v>
      </c>
      <c r="AH57" s="3">
        <f t="shared" ref="AH57:AS57" si="261">IF(AND(AH$5&gt;=$C57,AH$5&lt;=$D57),$E57,0)</f>
        <v>0</v>
      </c>
      <c r="AI57" s="3">
        <f t="shared" si="261"/>
        <v>0</v>
      </c>
      <c r="AJ57" s="3">
        <f t="shared" si="261"/>
        <v>0</v>
      </c>
      <c r="AK57" s="3">
        <f t="shared" si="261"/>
        <v>0</v>
      </c>
      <c r="AL57" s="3">
        <f t="shared" si="261"/>
        <v>0</v>
      </c>
      <c r="AM57" s="3">
        <f t="shared" si="261"/>
        <v>0</v>
      </c>
      <c r="AN57" s="3">
        <f t="shared" si="261"/>
        <v>0</v>
      </c>
      <c r="AO57" s="3">
        <f t="shared" si="261"/>
        <v>0</v>
      </c>
      <c r="AP57" s="3">
        <f t="shared" si="261"/>
        <v>0</v>
      </c>
      <c r="AQ57" s="3">
        <f t="shared" si="261"/>
        <v>0</v>
      </c>
      <c r="AR57" s="3">
        <f t="shared" si="261"/>
        <v>0</v>
      </c>
      <c r="AS57" s="3">
        <f t="shared" si="261"/>
        <v>0</v>
      </c>
      <c r="AU57" s="3">
        <f t="shared" ref="AU57:BF57" si="262">IF(AND(AU$5&gt;=$C57,AU$5&lt;=$D57),$E57,0)</f>
        <v>0</v>
      </c>
      <c r="AV57" s="3">
        <f t="shared" si="262"/>
        <v>0</v>
      </c>
      <c r="AW57" s="3">
        <f t="shared" si="262"/>
        <v>0</v>
      </c>
      <c r="AX57" s="3">
        <f t="shared" si="262"/>
        <v>0</v>
      </c>
      <c r="AY57" s="3">
        <f t="shared" si="262"/>
        <v>0</v>
      </c>
      <c r="AZ57" s="3">
        <f t="shared" si="262"/>
        <v>0</v>
      </c>
      <c r="BA57" s="3">
        <f t="shared" si="262"/>
        <v>0</v>
      </c>
      <c r="BB57" s="3">
        <f t="shared" si="262"/>
        <v>0</v>
      </c>
      <c r="BC57" s="3">
        <f t="shared" si="262"/>
        <v>0</v>
      </c>
      <c r="BD57" s="3">
        <f t="shared" si="262"/>
        <v>0</v>
      </c>
      <c r="BE57" s="3">
        <f t="shared" si="262"/>
        <v>0</v>
      </c>
      <c r="BF57" s="3">
        <f t="shared" si="262"/>
        <v>0</v>
      </c>
      <c r="BG57" s="2"/>
      <c r="BH57" s="3">
        <f t="shared" ref="BH57:BS57" si="263">IF(AND(BH$5&gt;=$C57,BH$5&lt;=$D57),$E57,0)</f>
        <v>0</v>
      </c>
      <c r="BI57" s="3">
        <f t="shared" si="263"/>
        <v>0</v>
      </c>
      <c r="BJ57" s="3">
        <f t="shared" si="263"/>
        <v>0</v>
      </c>
      <c r="BK57" s="3">
        <f t="shared" si="263"/>
        <v>0</v>
      </c>
      <c r="BL57" s="3">
        <f t="shared" si="263"/>
        <v>0</v>
      </c>
      <c r="BM57" s="3">
        <f t="shared" si="263"/>
        <v>0</v>
      </c>
      <c r="BN57" s="3">
        <f t="shared" si="263"/>
        <v>0</v>
      </c>
      <c r="BO57" s="3">
        <f t="shared" si="263"/>
        <v>0</v>
      </c>
      <c r="BP57" s="3">
        <f t="shared" si="263"/>
        <v>0</v>
      </c>
      <c r="BQ57" s="3">
        <f t="shared" si="263"/>
        <v>0</v>
      </c>
      <c r="BR57" s="3">
        <f t="shared" si="263"/>
        <v>0</v>
      </c>
      <c r="BS57" s="3">
        <f t="shared" si="263"/>
        <v>0</v>
      </c>
      <c r="BT57" s="2"/>
    </row>
    <row r="58" spans="1:72" ht="15.75" customHeight="1">
      <c r="A58" s="54" t="str">
        <f>IF('Capital purchases'!C62="","",'Capital purchases'!C62)</f>
        <v/>
      </c>
      <c r="B58" s="2"/>
      <c r="C58" s="2" t="str">
        <f>IF($A58="","",'Capital purchases'!B62)</f>
        <v/>
      </c>
      <c r="D58" s="3" t="str">
        <f>IF($A58="","",'Capital purchases'!J62)</f>
        <v/>
      </c>
      <c r="E58" s="162" t="str">
        <f>IF($A58="","",'Capital purchases'!I62)</f>
        <v/>
      </c>
      <c r="H58" s="3">
        <f t="shared" ref="H58:S58" si="264">IF(AND(H$5&gt;=$C58,H$5&lt;=$D58),$E58,0)</f>
        <v>0</v>
      </c>
      <c r="I58" s="3">
        <f t="shared" si="264"/>
        <v>0</v>
      </c>
      <c r="J58" s="3">
        <f t="shared" si="264"/>
        <v>0</v>
      </c>
      <c r="K58" s="3">
        <f t="shared" si="264"/>
        <v>0</v>
      </c>
      <c r="L58" s="3">
        <f t="shared" si="264"/>
        <v>0</v>
      </c>
      <c r="M58" s="3">
        <f t="shared" si="264"/>
        <v>0</v>
      </c>
      <c r="N58" s="3">
        <f t="shared" si="264"/>
        <v>0</v>
      </c>
      <c r="O58" s="3">
        <f t="shared" si="264"/>
        <v>0</v>
      </c>
      <c r="P58" s="3">
        <f t="shared" si="264"/>
        <v>0</v>
      </c>
      <c r="Q58" s="3">
        <f t="shared" si="264"/>
        <v>0</v>
      </c>
      <c r="R58" s="3">
        <f t="shared" si="264"/>
        <v>0</v>
      </c>
      <c r="S58" s="3">
        <f t="shared" si="264"/>
        <v>0</v>
      </c>
      <c r="U58" s="3">
        <f t="shared" ref="U58:AF58" si="265">IF(AND(U$5&gt;=$C58,U$5&lt;=$D58),$E58,0)</f>
        <v>0</v>
      </c>
      <c r="V58" s="3">
        <f t="shared" si="265"/>
        <v>0</v>
      </c>
      <c r="W58" s="3">
        <f t="shared" si="265"/>
        <v>0</v>
      </c>
      <c r="X58" s="3">
        <f t="shared" si="265"/>
        <v>0</v>
      </c>
      <c r="Y58" s="3">
        <f t="shared" si="265"/>
        <v>0</v>
      </c>
      <c r="Z58" s="3">
        <f t="shared" si="265"/>
        <v>0</v>
      </c>
      <c r="AA58" s="3">
        <f t="shared" si="265"/>
        <v>0</v>
      </c>
      <c r="AB58" s="3">
        <f t="shared" si="265"/>
        <v>0</v>
      </c>
      <c r="AC58" s="3">
        <f t="shared" si="265"/>
        <v>0</v>
      </c>
      <c r="AD58" s="3">
        <f t="shared" si="265"/>
        <v>0</v>
      </c>
      <c r="AE58" s="3">
        <f t="shared" si="265"/>
        <v>0</v>
      </c>
      <c r="AF58" s="3">
        <f t="shared" si="265"/>
        <v>0</v>
      </c>
      <c r="AH58" s="3">
        <f t="shared" ref="AH58:AS58" si="266">IF(AND(AH$5&gt;=$C58,AH$5&lt;=$D58),$E58,0)</f>
        <v>0</v>
      </c>
      <c r="AI58" s="3">
        <f t="shared" si="266"/>
        <v>0</v>
      </c>
      <c r="AJ58" s="3">
        <f t="shared" si="266"/>
        <v>0</v>
      </c>
      <c r="AK58" s="3">
        <f t="shared" si="266"/>
        <v>0</v>
      </c>
      <c r="AL58" s="3">
        <f t="shared" si="266"/>
        <v>0</v>
      </c>
      <c r="AM58" s="3">
        <f t="shared" si="266"/>
        <v>0</v>
      </c>
      <c r="AN58" s="3">
        <f t="shared" si="266"/>
        <v>0</v>
      </c>
      <c r="AO58" s="3">
        <f t="shared" si="266"/>
        <v>0</v>
      </c>
      <c r="AP58" s="3">
        <f t="shared" si="266"/>
        <v>0</v>
      </c>
      <c r="AQ58" s="3">
        <f t="shared" si="266"/>
        <v>0</v>
      </c>
      <c r="AR58" s="3">
        <f t="shared" si="266"/>
        <v>0</v>
      </c>
      <c r="AS58" s="3">
        <f t="shared" si="266"/>
        <v>0</v>
      </c>
      <c r="AU58" s="3">
        <f t="shared" ref="AU58:BF58" si="267">IF(AND(AU$5&gt;=$C58,AU$5&lt;=$D58),$E58,0)</f>
        <v>0</v>
      </c>
      <c r="AV58" s="3">
        <f t="shared" si="267"/>
        <v>0</v>
      </c>
      <c r="AW58" s="3">
        <f t="shared" si="267"/>
        <v>0</v>
      </c>
      <c r="AX58" s="3">
        <f t="shared" si="267"/>
        <v>0</v>
      </c>
      <c r="AY58" s="3">
        <f t="shared" si="267"/>
        <v>0</v>
      </c>
      <c r="AZ58" s="3">
        <f t="shared" si="267"/>
        <v>0</v>
      </c>
      <c r="BA58" s="3">
        <f t="shared" si="267"/>
        <v>0</v>
      </c>
      <c r="BB58" s="3">
        <f t="shared" si="267"/>
        <v>0</v>
      </c>
      <c r="BC58" s="3">
        <f t="shared" si="267"/>
        <v>0</v>
      </c>
      <c r="BD58" s="3">
        <f t="shared" si="267"/>
        <v>0</v>
      </c>
      <c r="BE58" s="3">
        <f t="shared" si="267"/>
        <v>0</v>
      </c>
      <c r="BF58" s="3">
        <f t="shared" si="267"/>
        <v>0</v>
      </c>
      <c r="BG58" s="2"/>
      <c r="BH58" s="3">
        <f t="shared" ref="BH58:BS58" si="268">IF(AND(BH$5&gt;=$C58,BH$5&lt;=$D58),$E58,0)</f>
        <v>0</v>
      </c>
      <c r="BI58" s="3">
        <f t="shared" si="268"/>
        <v>0</v>
      </c>
      <c r="BJ58" s="3">
        <f t="shared" si="268"/>
        <v>0</v>
      </c>
      <c r="BK58" s="3">
        <f t="shared" si="268"/>
        <v>0</v>
      </c>
      <c r="BL58" s="3">
        <f t="shared" si="268"/>
        <v>0</v>
      </c>
      <c r="BM58" s="3">
        <f t="shared" si="268"/>
        <v>0</v>
      </c>
      <c r="BN58" s="3">
        <f t="shared" si="268"/>
        <v>0</v>
      </c>
      <c r="BO58" s="3">
        <f t="shared" si="268"/>
        <v>0</v>
      </c>
      <c r="BP58" s="3">
        <f t="shared" si="268"/>
        <v>0</v>
      </c>
      <c r="BQ58" s="3">
        <f t="shared" si="268"/>
        <v>0</v>
      </c>
      <c r="BR58" s="3">
        <f t="shared" si="268"/>
        <v>0</v>
      </c>
      <c r="BS58" s="3">
        <f t="shared" si="268"/>
        <v>0</v>
      </c>
      <c r="BT58" s="2"/>
    </row>
    <row r="59" spans="1:72" ht="15.75" customHeight="1">
      <c r="A59" s="54" t="str">
        <f>IF('Capital purchases'!C63="","",'Capital purchases'!C63)</f>
        <v/>
      </c>
      <c r="B59" s="2"/>
      <c r="C59" s="2" t="str">
        <f>IF($A59="","",'Capital purchases'!B63)</f>
        <v/>
      </c>
      <c r="D59" s="3" t="str">
        <f>IF($A59="","",'Capital purchases'!J63)</f>
        <v/>
      </c>
      <c r="E59" s="162" t="str">
        <f>IF($A59="","",'Capital purchases'!I63)</f>
        <v/>
      </c>
      <c r="H59" s="3">
        <f t="shared" ref="H59:S59" si="269">IF(AND(H$5&gt;=$C59,H$5&lt;=$D59),$E59,0)</f>
        <v>0</v>
      </c>
      <c r="I59" s="3">
        <f t="shared" si="269"/>
        <v>0</v>
      </c>
      <c r="J59" s="3">
        <f t="shared" si="269"/>
        <v>0</v>
      </c>
      <c r="K59" s="3">
        <f t="shared" si="269"/>
        <v>0</v>
      </c>
      <c r="L59" s="3">
        <f t="shared" si="269"/>
        <v>0</v>
      </c>
      <c r="M59" s="3">
        <f t="shared" si="269"/>
        <v>0</v>
      </c>
      <c r="N59" s="3">
        <f t="shared" si="269"/>
        <v>0</v>
      </c>
      <c r="O59" s="3">
        <f t="shared" si="269"/>
        <v>0</v>
      </c>
      <c r="P59" s="3">
        <f t="shared" si="269"/>
        <v>0</v>
      </c>
      <c r="Q59" s="3">
        <f t="shared" si="269"/>
        <v>0</v>
      </c>
      <c r="R59" s="3">
        <f t="shared" si="269"/>
        <v>0</v>
      </c>
      <c r="S59" s="3">
        <f t="shared" si="269"/>
        <v>0</v>
      </c>
      <c r="U59" s="3">
        <f t="shared" ref="U59:AF59" si="270">IF(AND(U$5&gt;=$C59,U$5&lt;=$D59),$E59,0)</f>
        <v>0</v>
      </c>
      <c r="V59" s="3">
        <f t="shared" si="270"/>
        <v>0</v>
      </c>
      <c r="W59" s="3">
        <f t="shared" si="270"/>
        <v>0</v>
      </c>
      <c r="X59" s="3">
        <f t="shared" si="270"/>
        <v>0</v>
      </c>
      <c r="Y59" s="3">
        <f t="shared" si="270"/>
        <v>0</v>
      </c>
      <c r="Z59" s="3">
        <f t="shared" si="270"/>
        <v>0</v>
      </c>
      <c r="AA59" s="3">
        <f t="shared" si="270"/>
        <v>0</v>
      </c>
      <c r="AB59" s="3">
        <f t="shared" si="270"/>
        <v>0</v>
      </c>
      <c r="AC59" s="3">
        <f t="shared" si="270"/>
        <v>0</v>
      </c>
      <c r="AD59" s="3">
        <f t="shared" si="270"/>
        <v>0</v>
      </c>
      <c r="AE59" s="3">
        <f t="shared" si="270"/>
        <v>0</v>
      </c>
      <c r="AF59" s="3">
        <f t="shared" si="270"/>
        <v>0</v>
      </c>
      <c r="AH59" s="3">
        <f t="shared" ref="AH59:AS59" si="271">IF(AND(AH$5&gt;=$C59,AH$5&lt;=$D59),$E59,0)</f>
        <v>0</v>
      </c>
      <c r="AI59" s="3">
        <f t="shared" si="271"/>
        <v>0</v>
      </c>
      <c r="AJ59" s="3">
        <f t="shared" si="271"/>
        <v>0</v>
      </c>
      <c r="AK59" s="3">
        <f t="shared" si="271"/>
        <v>0</v>
      </c>
      <c r="AL59" s="3">
        <f t="shared" si="271"/>
        <v>0</v>
      </c>
      <c r="AM59" s="3">
        <f t="shared" si="271"/>
        <v>0</v>
      </c>
      <c r="AN59" s="3">
        <f t="shared" si="271"/>
        <v>0</v>
      </c>
      <c r="AO59" s="3">
        <f t="shared" si="271"/>
        <v>0</v>
      </c>
      <c r="AP59" s="3">
        <f t="shared" si="271"/>
        <v>0</v>
      </c>
      <c r="AQ59" s="3">
        <f t="shared" si="271"/>
        <v>0</v>
      </c>
      <c r="AR59" s="3">
        <f t="shared" si="271"/>
        <v>0</v>
      </c>
      <c r="AS59" s="3">
        <f t="shared" si="271"/>
        <v>0</v>
      </c>
      <c r="AU59" s="3">
        <f t="shared" ref="AU59:BF59" si="272">IF(AND(AU$5&gt;=$C59,AU$5&lt;=$D59),$E59,0)</f>
        <v>0</v>
      </c>
      <c r="AV59" s="3">
        <f t="shared" si="272"/>
        <v>0</v>
      </c>
      <c r="AW59" s="3">
        <f t="shared" si="272"/>
        <v>0</v>
      </c>
      <c r="AX59" s="3">
        <f t="shared" si="272"/>
        <v>0</v>
      </c>
      <c r="AY59" s="3">
        <f t="shared" si="272"/>
        <v>0</v>
      </c>
      <c r="AZ59" s="3">
        <f t="shared" si="272"/>
        <v>0</v>
      </c>
      <c r="BA59" s="3">
        <f t="shared" si="272"/>
        <v>0</v>
      </c>
      <c r="BB59" s="3">
        <f t="shared" si="272"/>
        <v>0</v>
      </c>
      <c r="BC59" s="3">
        <f t="shared" si="272"/>
        <v>0</v>
      </c>
      <c r="BD59" s="3">
        <f t="shared" si="272"/>
        <v>0</v>
      </c>
      <c r="BE59" s="3">
        <f t="shared" si="272"/>
        <v>0</v>
      </c>
      <c r="BF59" s="3">
        <f t="shared" si="272"/>
        <v>0</v>
      </c>
      <c r="BG59" s="2"/>
      <c r="BH59" s="3">
        <f t="shared" ref="BH59:BS59" si="273">IF(AND(BH$5&gt;=$C59,BH$5&lt;=$D59),$E59,0)</f>
        <v>0</v>
      </c>
      <c r="BI59" s="3">
        <f t="shared" si="273"/>
        <v>0</v>
      </c>
      <c r="BJ59" s="3">
        <f t="shared" si="273"/>
        <v>0</v>
      </c>
      <c r="BK59" s="3">
        <f t="shared" si="273"/>
        <v>0</v>
      </c>
      <c r="BL59" s="3">
        <f t="shared" si="273"/>
        <v>0</v>
      </c>
      <c r="BM59" s="3">
        <f t="shared" si="273"/>
        <v>0</v>
      </c>
      <c r="BN59" s="3">
        <f t="shared" si="273"/>
        <v>0</v>
      </c>
      <c r="BO59" s="3">
        <f t="shared" si="273"/>
        <v>0</v>
      </c>
      <c r="BP59" s="3">
        <f t="shared" si="273"/>
        <v>0</v>
      </c>
      <c r="BQ59" s="3">
        <f t="shared" si="273"/>
        <v>0</v>
      </c>
      <c r="BR59" s="3">
        <f t="shared" si="273"/>
        <v>0</v>
      </c>
      <c r="BS59" s="3">
        <f t="shared" si="273"/>
        <v>0</v>
      </c>
      <c r="BT59" s="2"/>
    </row>
    <row r="60" spans="1:72" ht="15.75" customHeight="1">
      <c r="A60" s="54" t="str">
        <f>IF('Capital purchases'!C64="","",'Capital purchases'!C64)</f>
        <v/>
      </c>
      <c r="B60" s="2"/>
      <c r="C60" s="2" t="str">
        <f>IF($A60="","",'Capital purchases'!B64)</f>
        <v/>
      </c>
      <c r="D60" s="3" t="str">
        <f>IF($A60="","",'Capital purchases'!J64)</f>
        <v/>
      </c>
      <c r="E60" s="162" t="str">
        <f>IF($A60="","",'Capital purchases'!I64)</f>
        <v/>
      </c>
      <c r="H60" s="3">
        <f t="shared" ref="H60:S60" si="274">IF(AND(H$5&gt;=$C60,H$5&lt;=$D60),$E60,0)</f>
        <v>0</v>
      </c>
      <c r="I60" s="3">
        <f t="shared" si="274"/>
        <v>0</v>
      </c>
      <c r="J60" s="3">
        <f t="shared" si="274"/>
        <v>0</v>
      </c>
      <c r="K60" s="3">
        <f t="shared" si="274"/>
        <v>0</v>
      </c>
      <c r="L60" s="3">
        <f t="shared" si="274"/>
        <v>0</v>
      </c>
      <c r="M60" s="3">
        <f t="shared" si="274"/>
        <v>0</v>
      </c>
      <c r="N60" s="3">
        <f t="shared" si="274"/>
        <v>0</v>
      </c>
      <c r="O60" s="3">
        <f t="shared" si="274"/>
        <v>0</v>
      </c>
      <c r="P60" s="3">
        <f t="shared" si="274"/>
        <v>0</v>
      </c>
      <c r="Q60" s="3">
        <f t="shared" si="274"/>
        <v>0</v>
      </c>
      <c r="R60" s="3">
        <f t="shared" si="274"/>
        <v>0</v>
      </c>
      <c r="S60" s="3">
        <f t="shared" si="274"/>
        <v>0</v>
      </c>
      <c r="U60" s="3">
        <f t="shared" ref="U60:AF60" si="275">IF(AND(U$5&gt;=$C60,U$5&lt;=$D60),$E60,0)</f>
        <v>0</v>
      </c>
      <c r="V60" s="3">
        <f t="shared" si="275"/>
        <v>0</v>
      </c>
      <c r="W60" s="3">
        <f t="shared" si="275"/>
        <v>0</v>
      </c>
      <c r="X60" s="3">
        <f t="shared" si="275"/>
        <v>0</v>
      </c>
      <c r="Y60" s="3">
        <f t="shared" si="275"/>
        <v>0</v>
      </c>
      <c r="Z60" s="3">
        <f t="shared" si="275"/>
        <v>0</v>
      </c>
      <c r="AA60" s="3">
        <f t="shared" si="275"/>
        <v>0</v>
      </c>
      <c r="AB60" s="3">
        <f t="shared" si="275"/>
        <v>0</v>
      </c>
      <c r="AC60" s="3">
        <f t="shared" si="275"/>
        <v>0</v>
      </c>
      <c r="AD60" s="3">
        <f t="shared" si="275"/>
        <v>0</v>
      </c>
      <c r="AE60" s="3">
        <f t="shared" si="275"/>
        <v>0</v>
      </c>
      <c r="AF60" s="3">
        <f t="shared" si="275"/>
        <v>0</v>
      </c>
      <c r="AH60" s="3">
        <f t="shared" ref="AH60:AS60" si="276">IF(AND(AH$5&gt;=$C60,AH$5&lt;=$D60),$E60,0)</f>
        <v>0</v>
      </c>
      <c r="AI60" s="3">
        <f t="shared" si="276"/>
        <v>0</v>
      </c>
      <c r="AJ60" s="3">
        <f t="shared" si="276"/>
        <v>0</v>
      </c>
      <c r="AK60" s="3">
        <f t="shared" si="276"/>
        <v>0</v>
      </c>
      <c r="AL60" s="3">
        <f t="shared" si="276"/>
        <v>0</v>
      </c>
      <c r="AM60" s="3">
        <f t="shared" si="276"/>
        <v>0</v>
      </c>
      <c r="AN60" s="3">
        <f t="shared" si="276"/>
        <v>0</v>
      </c>
      <c r="AO60" s="3">
        <f t="shared" si="276"/>
        <v>0</v>
      </c>
      <c r="AP60" s="3">
        <f t="shared" si="276"/>
        <v>0</v>
      </c>
      <c r="AQ60" s="3">
        <f t="shared" si="276"/>
        <v>0</v>
      </c>
      <c r="AR60" s="3">
        <f t="shared" si="276"/>
        <v>0</v>
      </c>
      <c r="AS60" s="3">
        <f t="shared" si="276"/>
        <v>0</v>
      </c>
      <c r="AU60" s="3">
        <f t="shared" ref="AU60:BF60" si="277">IF(AND(AU$5&gt;=$C60,AU$5&lt;=$D60),$E60,0)</f>
        <v>0</v>
      </c>
      <c r="AV60" s="3">
        <f t="shared" si="277"/>
        <v>0</v>
      </c>
      <c r="AW60" s="3">
        <f t="shared" si="277"/>
        <v>0</v>
      </c>
      <c r="AX60" s="3">
        <f t="shared" si="277"/>
        <v>0</v>
      </c>
      <c r="AY60" s="3">
        <f t="shared" si="277"/>
        <v>0</v>
      </c>
      <c r="AZ60" s="3">
        <f t="shared" si="277"/>
        <v>0</v>
      </c>
      <c r="BA60" s="3">
        <f t="shared" si="277"/>
        <v>0</v>
      </c>
      <c r="BB60" s="3">
        <f t="shared" si="277"/>
        <v>0</v>
      </c>
      <c r="BC60" s="3">
        <f t="shared" si="277"/>
        <v>0</v>
      </c>
      <c r="BD60" s="3">
        <f t="shared" si="277"/>
        <v>0</v>
      </c>
      <c r="BE60" s="3">
        <f t="shared" si="277"/>
        <v>0</v>
      </c>
      <c r="BF60" s="3">
        <f t="shared" si="277"/>
        <v>0</v>
      </c>
      <c r="BG60" s="2"/>
      <c r="BH60" s="3">
        <f t="shared" ref="BH60:BS60" si="278">IF(AND(BH$5&gt;=$C60,BH$5&lt;=$D60),$E60,0)</f>
        <v>0</v>
      </c>
      <c r="BI60" s="3">
        <f t="shared" si="278"/>
        <v>0</v>
      </c>
      <c r="BJ60" s="3">
        <f t="shared" si="278"/>
        <v>0</v>
      </c>
      <c r="BK60" s="3">
        <f t="shared" si="278"/>
        <v>0</v>
      </c>
      <c r="BL60" s="3">
        <f t="shared" si="278"/>
        <v>0</v>
      </c>
      <c r="BM60" s="3">
        <f t="shared" si="278"/>
        <v>0</v>
      </c>
      <c r="BN60" s="3">
        <f t="shared" si="278"/>
        <v>0</v>
      </c>
      <c r="BO60" s="3">
        <f t="shared" si="278"/>
        <v>0</v>
      </c>
      <c r="BP60" s="3">
        <f t="shared" si="278"/>
        <v>0</v>
      </c>
      <c r="BQ60" s="3">
        <f t="shared" si="278"/>
        <v>0</v>
      </c>
      <c r="BR60" s="3">
        <f t="shared" si="278"/>
        <v>0</v>
      </c>
      <c r="BS60" s="3">
        <f t="shared" si="278"/>
        <v>0</v>
      </c>
      <c r="BT60" s="2"/>
    </row>
    <row r="61" spans="1:72" ht="15.75" customHeight="1">
      <c r="A61" s="54" t="str">
        <f>IF('Capital purchases'!C65="","",'Capital purchases'!C65)</f>
        <v/>
      </c>
      <c r="B61" s="2"/>
      <c r="C61" s="2" t="str">
        <f>IF($A61="","",'Capital purchases'!B65)</f>
        <v/>
      </c>
      <c r="D61" s="3" t="str">
        <f>IF($A61="","",'Capital purchases'!J65)</f>
        <v/>
      </c>
      <c r="E61" s="162" t="str">
        <f>IF($A61="","",'Capital purchases'!I65)</f>
        <v/>
      </c>
      <c r="H61" s="3">
        <f t="shared" ref="H61:S61" si="279">IF(AND(H$5&gt;=$C61,H$5&lt;=$D61),$E61,0)</f>
        <v>0</v>
      </c>
      <c r="I61" s="3">
        <f t="shared" si="279"/>
        <v>0</v>
      </c>
      <c r="J61" s="3">
        <f t="shared" si="279"/>
        <v>0</v>
      </c>
      <c r="K61" s="3">
        <f t="shared" si="279"/>
        <v>0</v>
      </c>
      <c r="L61" s="3">
        <f t="shared" si="279"/>
        <v>0</v>
      </c>
      <c r="M61" s="3">
        <f t="shared" si="279"/>
        <v>0</v>
      </c>
      <c r="N61" s="3">
        <f t="shared" si="279"/>
        <v>0</v>
      </c>
      <c r="O61" s="3">
        <f t="shared" si="279"/>
        <v>0</v>
      </c>
      <c r="P61" s="3">
        <f t="shared" si="279"/>
        <v>0</v>
      </c>
      <c r="Q61" s="3">
        <f t="shared" si="279"/>
        <v>0</v>
      </c>
      <c r="R61" s="3">
        <f t="shared" si="279"/>
        <v>0</v>
      </c>
      <c r="S61" s="3">
        <f t="shared" si="279"/>
        <v>0</v>
      </c>
      <c r="U61" s="3">
        <f t="shared" ref="U61:AF61" si="280">IF(AND(U$5&gt;=$C61,U$5&lt;=$D61),$E61,0)</f>
        <v>0</v>
      </c>
      <c r="V61" s="3">
        <f t="shared" si="280"/>
        <v>0</v>
      </c>
      <c r="W61" s="3">
        <f t="shared" si="280"/>
        <v>0</v>
      </c>
      <c r="X61" s="3">
        <f t="shared" si="280"/>
        <v>0</v>
      </c>
      <c r="Y61" s="3">
        <f t="shared" si="280"/>
        <v>0</v>
      </c>
      <c r="Z61" s="3">
        <f t="shared" si="280"/>
        <v>0</v>
      </c>
      <c r="AA61" s="3">
        <f t="shared" si="280"/>
        <v>0</v>
      </c>
      <c r="AB61" s="3">
        <f t="shared" si="280"/>
        <v>0</v>
      </c>
      <c r="AC61" s="3">
        <f t="shared" si="280"/>
        <v>0</v>
      </c>
      <c r="AD61" s="3">
        <f t="shared" si="280"/>
        <v>0</v>
      </c>
      <c r="AE61" s="3">
        <f t="shared" si="280"/>
        <v>0</v>
      </c>
      <c r="AF61" s="3">
        <f t="shared" si="280"/>
        <v>0</v>
      </c>
      <c r="AH61" s="3">
        <f t="shared" ref="AH61:AS61" si="281">IF(AND(AH$5&gt;=$C61,AH$5&lt;=$D61),$E61,0)</f>
        <v>0</v>
      </c>
      <c r="AI61" s="3">
        <f t="shared" si="281"/>
        <v>0</v>
      </c>
      <c r="AJ61" s="3">
        <f t="shared" si="281"/>
        <v>0</v>
      </c>
      <c r="AK61" s="3">
        <f t="shared" si="281"/>
        <v>0</v>
      </c>
      <c r="AL61" s="3">
        <f t="shared" si="281"/>
        <v>0</v>
      </c>
      <c r="AM61" s="3">
        <f t="shared" si="281"/>
        <v>0</v>
      </c>
      <c r="AN61" s="3">
        <f t="shared" si="281"/>
        <v>0</v>
      </c>
      <c r="AO61" s="3">
        <f t="shared" si="281"/>
        <v>0</v>
      </c>
      <c r="AP61" s="3">
        <f t="shared" si="281"/>
        <v>0</v>
      </c>
      <c r="AQ61" s="3">
        <f t="shared" si="281"/>
        <v>0</v>
      </c>
      <c r="AR61" s="3">
        <f t="shared" si="281"/>
        <v>0</v>
      </c>
      <c r="AS61" s="3">
        <f t="shared" si="281"/>
        <v>0</v>
      </c>
      <c r="AU61" s="3">
        <f t="shared" ref="AU61:BF61" si="282">IF(AND(AU$5&gt;=$C61,AU$5&lt;=$D61),$E61,0)</f>
        <v>0</v>
      </c>
      <c r="AV61" s="3">
        <f t="shared" si="282"/>
        <v>0</v>
      </c>
      <c r="AW61" s="3">
        <f t="shared" si="282"/>
        <v>0</v>
      </c>
      <c r="AX61" s="3">
        <f t="shared" si="282"/>
        <v>0</v>
      </c>
      <c r="AY61" s="3">
        <f t="shared" si="282"/>
        <v>0</v>
      </c>
      <c r="AZ61" s="3">
        <f t="shared" si="282"/>
        <v>0</v>
      </c>
      <c r="BA61" s="3">
        <f t="shared" si="282"/>
        <v>0</v>
      </c>
      <c r="BB61" s="3">
        <f t="shared" si="282"/>
        <v>0</v>
      </c>
      <c r="BC61" s="3">
        <f t="shared" si="282"/>
        <v>0</v>
      </c>
      <c r="BD61" s="3">
        <f t="shared" si="282"/>
        <v>0</v>
      </c>
      <c r="BE61" s="3">
        <f t="shared" si="282"/>
        <v>0</v>
      </c>
      <c r="BF61" s="3">
        <f t="shared" si="282"/>
        <v>0</v>
      </c>
      <c r="BG61" s="2"/>
      <c r="BH61" s="3">
        <f t="shared" ref="BH61:BS61" si="283">IF(AND(BH$5&gt;=$C61,BH$5&lt;=$D61),$E61,0)</f>
        <v>0</v>
      </c>
      <c r="BI61" s="3">
        <f t="shared" si="283"/>
        <v>0</v>
      </c>
      <c r="BJ61" s="3">
        <f t="shared" si="283"/>
        <v>0</v>
      </c>
      <c r="BK61" s="3">
        <f t="shared" si="283"/>
        <v>0</v>
      </c>
      <c r="BL61" s="3">
        <f t="shared" si="283"/>
        <v>0</v>
      </c>
      <c r="BM61" s="3">
        <f t="shared" si="283"/>
        <v>0</v>
      </c>
      <c r="BN61" s="3">
        <f t="shared" si="283"/>
        <v>0</v>
      </c>
      <c r="BO61" s="3">
        <f t="shared" si="283"/>
        <v>0</v>
      </c>
      <c r="BP61" s="3">
        <f t="shared" si="283"/>
        <v>0</v>
      </c>
      <c r="BQ61" s="3">
        <f t="shared" si="283"/>
        <v>0</v>
      </c>
      <c r="BR61" s="3">
        <f t="shared" si="283"/>
        <v>0</v>
      </c>
      <c r="BS61" s="3">
        <f t="shared" si="283"/>
        <v>0</v>
      </c>
      <c r="BT61" s="2"/>
    </row>
    <row r="62" spans="1:72" ht="15.75" customHeight="1">
      <c r="A62" s="54" t="str">
        <f>IF('Capital purchases'!C66="","",'Capital purchases'!C66)</f>
        <v/>
      </c>
      <c r="B62" s="2"/>
      <c r="C62" s="2" t="str">
        <f>IF($A62="","",'Capital purchases'!B66)</f>
        <v/>
      </c>
      <c r="D62" s="3" t="str">
        <f>IF($A62="","",'Capital purchases'!J66)</f>
        <v/>
      </c>
      <c r="E62" s="162" t="str">
        <f>IF($A62="","",'Capital purchases'!I66)</f>
        <v/>
      </c>
      <c r="H62" s="3">
        <f t="shared" ref="H62:S62" si="284">IF(AND(H$5&gt;=$C62,H$5&lt;=$D62),$E62,0)</f>
        <v>0</v>
      </c>
      <c r="I62" s="3">
        <f t="shared" si="284"/>
        <v>0</v>
      </c>
      <c r="J62" s="3">
        <f t="shared" si="284"/>
        <v>0</v>
      </c>
      <c r="K62" s="3">
        <f t="shared" si="284"/>
        <v>0</v>
      </c>
      <c r="L62" s="3">
        <f t="shared" si="284"/>
        <v>0</v>
      </c>
      <c r="M62" s="3">
        <f t="shared" si="284"/>
        <v>0</v>
      </c>
      <c r="N62" s="3">
        <f t="shared" si="284"/>
        <v>0</v>
      </c>
      <c r="O62" s="3">
        <f t="shared" si="284"/>
        <v>0</v>
      </c>
      <c r="P62" s="3">
        <f t="shared" si="284"/>
        <v>0</v>
      </c>
      <c r="Q62" s="3">
        <f t="shared" si="284"/>
        <v>0</v>
      </c>
      <c r="R62" s="3">
        <f t="shared" si="284"/>
        <v>0</v>
      </c>
      <c r="S62" s="3">
        <f t="shared" si="284"/>
        <v>0</v>
      </c>
      <c r="U62" s="3">
        <f t="shared" ref="U62:AF62" si="285">IF(AND(U$5&gt;=$C62,U$5&lt;=$D62),$E62,0)</f>
        <v>0</v>
      </c>
      <c r="V62" s="3">
        <f t="shared" si="285"/>
        <v>0</v>
      </c>
      <c r="W62" s="3">
        <f t="shared" si="285"/>
        <v>0</v>
      </c>
      <c r="X62" s="3">
        <f t="shared" si="285"/>
        <v>0</v>
      </c>
      <c r="Y62" s="3">
        <f t="shared" si="285"/>
        <v>0</v>
      </c>
      <c r="Z62" s="3">
        <f t="shared" si="285"/>
        <v>0</v>
      </c>
      <c r="AA62" s="3">
        <f t="shared" si="285"/>
        <v>0</v>
      </c>
      <c r="AB62" s="3">
        <f t="shared" si="285"/>
        <v>0</v>
      </c>
      <c r="AC62" s="3">
        <f t="shared" si="285"/>
        <v>0</v>
      </c>
      <c r="AD62" s="3">
        <f t="shared" si="285"/>
        <v>0</v>
      </c>
      <c r="AE62" s="3">
        <f t="shared" si="285"/>
        <v>0</v>
      </c>
      <c r="AF62" s="3">
        <f t="shared" si="285"/>
        <v>0</v>
      </c>
      <c r="AH62" s="3">
        <f t="shared" ref="AH62:AS62" si="286">IF(AND(AH$5&gt;=$C62,AH$5&lt;=$D62),$E62,0)</f>
        <v>0</v>
      </c>
      <c r="AI62" s="3">
        <f t="shared" si="286"/>
        <v>0</v>
      </c>
      <c r="AJ62" s="3">
        <f t="shared" si="286"/>
        <v>0</v>
      </c>
      <c r="AK62" s="3">
        <f t="shared" si="286"/>
        <v>0</v>
      </c>
      <c r="AL62" s="3">
        <f t="shared" si="286"/>
        <v>0</v>
      </c>
      <c r="AM62" s="3">
        <f t="shared" si="286"/>
        <v>0</v>
      </c>
      <c r="AN62" s="3">
        <f t="shared" si="286"/>
        <v>0</v>
      </c>
      <c r="AO62" s="3">
        <f t="shared" si="286"/>
        <v>0</v>
      </c>
      <c r="AP62" s="3">
        <f t="shared" si="286"/>
        <v>0</v>
      </c>
      <c r="AQ62" s="3">
        <f t="shared" si="286"/>
        <v>0</v>
      </c>
      <c r="AR62" s="3">
        <f t="shared" si="286"/>
        <v>0</v>
      </c>
      <c r="AS62" s="3">
        <f t="shared" si="286"/>
        <v>0</v>
      </c>
      <c r="AU62" s="3">
        <f t="shared" ref="AU62:BF62" si="287">IF(AND(AU$5&gt;=$C62,AU$5&lt;=$D62),$E62,0)</f>
        <v>0</v>
      </c>
      <c r="AV62" s="3">
        <f t="shared" si="287"/>
        <v>0</v>
      </c>
      <c r="AW62" s="3">
        <f t="shared" si="287"/>
        <v>0</v>
      </c>
      <c r="AX62" s="3">
        <f t="shared" si="287"/>
        <v>0</v>
      </c>
      <c r="AY62" s="3">
        <f t="shared" si="287"/>
        <v>0</v>
      </c>
      <c r="AZ62" s="3">
        <f t="shared" si="287"/>
        <v>0</v>
      </c>
      <c r="BA62" s="3">
        <f t="shared" si="287"/>
        <v>0</v>
      </c>
      <c r="BB62" s="3">
        <f t="shared" si="287"/>
        <v>0</v>
      </c>
      <c r="BC62" s="3">
        <f t="shared" si="287"/>
        <v>0</v>
      </c>
      <c r="BD62" s="3">
        <f t="shared" si="287"/>
        <v>0</v>
      </c>
      <c r="BE62" s="3">
        <f t="shared" si="287"/>
        <v>0</v>
      </c>
      <c r="BF62" s="3">
        <f t="shared" si="287"/>
        <v>0</v>
      </c>
      <c r="BG62" s="2"/>
      <c r="BH62" s="3">
        <f t="shared" ref="BH62:BS62" si="288">IF(AND(BH$5&gt;=$C62,BH$5&lt;=$D62),$E62,0)</f>
        <v>0</v>
      </c>
      <c r="BI62" s="3">
        <f t="shared" si="288"/>
        <v>0</v>
      </c>
      <c r="BJ62" s="3">
        <f t="shared" si="288"/>
        <v>0</v>
      </c>
      <c r="BK62" s="3">
        <f t="shared" si="288"/>
        <v>0</v>
      </c>
      <c r="BL62" s="3">
        <f t="shared" si="288"/>
        <v>0</v>
      </c>
      <c r="BM62" s="3">
        <f t="shared" si="288"/>
        <v>0</v>
      </c>
      <c r="BN62" s="3">
        <f t="shared" si="288"/>
        <v>0</v>
      </c>
      <c r="BO62" s="3">
        <f t="shared" si="288"/>
        <v>0</v>
      </c>
      <c r="BP62" s="3">
        <f t="shared" si="288"/>
        <v>0</v>
      </c>
      <c r="BQ62" s="3">
        <f t="shared" si="288"/>
        <v>0</v>
      </c>
      <c r="BR62" s="3">
        <f t="shared" si="288"/>
        <v>0</v>
      </c>
      <c r="BS62" s="3">
        <f t="shared" si="288"/>
        <v>0</v>
      </c>
      <c r="BT62" s="2"/>
    </row>
    <row r="63" spans="1:72" ht="15.75" customHeight="1">
      <c r="A63" s="54" t="str">
        <f>IF('Capital purchases'!C67="","",'Capital purchases'!C67)</f>
        <v/>
      </c>
      <c r="B63" s="2"/>
      <c r="C63" s="2" t="str">
        <f>IF($A63="","",'Capital purchases'!B67)</f>
        <v/>
      </c>
      <c r="D63" s="3" t="str">
        <f>IF($A63="","",'Capital purchases'!J67)</f>
        <v/>
      </c>
      <c r="E63" s="162" t="str">
        <f>IF($A63="","",'Capital purchases'!I67)</f>
        <v/>
      </c>
      <c r="H63" s="3">
        <f t="shared" ref="H63:S63" si="289">IF(AND(H$5&gt;=$C63,H$5&lt;=$D63),$E63,0)</f>
        <v>0</v>
      </c>
      <c r="I63" s="3">
        <f t="shared" si="289"/>
        <v>0</v>
      </c>
      <c r="J63" s="3">
        <f t="shared" si="289"/>
        <v>0</v>
      </c>
      <c r="K63" s="3">
        <f t="shared" si="289"/>
        <v>0</v>
      </c>
      <c r="L63" s="3">
        <f t="shared" si="289"/>
        <v>0</v>
      </c>
      <c r="M63" s="3">
        <f t="shared" si="289"/>
        <v>0</v>
      </c>
      <c r="N63" s="3">
        <f t="shared" si="289"/>
        <v>0</v>
      </c>
      <c r="O63" s="3">
        <f t="shared" si="289"/>
        <v>0</v>
      </c>
      <c r="P63" s="3">
        <f t="shared" si="289"/>
        <v>0</v>
      </c>
      <c r="Q63" s="3">
        <f t="shared" si="289"/>
        <v>0</v>
      </c>
      <c r="R63" s="3">
        <f t="shared" si="289"/>
        <v>0</v>
      </c>
      <c r="S63" s="3">
        <f t="shared" si="289"/>
        <v>0</v>
      </c>
      <c r="U63" s="3">
        <f t="shared" ref="U63:AF63" si="290">IF(AND(U$5&gt;=$C63,U$5&lt;=$D63),$E63,0)</f>
        <v>0</v>
      </c>
      <c r="V63" s="3">
        <f t="shared" si="290"/>
        <v>0</v>
      </c>
      <c r="W63" s="3">
        <f t="shared" si="290"/>
        <v>0</v>
      </c>
      <c r="X63" s="3">
        <f t="shared" si="290"/>
        <v>0</v>
      </c>
      <c r="Y63" s="3">
        <f t="shared" si="290"/>
        <v>0</v>
      </c>
      <c r="Z63" s="3">
        <f t="shared" si="290"/>
        <v>0</v>
      </c>
      <c r="AA63" s="3">
        <f t="shared" si="290"/>
        <v>0</v>
      </c>
      <c r="AB63" s="3">
        <f t="shared" si="290"/>
        <v>0</v>
      </c>
      <c r="AC63" s="3">
        <f t="shared" si="290"/>
        <v>0</v>
      </c>
      <c r="AD63" s="3">
        <f t="shared" si="290"/>
        <v>0</v>
      </c>
      <c r="AE63" s="3">
        <f t="shared" si="290"/>
        <v>0</v>
      </c>
      <c r="AF63" s="3">
        <f t="shared" si="290"/>
        <v>0</v>
      </c>
      <c r="AH63" s="3">
        <f t="shared" ref="AH63:AS63" si="291">IF(AND(AH$5&gt;=$C63,AH$5&lt;=$D63),$E63,0)</f>
        <v>0</v>
      </c>
      <c r="AI63" s="3">
        <f t="shared" si="291"/>
        <v>0</v>
      </c>
      <c r="AJ63" s="3">
        <f t="shared" si="291"/>
        <v>0</v>
      </c>
      <c r="AK63" s="3">
        <f t="shared" si="291"/>
        <v>0</v>
      </c>
      <c r="AL63" s="3">
        <f t="shared" si="291"/>
        <v>0</v>
      </c>
      <c r="AM63" s="3">
        <f t="shared" si="291"/>
        <v>0</v>
      </c>
      <c r="AN63" s="3">
        <f t="shared" si="291"/>
        <v>0</v>
      </c>
      <c r="AO63" s="3">
        <f t="shared" si="291"/>
        <v>0</v>
      </c>
      <c r="AP63" s="3">
        <f t="shared" si="291"/>
        <v>0</v>
      </c>
      <c r="AQ63" s="3">
        <f t="shared" si="291"/>
        <v>0</v>
      </c>
      <c r="AR63" s="3">
        <f t="shared" si="291"/>
        <v>0</v>
      </c>
      <c r="AS63" s="3">
        <f t="shared" si="291"/>
        <v>0</v>
      </c>
      <c r="AU63" s="3">
        <f t="shared" ref="AU63:BF63" si="292">IF(AND(AU$5&gt;=$C63,AU$5&lt;=$D63),$E63,0)</f>
        <v>0</v>
      </c>
      <c r="AV63" s="3">
        <f t="shared" si="292"/>
        <v>0</v>
      </c>
      <c r="AW63" s="3">
        <f t="shared" si="292"/>
        <v>0</v>
      </c>
      <c r="AX63" s="3">
        <f t="shared" si="292"/>
        <v>0</v>
      </c>
      <c r="AY63" s="3">
        <f t="shared" si="292"/>
        <v>0</v>
      </c>
      <c r="AZ63" s="3">
        <f t="shared" si="292"/>
        <v>0</v>
      </c>
      <c r="BA63" s="3">
        <f t="shared" si="292"/>
        <v>0</v>
      </c>
      <c r="BB63" s="3">
        <f t="shared" si="292"/>
        <v>0</v>
      </c>
      <c r="BC63" s="3">
        <f t="shared" si="292"/>
        <v>0</v>
      </c>
      <c r="BD63" s="3">
        <f t="shared" si="292"/>
        <v>0</v>
      </c>
      <c r="BE63" s="3">
        <f t="shared" si="292"/>
        <v>0</v>
      </c>
      <c r="BF63" s="3">
        <f t="shared" si="292"/>
        <v>0</v>
      </c>
      <c r="BG63" s="2"/>
      <c r="BH63" s="3">
        <f t="shared" ref="BH63:BS63" si="293">IF(AND(BH$5&gt;=$C63,BH$5&lt;=$D63),$E63,0)</f>
        <v>0</v>
      </c>
      <c r="BI63" s="3">
        <f t="shared" si="293"/>
        <v>0</v>
      </c>
      <c r="BJ63" s="3">
        <f t="shared" si="293"/>
        <v>0</v>
      </c>
      <c r="BK63" s="3">
        <f t="shared" si="293"/>
        <v>0</v>
      </c>
      <c r="BL63" s="3">
        <f t="shared" si="293"/>
        <v>0</v>
      </c>
      <c r="BM63" s="3">
        <f t="shared" si="293"/>
        <v>0</v>
      </c>
      <c r="BN63" s="3">
        <f t="shared" si="293"/>
        <v>0</v>
      </c>
      <c r="BO63" s="3">
        <f t="shared" si="293"/>
        <v>0</v>
      </c>
      <c r="BP63" s="3">
        <f t="shared" si="293"/>
        <v>0</v>
      </c>
      <c r="BQ63" s="3">
        <f t="shared" si="293"/>
        <v>0</v>
      </c>
      <c r="BR63" s="3">
        <f t="shared" si="293"/>
        <v>0</v>
      </c>
      <c r="BS63" s="3">
        <f t="shared" si="293"/>
        <v>0</v>
      </c>
      <c r="BT63" s="2"/>
    </row>
    <row r="64" spans="1:72" ht="15.75" customHeight="1">
      <c r="A64" s="54" t="str">
        <f>IF('Capital purchases'!C68="","",'Capital purchases'!C68)</f>
        <v/>
      </c>
      <c r="B64" s="2"/>
      <c r="C64" s="2" t="str">
        <f>IF($A64="","",'Capital purchases'!B68)</f>
        <v/>
      </c>
      <c r="D64" s="3" t="str">
        <f>IF($A64="","",'Capital purchases'!J68)</f>
        <v/>
      </c>
      <c r="E64" s="162" t="str">
        <f>IF($A64="","",'Capital purchases'!I68)</f>
        <v/>
      </c>
      <c r="H64" s="3">
        <f t="shared" ref="H64:S64" si="294">IF(AND(H$5&gt;=$C64,H$5&lt;=$D64),$E64,0)</f>
        <v>0</v>
      </c>
      <c r="I64" s="3">
        <f t="shared" si="294"/>
        <v>0</v>
      </c>
      <c r="J64" s="3">
        <f t="shared" si="294"/>
        <v>0</v>
      </c>
      <c r="K64" s="3">
        <f t="shared" si="294"/>
        <v>0</v>
      </c>
      <c r="L64" s="3">
        <f t="shared" si="294"/>
        <v>0</v>
      </c>
      <c r="M64" s="3">
        <f t="shared" si="294"/>
        <v>0</v>
      </c>
      <c r="N64" s="3">
        <f t="shared" si="294"/>
        <v>0</v>
      </c>
      <c r="O64" s="3">
        <f t="shared" si="294"/>
        <v>0</v>
      </c>
      <c r="P64" s="3">
        <f t="shared" si="294"/>
        <v>0</v>
      </c>
      <c r="Q64" s="3">
        <f t="shared" si="294"/>
        <v>0</v>
      </c>
      <c r="R64" s="3">
        <f t="shared" si="294"/>
        <v>0</v>
      </c>
      <c r="S64" s="3">
        <f t="shared" si="294"/>
        <v>0</v>
      </c>
      <c r="U64" s="3">
        <f t="shared" ref="U64:AF64" si="295">IF(AND(U$5&gt;=$C64,U$5&lt;=$D64),$E64,0)</f>
        <v>0</v>
      </c>
      <c r="V64" s="3">
        <f t="shared" si="295"/>
        <v>0</v>
      </c>
      <c r="W64" s="3">
        <f t="shared" si="295"/>
        <v>0</v>
      </c>
      <c r="X64" s="3">
        <f t="shared" si="295"/>
        <v>0</v>
      </c>
      <c r="Y64" s="3">
        <f t="shared" si="295"/>
        <v>0</v>
      </c>
      <c r="Z64" s="3">
        <f t="shared" si="295"/>
        <v>0</v>
      </c>
      <c r="AA64" s="3">
        <f t="shared" si="295"/>
        <v>0</v>
      </c>
      <c r="AB64" s="3">
        <f t="shared" si="295"/>
        <v>0</v>
      </c>
      <c r="AC64" s="3">
        <f t="shared" si="295"/>
        <v>0</v>
      </c>
      <c r="AD64" s="3">
        <f t="shared" si="295"/>
        <v>0</v>
      </c>
      <c r="AE64" s="3">
        <f t="shared" si="295"/>
        <v>0</v>
      </c>
      <c r="AF64" s="3">
        <f t="shared" si="295"/>
        <v>0</v>
      </c>
      <c r="AH64" s="3">
        <f t="shared" ref="AH64:AS64" si="296">IF(AND(AH$5&gt;=$C64,AH$5&lt;=$D64),$E64,0)</f>
        <v>0</v>
      </c>
      <c r="AI64" s="3">
        <f t="shared" si="296"/>
        <v>0</v>
      </c>
      <c r="AJ64" s="3">
        <f t="shared" si="296"/>
        <v>0</v>
      </c>
      <c r="AK64" s="3">
        <f t="shared" si="296"/>
        <v>0</v>
      </c>
      <c r="AL64" s="3">
        <f t="shared" si="296"/>
        <v>0</v>
      </c>
      <c r="AM64" s="3">
        <f t="shared" si="296"/>
        <v>0</v>
      </c>
      <c r="AN64" s="3">
        <f t="shared" si="296"/>
        <v>0</v>
      </c>
      <c r="AO64" s="3">
        <f t="shared" si="296"/>
        <v>0</v>
      </c>
      <c r="AP64" s="3">
        <f t="shared" si="296"/>
        <v>0</v>
      </c>
      <c r="AQ64" s="3">
        <f t="shared" si="296"/>
        <v>0</v>
      </c>
      <c r="AR64" s="3">
        <f t="shared" si="296"/>
        <v>0</v>
      </c>
      <c r="AS64" s="3">
        <f t="shared" si="296"/>
        <v>0</v>
      </c>
      <c r="AU64" s="3">
        <f t="shared" ref="AU64:BF64" si="297">IF(AND(AU$5&gt;=$C64,AU$5&lt;=$D64),$E64,0)</f>
        <v>0</v>
      </c>
      <c r="AV64" s="3">
        <f t="shared" si="297"/>
        <v>0</v>
      </c>
      <c r="AW64" s="3">
        <f t="shared" si="297"/>
        <v>0</v>
      </c>
      <c r="AX64" s="3">
        <f t="shared" si="297"/>
        <v>0</v>
      </c>
      <c r="AY64" s="3">
        <f t="shared" si="297"/>
        <v>0</v>
      </c>
      <c r="AZ64" s="3">
        <f t="shared" si="297"/>
        <v>0</v>
      </c>
      <c r="BA64" s="3">
        <f t="shared" si="297"/>
        <v>0</v>
      </c>
      <c r="BB64" s="3">
        <f t="shared" si="297"/>
        <v>0</v>
      </c>
      <c r="BC64" s="3">
        <f t="shared" si="297"/>
        <v>0</v>
      </c>
      <c r="BD64" s="3">
        <f t="shared" si="297"/>
        <v>0</v>
      </c>
      <c r="BE64" s="3">
        <f t="shared" si="297"/>
        <v>0</v>
      </c>
      <c r="BF64" s="3">
        <f t="shared" si="297"/>
        <v>0</v>
      </c>
      <c r="BG64" s="2"/>
      <c r="BH64" s="3">
        <f t="shared" ref="BH64:BS64" si="298">IF(AND(BH$5&gt;=$C64,BH$5&lt;=$D64),$E64,0)</f>
        <v>0</v>
      </c>
      <c r="BI64" s="3">
        <f t="shared" si="298"/>
        <v>0</v>
      </c>
      <c r="BJ64" s="3">
        <f t="shared" si="298"/>
        <v>0</v>
      </c>
      <c r="BK64" s="3">
        <f t="shared" si="298"/>
        <v>0</v>
      </c>
      <c r="BL64" s="3">
        <f t="shared" si="298"/>
        <v>0</v>
      </c>
      <c r="BM64" s="3">
        <f t="shared" si="298"/>
        <v>0</v>
      </c>
      <c r="BN64" s="3">
        <f t="shared" si="298"/>
        <v>0</v>
      </c>
      <c r="BO64" s="3">
        <f t="shared" si="298"/>
        <v>0</v>
      </c>
      <c r="BP64" s="3">
        <f t="shared" si="298"/>
        <v>0</v>
      </c>
      <c r="BQ64" s="3">
        <f t="shared" si="298"/>
        <v>0</v>
      </c>
      <c r="BR64" s="3">
        <f t="shared" si="298"/>
        <v>0</v>
      </c>
      <c r="BS64" s="3">
        <f t="shared" si="298"/>
        <v>0</v>
      </c>
      <c r="BT64" s="2"/>
    </row>
    <row r="65" spans="1:72" ht="15.75" customHeight="1">
      <c r="A65" s="54" t="str">
        <f>IF('Capital purchases'!C69="","",'Capital purchases'!C69)</f>
        <v/>
      </c>
      <c r="B65" s="2"/>
      <c r="C65" s="2" t="str">
        <f>IF($A65="","",'Capital purchases'!B69)</f>
        <v/>
      </c>
      <c r="D65" s="3" t="str">
        <f>IF($A65="","",'Capital purchases'!J69)</f>
        <v/>
      </c>
      <c r="E65" s="162" t="str">
        <f>IF($A65="","",'Capital purchases'!I69)</f>
        <v/>
      </c>
      <c r="H65" s="3">
        <f t="shared" ref="H65:S65" si="299">IF(AND(H$5&gt;=$C65,H$5&lt;=$D65),$E65,0)</f>
        <v>0</v>
      </c>
      <c r="I65" s="3">
        <f t="shared" si="299"/>
        <v>0</v>
      </c>
      <c r="J65" s="3">
        <f t="shared" si="299"/>
        <v>0</v>
      </c>
      <c r="K65" s="3">
        <f t="shared" si="299"/>
        <v>0</v>
      </c>
      <c r="L65" s="3">
        <f t="shared" si="299"/>
        <v>0</v>
      </c>
      <c r="M65" s="3">
        <f t="shared" si="299"/>
        <v>0</v>
      </c>
      <c r="N65" s="3">
        <f t="shared" si="299"/>
        <v>0</v>
      </c>
      <c r="O65" s="3">
        <f t="shared" si="299"/>
        <v>0</v>
      </c>
      <c r="P65" s="3">
        <f t="shared" si="299"/>
        <v>0</v>
      </c>
      <c r="Q65" s="3">
        <f t="shared" si="299"/>
        <v>0</v>
      </c>
      <c r="R65" s="3">
        <f t="shared" si="299"/>
        <v>0</v>
      </c>
      <c r="S65" s="3">
        <f t="shared" si="299"/>
        <v>0</v>
      </c>
      <c r="U65" s="3">
        <f t="shared" ref="U65:AF65" si="300">IF(AND(U$5&gt;=$C65,U$5&lt;=$D65),$E65,0)</f>
        <v>0</v>
      </c>
      <c r="V65" s="3">
        <f t="shared" si="300"/>
        <v>0</v>
      </c>
      <c r="W65" s="3">
        <f t="shared" si="300"/>
        <v>0</v>
      </c>
      <c r="X65" s="3">
        <f t="shared" si="300"/>
        <v>0</v>
      </c>
      <c r="Y65" s="3">
        <f t="shared" si="300"/>
        <v>0</v>
      </c>
      <c r="Z65" s="3">
        <f t="shared" si="300"/>
        <v>0</v>
      </c>
      <c r="AA65" s="3">
        <f t="shared" si="300"/>
        <v>0</v>
      </c>
      <c r="AB65" s="3">
        <f t="shared" si="300"/>
        <v>0</v>
      </c>
      <c r="AC65" s="3">
        <f t="shared" si="300"/>
        <v>0</v>
      </c>
      <c r="AD65" s="3">
        <f t="shared" si="300"/>
        <v>0</v>
      </c>
      <c r="AE65" s="3">
        <f t="shared" si="300"/>
        <v>0</v>
      </c>
      <c r="AF65" s="3">
        <f t="shared" si="300"/>
        <v>0</v>
      </c>
      <c r="AH65" s="3">
        <f t="shared" ref="AH65:AS65" si="301">IF(AND(AH$5&gt;=$C65,AH$5&lt;=$D65),$E65,0)</f>
        <v>0</v>
      </c>
      <c r="AI65" s="3">
        <f t="shared" si="301"/>
        <v>0</v>
      </c>
      <c r="AJ65" s="3">
        <f t="shared" si="301"/>
        <v>0</v>
      </c>
      <c r="AK65" s="3">
        <f t="shared" si="301"/>
        <v>0</v>
      </c>
      <c r="AL65" s="3">
        <f t="shared" si="301"/>
        <v>0</v>
      </c>
      <c r="AM65" s="3">
        <f t="shared" si="301"/>
        <v>0</v>
      </c>
      <c r="AN65" s="3">
        <f t="shared" si="301"/>
        <v>0</v>
      </c>
      <c r="AO65" s="3">
        <f t="shared" si="301"/>
        <v>0</v>
      </c>
      <c r="AP65" s="3">
        <f t="shared" si="301"/>
        <v>0</v>
      </c>
      <c r="AQ65" s="3">
        <f t="shared" si="301"/>
        <v>0</v>
      </c>
      <c r="AR65" s="3">
        <f t="shared" si="301"/>
        <v>0</v>
      </c>
      <c r="AS65" s="3">
        <f t="shared" si="301"/>
        <v>0</v>
      </c>
      <c r="AU65" s="3">
        <f t="shared" ref="AU65:BF65" si="302">IF(AND(AU$5&gt;=$C65,AU$5&lt;=$D65),$E65,0)</f>
        <v>0</v>
      </c>
      <c r="AV65" s="3">
        <f t="shared" si="302"/>
        <v>0</v>
      </c>
      <c r="AW65" s="3">
        <f t="shared" si="302"/>
        <v>0</v>
      </c>
      <c r="AX65" s="3">
        <f t="shared" si="302"/>
        <v>0</v>
      </c>
      <c r="AY65" s="3">
        <f t="shared" si="302"/>
        <v>0</v>
      </c>
      <c r="AZ65" s="3">
        <f t="shared" si="302"/>
        <v>0</v>
      </c>
      <c r="BA65" s="3">
        <f t="shared" si="302"/>
        <v>0</v>
      </c>
      <c r="BB65" s="3">
        <f t="shared" si="302"/>
        <v>0</v>
      </c>
      <c r="BC65" s="3">
        <f t="shared" si="302"/>
        <v>0</v>
      </c>
      <c r="BD65" s="3">
        <f t="shared" si="302"/>
        <v>0</v>
      </c>
      <c r="BE65" s="3">
        <f t="shared" si="302"/>
        <v>0</v>
      </c>
      <c r="BF65" s="3">
        <f t="shared" si="302"/>
        <v>0</v>
      </c>
      <c r="BG65" s="2"/>
      <c r="BH65" s="3">
        <f t="shared" ref="BH65:BS65" si="303">IF(AND(BH$5&gt;=$C65,BH$5&lt;=$D65),$E65,0)</f>
        <v>0</v>
      </c>
      <c r="BI65" s="3">
        <f t="shared" si="303"/>
        <v>0</v>
      </c>
      <c r="BJ65" s="3">
        <f t="shared" si="303"/>
        <v>0</v>
      </c>
      <c r="BK65" s="3">
        <f t="shared" si="303"/>
        <v>0</v>
      </c>
      <c r="BL65" s="3">
        <f t="shared" si="303"/>
        <v>0</v>
      </c>
      <c r="BM65" s="3">
        <f t="shared" si="303"/>
        <v>0</v>
      </c>
      <c r="BN65" s="3">
        <f t="shared" si="303"/>
        <v>0</v>
      </c>
      <c r="BO65" s="3">
        <f t="shared" si="303"/>
        <v>0</v>
      </c>
      <c r="BP65" s="3">
        <f t="shared" si="303"/>
        <v>0</v>
      </c>
      <c r="BQ65" s="3">
        <f t="shared" si="303"/>
        <v>0</v>
      </c>
      <c r="BR65" s="3">
        <f t="shared" si="303"/>
        <v>0</v>
      </c>
      <c r="BS65" s="3">
        <f t="shared" si="303"/>
        <v>0</v>
      </c>
      <c r="BT65" s="2"/>
    </row>
    <row r="66" spans="1:72" ht="15.75" customHeight="1">
      <c r="A66" s="54" t="str">
        <f>IF('Capital purchases'!C70="","",'Capital purchases'!C70)</f>
        <v/>
      </c>
      <c r="B66" s="2"/>
      <c r="C66" s="2" t="str">
        <f>IF($A66="","",'Capital purchases'!B70)</f>
        <v/>
      </c>
      <c r="D66" s="3" t="str">
        <f>IF($A66="","",'Capital purchases'!J70)</f>
        <v/>
      </c>
      <c r="E66" s="162" t="str">
        <f>IF($A66="","",'Capital purchases'!I70)</f>
        <v/>
      </c>
      <c r="H66" s="3">
        <f t="shared" ref="H66:S66" si="304">IF(AND(H$5&gt;=$C66,H$5&lt;=$D66),$E66,0)</f>
        <v>0</v>
      </c>
      <c r="I66" s="3">
        <f t="shared" si="304"/>
        <v>0</v>
      </c>
      <c r="J66" s="3">
        <f t="shared" si="304"/>
        <v>0</v>
      </c>
      <c r="K66" s="3">
        <f t="shared" si="304"/>
        <v>0</v>
      </c>
      <c r="L66" s="3">
        <f t="shared" si="304"/>
        <v>0</v>
      </c>
      <c r="M66" s="3">
        <f t="shared" si="304"/>
        <v>0</v>
      </c>
      <c r="N66" s="3">
        <f t="shared" si="304"/>
        <v>0</v>
      </c>
      <c r="O66" s="3">
        <f t="shared" si="304"/>
        <v>0</v>
      </c>
      <c r="P66" s="3">
        <f t="shared" si="304"/>
        <v>0</v>
      </c>
      <c r="Q66" s="3">
        <f t="shared" si="304"/>
        <v>0</v>
      </c>
      <c r="R66" s="3">
        <f t="shared" si="304"/>
        <v>0</v>
      </c>
      <c r="S66" s="3">
        <f t="shared" si="304"/>
        <v>0</v>
      </c>
      <c r="U66" s="3">
        <f t="shared" ref="U66:AF66" si="305">IF(AND(U$5&gt;=$C66,U$5&lt;=$D66),$E66,0)</f>
        <v>0</v>
      </c>
      <c r="V66" s="3">
        <f t="shared" si="305"/>
        <v>0</v>
      </c>
      <c r="W66" s="3">
        <f t="shared" si="305"/>
        <v>0</v>
      </c>
      <c r="X66" s="3">
        <f t="shared" si="305"/>
        <v>0</v>
      </c>
      <c r="Y66" s="3">
        <f t="shared" si="305"/>
        <v>0</v>
      </c>
      <c r="Z66" s="3">
        <f t="shared" si="305"/>
        <v>0</v>
      </c>
      <c r="AA66" s="3">
        <f t="shared" si="305"/>
        <v>0</v>
      </c>
      <c r="AB66" s="3">
        <f t="shared" si="305"/>
        <v>0</v>
      </c>
      <c r="AC66" s="3">
        <f t="shared" si="305"/>
        <v>0</v>
      </c>
      <c r="AD66" s="3">
        <f t="shared" si="305"/>
        <v>0</v>
      </c>
      <c r="AE66" s="3">
        <f t="shared" si="305"/>
        <v>0</v>
      </c>
      <c r="AF66" s="3">
        <f t="shared" si="305"/>
        <v>0</v>
      </c>
      <c r="AH66" s="3">
        <f t="shared" ref="AH66:AS66" si="306">IF(AND(AH$5&gt;=$C66,AH$5&lt;=$D66),$E66,0)</f>
        <v>0</v>
      </c>
      <c r="AI66" s="3">
        <f t="shared" si="306"/>
        <v>0</v>
      </c>
      <c r="AJ66" s="3">
        <f t="shared" si="306"/>
        <v>0</v>
      </c>
      <c r="AK66" s="3">
        <f t="shared" si="306"/>
        <v>0</v>
      </c>
      <c r="AL66" s="3">
        <f t="shared" si="306"/>
        <v>0</v>
      </c>
      <c r="AM66" s="3">
        <f t="shared" si="306"/>
        <v>0</v>
      </c>
      <c r="AN66" s="3">
        <f t="shared" si="306"/>
        <v>0</v>
      </c>
      <c r="AO66" s="3">
        <f t="shared" si="306"/>
        <v>0</v>
      </c>
      <c r="AP66" s="3">
        <f t="shared" si="306"/>
        <v>0</v>
      </c>
      <c r="AQ66" s="3">
        <f t="shared" si="306"/>
        <v>0</v>
      </c>
      <c r="AR66" s="3">
        <f t="shared" si="306"/>
        <v>0</v>
      </c>
      <c r="AS66" s="3">
        <f t="shared" si="306"/>
        <v>0</v>
      </c>
      <c r="AU66" s="3">
        <f t="shared" ref="AU66:BF66" si="307">IF(AND(AU$5&gt;=$C66,AU$5&lt;=$D66),$E66,0)</f>
        <v>0</v>
      </c>
      <c r="AV66" s="3">
        <f t="shared" si="307"/>
        <v>0</v>
      </c>
      <c r="AW66" s="3">
        <f t="shared" si="307"/>
        <v>0</v>
      </c>
      <c r="AX66" s="3">
        <f t="shared" si="307"/>
        <v>0</v>
      </c>
      <c r="AY66" s="3">
        <f t="shared" si="307"/>
        <v>0</v>
      </c>
      <c r="AZ66" s="3">
        <f t="shared" si="307"/>
        <v>0</v>
      </c>
      <c r="BA66" s="3">
        <f t="shared" si="307"/>
        <v>0</v>
      </c>
      <c r="BB66" s="3">
        <f t="shared" si="307"/>
        <v>0</v>
      </c>
      <c r="BC66" s="3">
        <f t="shared" si="307"/>
        <v>0</v>
      </c>
      <c r="BD66" s="3">
        <f t="shared" si="307"/>
        <v>0</v>
      </c>
      <c r="BE66" s="3">
        <f t="shared" si="307"/>
        <v>0</v>
      </c>
      <c r="BF66" s="3">
        <f t="shared" si="307"/>
        <v>0</v>
      </c>
      <c r="BG66" s="2"/>
      <c r="BH66" s="3">
        <f t="shared" ref="BH66:BS66" si="308">IF(AND(BH$5&gt;=$C66,BH$5&lt;=$D66),$E66,0)</f>
        <v>0</v>
      </c>
      <c r="BI66" s="3">
        <f t="shared" si="308"/>
        <v>0</v>
      </c>
      <c r="BJ66" s="3">
        <f t="shared" si="308"/>
        <v>0</v>
      </c>
      <c r="BK66" s="3">
        <f t="shared" si="308"/>
        <v>0</v>
      </c>
      <c r="BL66" s="3">
        <f t="shared" si="308"/>
        <v>0</v>
      </c>
      <c r="BM66" s="3">
        <f t="shared" si="308"/>
        <v>0</v>
      </c>
      <c r="BN66" s="3">
        <f t="shared" si="308"/>
        <v>0</v>
      </c>
      <c r="BO66" s="3">
        <f t="shared" si="308"/>
        <v>0</v>
      </c>
      <c r="BP66" s="3">
        <f t="shared" si="308"/>
        <v>0</v>
      </c>
      <c r="BQ66" s="3">
        <f t="shared" si="308"/>
        <v>0</v>
      </c>
      <c r="BR66" s="3">
        <f t="shared" si="308"/>
        <v>0</v>
      </c>
      <c r="BS66" s="3">
        <f t="shared" si="308"/>
        <v>0</v>
      </c>
      <c r="BT66" s="2"/>
    </row>
    <row r="67" spans="1:72" ht="15.75" customHeight="1">
      <c r="A67" s="54" t="str">
        <f>IF('Capital purchases'!C71="","",'Capital purchases'!C71)</f>
        <v/>
      </c>
      <c r="B67" s="2"/>
      <c r="C67" s="2" t="str">
        <f>IF($A67="","",'Capital purchases'!B71)</f>
        <v/>
      </c>
      <c r="D67" s="3" t="str">
        <f>IF($A67="","",'Capital purchases'!J71)</f>
        <v/>
      </c>
      <c r="E67" s="162" t="str">
        <f>IF($A67="","",'Capital purchases'!I71)</f>
        <v/>
      </c>
      <c r="H67" s="3">
        <f t="shared" ref="H67:S67" si="309">IF(AND(H$5&gt;=$C67,H$5&lt;=$D67),$E67,0)</f>
        <v>0</v>
      </c>
      <c r="I67" s="3">
        <f t="shared" si="309"/>
        <v>0</v>
      </c>
      <c r="J67" s="3">
        <f t="shared" si="309"/>
        <v>0</v>
      </c>
      <c r="K67" s="3">
        <f t="shared" si="309"/>
        <v>0</v>
      </c>
      <c r="L67" s="3">
        <f t="shared" si="309"/>
        <v>0</v>
      </c>
      <c r="M67" s="3">
        <f t="shared" si="309"/>
        <v>0</v>
      </c>
      <c r="N67" s="3">
        <f t="shared" si="309"/>
        <v>0</v>
      </c>
      <c r="O67" s="3">
        <f t="shared" si="309"/>
        <v>0</v>
      </c>
      <c r="P67" s="3">
        <f t="shared" si="309"/>
        <v>0</v>
      </c>
      <c r="Q67" s="3">
        <f t="shared" si="309"/>
        <v>0</v>
      </c>
      <c r="R67" s="3">
        <f t="shared" si="309"/>
        <v>0</v>
      </c>
      <c r="S67" s="3">
        <f t="shared" si="309"/>
        <v>0</v>
      </c>
      <c r="U67" s="3">
        <f t="shared" ref="U67:AF67" si="310">IF(AND(U$5&gt;=$C67,U$5&lt;=$D67),$E67,0)</f>
        <v>0</v>
      </c>
      <c r="V67" s="3">
        <f t="shared" si="310"/>
        <v>0</v>
      </c>
      <c r="W67" s="3">
        <f t="shared" si="310"/>
        <v>0</v>
      </c>
      <c r="X67" s="3">
        <f t="shared" si="310"/>
        <v>0</v>
      </c>
      <c r="Y67" s="3">
        <f t="shared" si="310"/>
        <v>0</v>
      </c>
      <c r="Z67" s="3">
        <f t="shared" si="310"/>
        <v>0</v>
      </c>
      <c r="AA67" s="3">
        <f t="shared" si="310"/>
        <v>0</v>
      </c>
      <c r="AB67" s="3">
        <f t="shared" si="310"/>
        <v>0</v>
      </c>
      <c r="AC67" s="3">
        <f t="shared" si="310"/>
        <v>0</v>
      </c>
      <c r="AD67" s="3">
        <f t="shared" si="310"/>
        <v>0</v>
      </c>
      <c r="AE67" s="3">
        <f t="shared" si="310"/>
        <v>0</v>
      </c>
      <c r="AF67" s="3">
        <f t="shared" si="310"/>
        <v>0</v>
      </c>
      <c r="AH67" s="3">
        <f t="shared" ref="AH67:AS67" si="311">IF(AND(AH$5&gt;=$C67,AH$5&lt;=$D67),$E67,0)</f>
        <v>0</v>
      </c>
      <c r="AI67" s="3">
        <f t="shared" si="311"/>
        <v>0</v>
      </c>
      <c r="AJ67" s="3">
        <f t="shared" si="311"/>
        <v>0</v>
      </c>
      <c r="AK67" s="3">
        <f t="shared" si="311"/>
        <v>0</v>
      </c>
      <c r="AL67" s="3">
        <f t="shared" si="311"/>
        <v>0</v>
      </c>
      <c r="AM67" s="3">
        <f t="shared" si="311"/>
        <v>0</v>
      </c>
      <c r="AN67" s="3">
        <f t="shared" si="311"/>
        <v>0</v>
      </c>
      <c r="AO67" s="3">
        <f t="shared" si="311"/>
        <v>0</v>
      </c>
      <c r="AP67" s="3">
        <f t="shared" si="311"/>
        <v>0</v>
      </c>
      <c r="AQ67" s="3">
        <f t="shared" si="311"/>
        <v>0</v>
      </c>
      <c r="AR67" s="3">
        <f t="shared" si="311"/>
        <v>0</v>
      </c>
      <c r="AS67" s="3">
        <f t="shared" si="311"/>
        <v>0</v>
      </c>
      <c r="AU67" s="3">
        <f t="shared" ref="AU67:BF67" si="312">IF(AND(AU$5&gt;=$C67,AU$5&lt;=$D67),$E67,0)</f>
        <v>0</v>
      </c>
      <c r="AV67" s="3">
        <f t="shared" si="312"/>
        <v>0</v>
      </c>
      <c r="AW67" s="3">
        <f t="shared" si="312"/>
        <v>0</v>
      </c>
      <c r="AX67" s="3">
        <f t="shared" si="312"/>
        <v>0</v>
      </c>
      <c r="AY67" s="3">
        <f t="shared" si="312"/>
        <v>0</v>
      </c>
      <c r="AZ67" s="3">
        <f t="shared" si="312"/>
        <v>0</v>
      </c>
      <c r="BA67" s="3">
        <f t="shared" si="312"/>
        <v>0</v>
      </c>
      <c r="BB67" s="3">
        <f t="shared" si="312"/>
        <v>0</v>
      </c>
      <c r="BC67" s="3">
        <f t="shared" si="312"/>
        <v>0</v>
      </c>
      <c r="BD67" s="3">
        <f t="shared" si="312"/>
        <v>0</v>
      </c>
      <c r="BE67" s="3">
        <f t="shared" si="312"/>
        <v>0</v>
      </c>
      <c r="BF67" s="3">
        <f t="shared" si="312"/>
        <v>0</v>
      </c>
      <c r="BG67" s="2"/>
      <c r="BH67" s="3">
        <f t="shared" ref="BH67:BS67" si="313">IF(AND(BH$5&gt;=$C67,BH$5&lt;=$D67),$E67,0)</f>
        <v>0</v>
      </c>
      <c r="BI67" s="3">
        <f t="shared" si="313"/>
        <v>0</v>
      </c>
      <c r="BJ67" s="3">
        <f t="shared" si="313"/>
        <v>0</v>
      </c>
      <c r="BK67" s="3">
        <f t="shared" si="313"/>
        <v>0</v>
      </c>
      <c r="BL67" s="3">
        <f t="shared" si="313"/>
        <v>0</v>
      </c>
      <c r="BM67" s="3">
        <f t="shared" si="313"/>
        <v>0</v>
      </c>
      <c r="BN67" s="3">
        <f t="shared" si="313"/>
        <v>0</v>
      </c>
      <c r="BO67" s="3">
        <f t="shared" si="313"/>
        <v>0</v>
      </c>
      <c r="BP67" s="3">
        <f t="shared" si="313"/>
        <v>0</v>
      </c>
      <c r="BQ67" s="3">
        <f t="shared" si="313"/>
        <v>0</v>
      </c>
      <c r="BR67" s="3">
        <f t="shared" si="313"/>
        <v>0</v>
      </c>
      <c r="BS67" s="3">
        <f t="shared" si="313"/>
        <v>0</v>
      </c>
      <c r="BT67" s="2"/>
    </row>
    <row r="68" spans="1:72" ht="15.75" customHeight="1">
      <c r="A68" s="54" t="str">
        <f>IF('Capital purchases'!C72="","",'Capital purchases'!C72)</f>
        <v/>
      </c>
      <c r="B68" s="2"/>
      <c r="C68" s="2" t="str">
        <f>IF($A68="","",'Capital purchases'!B72)</f>
        <v/>
      </c>
      <c r="D68" s="3" t="str">
        <f>IF($A68="","",'Capital purchases'!J72)</f>
        <v/>
      </c>
      <c r="E68" s="162" t="str">
        <f>IF($A68="","",'Capital purchases'!I72)</f>
        <v/>
      </c>
      <c r="H68" s="3">
        <f t="shared" ref="H68:S68" si="314">IF(AND(H$5&gt;=$C68,H$5&lt;=$D68),$E68,0)</f>
        <v>0</v>
      </c>
      <c r="I68" s="3">
        <f t="shared" si="314"/>
        <v>0</v>
      </c>
      <c r="J68" s="3">
        <f t="shared" si="314"/>
        <v>0</v>
      </c>
      <c r="K68" s="3">
        <f t="shared" si="314"/>
        <v>0</v>
      </c>
      <c r="L68" s="3">
        <f t="shared" si="314"/>
        <v>0</v>
      </c>
      <c r="M68" s="3">
        <f t="shared" si="314"/>
        <v>0</v>
      </c>
      <c r="N68" s="3">
        <f t="shared" si="314"/>
        <v>0</v>
      </c>
      <c r="O68" s="3">
        <f t="shared" si="314"/>
        <v>0</v>
      </c>
      <c r="P68" s="3">
        <f t="shared" si="314"/>
        <v>0</v>
      </c>
      <c r="Q68" s="3">
        <f t="shared" si="314"/>
        <v>0</v>
      </c>
      <c r="R68" s="3">
        <f t="shared" si="314"/>
        <v>0</v>
      </c>
      <c r="S68" s="3">
        <f t="shared" si="314"/>
        <v>0</v>
      </c>
      <c r="U68" s="3">
        <f t="shared" ref="U68:AF68" si="315">IF(AND(U$5&gt;=$C68,U$5&lt;=$D68),$E68,0)</f>
        <v>0</v>
      </c>
      <c r="V68" s="3">
        <f t="shared" si="315"/>
        <v>0</v>
      </c>
      <c r="W68" s="3">
        <f t="shared" si="315"/>
        <v>0</v>
      </c>
      <c r="X68" s="3">
        <f t="shared" si="315"/>
        <v>0</v>
      </c>
      <c r="Y68" s="3">
        <f t="shared" si="315"/>
        <v>0</v>
      </c>
      <c r="Z68" s="3">
        <f t="shared" si="315"/>
        <v>0</v>
      </c>
      <c r="AA68" s="3">
        <f t="shared" si="315"/>
        <v>0</v>
      </c>
      <c r="AB68" s="3">
        <f t="shared" si="315"/>
        <v>0</v>
      </c>
      <c r="AC68" s="3">
        <f t="shared" si="315"/>
        <v>0</v>
      </c>
      <c r="AD68" s="3">
        <f t="shared" si="315"/>
        <v>0</v>
      </c>
      <c r="AE68" s="3">
        <f t="shared" si="315"/>
        <v>0</v>
      </c>
      <c r="AF68" s="3">
        <f t="shared" si="315"/>
        <v>0</v>
      </c>
      <c r="AH68" s="3">
        <f t="shared" ref="AH68:AS68" si="316">IF(AND(AH$5&gt;=$C68,AH$5&lt;=$D68),$E68,0)</f>
        <v>0</v>
      </c>
      <c r="AI68" s="3">
        <f t="shared" si="316"/>
        <v>0</v>
      </c>
      <c r="AJ68" s="3">
        <f t="shared" si="316"/>
        <v>0</v>
      </c>
      <c r="AK68" s="3">
        <f t="shared" si="316"/>
        <v>0</v>
      </c>
      <c r="AL68" s="3">
        <f t="shared" si="316"/>
        <v>0</v>
      </c>
      <c r="AM68" s="3">
        <f t="shared" si="316"/>
        <v>0</v>
      </c>
      <c r="AN68" s="3">
        <f t="shared" si="316"/>
        <v>0</v>
      </c>
      <c r="AO68" s="3">
        <f t="shared" si="316"/>
        <v>0</v>
      </c>
      <c r="AP68" s="3">
        <f t="shared" si="316"/>
        <v>0</v>
      </c>
      <c r="AQ68" s="3">
        <f t="shared" si="316"/>
        <v>0</v>
      </c>
      <c r="AR68" s="3">
        <f t="shared" si="316"/>
        <v>0</v>
      </c>
      <c r="AS68" s="3">
        <f t="shared" si="316"/>
        <v>0</v>
      </c>
      <c r="AU68" s="3">
        <f t="shared" ref="AU68:BF68" si="317">IF(AND(AU$5&gt;=$C68,AU$5&lt;=$D68),$E68,0)</f>
        <v>0</v>
      </c>
      <c r="AV68" s="3">
        <f t="shared" si="317"/>
        <v>0</v>
      </c>
      <c r="AW68" s="3">
        <f t="shared" si="317"/>
        <v>0</v>
      </c>
      <c r="AX68" s="3">
        <f t="shared" si="317"/>
        <v>0</v>
      </c>
      <c r="AY68" s="3">
        <f t="shared" si="317"/>
        <v>0</v>
      </c>
      <c r="AZ68" s="3">
        <f t="shared" si="317"/>
        <v>0</v>
      </c>
      <c r="BA68" s="3">
        <f t="shared" si="317"/>
        <v>0</v>
      </c>
      <c r="BB68" s="3">
        <f t="shared" si="317"/>
        <v>0</v>
      </c>
      <c r="BC68" s="3">
        <f t="shared" si="317"/>
        <v>0</v>
      </c>
      <c r="BD68" s="3">
        <f t="shared" si="317"/>
        <v>0</v>
      </c>
      <c r="BE68" s="3">
        <f t="shared" si="317"/>
        <v>0</v>
      </c>
      <c r="BF68" s="3">
        <f t="shared" si="317"/>
        <v>0</v>
      </c>
      <c r="BG68" s="2"/>
      <c r="BH68" s="3">
        <f t="shared" ref="BH68:BS68" si="318">IF(AND(BH$5&gt;=$C68,BH$5&lt;=$D68),$E68,0)</f>
        <v>0</v>
      </c>
      <c r="BI68" s="3">
        <f t="shared" si="318"/>
        <v>0</v>
      </c>
      <c r="BJ68" s="3">
        <f t="shared" si="318"/>
        <v>0</v>
      </c>
      <c r="BK68" s="3">
        <f t="shared" si="318"/>
        <v>0</v>
      </c>
      <c r="BL68" s="3">
        <f t="shared" si="318"/>
        <v>0</v>
      </c>
      <c r="BM68" s="3">
        <f t="shared" si="318"/>
        <v>0</v>
      </c>
      <c r="BN68" s="3">
        <f t="shared" si="318"/>
        <v>0</v>
      </c>
      <c r="BO68" s="3">
        <f t="shared" si="318"/>
        <v>0</v>
      </c>
      <c r="BP68" s="3">
        <f t="shared" si="318"/>
        <v>0</v>
      </c>
      <c r="BQ68" s="3">
        <f t="shared" si="318"/>
        <v>0</v>
      </c>
      <c r="BR68" s="3">
        <f t="shared" si="318"/>
        <v>0</v>
      </c>
      <c r="BS68" s="3">
        <f t="shared" si="318"/>
        <v>0</v>
      </c>
      <c r="BT68" s="2"/>
    </row>
    <row r="69" spans="1:72" ht="15.75" customHeight="1">
      <c r="A69" s="54" t="str">
        <f>IF('Capital purchases'!C73="","",'Capital purchases'!C73)</f>
        <v/>
      </c>
      <c r="B69" s="2"/>
      <c r="C69" s="2" t="str">
        <f>IF($A69="","",'Capital purchases'!B73)</f>
        <v/>
      </c>
      <c r="D69" s="3" t="str">
        <f>IF($A69="","",'Capital purchases'!J73)</f>
        <v/>
      </c>
      <c r="E69" s="162" t="str">
        <f>IF($A69="","",'Capital purchases'!I73)</f>
        <v/>
      </c>
      <c r="H69" s="3">
        <f t="shared" ref="H69:S69" si="319">IF(AND(H$5&gt;=$C69,H$5&lt;=$D69),$E69,0)</f>
        <v>0</v>
      </c>
      <c r="I69" s="3">
        <f t="shared" si="319"/>
        <v>0</v>
      </c>
      <c r="J69" s="3">
        <f t="shared" si="319"/>
        <v>0</v>
      </c>
      <c r="K69" s="3">
        <f t="shared" si="319"/>
        <v>0</v>
      </c>
      <c r="L69" s="3">
        <f t="shared" si="319"/>
        <v>0</v>
      </c>
      <c r="M69" s="3">
        <f t="shared" si="319"/>
        <v>0</v>
      </c>
      <c r="N69" s="3">
        <f t="shared" si="319"/>
        <v>0</v>
      </c>
      <c r="O69" s="3">
        <f t="shared" si="319"/>
        <v>0</v>
      </c>
      <c r="P69" s="3">
        <f t="shared" si="319"/>
        <v>0</v>
      </c>
      <c r="Q69" s="3">
        <f t="shared" si="319"/>
        <v>0</v>
      </c>
      <c r="R69" s="3">
        <f t="shared" si="319"/>
        <v>0</v>
      </c>
      <c r="S69" s="3">
        <f t="shared" si="319"/>
        <v>0</v>
      </c>
      <c r="U69" s="3">
        <f t="shared" ref="U69:AF69" si="320">IF(AND(U$5&gt;=$C69,U$5&lt;=$D69),$E69,0)</f>
        <v>0</v>
      </c>
      <c r="V69" s="3">
        <f t="shared" si="320"/>
        <v>0</v>
      </c>
      <c r="W69" s="3">
        <f t="shared" si="320"/>
        <v>0</v>
      </c>
      <c r="X69" s="3">
        <f t="shared" si="320"/>
        <v>0</v>
      </c>
      <c r="Y69" s="3">
        <f t="shared" si="320"/>
        <v>0</v>
      </c>
      <c r="Z69" s="3">
        <f t="shared" si="320"/>
        <v>0</v>
      </c>
      <c r="AA69" s="3">
        <f t="shared" si="320"/>
        <v>0</v>
      </c>
      <c r="AB69" s="3">
        <f t="shared" si="320"/>
        <v>0</v>
      </c>
      <c r="AC69" s="3">
        <f t="shared" si="320"/>
        <v>0</v>
      </c>
      <c r="AD69" s="3">
        <f t="shared" si="320"/>
        <v>0</v>
      </c>
      <c r="AE69" s="3">
        <f t="shared" si="320"/>
        <v>0</v>
      </c>
      <c r="AF69" s="3">
        <f t="shared" si="320"/>
        <v>0</v>
      </c>
      <c r="AH69" s="3">
        <f t="shared" ref="AH69:AS69" si="321">IF(AND(AH$5&gt;=$C69,AH$5&lt;=$D69),$E69,0)</f>
        <v>0</v>
      </c>
      <c r="AI69" s="3">
        <f t="shared" si="321"/>
        <v>0</v>
      </c>
      <c r="AJ69" s="3">
        <f t="shared" si="321"/>
        <v>0</v>
      </c>
      <c r="AK69" s="3">
        <f t="shared" si="321"/>
        <v>0</v>
      </c>
      <c r="AL69" s="3">
        <f t="shared" si="321"/>
        <v>0</v>
      </c>
      <c r="AM69" s="3">
        <f t="shared" si="321"/>
        <v>0</v>
      </c>
      <c r="AN69" s="3">
        <f t="shared" si="321"/>
        <v>0</v>
      </c>
      <c r="AO69" s="3">
        <f t="shared" si="321"/>
        <v>0</v>
      </c>
      <c r="AP69" s="3">
        <f t="shared" si="321"/>
        <v>0</v>
      </c>
      <c r="AQ69" s="3">
        <f t="shared" si="321"/>
        <v>0</v>
      </c>
      <c r="AR69" s="3">
        <f t="shared" si="321"/>
        <v>0</v>
      </c>
      <c r="AS69" s="3">
        <f t="shared" si="321"/>
        <v>0</v>
      </c>
      <c r="AU69" s="3">
        <f t="shared" ref="AU69:BF69" si="322">IF(AND(AU$5&gt;=$C69,AU$5&lt;=$D69),$E69,0)</f>
        <v>0</v>
      </c>
      <c r="AV69" s="3">
        <f t="shared" si="322"/>
        <v>0</v>
      </c>
      <c r="AW69" s="3">
        <f t="shared" si="322"/>
        <v>0</v>
      </c>
      <c r="AX69" s="3">
        <f t="shared" si="322"/>
        <v>0</v>
      </c>
      <c r="AY69" s="3">
        <f t="shared" si="322"/>
        <v>0</v>
      </c>
      <c r="AZ69" s="3">
        <f t="shared" si="322"/>
        <v>0</v>
      </c>
      <c r="BA69" s="3">
        <f t="shared" si="322"/>
        <v>0</v>
      </c>
      <c r="BB69" s="3">
        <f t="shared" si="322"/>
        <v>0</v>
      </c>
      <c r="BC69" s="3">
        <f t="shared" si="322"/>
        <v>0</v>
      </c>
      <c r="BD69" s="3">
        <f t="shared" si="322"/>
        <v>0</v>
      </c>
      <c r="BE69" s="3">
        <f t="shared" si="322"/>
        <v>0</v>
      </c>
      <c r="BF69" s="3">
        <f t="shared" si="322"/>
        <v>0</v>
      </c>
      <c r="BG69" s="2"/>
      <c r="BH69" s="3">
        <f t="shared" ref="BH69:BS69" si="323">IF(AND(BH$5&gt;=$C69,BH$5&lt;=$D69),$E69,0)</f>
        <v>0</v>
      </c>
      <c r="BI69" s="3">
        <f t="shared" si="323"/>
        <v>0</v>
      </c>
      <c r="BJ69" s="3">
        <f t="shared" si="323"/>
        <v>0</v>
      </c>
      <c r="BK69" s="3">
        <f t="shared" si="323"/>
        <v>0</v>
      </c>
      <c r="BL69" s="3">
        <f t="shared" si="323"/>
        <v>0</v>
      </c>
      <c r="BM69" s="3">
        <f t="shared" si="323"/>
        <v>0</v>
      </c>
      <c r="BN69" s="3">
        <f t="shared" si="323"/>
        <v>0</v>
      </c>
      <c r="BO69" s="3">
        <f t="shared" si="323"/>
        <v>0</v>
      </c>
      <c r="BP69" s="3">
        <f t="shared" si="323"/>
        <v>0</v>
      </c>
      <c r="BQ69" s="3">
        <f t="shared" si="323"/>
        <v>0</v>
      </c>
      <c r="BR69" s="3">
        <f t="shared" si="323"/>
        <v>0</v>
      </c>
      <c r="BS69" s="3">
        <f t="shared" si="323"/>
        <v>0</v>
      </c>
      <c r="BT69" s="2"/>
    </row>
    <row r="70" spans="1:72" ht="15.75" customHeight="1">
      <c r="A70" s="54" t="str">
        <f>IF('Capital purchases'!C74="","",'Capital purchases'!C74)</f>
        <v/>
      </c>
      <c r="B70" s="2"/>
      <c r="C70" s="2" t="str">
        <f>IF($A70="","",'Capital purchases'!B74)</f>
        <v/>
      </c>
      <c r="D70" s="3" t="str">
        <f>IF($A70="","",'Capital purchases'!J74)</f>
        <v/>
      </c>
      <c r="E70" s="162" t="str">
        <f>IF($A70="","",'Capital purchases'!I74)</f>
        <v/>
      </c>
      <c r="H70" s="3">
        <f t="shared" ref="H70:S70" si="324">IF(AND(H$5&gt;=$C70,H$5&lt;=$D70),$E70,0)</f>
        <v>0</v>
      </c>
      <c r="I70" s="3">
        <f t="shared" si="324"/>
        <v>0</v>
      </c>
      <c r="J70" s="3">
        <f t="shared" si="324"/>
        <v>0</v>
      </c>
      <c r="K70" s="3">
        <f t="shared" si="324"/>
        <v>0</v>
      </c>
      <c r="L70" s="3">
        <f t="shared" si="324"/>
        <v>0</v>
      </c>
      <c r="M70" s="3">
        <f t="shared" si="324"/>
        <v>0</v>
      </c>
      <c r="N70" s="3">
        <f t="shared" si="324"/>
        <v>0</v>
      </c>
      <c r="O70" s="3">
        <f t="shared" si="324"/>
        <v>0</v>
      </c>
      <c r="P70" s="3">
        <f t="shared" si="324"/>
        <v>0</v>
      </c>
      <c r="Q70" s="3">
        <f t="shared" si="324"/>
        <v>0</v>
      </c>
      <c r="R70" s="3">
        <f t="shared" si="324"/>
        <v>0</v>
      </c>
      <c r="S70" s="3">
        <f t="shared" si="324"/>
        <v>0</v>
      </c>
      <c r="U70" s="3">
        <f t="shared" ref="U70:AF70" si="325">IF(AND(U$5&gt;=$C70,U$5&lt;=$D70),$E70,0)</f>
        <v>0</v>
      </c>
      <c r="V70" s="3">
        <f t="shared" si="325"/>
        <v>0</v>
      </c>
      <c r="W70" s="3">
        <f t="shared" si="325"/>
        <v>0</v>
      </c>
      <c r="X70" s="3">
        <f t="shared" si="325"/>
        <v>0</v>
      </c>
      <c r="Y70" s="3">
        <f t="shared" si="325"/>
        <v>0</v>
      </c>
      <c r="Z70" s="3">
        <f t="shared" si="325"/>
        <v>0</v>
      </c>
      <c r="AA70" s="3">
        <f t="shared" si="325"/>
        <v>0</v>
      </c>
      <c r="AB70" s="3">
        <f t="shared" si="325"/>
        <v>0</v>
      </c>
      <c r="AC70" s="3">
        <f t="shared" si="325"/>
        <v>0</v>
      </c>
      <c r="AD70" s="3">
        <f t="shared" si="325"/>
        <v>0</v>
      </c>
      <c r="AE70" s="3">
        <f t="shared" si="325"/>
        <v>0</v>
      </c>
      <c r="AF70" s="3">
        <f t="shared" si="325"/>
        <v>0</v>
      </c>
      <c r="AH70" s="3">
        <f t="shared" ref="AH70:AS70" si="326">IF(AND(AH$5&gt;=$C70,AH$5&lt;=$D70),$E70,0)</f>
        <v>0</v>
      </c>
      <c r="AI70" s="3">
        <f t="shared" si="326"/>
        <v>0</v>
      </c>
      <c r="AJ70" s="3">
        <f t="shared" si="326"/>
        <v>0</v>
      </c>
      <c r="AK70" s="3">
        <f t="shared" si="326"/>
        <v>0</v>
      </c>
      <c r="AL70" s="3">
        <f t="shared" si="326"/>
        <v>0</v>
      </c>
      <c r="AM70" s="3">
        <f t="shared" si="326"/>
        <v>0</v>
      </c>
      <c r="AN70" s="3">
        <f t="shared" si="326"/>
        <v>0</v>
      </c>
      <c r="AO70" s="3">
        <f t="shared" si="326"/>
        <v>0</v>
      </c>
      <c r="AP70" s="3">
        <f t="shared" si="326"/>
        <v>0</v>
      </c>
      <c r="AQ70" s="3">
        <f t="shared" si="326"/>
        <v>0</v>
      </c>
      <c r="AR70" s="3">
        <f t="shared" si="326"/>
        <v>0</v>
      </c>
      <c r="AS70" s="3">
        <f t="shared" si="326"/>
        <v>0</v>
      </c>
      <c r="AU70" s="3">
        <f t="shared" ref="AU70:BF70" si="327">IF(AND(AU$5&gt;=$C70,AU$5&lt;=$D70),$E70,0)</f>
        <v>0</v>
      </c>
      <c r="AV70" s="3">
        <f t="shared" si="327"/>
        <v>0</v>
      </c>
      <c r="AW70" s="3">
        <f t="shared" si="327"/>
        <v>0</v>
      </c>
      <c r="AX70" s="3">
        <f t="shared" si="327"/>
        <v>0</v>
      </c>
      <c r="AY70" s="3">
        <f t="shared" si="327"/>
        <v>0</v>
      </c>
      <c r="AZ70" s="3">
        <f t="shared" si="327"/>
        <v>0</v>
      </c>
      <c r="BA70" s="3">
        <f t="shared" si="327"/>
        <v>0</v>
      </c>
      <c r="BB70" s="3">
        <f t="shared" si="327"/>
        <v>0</v>
      </c>
      <c r="BC70" s="3">
        <f t="shared" si="327"/>
        <v>0</v>
      </c>
      <c r="BD70" s="3">
        <f t="shared" si="327"/>
        <v>0</v>
      </c>
      <c r="BE70" s="3">
        <f t="shared" si="327"/>
        <v>0</v>
      </c>
      <c r="BF70" s="3">
        <f t="shared" si="327"/>
        <v>0</v>
      </c>
      <c r="BG70" s="2"/>
      <c r="BH70" s="3">
        <f t="shared" ref="BH70:BS70" si="328">IF(AND(BH$5&gt;=$C70,BH$5&lt;=$D70),$E70,0)</f>
        <v>0</v>
      </c>
      <c r="BI70" s="3">
        <f t="shared" si="328"/>
        <v>0</v>
      </c>
      <c r="BJ70" s="3">
        <f t="shared" si="328"/>
        <v>0</v>
      </c>
      <c r="BK70" s="3">
        <f t="shared" si="328"/>
        <v>0</v>
      </c>
      <c r="BL70" s="3">
        <f t="shared" si="328"/>
        <v>0</v>
      </c>
      <c r="BM70" s="3">
        <f t="shared" si="328"/>
        <v>0</v>
      </c>
      <c r="BN70" s="3">
        <f t="shared" si="328"/>
        <v>0</v>
      </c>
      <c r="BO70" s="3">
        <f t="shared" si="328"/>
        <v>0</v>
      </c>
      <c r="BP70" s="3">
        <f t="shared" si="328"/>
        <v>0</v>
      </c>
      <c r="BQ70" s="3">
        <f t="shared" si="328"/>
        <v>0</v>
      </c>
      <c r="BR70" s="3">
        <f t="shared" si="328"/>
        <v>0</v>
      </c>
      <c r="BS70" s="3">
        <f t="shared" si="328"/>
        <v>0</v>
      </c>
      <c r="BT70" s="2"/>
    </row>
    <row r="71" spans="1:72" ht="15.75" customHeight="1">
      <c r="A71" s="54" t="str">
        <f>IF('Capital purchases'!C75="","",'Capital purchases'!C75)</f>
        <v/>
      </c>
      <c r="B71" s="2"/>
      <c r="C71" s="2" t="str">
        <f>IF($A71="","",'Capital purchases'!B75)</f>
        <v/>
      </c>
      <c r="D71" s="3" t="str">
        <f>IF($A71="","",'Capital purchases'!J75)</f>
        <v/>
      </c>
      <c r="E71" s="162" t="str">
        <f>IF($A71="","",'Capital purchases'!I75)</f>
        <v/>
      </c>
      <c r="H71" s="3">
        <f t="shared" ref="H71:S71" si="329">IF(AND(H$5&gt;=$C71,H$5&lt;=$D71),$E71,0)</f>
        <v>0</v>
      </c>
      <c r="I71" s="3">
        <f t="shared" si="329"/>
        <v>0</v>
      </c>
      <c r="J71" s="3">
        <f t="shared" si="329"/>
        <v>0</v>
      </c>
      <c r="K71" s="3">
        <f t="shared" si="329"/>
        <v>0</v>
      </c>
      <c r="L71" s="3">
        <f t="shared" si="329"/>
        <v>0</v>
      </c>
      <c r="M71" s="3">
        <f t="shared" si="329"/>
        <v>0</v>
      </c>
      <c r="N71" s="3">
        <f t="shared" si="329"/>
        <v>0</v>
      </c>
      <c r="O71" s="3">
        <f t="shared" si="329"/>
        <v>0</v>
      </c>
      <c r="P71" s="3">
        <f t="shared" si="329"/>
        <v>0</v>
      </c>
      <c r="Q71" s="3">
        <f t="shared" si="329"/>
        <v>0</v>
      </c>
      <c r="R71" s="3">
        <f t="shared" si="329"/>
        <v>0</v>
      </c>
      <c r="S71" s="3">
        <f t="shared" si="329"/>
        <v>0</v>
      </c>
      <c r="U71" s="3">
        <f t="shared" ref="U71:AF71" si="330">IF(AND(U$5&gt;=$C71,U$5&lt;=$D71),$E71,0)</f>
        <v>0</v>
      </c>
      <c r="V71" s="3">
        <f t="shared" si="330"/>
        <v>0</v>
      </c>
      <c r="W71" s="3">
        <f t="shared" si="330"/>
        <v>0</v>
      </c>
      <c r="X71" s="3">
        <f t="shared" si="330"/>
        <v>0</v>
      </c>
      <c r="Y71" s="3">
        <f t="shared" si="330"/>
        <v>0</v>
      </c>
      <c r="Z71" s="3">
        <f t="shared" si="330"/>
        <v>0</v>
      </c>
      <c r="AA71" s="3">
        <f t="shared" si="330"/>
        <v>0</v>
      </c>
      <c r="AB71" s="3">
        <f t="shared" si="330"/>
        <v>0</v>
      </c>
      <c r="AC71" s="3">
        <f t="shared" si="330"/>
        <v>0</v>
      </c>
      <c r="AD71" s="3">
        <f t="shared" si="330"/>
        <v>0</v>
      </c>
      <c r="AE71" s="3">
        <f t="shared" si="330"/>
        <v>0</v>
      </c>
      <c r="AF71" s="3">
        <f t="shared" si="330"/>
        <v>0</v>
      </c>
      <c r="AH71" s="3">
        <f t="shared" ref="AH71:AS71" si="331">IF(AND(AH$5&gt;=$C71,AH$5&lt;=$D71),$E71,0)</f>
        <v>0</v>
      </c>
      <c r="AI71" s="3">
        <f t="shared" si="331"/>
        <v>0</v>
      </c>
      <c r="AJ71" s="3">
        <f t="shared" si="331"/>
        <v>0</v>
      </c>
      <c r="AK71" s="3">
        <f t="shared" si="331"/>
        <v>0</v>
      </c>
      <c r="AL71" s="3">
        <f t="shared" si="331"/>
        <v>0</v>
      </c>
      <c r="AM71" s="3">
        <f t="shared" si="331"/>
        <v>0</v>
      </c>
      <c r="AN71" s="3">
        <f t="shared" si="331"/>
        <v>0</v>
      </c>
      <c r="AO71" s="3">
        <f t="shared" si="331"/>
        <v>0</v>
      </c>
      <c r="AP71" s="3">
        <f t="shared" si="331"/>
        <v>0</v>
      </c>
      <c r="AQ71" s="3">
        <f t="shared" si="331"/>
        <v>0</v>
      </c>
      <c r="AR71" s="3">
        <f t="shared" si="331"/>
        <v>0</v>
      </c>
      <c r="AS71" s="3">
        <f t="shared" si="331"/>
        <v>0</v>
      </c>
      <c r="AU71" s="3">
        <f t="shared" ref="AU71:BF71" si="332">IF(AND(AU$5&gt;=$C71,AU$5&lt;=$D71),$E71,0)</f>
        <v>0</v>
      </c>
      <c r="AV71" s="3">
        <f t="shared" si="332"/>
        <v>0</v>
      </c>
      <c r="AW71" s="3">
        <f t="shared" si="332"/>
        <v>0</v>
      </c>
      <c r="AX71" s="3">
        <f t="shared" si="332"/>
        <v>0</v>
      </c>
      <c r="AY71" s="3">
        <f t="shared" si="332"/>
        <v>0</v>
      </c>
      <c r="AZ71" s="3">
        <f t="shared" si="332"/>
        <v>0</v>
      </c>
      <c r="BA71" s="3">
        <f t="shared" si="332"/>
        <v>0</v>
      </c>
      <c r="BB71" s="3">
        <f t="shared" si="332"/>
        <v>0</v>
      </c>
      <c r="BC71" s="3">
        <f t="shared" si="332"/>
        <v>0</v>
      </c>
      <c r="BD71" s="3">
        <f t="shared" si="332"/>
        <v>0</v>
      </c>
      <c r="BE71" s="3">
        <f t="shared" si="332"/>
        <v>0</v>
      </c>
      <c r="BF71" s="3">
        <f t="shared" si="332"/>
        <v>0</v>
      </c>
      <c r="BG71" s="2"/>
      <c r="BH71" s="3">
        <f t="shared" ref="BH71:BS71" si="333">IF(AND(BH$5&gt;=$C71,BH$5&lt;=$D71),$E71,0)</f>
        <v>0</v>
      </c>
      <c r="BI71" s="3">
        <f t="shared" si="333"/>
        <v>0</v>
      </c>
      <c r="BJ71" s="3">
        <f t="shared" si="333"/>
        <v>0</v>
      </c>
      <c r="BK71" s="3">
        <f t="shared" si="333"/>
        <v>0</v>
      </c>
      <c r="BL71" s="3">
        <f t="shared" si="333"/>
        <v>0</v>
      </c>
      <c r="BM71" s="3">
        <f t="shared" si="333"/>
        <v>0</v>
      </c>
      <c r="BN71" s="3">
        <f t="shared" si="333"/>
        <v>0</v>
      </c>
      <c r="BO71" s="3">
        <f t="shared" si="333"/>
        <v>0</v>
      </c>
      <c r="BP71" s="3">
        <f t="shared" si="333"/>
        <v>0</v>
      </c>
      <c r="BQ71" s="3">
        <f t="shared" si="333"/>
        <v>0</v>
      </c>
      <c r="BR71" s="3">
        <f t="shared" si="333"/>
        <v>0</v>
      </c>
      <c r="BS71" s="3">
        <f t="shared" si="333"/>
        <v>0</v>
      </c>
      <c r="BT71" s="2"/>
    </row>
    <row r="72" spans="1:72" ht="15.75" customHeight="1">
      <c r="A72" s="54" t="str">
        <f>IF('Capital purchases'!C76="","",'Capital purchases'!C76)</f>
        <v/>
      </c>
      <c r="B72" s="2"/>
      <c r="C72" s="2" t="str">
        <f>IF($A72="","",'Capital purchases'!B76)</f>
        <v/>
      </c>
      <c r="D72" s="3" t="str">
        <f>IF($A72="","",'Capital purchases'!J76)</f>
        <v/>
      </c>
      <c r="E72" s="162" t="str">
        <f>IF($A72="","",'Capital purchases'!I76)</f>
        <v/>
      </c>
      <c r="H72" s="3">
        <f t="shared" ref="H72:S72" si="334">IF(AND(H$5&gt;=$C72,H$5&lt;=$D72),$E72,0)</f>
        <v>0</v>
      </c>
      <c r="I72" s="3">
        <f t="shared" si="334"/>
        <v>0</v>
      </c>
      <c r="J72" s="3">
        <f t="shared" si="334"/>
        <v>0</v>
      </c>
      <c r="K72" s="3">
        <f t="shared" si="334"/>
        <v>0</v>
      </c>
      <c r="L72" s="3">
        <f t="shared" si="334"/>
        <v>0</v>
      </c>
      <c r="M72" s="3">
        <f t="shared" si="334"/>
        <v>0</v>
      </c>
      <c r="N72" s="3">
        <f t="shared" si="334"/>
        <v>0</v>
      </c>
      <c r="O72" s="3">
        <f t="shared" si="334"/>
        <v>0</v>
      </c>
      <c r="P72" s="3">
        <f t="shared" si="334"/>
        <v>0</v>
      </c>
      <c r="Q72" s="3">
        <f t="shared" si="334"/>
        <v>0</v>
      </c>
      <c r="R72" s="3">
        <f t="shared" si="334"/>
        <v>0</v>
      </c>
      <c r="S72" s="3">
        <f t="shared" si="334"/>
        <v>0</v>
      </c>
      <c r="U72" s="3">
        <f t="shared" ref="U72:AF72" si="335">IF(AND(U$5&gt;=$C72,U$5&lt;=$D72),$E72,0)</f>
        <v>0</v>
      </c>
      <c r="V72" s="3">
        <f t="shared" si="335"/>
        <v>0</v>
      </c>
      <c r="W72" s="3">
        <f t="shared" si="335"/>
        <v>0</v>
      </c>
      <c r="X72" s="3">
        <f t="shared" si="335"/>
        <v>0</v>
      </c>
      <c r="Y72" s="3">
        <f t="shared" si="335"/>
        <v>0</v>
      </c>
      <c r="Z72" s="3">
        <f t="shared" si="335"/>
        <v>0</v>
      </c>
      <c r="AA72" s="3">
        <f t="shared" si="335"/>
        <v>0</v>
      </c>
      <c r="AB72" s="3">
        <f t="shared" si="335"/>
        <v>0</v>
      </c>
      <c r="AC72" s="3">
        <f t="shared" si="335"/>
        <v>0</v>
      </c>
      <c r="AD72" s="3">
        <f t="shared" si="335"/>
        <v>0</v>
      </c>
      <c r="AE72" s="3">
        <f t="shared" si="335"/>
        <v>0</v>
      </c>
      <c r="AF72" s="3">
        <f t="shared" si="335"/>
        <v>0</v>
      </c>
      <c r="AH72" s="3">
        <f t="shared" ref="AH72:AS72" si="336">IF(AND(AH$5&gt;=$C72,AH$5&lt;=$D72),$E72,0)</f>
        <v>0</v>
      </c>
      <c r="AI72" s="3">
        <f t="shared" si="336"/>
        <v>0</v>
      </c>
      <c r="AJ72" s="3">
        <f t="shared" si="336"/>
        <v>0</v>
      </c>
      <c r="AK72" s="3">
        <f t="shared" si="336"/>
        <v>0</v>
      </c>
      <c r="AL72" s="3">
        <f t="shared" si="336"/>
        <v>0</v>
      </c>
      <c r="AM72" s="3">
        <f t="shared" si="336"/>
        <v>0</v>
      </c>
      <c r="AN72" s="3">
        <f t="shared" si="336"/>
        <v>0</v>
      </c>
      <c r="AO72" s="3">
        <f t="shared" si="336"/>
        <v>0</v>
      </c>
      <c r="AP72" s="3">
        <f t="shared" si="336"/>
        <v>0</v>
      </c>
      <c r="AQ72" s="3">
        <f t="shared" si="336"/>
        <v>0</v>
      </c>
      <c r="AR72" s="3">
        <f t="shared" si="336"/>
        <v>0</v>
      </c>
      <c r="AS72" s="3">
        <f t="shared" si="336"/>
        <v>0</v>
      </c>
      <c r="AU72" s="3">
        <f t="shared" ref="AU72:BF72" si="337">IF(AND(AU$5&gt;=$C72,AU$5&lt;=$D72),$E72,0)</f>
        <v>0</v>
      </c>
      <c r="AV72" s="3">
        <f t="shared" si="337"/>
        <v>0</v>
      </c>
      <c r="AW72" s="3">
        <f t="shared" si="337"/>
        <v>0</v>
      </c>
      <c r="AX72" s="3">
        <f t="shared" si="337"/>
        <v>0</v>
      </c>
      <c r="AY72" s="3">
        <f t="shared" si="337"/>
        <v>0</v>
      </c>
      <c r="AZ72" s="3">
        <f t="shared" si="337"/>
        <v>0</v>
      </c>
      <c r="BA72" s="3">
        <f t="shared" si="337"/>
        <v>0</v>
      </c>
      <c r="BB72" s="3">
        <f t="shared" si="337"/>
        <v>0</v>
      </c>
      <c r="BC72" s="3">
        <f t="shared" si="337"/>
        <v>0</v>
      </c>
      <c r="BD72" s="3">
        <f t="shared" si="337"/>
        <v>0</v>
      </c>
      <c r="BE72" s="3">
        <f t="shared" si="337"/>
        <v>0</v>
      </c>
      <c r="BF72" s="3">
        <f t="shared" si="337"/>
        <v>0</v>
      </c>
      <c r="BG72" s="2"/>
      <c r="BH72" s="3">
        <f t="shared" ref="BH72:BS72" si="338">IF(AND(BH$5&gt;=$C72,BH$5&lt;=$D72),$E72,0)</f>
        <v>0</v>
      </c>
      <c r="BI72" s="3">
        <f t="shared" si="338"/>
        <v>0</v>
      </c>
      <c r="BJ72" s="3">
        <f t="shared" si="338"/>
        <v>0</v>
      </c>
      <c r="BK72" s="3">
        <f t="shared" si="338"/>
        <v>0</v>
      </c>
      <c r="BL72" s="3">
        <f t="shared" si="338"/>
        <v>0</v>
      </c>
      <c r="BM72" s="3">
        <f t="shared" si="338"/>
        <v>0</v>
      </c>
      <c r="BN72" s="3">
        <f t="shared" si="338"/>
        <v>0</v>
      </c>
      <c r="BO72" s="3">
        <f t="shared" si="338"/>
        <v>0</v>
      </c>
      <c r="BP72" s="3">
        <f t="shared" si="338"/>
        <v>0</v>
      </c>
      <c r="BQ72" s="3">
        <f t="shared" si="338"/>
        <v>0</v>
      </c>
      <c r="BR72" s="3">
        <f t="shared" si="338"/>
        <v>0</v>
      </c>
      <c r="BS72" s="3">
        <f t="shared" si="338"/>
        <v>0</v>
      </c>
      <c r="BT72" s="2"/>
    </row>
    <row r="73" spans="1:72" ht="15.75" customHeight="1">
      <c r="A73" s="54" t="str">
        <f>IF('Capital purchases'!C77="","",'Capital purchases'!C77)</f>
        <v/>
      </c>
      <c r="B73" s="2"/>
      <c r="C73" s="2" t="str">
        <f>IF($A73="","",'Capital purchases'!B77)</f>
        <v/>
      </c>
      <c r="D73" s="3" t="str">
        <f>IF($A73="","",'Capital purchases'!J77)</f>
        <v/>
      </c>
      <c r="E73" s="162" t="str">
        <f>IF($A73="","",'Capital purchases'!I77)</f>
        <v/>
      </c>
      <c r="H73" s="3">
        <f t="shared" ref="H73:S73" si="339">IF(AND(H$5&gt;=$C73,H$5&lt;=$D73),$E73,0)</f>
        <v>0</v>
      </c>
      <c r="I73" s="3">
        <f t="shared" si="339"/>
        <v>0</v>
      </c>
      <c r="J73" s="3">
        <f t="shared" si="339"/>
        <v>0</v>
      </c>
      <c r="K73" s="3">
        <f t="shared" si="339"/>
        <v>0</v>
      </c>
      <c r="L73" s="3">
        <f t="shared" si="339"/>
        <v>0</v>
      </c>
      <c r="M73" s="3">
        <f t="shared" si="339"/>
        <v>0</v>
      </c>
      <c r="N73" s="3">
        <f t="shared" si="339"/>
        <v>0</v>
      </c>
      <c r="O73" s="3">
        <f t="shared" si="339"/>
        <v>0</v>
      </c>
      <c r="P73" s="3">
        <f t="shared" si="339"/>
        <v>0</v>
      </c>
      <c r="Q73" s="3">
        <f t="shared" si="339"/>
        <v>0</v>
      </c>
      <c r="R73" s="3">
        <f t="shared" si="339"/>
        <v>0</v>
      </c>
      <c r="S73" s="3">
        <f t="shared" si="339"/>
        <v>0</v>
      </c>
      <c r="U73" s="3">
        <f t="shared" ref="U73:AF73" si="340">IF(AND(U$5&gt;=$C73,U$5&lt;=$D73),$E73,0)</f>
        <v>0</v>
      </c>
      <c r="V73" s="3">
        <f t="shared" si="340"/>
        <v>0</v>
      </c>
      <c r="W73" s="3">
        <f t="shared" si="340"/>
        <v>0</v>
      </c>
      <c r="X73" s="3">
        <f t="shared" si="340"/>
        <v>0</v>
      </c>
      <c r="Y73" s="3">
        <f t="shared" si="340"/>
        <v>0</v>
      </c>
      <c r="Z73" s="3">
        <f t="shared" si="340"/>
        <v>0</v>
      </c>
      <c r="AA73" s="3">
        <f t="shared" si="340"/>
        <v>0</v>
      </c>
      <c r="AB73" s="3">
        <f t="shared" si="340"/>
        <v>0</v>
      </c>
      <c r="AC73" s="3">
        <f t="shared" si="340"/>
        <v>0</v>
      </c>
      <c r="AD73" s="3">
        <f t="shared" si="340"/>
        <v>0</v>
      </c>
      <c r="AE73" s="3">
        <f t="shared" si="340"/>
        <v>0</v>
      </c>
      <c r="AF73" s="3">
        <f t="shared" si="340"/>
        <v>0</v>
      </c>
      <c r="AH73" s="3">
        <f t="shared" ref="AH73:AS73" si="341">IF(AND(AH$5&gt;=$C73,AH$5&lt;=$D73),$E73,0)</f>
        <v>0</v>
      </c>
      <c r="AI73" s="3">
        <f t="shared" si="341"/>
        <v>0</v>
      </c>
      <c r="AJ73" s="3">
        <f t="shared" si="341"/>
        <v>0</v>
      </c>
      <c r="AK73" s="3">
        <f t="shared" si="341"/>
        <v>0</v>
      </c>
      <c r="AL73" s="3">
        <f t="shared" si="341"/>
        <v>0</v>
      </c>
      <c r="AM73" s="3">
        <f t="shared" si="341"/>
        <v>0</v>
      </c>
      <c r="AN73" s="3">
        <f t="shared" si="341"/>
        <v>0</v>
      </c>
      <c r="AO73" s="3">
        <f t="shared" si="341"/>
        <v>0</v>
      </c>
      <c r="AP73" s="3">
        <f t="shared" si="341"/>
        <v>0</v>
      </c>
      <c r="AQ73" s="3">
        <f t="shared" si="341"/>
        <v>0</v>
      </c>
      <c r="AR73" s="3">
        <f t="shared" si="341"/>
        <v>0</v>
      </c>
      <c r="AS73" s="3">
        <f t="shared" si="341"/>
        <v>0</v>
      </c>
      <c r="AU73" s="3">
        <f t="shared" ref="AU73:BF73" si="342">IF(AND(AU$5&gt;=$C73,AU$5&lt;=$D73),$E73,0)</f>
        <v>0</v>
      </c>
      <c r="AV73" s="3">
        <f t="shared" si="342"/>
        <v>0</v>
      </c>
      <c r="AW73" s="3">
        <f t="shared" si="342"/>
        <v>0</v>
      </c>
      <c r="AX73" s="3">
        <f t="shared" si="342"/>
        <v>0</v>
      </c>
      <c r="AY73" s="3">
        <f t="shared" si="342"/>
        <v>0</v>
      </c>
      <c r="AZ73" s="3">
        <f t="shared" si="342"/>
        <v>0</v>
      </c>
      <c r="BA73" s="3">
        <f t="shared" si="342"/>
        <v>0</v>
      </c>
      <c r="BB73" s="3">
        <f t="shared" si="342"/>
        <v>0</v>
      </c>
      <c r="BC73" s="3">
        <f t="shared" si="342"/>
        <v>0</v>
      </c>
      <c r="BD73" s="3">
        <f t="shared" si="342"/>
        <v>0</v>
      </c>
      <c r="BE73" s="3">
        <f t="shared" si="342"/>
        <v>0</v>
      </c>
      <c r="BF73" s="3">
        <f t="shared" si="342"/>
        <v>0</v>
      </c>
      <c r="BG73" s="2"/>
      <c r="BH73" s="3">
        <f t="shared" ref="BH73:BS73" si="343">IF(AND(BH$5&gt;=$C73,BH$5&lt;=$D73),$E73,0)</f>
        <v>0</v>
      </c>
      <c r="BI73" s="3">
        <f t="shared" si="343"/>
        <v>0</v>
      </c>
      <c r="BJ73" s="3">
        <f t="shared" si="343"/>
        <v>0</v>
      </c>
      <c r="BK73" s="3">
        <f t="shared" si="343"/>
        <v>0</v>
      </c>
      <c r="BL73" s="3">
        <f t="shared" si="343"/>
        <v>0</v>
      </c>
      <c r="BM73" s="3">
        <f t="shared" si="343"/>
        <v>0</v>
      </c>
      <c r="BN73" s="3">
        <f t="shared" si="343"/>
        <v>0</v>
      </c>
      <c r="BO73" s="3">
        <f t="shared" si="343"/>
        <v>0</v>
      </c>
      <c r="BP73" s="3">
        <f t="shared" si="343"/>
        <v>0</v>
      </c>
      <c r="BQ73" s="3">
        <f t="shared" si="343"/>
        <v>0</v>
      </c>
      <c r="BR73" s="3">
        <f t="shared" si="343"/>
        <v>0</v>
      </c>
      <c r="BS73" s="3">
        <f t="shared" si="343"/>
        <v>0</v>
      </c>
      <c r="BT73" s="2"/>
    </row>
    <row r="74" spans="1:72" ht="15.75" customHeight="1">
      <c r="A74" s="54" t="str">
        <f>IF('Capital purchases'!C78="","",'Capital purchases'!C78)</f>
        <v/>
      </c>
      <c r="B74" s="2"/>
      <c r="C74" s="2" t="str">
        <f>IF($A74="","",'Capital purchases'!B78)</f>
        <v/>
      </c>
      <c r="D74" s="3" t="str">
        <f>IF($A74="","",'Capital purchases'!J78)</f>
        <v/>
      </c>
      <c r="E74" s="162" t="str">
        <f>IF($A74="","",'Capital purchases'!I78)</f>
        <v/>
      </c>
      <c r="H74" s="3">
        <f t="shared" ref="H74:S74" si="344">IF(AND(H$5&gt;=$C74,H$5&lt;=$D74),$E74,0)</f>
        <v>0</v>
      </c>
      <c r="I74" s="3">
        <f t="shared" si="344"/>
        <v>0</v>
      </c>
      <c r="J74" s="3">
        <f t="shared" si="344"/>
        <v>0</v>
      </c>
      <c r="K74" s="3">
        <f t="shared" si="344"/>
        <v>0</v>
      </c>
      <c r="L74" s="3">
        <f t="shared" si="344"/>
        <v>0</v>
      </c>
      <c r="M74" s="3">
        <f t="shared" si="344"/>
        <v>0</v>
      </c>
      <c r="N74" s="3">
        <f t="shared" si="344"/>
        <v>0</v>
      </c>
      <c r="O74" s="3">
        <f t="shared" si="344"/>
        <v>0</v>
      </c>
      <c r="P74" s="3">
        <f t="shared" si="344"/>
        <v>0</v>
      </c>
      <c r="Q74" s="3">
        <f t="shared" si="344"/>
        <v>0</v>
      </c>
      <c r="R74" s="3">
        <f t="shared" si="344"/>
        <v>0</v>
      </c>
      <c r="S74" s="3">
        <f t="shared" si="344"/>
        <v>0</v>
      </c>
      <c r="U74" s="3">
        <f t="shared" ref="U74:AF74" si="345">IF(AND(U$5&gt;=$C74,U$5&lt;=$D74),$E74,0)</f>
        <v>0</v>
      </c>
      <c r="V74" s="3">
        <f t="shared" si="345"/>
        <v>0</v>
      </c>
      <c r="W74" s="3">
        <f t="shared" si="345"/>
        <v>0</v>
      </c>
      <c r="X74" s="3">
        <f t="shared" si="345"/>
        <v>0</v>
      </c>
      <c r="Y74" s="3">
        <f t="shared" si="345"/>
        <v>0</v>
      </c>
      <c r="Z74" s="3">
        <f t="shared" si="345"/>
        <v>0</v>
      </c>
      <c r="AA74" s="3">
        <f t="shared" si="345"/>
        <v>0</v>
      </c>
      <c r="AB74" s="3">
        <f t="shared" si="345"/>
        <v>0</v>
      </c>
      <c r="AC74" s="3">
        <f t="shared" si="345"/>
        <v>0</v>
      </c>
      <c r="AD74" s="3">
        <f t="shared" si="345"/>
        <v>0</v>
      </c>
      <c r="AE74" s="3">
        <f t="shared" si="345"/>
        <v>0</v>
      </c>
      <c r="AF74" s="3">
        <f t="shared" si="345"/>
        <v>0</v>
      </c>
      <c r="AH74" s="3">
        <f t="shared" ref="AH74:AS74" si="346">IF(AND(AH$5&gt;=$C74,AH$5&lt;=$D74),$E74,0)</f>
        <v>0</v>
      </c>
      <c r="AI74" s="3">
        <f t="shared" si="346"/>
        <v>0</v>
      </c>
      <c r="AJ74" s="3">
        <f t="shared" si="346"/>
        <v>0</v>
      </c>
      <c r="AK74" s="3">
        <f t="shared" si="346"/>
        <v>0</v>
      </c>
      <c r="AL74" s="3">
        <f t="shared" si="346"/>
        <v>0</v>
      </c>
      <c r="AM74" s="3">
        <f t="shared" si="346"/>
        <v>0</v>
      </c>
      <c r="AN74" s="3">
        <f t="shared" si="346"/>
        <v>0</v>
      </c>
      <c r="AO74" s="3">
        <f t="shared" si="346"/>
        <v>0</v>
      </c>
      <c r="AP74" s="3">
        <f t="shared" si="346"/>
        <v>0</v>
      </c>
      <c r="AQ74" s="3">
        <f t="shared" si="346"/>
        <v>0</v>
      </c>
      <c r="AR74" s="3">
        <f t="shared" si="346"/>
        <v>0</v>
      </c>
      <c r="AS74" s="3">
        <f t="shared" si="346"/>
        <v>0</v>
      </c>
      <c r="AU74" s="3">
        <f t="shared" ref="AU74:BF74" si="347">IF(AND(AU$5&gt;=$C74,AU$5&lt;=$D74),$E74,0)</f>
        <v>0</v>
      </c>
      <c r="AV74" s="3">
        <f t="shared" si="347"/>
        <v>0</v>
      </c>
      <c r="AW74" s="3">
        <f t="shared" si="347"/>
        <v>0</v>
      </c>
      <c r="AX74" s="3">
        <f t="shared" si="347"/>
        <v>0</v>
      </c>
      <c r="AY74" s="3">
        <f t="shared" si="347"/>
        <v>0</v>
      </c>
      <c r="AZ74" s="3">
        <f t="shared" si="347"/>
        <v>0</v>
      </c>
      <c r="BA74" s="3">
        <f t="shared" si="347"/>
        <v>0</v>
      </c>
      <c r="BB74" s="3">
        <f t="shared" si="347"/>
        <v>0</v>
      </c>
      <c r="BC74" s="3">
        <f t="shared" si="347"/>
        <v>0</v>
      </c>
      <c r="BD74" s="3">
        <f t="shared" si="347"/>
        <v>0</v>
      </c>
      <c r="BE74" s="3">
        <f t="shared" si="347"/>
        <v>0</v>
      </c>
      <c r="BF74" s="3">
        <f t="shared" si="347"/>
        <v>0</v>
      </c>
      <c r="BG74" s="2"/>
      <c r="BH74" s="3">
        <f t="shared" ref="BH74:BS74" si="348">IF(AND(BH$5&gt;=$C74,BH$5&lt;=$D74),$E74,0)</f>
        <v>0</v>
      </c>
      <c r="BI74" s="3">
        <f t="shared" si="348"/>
        <v>0</v>
      </c>
      <c r="BJ74" s="3">
        <f t="shared" si="348"/>
        <v>0</v>
      </c>
      <c r="BK74" s="3">
        <f t="shared" si="348"/>
        <v>0</v>
      </c>
      <c r="BL74" s="3">
        <f t="shared" si="348"/>
        <v>0</v>
      </c>
      <c r="BM74" s="3">
        <f t="shared" si="348"/>
        <v>0</v>
      </c>
      <c r="BN74" s="3">
        <f t="shared" si="348"/>
        <v>0</v>
      </c>
      <c r="BO74" s="3">
        <f t="shared" si="348"/>
        <v>0</v>
      </c>
      <c r="BP74" s="3">
        <f t="shared" si="348"/>
        <v>0</v>
      </c>
      <c r="BQ74" s="3">
        <f t="shared" si="348"/>
        <v>0</v>
      </c>
      <c r="BR74" s="3">
        <f t="shared" si="348"/>
        <v>0</v>
      </c>
      <c r="BS74" s="3">
        <f t="shared" si="348"/>
        <v>0</v>
      </c>
      <c r="BT74" s="2"/>
    </row>
    <row r="75" spans="1:72" ht="15.75" customHeight="1">
      <c r="A75" s="54" t="str">
        <f>IF('Capital purchases'!C79="","",'Capital purchases'!C79)</f>
        <v/>
      </c>
      <c r="B75" s="2"/>
      <c r="C75" s="2" t="str">
        <f>IF($A75="","",'Capital purchases'!B79)</f>
        <v/>
      </c>
      <c r="D75" s="3" t="str">
        <f>IF($A75="","",'Capital purchases'!J79)</f>
        <v/>
      </c>
      <c r="E75" s="162" t="str">
        <f>IF($A75="","",'Capital purchases'!I79)</f>
        <v/>
      </c>
      <c r="H75" s="3">
        <f t="shared" ref="H75:S75" si="349">IF(AND(H$5&gt;=$C75,H$5&lt;=$D75),$E75,0)</f>
        <v>0</v>
      </c>
      <c r="I75" s="3">
        <f t="shared" si="349"/>
        <v>0</v>
      </c>
      <c r="J75" s="3">
        <f t="shared" si="349"/>
        <v>0</v>
      </c>
      <c r="K75" s="3">
        <f t="shared" si="349"/>
        <v>0</v>
      </c>
      <c r="L75" s="3">
        <f t="shared" si="349"/>
        <v>0</v>
      </c>
      <c r="M75" s="3">
        <f t="shared" si="349"/>
        <v>0</v>
      </c>
      <c r="N75" s="3">
        <f t="shared" si="349"/>
        <v>0</v>
      </c>
      <c r="O75" s="3">
        <f t="shared" si="349"/>
        <v>0</v>
      </c>
      <c r="P75" s="3">
        <f t="shared" si="349"/>
        <v>0</v>
      </c>
      <c r="Q75" s="3">
        <f t="shared" si="349"/>
        <v>0</v>
      </c>
      <c r="R75" s="3">
        <f t="shared" si="349"/>
        <v>0</v>
      </c>
      <c r="S75" s="3">
        <f t="shared" si="349"/>
        <v>0</v>
      </c>
      <c r="U75" s="3">
        <f t="shared" ref="U75:AF75" si="350">IF(AND(U$5&gt;=$C75,U$5&lt;=$D75),$E75,0)</f>
        <v>0</v>
      </c>
      <c r="V75" s="3">
        <f t="shared" si="350"/>
        <v>0</v>
      </c>
      <c r="W75" s="3">
        <f t="shared" si="350"/>
        <v>0</v>
      </c>
      <c r="X75" s="3">
        <f t="shared" si="350"/>
        <v>0</v>
      </c>
      <c r="Y75" s="3">
        <f t="shared" si="350"/>
        <v>0</v>
      </c>
      <c r="Z75" s="3">
        <f t="shared" si="350"/>
        <v>0</v>
      </c>
      <c r="AA75" s="3">
        <f t="shared" si="350"/>
        <v>0</v>
      </c>
      <c r="AB75" s="3">
        <f t="shared" si="350"/>
        <v>0</v>
      </c>
      <c r="AC75" s="3">
        <f t="shared" si="350"/>
        <v>0</v>
      </c>
      <c r="AD75" s="3">
        <f t="shared" si="350"/>
        <v>0</v>
      </c>
      <c r="AE75" s="3">
        <f t="shared" si="350"/>
        <v>0</v>
      </c>
      <c r="AF75" s="3">
        <f t="shared" si="350"/>
        <v>0</v>
      </c>
      <c r="AH75" s="3">
        <f t="shared" ref="AH75:AS75" si="351">IF(AND(AH$5&gt;=$C75,AH$5&lt;=$D75),$E75,0)</f>
        <v>0</v>
      </c>
      <c r="AI75" s="3">
        <f t="shared" si="351"/>
        <v>0</v>
      </c>
      <c r="AJ75" s="3">
        <f t="shared" si="351"/>
        <v>0</v>
      </c>
      <c r="AK75" s="3">
        <f t="shared" si="351"/>
        <v>0</v>
      </c>
      <c r="AL75" s="3">
        <f t="shared" si="351"/>
        <v>0</v>
      </c>
      <c r="AM75" s="3">
        <f t="shared" si="351"/>
        <v>0</v>
      </c>
      <c r="AN75" s="3">
        <f t="shared" si="351"/>
        <v>0</v>
      </c>
      <c r="AO75" s="3">
        <f t="shared" si="351"/>
        <v>0</v>
      </c>
      <c r="AP75" s="3">
        <f t="shared" si="351"/>
        <v>0</v>
      </c>
      <c r="AQ75" s="3">
        <f t="shared" si="351"/>
        <v>0</v>
      </c>
      <c r="AR75" s="3">
        <f t="shared" si="351"/>
        <v>0</v>
      </c>
      <c r="AS75" s="3">
        <f t="shared" si="351"/>
        <v>0</v>
      </c>
      <c r="AU75" s="3">
        <f t="shared" ref="AU75:BF75" si="352">IF(AND(AU$5&gt;=$C75,AU$5&lt;=$D75),$E75,0)</f>
        <v>0</v>
      </c>
      <c r="AV75" s="3">
        <f t="shared" si="352"/>
        <v>0</v>
      </c>
      <c r="AW75" s="3">
        <f t="shared" si="352"/>
        <v>0</v>
      </c>
      <c r="AX75" s="3">
        <f t="shared" si="352"/>
        <v>0</v>
      </c>
      <c r="AY75" s="3">
        <f t="shared" si="352"/>
        <v>0</v>
      </c>
      <c r="AZ75" s="3">
        <f t="shared" si="352"/>
        <v>0</v>
      </c>
      <c r="BA75" s="3">
        <f t="shared" si="352"/>
        <v>0</v>
      </c>
      <c r="BB75" s="3">
        <f t="shared" si="352"/>
        <v>0</v>
      </c>
      <c r="BC75" s="3">
        <f t="shared" si="352"/>
        <v>0</v>
      </c>
      <c r="BD75" s="3">
        <f t="shared" si="352"/>
        <v>0</v>
      </c>
      <c r="BE75" s="3">
        <f t="shared" si="352"/>
        <v>0</v>
      </c>
      <c r="BF75" s="3">
        <f t="shared" si="352"/>
        <v>0</v>
      </c>
      <c r="BG75" s="2"/>
      <c r="BH75" s="3">
        <f t="shared" ref="BH75:BS75" si="353">IF(AND(BH$5&gt;=$C75,BH$5&lt;=$D75),$E75,0)</f>
        <v>0</v>
      </c>
      <c r="BI75" s="3">
        <f t="shared" si="353"/>
        <v>0</v>
      </c>
      <c r="BJ75" s="3">
        <f t="shared" si="353"/>
        <v>0</v>
      </c>
      <c r="BK75" s="3">
        <f t="shared" si="353"/>
        <v>0</v>
      </c>
      <c r="BL75" s="3">
        <f t="shared" si="353"/>
        <v>0</v>
      </c>
      <c r="BM75" s="3">
        <f t="shared" si="353"/>
        <v>0</v>
      </c>
      <c r="BN75" s="3">
        <f t="shared" si="353"/>
        <v>0</v>
      </c>
      <c r="BO75" s="3">
        <f t="shared" si="353"/>
        <v>0</v>
      </c>
      <c r="BP75" s="3">
        <f t="shared" si="353"/>
        <v>0</v>
      </c>
      <c r="BQ75" s="3">
        <f t="shared" si="353"/>
        <v>0</v>
      </c>
      <c r="BR75" s="3">
        <f t="shared" si="353"/>
        <v>0</v>
      </c>
      <c r="BS75" s="3">
        <f t="shared" si="353"/>
        <v>0</v>
      </c>
      <c r="BT75" s="2"/>
    </row>
    <row r="76" spans="1:72" ht="15.75" customHeight="1">
      <c r="A76" s="54" t="str">
        <f>IF('Capital purchases'!C80="","",'Capital purchases'!C80)</f>
        <v/>
      </c>
      <c r="B76" s="2"/>
      <c r="C76" s="2" t="str">
        <f>IF($A76="","",'Capital purchases'!B80)</f>
        <v/>
      </c>
      <c r="D76" s="3" t="str">
        <f>IF($A76="","",'Capital purchases'!J80)</f>
        <v/>
      </c>
      <c r="E76" s="162" t="str">
        <f>IF($A76="","",'Capital purchases'!I80)</f>
        <v/>
      </c>
      <c r="H76" s="3">
        <f t="shared" ref="H76:S76" si="354">IF(AND(H$5&gt;=$C76,H$5&lt;=$D76),$E76,0)</f>
        <v>0</v>
      </c>
      <c r="I76" s="3">
        <f t="shared" si="354"/>
        <v>0</v>
      </c>
      <c r="J76" s="3">
        <f t="shared" si="354"/>
        <v>0</v>
      </c>
      <c r="K76" s="3">
        <f t="shared" si="354"/>
        <v>0</v>
      </c>
      <c r="L76" s="3">
        <f t="shared" si="354"/>
        <v>0</v>
      </c>
      <c r="M76" s="3">
        <f t="shared" si="354"/>
        <v>0</v>
      </c>
      <c r="N76" s="3">
        <f t="shared" si="354"/>
        <v>0</v>
      </c>
      <c r="O76" s="3">
        <f t="shared" si="354"/>
        <v>0</v>
      </c>
      <c r="P76" s="3">
        <f t="shared" si="354"/>
        <v>0</v>
      </c>
      <c r="Q76" s="3">
        <f t="shared" si="354"/>
        <v>0</v>
      </c>
      <c r="R76" s="3">
        <f t="shared" si="354"/>
        <v>0</v>
      </c>
      <c r="S76" s="3">
        <f t="shared" si="354"/>
        <v>0</v>
      </c>
      <c r="U76" s="3">
        <f t="shared" ref="U76:AF76" si="355">IF(AND(U$5&gt;=$C76,U$5&lt;=$D76),$E76,0)</f>
        <v>0</v>
      </c>
      <c r="V76" s="3">
        <f t="shared" si="355"/>
        <v>0</v>
      </c>
      <c r="W76" s="3">
        <f t="shared" si="355"/>
        <v>0</v>
      </c>
      <c r="X76" s="3">
        <f t="shared" si="355"/>
        <v>0</v>
      </c>
      <c r="Y76" s="3">
        <f t="shared" si="355"/>
        <v>0</v>
      </c>
      <c r="Z76" s="3">
        <f t="shared" si="355"/>
        <v>0</v>
      </c>
      <c r="AA76" s="3">
        <f t="shared" si="355"/>
        <v>0</v>
      </c>
      <c r="AB76" s="3">
        <f t="shared" si="355"/>
        <v>0</v>
      </c>
      <c r="AC76" s="3">
        <f t="shared" si="355"/>
        <v>0</v>
      </c>
      <c r="AD76" s="3">
        <f t="shared" si="355"/>
        <v>0</v>
      </c>
      <c r="AE76" s="3">
        <f t="shared" si="355"/>
        <v>0</v>
      </c>
      <c r="AF76" s="3">
        <f t="shared" si="355"/>
        <v>0</v>
      </c>
      <c r="AH76" s="3">
        <f t="shared" ref="AH76:AS76" si="356">IF(AND(AH$5&gt;=$C76,AH$5&lt;=$D76),$E76,0)</f>
        <v>0</v>
      </c>
      <c r="AI76" s="3">
        <f t="shared" si="356"/>
        <v>0</v>
      </c>
      <c r="AJ76" s="3">
        <f t="shared" si="356"/>
        <v>0</v>
      </c>
      <c r="AK76" s="3">
        <f t="shared" si="356"/>
        <v>0</v>
      </c>
      <c r="AL76" s="3">
        <f t="shared" si="356"/>
        <v>0</v>
      </c>
      <c r="AM76" s="3">
        <f t="shared" si="356"/>
        <v>0</v>
      </c>
      <c r="AN76" s="3">
        <f t="shared" si="356"/>
        <v>0</v>
      </c>
      <c r="AO76" s="3">
        <f t="shared" si="356"/>
        <v>0</v>
      </c>
      <c r="AP76" s="3">
        <f t="shared" si="356"/>
        <v>0</v>
      </c>
      <c r="AQ76" s="3">
        <f t="shared" si="356"/>
        <v>0</v>
      </c>
      <c r="AR76" s="3">
        <f t="shared" si="356"/>
        <v>0</v>
      </c>
      <c r="AS76" s="3">
        <f t="shared" si="356"/>
        <v>0</v>
      </c>
      <c r="AU76" s="3">
        <f t="shared" ref="AU76:BF76" si="357">IF(AND(AU$5&gt;=$C76,AU$5&lt;=$D76),$E76,0)</f>
        <v>0</v>
      </c>
      <c r="AV76" s="3">
        <f t="shared" si="357"/>
        <v>0</v>
      </c>
      <c r="AW76" s="3">
        <f t="shared" si="357"/>
        <v>0</v>
      </c>
      <c r="AX76" s="3">
        <f t="shared" si="357"/>
        <v>0</v>
      </c>
      <c r="AY76" s="3">
        <f t="shared" si="357"/>
        <v>0</v>
      </c>
      <c r="AZ76" s="3">
        <f t="shared" si="357"/>
        <v>0</v>
      </c>
      <c r="BA76" s="3">
        <f t="shared" si="357"/>
        <v>0</v>
      </c>
      <c r="BB76" s="3">
        <f t="shared" si="357"/>
        <v>0</v>
      </c>
      <c r="BC76" s="3">
        <f t="shared" si="357"/>
        <v>0</v>
      </c>
      <c r="BD76" s="3">
        <f t="shared" si="357"/>
        <v>0</v>
      </c>
      <c r="BE76" s="3">
        <f t="shared" si="357"/>
        <v>0</v>
      </c>
      <c r="BF76" s="3">
        <f t="shared" si="357"/>
        <v>0</v>
      </c>
      <c r="BG76" s="2"/>
      <c r="BH76" s="3">
        <f t="shared" ref="BH76:BS76" si="358">IF(AND(BH$5&gt;=$C76,BH$5&lt;=$D76),$E76,0)</f>
        <v>0</v>
      </c>
      <c r="BI76" s="3">
        <f t="shared" si="358"/>
        <v>0</v>
      </c>
      <c r="BJ76" s="3">
        <f t="shared" si="358"/>
        <v>0</v>
      </c>
      <c r="BK76" s="3">
        <f t="shared" si="358"/>
        <v>0</v>
      </c>
      <c r="BL76" s="3">
        <f t="shared" si="358"/>
        <v>0</v>
      </c>
      <c r="BM76" s="3">
        <f t="shared" si="358"/>
        <v>0</v>
      </c>
      <c r="BN76" s="3">
        <f t="shared" si="358"/>
        <v>0</v>
      </c>
      <c r="BO76" s="3">
        <f t="shared" si="358"/>
        <v>0</v>
      </c>
      <c r="BP76" s="3">
        <f t="shared" si="358"/>
        <v>0</v>
      </c>
      <c r="BQ76" s="3">
        <f t="shared" si="358"/>
        <v>0</v>
      </c>
      <c r="BR76" s="3">
        <f t="shared" si="358"/>
        <v>0</v>
      </c>
      <c r="BS76" s="3">
        <f t="shared" si="358"/>
        <v>0</v>
      </c>
      <c r="BT76" s="2"/>
    </row>
    <row r="77" spans="1:72" ht="15.75" customHeight="1">
      <c r="A77" s="54" t="str">
        <f>IF('Capital purchases'!C81="","",'Capital purchases'!C81)</f>
        <v/>
      </c>
      <c r="B77" s="2"/>
      <c r="C77" s="2" t="str">
        <f>IF($A77="","",'Capital purchases'!B81)</f>
        <v/>
      </c>
      <c r="D77" s="3" t="str">
        <f>IF($A77="","",'Capital purchases'!J81)</f>
        <v/>
      </c>
      <c r="E77" s="162" t="str">
        <f>IF($A77="","",'Capital purchases'!I81)</f>
        <v/>
      </c>
      <c r="H77" s="3">
        <f t="shared" ref="H77:S77" si="359">IF(AND(H$5&gt;=$C77,H$5&lt;=$D77),$E77,0)</f>
        <v>0</v>
      </c>
      <c r="I77" s="3">
        <f t="shared" si="359"/>
        <v>0</v>
      </c>
      <c r="J77" s="3">
        <f t="shared" si="359"/>
        <v>0</v>
      </c>
      <c r="K77" s="3">
        <f t="shared" si="359"/>
        <v>0</v>
      </c>
      <c r="L77" s="3">
        <f t="shared" si="359"/>
        <v>0</v>
      </c>
      <c r="M77" s="3">
        <f t="shared" si="359"/>
        <v>0</v>
      </c>
      <c r="N77" s="3">
        <f t="shared" si="359"/>
        <v>0</v>
      </c>
      <c r="O77" s="3">
        <f t="shared" si="359"/>
        <v>0</v>
      </c>
      <c r="P77" s="3">
        <f t="shared" si="359"/>
        <v>0</v>
      </c>
      <c r="Q77" s="3">
        <f t="shared" si="359"/>
        <v>0</v>
      </c>
      <c r="R77" s="3">
        <f t="shared" si="359"/>
        <v>0</v>
      </c>
      <c r="S77" s="3">
        <f t="shared" si="359"/>
        <v>0</v>
      </c>
      <c r="U77" s="3">
        <f t="shared" ref="U77:AF77" si="360">IF(AND(U$5&gt;=$C77,U$5&lt;=$D77),$E77,0)</f>
        <v>0</v>
      </c>
      <c r="V77" s="3">
        <f t="shared" si="360"/>
        <v>0</v>
      </c>
      <c r="W77" s="3">
        <f t="shared" si="360"/>
        <v>0</v>
      </c>
      <c r="X77" s="3">
        <f t="shared" si="360"/>
        <v>0</v>
      </c>
      <c r="Y77" s="3">
        <f t="shared" si="360"/>
        <v>0</v>
      </c>
      <c r="Z77" s="3">
        <f t="shared" si="360"/>
        <v>0</v>
      </c>
      <c r="AA77" s="3">
        <f t="shared" si="360"/>
        <v>0</v>
      </c>
      <c r="AB77" s="3">
        <f t="shared" si="360"/>
        <v>0</v>
      </c>
      <c r="AC77" s="3">
        <f t="shared" si="360"/>
        <v>0</v>
      </c>
      <c r="AD77" s="3">
        <f t="shared" si="360"/>
        <v>0</v>
      </c>
      <c r="AE77" s="3">
        <f t="shared" si="360"/>
        <v>0</v>
      </c>
      <c r="AF77" s="3">
        <f t="shared" si="360"/>
        <v>0</v>
      </c>
      <c r="AH77" s="3">
        <f t="shared" ref="AH77:AS77" si="361">IF(AND(AH$5&gt;=$C77,AH$5&lt;=$D77),$E77,0)</f>
        <v>0</v>
      </c>
      <c r="AI77" s="3">
        <f t="shared" si="361"/>
        <v>0</v>
      </c>
      <c r="AJ77" s="3">
        <f t="shared" si="361"/>
        <v>0</v>
      </c>
      <c r="AK77" s="3">
        <f t="shared" si="361"/>
        <v>0</v>
      </c>
      <c r="AL77" s="3">
        <f t="shared" si="361"/>
        <v>0</v>
      </c>
      <c r="AM77" s="3">
        <f t="shared" si="361"/>
        <v>0</v>
      </c>
      <c r="AN77" s="3">
        <f t="shared" si="361"/>
        <v>0</v>
      </c>
      <c r="AO77" s="3">
        <f t="shared" si="361"/>
        <v>0</v>
      </c>
      <c r="AP77" s="3">
        <f t="shared" si="361"/>
        <v>0</v>
      </c>
      <c r="AQ77" s="3">
        <f t="shared" si="361"/>
        <v>0</v>
      </c>
      <c r="AR77" s="3">
        <f t="shared" si="361"/>
        <v>0</v>
      </c>
      <c r="AS77" s="3">
        <f t="shared" si="361"/>
        <v>0</v>
      </c>
      <c r="AU77" s="3">
        <f t="shared" ref="AU77:BF77" si="362">IF(AND(AU$5&gt;=$C77,AU$5&lt;=$D77),$E77,0)</f>
        <v>0</v>
      </c>
      <c r="AV77" s="3">
        <f t="shared" si="362"/>
        <v>0</v>
      </c>
      <c r="AW77" s="3">
        <f t="shared" si="362"/>
        <v>0</v>
      </c>
      <c r="AX77" s="3">
        <f t="shared" si="362"/>
        <v>0</v>
      </c>
      <c r="AY77" s="3">
        <f t="shared" si="362"/>
        <v>0</v>
      </c>
      <c r="AZ77" s="3">
        <f t="shared" si="362"/>
        <v>0</v>
      </c>
      <c r="BA77" s="3">
        <f t="shared" si="362"/>
        <v>0</v>
      </c>
      <c r="BB77" s="3">
        <f t="shared" si="362"/>
        <v>0</v>
      </c>
      <c r="BC77" s="3">
        <f t="shared" si="362"/>
        <v>0</v>
      </c>
      <c r="BD77" s="3">
        <f t="shared" si="362"/>
        <v>0</v>
      </c>
      <c r="BE77" s="3">
        <f t="shared" si="362"/>
        <v>0</v>
      </c>
      <c r="BF77" s="3">
        <f t="shared" si="362"/>
        <v>0</v>
      </c>
      <c r="BG77" s="2"/>
      <c r="BH77" s="3">
        <f t="shared" ref="BH77:BS77" si="363">IF(AND(BH$5&gt;=$C77,BH$5&lt;=$D77),$E77,0)</f>
        <v>0</v>
      </c>
      <c r="BI77" s="3">
        <f t="shared" si="363"/>
        <v>0</v>
      </c>
      <c r="BJ77" s="3">
        <f t="shared" si="363"/>
        <v>0</v>
      </c>
      <c r="BK77" s="3">
        <f t="shared" si="363"/>
        <v>0</v>
      </c>
      <c r="BL77" s="3">
        <f t="shared" si="363"/>
        <v>0</v>
      </c>
      <c r="BM77" s="3">
        <f t="shared" si="363"/>
        <v>0</v>
      </c>
      <c r="BN77" s="3">
        <f t="shared" si="363"/>
        <v>0</v>
      </c>
      <c r="BO77" s="3">
        <f t="shared" si="363"/>
        <v>0</v>
      </c>
      <c r="BP77" s="3">
        <f t="shared" si="363"/>
        <v>0</v>
      </c>
      <c r="BQ77" s="3">
        <f t="shared" si="363"/>
        <v>0</v>
      </c>
      <c r="BR77" s="3">
        <f t="shared" si="363"/>
        <v>0</v>
      </c>
      <c r="BS77" s="3">
        <f t="shared" si="363"/>
        <v>0</v>
      </c>
      <c r="BT77" s="2"/>
    </row>
    <row r="78" spans="1:72" ht="15.75" customHeight="1">
      <c r="A78" s="54" t="str">
        <f>IF('Capital purchases'!C82="","",'Capital purchases'!C82)</f>
        <v/>
      </c>
      <c r="B78" s="2"/>
      <c r="C78" s="2" t="str">
        <f>IF($A78="","",'Capital purchases'!B82)</f>
        <v/>
      </c>
      <c r="D78" s="3" t="str">
        <f>IF($A78="","",'Capital purchases'!J82)</f>
        <v/>
      </c>
      <c r="E78" s="162" t="str">
        <f>IF($A78="","",'Capital purchases'!I82)</f>
        <v/>
      </c>
      <c r="H78" s="3">
        <f t="shared" ref="H78:S78" si="364">IF(AND(H$5&gt;=$C78,H$5&lt;=$D78),$E78,0)</f>
        <v>0</v>
      </c>
      <c r="I78" s="3">
        <f t="shared" si="364"/>
        <v>0</v>
      </c>
      <c r="J78" s="3">
        <f t="shared" si="364"/>
        <v>0</v>
      </c>
      <c r="K78" s="3">
        <f t="shared" si="364"/>
        <v>0</v>
      </c>
      <c r="L78" s="3">
        <f t="shared" si="364"/>
        <v>0</v>
      </c>
      <c r="M78" s="3">
        <f t="shared" si="364"/>
        <v>0</v>
      </c>
      <c r="N78" s="3">
        <f t="shared" si="364"/>
        <v>0</v>
      </c>
      <c r="O78" s="3">
        <f t="shared" si="364"/>
        <v>0</v>
      </c>
      <c r="P78" s="3">
        <f t="shared" si="364"/>
        <v>0</v>
      </c>
      <c r="Q78" s="3">
        <f t="shared" si="364"/>
        <v>0</v>
      </c>
      <c r="R78" s="3">
        <f t="shared" si="364"/>
        <v>0</v>
      </c>
      <c r="S78" s="3">
        <f t="shared" si="364"/>
        <v>0</v>
      </c>
      <c r="U78" s="3">
        <f t="shared" ref="U78:AF78" si="365">IF(AND(U$5&gt;=$C78,U$5&lt;=$D78),$E78,0)</f>
        <v>0</v>
      </c>
      <c r="V78" s="3">
        <f t="shared" si="365"/>
        <v>0</v>
      </c>
      <c r="W78" s="3">
        <f t="shared" si="365"/>
        <v>0</v>
      </c>
      <c r="X78" s="3">
        <f t="shared" si="365"/>
        <v>0</v>
      </c>
      <c r="Y78" s="3">
        <f t="shared" si="365"/>
        <v>0</v>
      </c>
      <c r="Z78" s="3">
        <f t="shared" si="365"/>
        <v>0</v>
      </c>
      <c r="AA78" s="3">
        <f t="shared" si="365"/>
        <v>0</v>
      </c>
      <c r="AB78" s="3">
        <f t="shared" si="365"/>
        <v>0</v>
      </c>
      <c r="AC78" s="3">
        <f t="shared" si="365"/>
        <v>0</v>
      </c>
      <c r="AD78" s="3">
        <f t="shared" si="365"/>
        <v>0</v>
      </c>
      <c r="AE78" s="3">
        <f t="shared" si="365"/>
        <v>0</v>
      </c>
      <c r="AF78" s="3">
        <f t="shared" si="365"/>
        <v>0</v>
      </c>
      <c r="AH78" s="3">
        <f t="shared" ref="AH78:AS78" si="366">IF(AND(AH$5&gt;=$C78,AH$5&lt;=$D78),$E78,0)</f>
        <v>0</v>
      </c>
      <c r="AI78" s="3">
        <f t="shared" si="366"/>
        <v>0</v>
      </c>
      <c r="AJ78" s="3">
        <f t="shared" si="366"/>
        <v>0</v>
      </c>
      <c r="AK78" s="3">
        <f t="shared" si="366"/>
        <v>0</v>
      </c>
      <c r="AL78" s="3">
        <f t="shared" si="366"/>
        <v>0</v>
      </c>
      <c r="AM78" s="3">
        <f t="shared" si="366"/>
        <v>0</v>
      </c>
      <c r="AN78" s="3">
        <f t="shared" si="366"/>
        <v>0</v>
      </c>
      <c r="AO78" s="3">
        <f t="shared" si="366"/>
        <v>0</v>
      </c>
      <c r="AP78" s="3">
        <f t="shared" si="366"/>
        <v>0</v>
      </c>
      <c r="AQ78" s="3">
        <f t="shared" si="366"/>
        <v>0</v>
      </c>
      <c r="AR78" s="3">
        <f t="shared" si="366"/>
        <v>0</v>
      </c>
      <c r="AS78" s="3">
        <f t="shared" si="366"/>
        <v>0</v>
      </c>
      <c r="AU78" s="3">
        <f t="shared" ref="AU78:BF78" si="367">IF(AND(AU$5&gt;=$C78,AU$5&lt;=$D78),$E78,0)</f>
        <v>0</v>
      </c>
      <c r="AV78" s="3">
        <f t="shared" si="367"/>
        <v>0</v>
      </c>
      <c r="AW78" s="3">
        <f t="shared" si="367"/>
        <v>0</v>
      </c>
      <c r="AX78" s="3">
        <f t="shared" si="367"/>
        <v>0</v>
      </c>
      <c r="AY78" s="3">
        <f t="shared" si="367"/>
        <v>0</v>
      </c>
      <c r="AZ78" s="3">
        <f t="shared" si="367"/>
        <v>0</v>
      </c>
      <c r="BA78" s="3">
        <f t="shared" si="367"/>
        <v>0</v>
      </c>
      <c r="BB78" s="3">
        <f t="shared" si="367"/>
        <v>0</v>
      </c>
      <c r="BC78" s="3">
        <f t="shared" si="367"/>
        <v>0</v>
      </c>
      <c r="BD78" s="3">
        <f t="shared" si="367"/>
        <v>0</v>
      </c>
      <c r="BE78" s="3">
        <f t="shared" si="367"/>
        <v>0</v>
      </c>
      <c r="BF78" s="3">
        <f t="shared" si="367"/>
        <v>0</v>
      </c>
      <c r="BG78" s="2"/>
      <c r="BH78" s="3">
        <f t="shared" ref="BH78:BS78" si="368">IF(AND(BH$5&gt;=$C78,BH$5&lt;=$D78),$E78,0)</f>
        <v>0</v>
      </c>
      <c r="BI78" s="3">
        <f t="shared" si="368"/>
        <v>0</v>
      </c>
      <c r="BJ78" s="3">
        <f t="shared" si="368"/>
        <v>0</v>
      </c>
      <c r="BK78" s="3">
        <f t="shared" si="368"/>
        <v>0</v>
      </c>
      <c r="BL78" s="3">
        <f t="shared" si="368"/>
        <v>0</v>
      </c>
      <c r="BM78" s="3">
        <f t="shared" si="368"/>
        <v>0</v>
      </c>
      <c r="BN78" s="3">
        <f t="shared" si="368"/>
        <v>0</v>
      </c>
      <c r="BO78" s="3">
        <f t="shared" si="368"/>
        <v>0</v>
      </c>
      <c r="BP78" s="3">
        <f t="shared" si="368"/>
        <v>0</v>
      </c>
      <c r="BQ78" s="3">
        <f t="shared" si="368"/>
        <v>0</v>
      </c>
      <c r="BR78" s="3">
        <f t="shared" si="368"/>
        <v>0</v>
      </c>
      <c r="BS78" s="3">
        <f t="shared" si="368"/>
        <v>0</v>
      </c>
      <c r="BT78" s="2"/>
    </row>
    <row r="79" spans="1:72" ht="15.75" customHeight="1">
      <c r="A79" s="54" t="str">
        <f>IF('Capital purchases'!C83="","",'Capital purchases'!C83)</f>
        <v/>
      </c>
      <c r="B79" s="2"/>
      <c r="C79" s="2" t="str">
        <f>IF($A79="","",'Capital purchases'!B83)</f>
        <v/>
      </c>
      <c r="D79" s="3" t="str">
        <f>IF($A79="","",'Capital purchases'!J83)</f>
        <v/>
      </c>
      <c r="E79" s="162" t="str">
        <f>IF($A79="","",'Capital purchases'!I83)</f>
        <v/>
      </c>
      <c r="H79" s="3">
        <f t="shared" ref="H79:S79" si="369">IF(AND(H$5&gt;=$C79,H$5&lt;=$D79),$E79,0)</f>
        <v>0</v>
      </c>
      <c r="I79" s="3">
        <f t="shared" si="369"/>
        <v>0</v>
      </c>
      <c r="J79" s="3">
        <f t="shared" si="369"/>
        <v>0</v>
      </c>
      <c r="K79" s="3">
        <f t="shared" si="369"/>
        <v>0</v>
      </c>
      <c r="L79" s="3">
        <f t="shared" si="369"/>
        <v>0</v>
      </c>
      <c r="M79" s="3">
        <f t="shared" si="369"/>
        <v>0</v>
      </c>
      <c r="N79" s="3">
        <f t="shared" si="369"/>
        <v>0</v>
      </c>
      <c r="O79" s="3">
        <f t="shared" si="369"/>
        <v>0</v>
      </c>
      <c r="P79" s="3">
        <f t="shared" si="369"/>
        <v>0</v>
      </c>
      <c r="Q79" s="3">
        <f t="shared" si="369"/>
        <v>0</v>
      </c>
      <c r="R79" s="3">
        <f t="shared" si="369"/>
        <v>0</v>
      </c>
      <c r="S79" s="3">
        <f t="shared" si="369"/>
        <v>0</v>
      </c>
      <c r="U79" s="3">
        <f t="shared" ref="U79:AF79" si="370">IF(AND(U$5&gt;=$C79,U$5&lt;=$D79),$E79,0)</f>
        <v>0</v>
      </c>
      <c r="V79" s="3">
        <f t="shared" si="370"/>
        <v>0</v>
      </c>
      <c r="W79" s="3">
        <f t="shared" si="370"/>
        <v>0</v>
      </c>
      <c r="X79" s="3">
        <f t="shared" si="370"/>
        <v>0</v>
      </c>
      <c r="Y79" s="3">
        <f t="shared" si="370"/>
        <v>0</v>
      </c>
      <c r="Z79" s="3">
        <f t="shared" si="370"/>
        <v>0</v>
      </c>
      <c r="AA79" s="3">
        <f t="shared" si="370"/>
        <v>0</v>
      </c>
      <c r="AB79" s="3">
        <f t="shared" si="370"/>
        <v>0</v>
      </c>
      <c r="AC79" s="3">
        <f t="shared" si="370"/>
        <v>0</v>
      </c>
      <c r="AD79" s="3">
        <f t="shared" si="370"/>
        <v>0</v>
      </c>
      <c r="AE79" s="3">
        <f t="shared" si="370"/>
        <v>0</v>
      </c>
      <c r="AF79" s="3">
        <f t="shared" si="370"/>
        <v>0</v>
      </c>
      <c r="AH79" s="3">
        <f t="shared" ref="AH79:AS79" si="371">IF(AND(AH$5&gt;=$C79,AH$5&lt;=$D79),$E79,0)</f>
        <v>0</v>
      </c>
      <c r="AI79" s="3">
        <f t="shared" si="371"/>
        <v>0</v>
      </c>
      <c r="AJ79" s="3">
        <f t="shared" si="371"/>
        <v>0</v>
      </c>
      <c r="AK79" s="3">
        <f t="shared" si="371"/>
        <v>0</v>
      </c>
      <c r="AL79" s="3">
        <f t="shared" si="371"/>
        <v>0</v>
      </c>
      <c r="AM79" s="3">
        <f t="shared" si="371"/>
        <v>0</v>
      </c>
      <c r="AN79" s="3">
        <f t="shared" si="371"/>
        <v>0</v>
      </c>
      <c r="AO79" s="3">
        <f t="shared" si="371"/>
        <v>0</v>
      </c>
      <c r="AP79" s="3">
        <f t="shared" si="371"/>
        <v>0</v>
      </c>
      <c r="AQ79" s="3">
        <f t="shared" si="371"/>
        <v>0</v>
      </c>
      <c r="AR79" s="3">
        <f t="shared" si="371"/>
        <v>0</v>
      </c>
      <c r="AS79" s="3">
        <f t="shared" si="371"/>
        <v>0</v>
      </c>
      <c r="AU79" s="3">
        <f t="shared" ref="AU79:BF79" si="372">IF(AND(AU$5&gt;=$C79,AU$5&lt;=$D79),$E79,0)</f>
        <v>0</v>
      </c>
      <c r="AV79" s="3">
        <f t="shared" si="372"/>
        <v>0</v>
      </c>
      <c r="AW79" s="3">
        <f t="shared" si="372"/>
        <v>0</v>
      </c>
      <c r="AX79" s="3">
        <f t="shared" si="372"/>
        <v>0</v>
      </c>
      <c r="AY79" s="3">
        <f t="shared" si="372"/>
        <v>0</v>
      </c>
      <c r="AZ79" s="3">
        <f t="shared" si="372"/>
        <v>0</v>
      </c>
      <c r="BA79" s="3">
        <f t="shared" si="372"/>
        <v>0</v>
      </c>
      <c r="BB79" s="3">
        <f t="shared" si="372"/>
        <v>0</v>
      </c>
      <c r="BC79" s="3">
        <f t="shared" si="372"/>
        <v>0</v>
      </c>
      <c r="BD79" s="3">
        <f t="shared" si="372"/>
        <v>0</v>
      </c>
      <c r="BE79" s="3">
        <f t="shared" si="372"/>
        <v>0</v>
      </c>
      <c r="BF79" s="3">
        <f t="shared" si="372"/>
        <v>0</v>
      </c>
      <c r="BG79" s="2"/>
      <c r="BH79" s="3">
        <f t="shared" ref="BH79:BS79" si="373">IF(AND(BH$5&gt;=$C79,BH$5&lt;=$D79),$E79,0)</f>
        <v>0</v>
      </c>
      <c r="BI79" s="3">
        <f t="shared" si="373"/>
        <v>0</v>
      </c>
      <c r="BJ79" s="3">
        <f t="shared" si="373"/>
        <v>0</v>
      </c>
      <c r="BK79" s="3">
        <f t="shared" si="373"/>
        <v>0</v>
      </c>
      <c r="BL79" s="3">
        <f t="shared" si="373"/>
        <v>0</v>
      </c>
      <c r="BM79" s="3">
        <f t="shared" si="373"/>
        <v>0</v>
      </c>
      <c r="BN79" s="3">
        <f t="shared" si="373"/>
        <v>0</v>
      </c>
      <c r="BO79" s="3">
        <f t="shared" si="373"/>
        <v>0</v>
      </c>
      <c r="BP79" s="3">
        <f t="shared" si="373"/>
        <v>0</v>
      </c>
      <c r="BQ79" s="3">
        <f t="shared" si="373"/>
        <v>0</v>
      </c>
      <c r="BR79" s="3">
        <f t="shared" si="373"/>
        <v>0</v>
      </c>
      <c r="BS79" s="3">
        <f t="shared" si="373"/>
        <v>0</v>
      </c>
      <c r="BT79" s="2"/>
    </row>
    <row r="80" spans="1:72" ht="15.75" customHeight="1">
      <c r="A80" s="54" t="str">
        <f>IF('Capital purchases'!C84="","",'Capital purchases'!C84)</f>
        <v/>
      </c>
      <c r="B80" s="2"/>
      <c r="C80" s="2" t="str">
        <f>IF($A80="","",'Capital purchases'!B84)</f>
        <v/>
      </c>
      <c r="D80" s="3" t="str">
        <f>IF($A80="","",'Capital purchases'!J84)</f>
        <v/>
      </c>
      <c r="E80" s="162" t="str">
        <f>IF($A80="","",'Capital purchases'!I84)</f>
        <v/>
      </c>
      <c r="H80" s="3">
        <f t="shared" ref="H80:S80" si="374">IF(AND(H$5&gt;=$C80,H$5&lt;=$D80),$E80,0)</f>
        <v>0</v>
      </c>
      <c r="I80" s="3">
        <f t="shared" si="374"/>
        <v>0</v>
      </c>
      <c r="J80" s="3">
        <f t="shared" si="374"/>
        <v>0</v>
      </c>
      <c r="K80" s="3">
        <f t="shared" si="374"/>
        <v>0</v>
      </c>
      <c r="L80" s="3">
        <f t="shared" si="374"/>
        <v>0</v>
      </c>
      <c r="M80" s="3">
        <f t="shared" si="374"/>
        <v>0</v>
      </c>
      <c r="N80" s="3">
        <f t="shared" si="374"/>
        <v>0</v>
      </c>
      <c r="O80" s="3">
        <f t="shared" si="374"/>
        <v>0</v>
      </c>
      <c r="P80" s="3">
        <f t="shared" si="374"/>
        <v>0</v>
      </c>
      <c r="Q80" s="3">
        <f t="shared" si="374"/>
        <v>0</v>
      </c>
      <c r="R80" s="3">
        <f t="shared" si="374"/>
        <v>0</v>
      </c>
      <c r="S80" s="3">
        <f t="shared" si="374"/>
        <v>0</v>
      </c>
      <c r="U80" s="3">
        <f t="shared" ref="U80:AF80" si="375">IF(AND(U$5&gt;=$C80,U$5&lt;=$D80),$E80,0)</f>
        <v>0</v>
      </c>
      <c r="V80" s="3">
        <f t="shared" si="375"/>
        <v>0</v>
      </c>
      <c r="W80" s="3">
        <f t="shared" si="375"/>
        <v>0</v>
      </c>
      <c r="X80" s="3">
        <f t="shared" si="375"/>
        <v>0</v>
      </c>
      <c r="Y80" s="3">
        <f t="shared" si="375"/>
        <v>0</v>
      </c>
      <c r="Z80" s="3">
        <f t="shared" si="375"/>
        <v>0</v>
      </c>
      <c r="AA80" s="3">
        <f t="shared" si="375"/>
        <v>0</v>
      </c>
      <c r="AB80" s="3">
        <f t="shared" si="375"/>
        <v>0</v>
      </c>
      <c r="AC80" s="3">
        <f t="shared" si="375"/>
        <v>0</v>
      </c>
      <c r="AD80" s="3">
        <f t="shared" si="375"/>
        <v>0</v>
      </c>
      <c r="AE80" s="3">
        <f t="shared" si="375"/>
        <v>0</v>
      </c>
      <c r="AF80" s="3">
        <f t="shared" si="375"/>
        <v>0</v>
      </c>
      <c r="AH80" s="3">
        <f t="shared" ref="AH80:AS80" si="376">IF(AND(AH$5&gt;=$C80,AH$5&lt;=$D80),$E80,0)</f>
        <v>0</v>
      </c>
      <c r="AI80" s="3">
        <f t="shared" si="376"/>
        <v>0</v>
      </c>
      <c r="AJ80" s="3">
        <f t="shared" si="376"/>
        <v>0</v>
      </c>
      <c r="AK80" s="3">
        <f t="shared" si="376"/>
        <v>0</v>
      </c>
      <c r="AL80" s="3">
        <f t="shared" si="376"/>
        <v>0</v>
      </c>
      <c r="AM80" s="3">
        <f t="shared" si="376"/>
        <v>0</v>
      </c>
      <c r="AN80" s="3">
        <f t="shared" si="376"/>
        <v>0</v>
      </c>
      <c r="AO80" s="3">
        <f t="shared" si="376"/>
        <v>0</v>
      </c>
      <c r="AP80" s="3">
        <f t="shared" si="376"/>
        <v>0</v>
      </c>
      <c r="AQ80" s="3">
        <f t="shared" si="376"/>
        <v>0</v>
      </c>
      <c r="AR80" s="3">
        <f t="shared" si="376"/>
        <v>0</v>
      </c>
      <c r="AS80" s="3">
        <f t="shared" si="376"/>
        <v>0</v>
      </c>
      <c r="AU80" s="3">
        <f t="shared" ref="AU80:BF80" si="377">IF(AND(AU$5&gt;=$C80,AU$5&lt;=$D80),$E80,0)</f>
        <v>0</v>
      </c>
      <c r="AV80" s="3">
        <f t="shared" si="377"/>
        <v>0</v>
      </c>
      <c r="AW80" s="3">
        <f t="shared" si="377"/>
        <v>0</v>
      </c>
      <c r="AX80" s="3">
        <f t="shared" si="377"/>
        <v>0</v>
      </c>
      <c r="AY80" s="3">
        <f t="shared" si="377"/>
        <v>0</v>
      </c>
      <c r="AZ80" s="3">
        <f t="shared" si="377"/>
        <v>0</v>
      </c>
      <c r="BA80" s="3">
        <f t="shared" si="377"/>
        <v>0</v>
      </c>
      <c r="BB80" s="3">
        <f t="shared" si="377"/>
        <v>0</v>
      </c>
      <c r="BC80" s="3">
        <f t="shared" si="377"/>
        <v>0</v>
      </c>
      <c r="BD80" s="3">
        <f t="shared" si="377"/>
        <v>0</v>
      </c>
      <c r="BE80" s="3">
        <f t="shared" si="377"/>
        <v>0</v>
      </c>
      <c r="BF80" s="3">
        <f t="shared" si="377"/>
        <v>0</v>
      </c>
      <c r="BG80" s="2"/>
      <c r="BH80" s="3">
        <f t="shared" ref="BH80:BS80" si="378">IF(AND(BH$5&gt;=$C80,BH$5&lt;=$D80),$E80,0)</f>
        <v>0</v>
      </c>
      <c r="BI80" s="3">
        <f t="shared" si="378"/>
        <v>0</v>
      </c>
      <c r="BJ80" s="3">
        <f t="shared" si="378"/>
        <v>0</v>
      </c>
      <c r="BK80" s="3">
        <f t="shared" si="378"/>
        <v>0</v>
      </c>
      <c r="BL80" s="3">
        <f t="shared" si="378"/>
        <v>0</v>
      </c>
      <c r="BM80" s="3">
        <f t="shared" si="378"/>
        <v>0</v>
      </c>
      <c r="BN80" s="3">
        <f t="shared" si="378"/>
        <v>0</v>
      </c>
      <c r="BO80" s="3">
        <f t="shared" si="378"/>
        <v>0</v>
      </c>
      <c r="BP80" s="3">
        <f t="shared" si="378"/>
        <v>0</v>
      </c>
      <c r="BQ80" s="3">
        <f t="shared" si="378"/>
        <v>0</v>
      </c>
      <c r="BR80" s="3">
        <f t="shared" si="378"/>
        <v>0</v>
      </c>
      <c r="BS80" s="3">
        <f t="shared" si="378"/>
        <v>0</v>
      </c>
      <c r="BT80" s="2"/>
    </row>
    <row r="81" spans="1:72" ht="15.75" customHeight="1">
      <c r="A81" s="54" t="str">
        <f>IF('Capital purchases'!C85="","",'Capital purchases'!C85)</f>
        <v/>
      </c>
      <c r="B81" s="2"/>
      <c r="C81" s="2" t="str">
        <f>IF($A81="","",'Capital purchases'!B85)</f>
        <v/>
      </c>
      <c r="D81" s="3" t="str">
        <f>IF($A81="","",'Capital purchases'!J85)</f>
        <v/>
      </c>
      <c r="E81" s="162" t="str">
        <f>IF($A81="","",'Capital purchases'!I85)</f>
        <v/>
      </c>
      <c r="H81" s="3">
        <f t="shared" ref="H81:S81" si="379">IF(AND(H$5&gt;=$C81,H$5&lt;=$D81),$E81,0)</f>
        <v>0</v>
      </c>
      <c r="I81" s="3">
        <f t="shared" si="379"/>
        <v>0</v>
      </c>
      <c r="J81" s="3">
        <f t="shared" si="379"/>
        <v>0</v>
      </c>
      <c r="K81" s="3">
        <f t="shared" si="379"/>
        <v>0</v>
      </c>
      <c r="L81" s="3">
        <f t="shared" si="379"/>
        <v>0</v>
      </c>
      <c r="M81" s="3">
        <f t="shared" si="379"/>
        <v>0</v>
      </c>
      <c r="N81" s="3">
        <f t="shared" si="379"/>
        <v>0</v>
      </c>
      <c r="O81" s="3">
        <f t="shared" si="379"/>
        <v>0</v>
      </c>
      <c r="P81" s="3">
        <f t="shared" si="379"/>
        <v>0</v>
      </c>
      <c r="Q81" s="3">
        <f t="shared" si="379"/>
        <v>0</v>
      </c>
      <c r="R81" s="3">
        <f t="shared" si="379"/>
        <v>0</v>
      </c>
      <c r="S81" s="3">
        <f t="shared" si="379"/>
        <v>0</v>
      </c>
      <c r="U81" s="3">
        <f t="shared" ref="U81:AF81" si="380">IF(AND(U$5&gt;=$C81,U$5&lt;=$D81),$E81,0)</f>
        <v>0</v>
      </c>
      <c r="V81" s="3">
        <f t="shared" si="380"/>
        <v>0</v>
      </c>
      <c r="W81" s="3">
        <f t="shared" si="380"/>
        <v>0</v>
      </c>
      <c r="X81" s="3">
        <f t="shared" si="380"/>
        <v>0</v>
      </c>
      <c r="Y81" s="3">
        <f t="shared" si="380"/>
        <v>0</v>
      </c>
      <c r="Z81" s="3">
        <f t="shared" si="380"/>
        <v>0</v>
      </c>
      <c r="AA81" s="3">
        <f t="shared" si="380"/>
        <v>0</v>
      </c>
      <c r="AB81" s="3">
        <f t="shared" si="380"/>
        <v>0</v>
      </c>
      <c r="AC81" s="3">
        <f t="shared" si="380"/>
        <v>0</v>
      </c>
      <c r="AD81" s="3">
        <f t="shared" si="380"/>
        <v>0</v>
      </c>
      <c r="AE81" s="3">
        <f t="shared" si="380"/>
        <v>0</v>
      </c>
      <c r="AF81" s="3">
        <f t="shared" si="380"/>
        <v>0</v>
      </c>
      <c r="AH81" s="3">
        <f t="shared" ref="AH81:AS81" si="381">IF(AND(AH$5&gt;=$C81,AH$5&lt;=$D81),$E81,0)</f>
        <v>0</v>
      </c>
      <c r="AI81" s="3">
        <f t="shared" si="381"/>
        <v>0</v>
      </c>
      <c r="AJ81" s="3">
        <f t="shared" si="381"/>
        <v>0</v>
      </c>
      <c r="AK81" s="3">
        <f t="shared" si="381"/>
        <v>0</v>
      </c>
      <c r="AL81" s="3">
        <f t="shared" si="381"/>
        <v>0</v>
      </c>
      <c r="AM81" s="3">
        <f t="shared" si="381"/>
        <v>0</v>
      </c>
      <c r="AN81" s="3">
        <f t="shared" si="381"/>
        <v>0</v>
      </c>
      <c r="AO81" s="3">
        <f t="shared" si="381"/>
        <v>0</v>
      </c>
      <c r="AP81" s="3">
        <f t="shared" si="381"/>
        <v>0</v>
      </c>
      <c r="AQ81" s="3">
        <f t="shared" si="381"/>
        <v>0</v>
      </c>
      <c r="AR81" s="3">
        <f t="shared" si="381"/>
        <v>0</v>
      </c>
      <c r="AS81" s="3">
        <f t="shared" si="381"/>
        <v>0</v>
      </c>
      <c r="AU81" s="3">
        <f t="shared" ref="AU81:BF81" si="382">IF(AND(AU$5&gt;=$C81,AU$5&lt;=$D81),$E81,0)</f>
        <v>0</v>
      </c>
      <c r="AV81" s="3">
        <f t="shared" si="382"/>
        <v>0</v>
      </c>
      <c r="AW81" s="3">
        <f t="shared" si="382"/>
        <v>0</v>
      </c>
      <c r="AX81" s="3">
        <f t="shared" si="382"/>
        <v>0</v>
      </c>
      <c r="AY81" s="3">
        <f t="shared" si="382"/>
        <v>0</v>
      </c>
      <c r="AZ81" s="3">
        <f t="shared" si="382"/>
        <v>0</v>
      </c>
      <c r="BA81" s="3">
        <f t="shared" si="382"/>
        <v>0</v>
      </c>
      <c r="BB81" s="3">
        <f t="shared" si="382"/>
        <v>0</v>
      </c>
      <c r="BC81" s="3">
        <f t="shared" si="382"/>
        <v>0</v>
      </c>
      <c r="BD81" s="3">
        <f t="shared" si="382"/>
        <v>0</v>
      </c>
      <c r="BE81" s="3">
        <f t="shared" si="382"/>
        <v>0</v>
      </c>
      <c r="BF81" s="3">
        <f t="shared" si="382"/>
        <v>0</v>
      </c>
      <c r="BG81" s="2"/>
      <c r="BH81" s="3">
        <f t="shared" ref="BH81:BS81" si="383">IF(AND(BH$5&gt;=$C81,BH$5&lt;=$D81),$E81,0)</f>
        <v>0</v>
      </c>
      <c r="BI81" s="3">
        <f t="shared" si="383"/>
        <v>0</v>
      </c>
      <c r="BJ81" s="3">
        <f t="shared" si="383"/>
        <v>0</v>
      </c>
      <c r="BK81" s="3">
        <f t="shared" si="383"/>
        <v>0</v>
      </c>
      <c r="BL81" s="3">
        <f t="shared" si="383"/>
        <v>0</v>
      </c>
      <c r="BM81" s="3">
        <f t="shared" si="383"/>
        <v>0</v>
      </c>
      <c r="BN81" s="3">
        <f t="shared" si="383"/>
        <v>0</v>
      </c>
      <c r="BO81" s="3">
        <f t="shared" si="383"/>
        <v>0</v>
      </c>
      <c r="BP81" s="3">
        <f t="shared" si="383"/>
        <v>0</v>
      </c>
      <c r="BQ81" s="3">
        <f t="shared" si="383"/>
        <v>0</v>
      </c>
      <c r="BR81" s="3">
        <f t="shared" si="383"/>
        <v>0</v>
      </c>
      <c r="BS81" s="3">
        <f t="shared" si="383"/>
        <v>0</v>
      </c>
      <c r="BT81" s="2"/>
    </row>
    <row r="82" spans="1:72" ht="15.75" customHeight="1">
      <c r="A82" s="54" t="str">
        <f>IF('Capital purchases'!C86="","",'Capital purchases'!C86)</f>
        <v/>
      </c>
      <c r="B82" s="2"/>
      <c r="C82" s="2" t="str">
        <f>IF($A82="","",'Capital purchases'!B86)</f>
        <v/>
      </c>
      <c r="D82" s="3" t="str">
        <f>IF($A82="","",'Capital purchases'!J86)</f>
        <v/>
      </c>
      <c r="E82" s="162" t="str">
        <f>IF($A82="","",'Capital purchases'!I86)</f>
        <v/>
      </c>
      <c r="H82" s="3">
        <f t="shared" ref="H82:S82" si="384">IF(AND(H$5&gt;=$C82,H$5&lt;=$D82),$E82,0)</f>
        <v>0</v>
      </c>
      <c r="I82" s="3">
        <f t="shared" si="384"/>
        <v>0</v>
      </c>
      <c r="J82" s="3">
        <f t="shared" si="384"/>
        <v>0</v>
      </c>
      <c r="K82" s="3">
        <f t="shared" si="384"/>
        <v>0</v>
      </c>
      <c r="L82" s="3">
        <f t="shared" si="384"/>
        <v>0</v>
      </c>
      <c r="M82" s="3">
        <f t="shared" si="384"/>
        <v>0</v>
      </c>
      <c r="N82" s="3">
        <f t="shared" si="384"/>
        <v>0</v>
      </c>
      <c r="O82" s="3">
        <f t="shared" si="384"/>
        <v>0</v>
      </c>
      <c r="P82" s="3">
        <f t="shared" si="384"/>
        <v>0</v>
      </c>
      <c r="Q82" s="3">
        <f t="shared" si="384"/>
        <v>0</v>
      </c>
      <c r="R82" s="3">
        <f t="shared" si="384"/>
        <v>0</v>
      </c>
      <c r="S82" s="3">
        <f t="shared" si="384"/>
        <v>0</v>
      </c>
      <c r="U82" s="3">
        <f t="shared" ref="U82:AF82" si="385">IF(AND(U$5&gt;=$C82,U$5&lt;=$D82),$E82,0)</f>
        <v>0</v>
      </c>
      <c r="V82" s="3">
        <f t="shared" si="385"/>
        <v>0</v>
      </c>
      <c r="W82" s="3">
        <f t="shared" si="385"/>
        <v>0</v>
      </c>
      <c r="X82" s="3">
        <f t="shared" si="385"/>
        <v>0</v>
      </c>
      <c r="Y82" s="3">
        <f t="shared" si="385"/>
        <v>0</v>
      </c>
      <c r="Z82" s="3">
        <f t="shared" si="385"/>
        <v>0</v>
      </c>
      <c r="AA82" s="3">
        <f t="shared" si="385"/>
        <v>0</v>
      </c>
      <c r="AB82" s="3">
        <f t="shared" si="385"/>
        <v>0</v>
      </c>
      <c r="AC82" s="3">
        <f t="shared" si="385"/>
        <v>0</v>
      </c>
      <c r="AD82" s="3">
        <f t="shared" si="385"/>
        <v>0</v>
      </c>
      <c r="AE82" s="3">
        <f t="shared" si="385"/>
        <v>0</v>
      </c>
      <c r="AF82" s="3">
        <f t="shared" si="385"/>
        <v>0</v>
      </c>
      <c r="AH82" s="3">
        <f t="shared" ref="AH82:AS82" si="386">IF(AND(AH$5&gt;=$C82,AH$5&lt;=$D82),$E82,0)</f>
        <v>0</v>
      </c>
      <c r="AI82" s="3">
        <f t="shared" si="386"/>
        <v>0</v>
      </c>
      <c r="AJ82" s="3">
        <f t="shared" si="386"/>
        <v>0</v>
      </c>
      <c r="AK82" s="3">
        <f t="shared" si="386"/>
        <v>0</v>
      </c>
      <c r="AL82" s="3">
        <f t="shared" si="386"/>
        <v>0</v>
      </c>
      <c r="AM82" s="3">
        <f t="shared" si="386"/>
        <v>0</v>
      </c>
      <c r="AN82" s="3">
        <f t="shared" si="386"/>
        <v>0</v>
      </c>
      <c r="AO82" s="3">
        <f t="shared" si="386"/>
        <v>0</v>
      </c>
      <c r="AP82" s="3">
        <f t="shared" si="386"/>
        <v>0</v>
      </c>
      <c r="AQ82" s="3">
        <f t="shared" si="386"/>
        <v>0</v>
      </c>
      <c r="AR82" s="3">
        <f t="shared" si="386"/>
        <v>0</v>
      </c>
      <c r="AS82" s="3">
        <f t="shared" si="386"/>
        <v>0</v>
      </c>
      <c r="AU82" s="3">
        <f t="shared" ref="AU82:BF82" si="387">IF(AND(AU$5&gt;=$C82,AU$5&lt;=$D82),$E82,0)</f>
        <v>0</v>
      </c>
      <c r="AV82" s="3">
        <f t="shared" si="387"/>
        <v>0</v>
      </c>
      <c r="AW82" s="3">
        <f t="shared" si="387"/>
        <v>0</v>
      </c>
      <c r="AX82" s="3">
        <f t="shared" si="387"/>
        <v>0</v>
      </c>
      <c r="AY82" s="3">
        <f t="shared" si="387"/>
        <v>0</v>
      </c>
      <c r="AZ82" s="3">
        <f t="shared" si="387"/>
        <v>0</v>
      </c>
      <c r="BA82" s="3">
        <f t="shared" si="387"/>
        <v>0</v>
      </c>
      <c r="BB82" s="3">
        <f t="shared" si="387"/>
        <v>0</v>
      </c>
      <c r="BC82" s="3">
        <f t="shared" si="387"/>
        <v>0</v>
      </c>
      <c r="BD82" s="3">
        <f t="shared" si="387"/>
        <v>0</v>
      </c>
      <c r="BE82" s="3">
        <f t="shared" si="387"/>
        <v>0</v>
      </c>
      <c r="BF82" s="3">
        <f t="shared" si="387"/>
        <v>0</v>
      </c>
      <c r="BG82" s="2"/>
      <c r="BH82" s="3">
        <f t="shared" ref="BH82:BS82" si="388">IF(AND(BH$5&gt;=$C82,BH$5&lt;=$D82),$E82,0)</f>
        <v>0</v>
      </c>
      <c r="BI82" s="3">
        <f t="shared" si="388"/>
        <v>0</v>
      </c>
      <c r="BJ82" s="3">
        <f t="shared" si="388"/>
        <v>0</v>
      </c>
      <c r="BK82" s="3">
        <f t="shared" si="388"/>
        <v>0</v>
      </c>
      <c r="BL82" s="3">
        <f t="shared" si="388"/>
        <v>0</v>
      </c>
      <c r="BM82" s="3">
        <f t="shared" si="388"/>
        <v>0</v>
      </c>
      <c r="BN82" s="3">
        <f t="shared" si="388"/>
        <v>0</v>
      </c>
      <c r="BO82" s="3">
        <f t="shared" si="388"/>
        <v>0</v>
      </c>
      <c r="BP82" s="3">
        <f t="shared" si="388"/>
        <v>0</v>
      </c>
      <c r="BQ82" s="3">
        <f t="shared" si="388"/>
        <v>0</v>
      </c>
      <c r="BR82" s="3">
        <f t="shared" si="388"/>
        <v>0</v>
      </c>
      <c r="BS82" s="3">
        <f t="shared" si="388"/>
        <v>0</v>
      </c>
      <c r="BT82" s="2"/>
    </row>
    <row r="83" spans="1:72" ht="15.75" customHeight="1">
      <c r="A83" s="54" t="str">
        <f>IF('Capital purchases'!C87="","",'Capital purchases'!C87)</f>
        <v/>
      </c>
      <c r="B83" s="2"/>
      <c r="C83" s="2" t="str">
        <f>IF($A83="","",'Capital purchases'!B87)</f>
        <v/>
      </c>
      <c r="D83" s="3" t="str">
        <f>IF($A83="","",'Capital purchases'!J87)</f>
        <v/>
      </c>
      <c r="E83" s="162" t="str">
        <f>IF($A83="","",'Capital purchases'!I87)</f>
        <v/>
      </c>
      <c r="H83" s="3">
        <f t="shared" ref="H83:S83" si="389">IF(AND(H$5&gt;=$C83,H$5&lt;=$D83),$E83,0)</f>
        <v>0</v>
      </c>
      <c r="I83" s="3">
        <f t="shared" si="389"/>
        <v>0</v>
      </c>
      <c r="J83" s="3">
        <f t="shared" si="389"/>
        <v>0</v>
      </c>
      <c r="K83" s="3">
        <f t="shared" si="389"/>
        <v>0</v>
      </c>
      <c r="L83" s="3">
        <f t="shared" si="389"/>
        <v>0</v>
      </c>
      <c r="M83" s="3">
        <f t="shared" si="389"/>
        <v>0</v>
      </c>
      <c r="N83" s="3">
        <f t="shared" si="389"/>
        <v>0</v>
      </c>
      <c r="O83" s="3">
        <f t="shared" si="389"/>
        <v>0</v>
      </c>
      <c r="P83" s="3">
        <f t="shared" si="389"/>
        <v>0</v>
      </c>
      <c r="Q83" s="3">
        <f t="shared" si="389"/>
        <v>0</v>
      </c>
      <c r="R83" s="3">
        <f t="shared" si="389"/>
        <v>0</v>
      </c>
      <c r="S83" s="3">
        <f t="shared" si="389"/>
        <v>0</v>
      </c>
      <c r="U83" s="3">
        <f t="shared" ref="U83:AF83" si="390">IF(AND(U$5&gt;=$C83,U$5&lt;=$D83),$E83,0)</f>
        <v>0</v>
      </c>
      <c r="V83" s="3">
        <f t="shared" si="390"/>
        <v>0</v>
      </c>
      <c r="W83" s="3">
        <f t="shared" si="390"/>
        <v>0</v>
      </c>
      <c r="X83" s="3">
        <f t="shared" si="390"/>
        <v>0</v>
      </c>
      <c r="Y83" s="3">
        <f t="shared" si="390"/>
        <v>0</v>
      </c>
      <c r="Z83" s="3">
        <f t="shared" si="390"/>
        <v>0</v>
      </c>
      <c r="AA83" s="3">
        <f t="shared" si="390"/>
        <v>0</v>
      </c>
      <c r="AB83" s="3">
        <f t="shared" si="390"/>
        <v>0</v>
      </c>
      <c r="AC83" s="3">
        <f t="shared" si="390"/>
        <v>0</v>
      </c>
      <c r="AD83" s="3">
        <f t="shared" si="390"/>
        <v>0</v>
      </c>
      <c r="AE83" s="3">
        <f t="shared" si="390"/>
        <v>0</v>
      </c>
      <c r="AF83" s="3">
        <f t="shared" si="390"/>
        <v>0</v>
      </c>
      <c r="AH83" s="3">
        <f t="shared" ref="AH83:AS83" si="391">IF(AND(AH$5&gt;=$C83,AH$5&lt;=$D83),$E83,0)</f>
        <v>0</v>
      </c>
      <c r="AI83" s="3">
        <f t="shared" si="391"/>
        <v>0</v>
      </c>
      <c r="AJ83" s="3">
        <f t="shared" si="391"/>
        <v>0</v>
      </c>
      <c r="AK83" s="3">
        <f t="shared" si="391"/>
        <v>0</v>
      </c>
      <c r="AL83" s="3">
        <f t="shared" si="391"/>
        <v>0</v>
      </c>
      <c r="AM83" s="3">
        <f t="shared" si="391"/>
        <v>0</v>
      </c>
      <c r="AN83" s="3">
        <f t="shared" si="391"/>
        <v>0</v>
      </c>
      <c r="AO83" s="3">
        <f t="shared" si="391"/>
        <v>0</v>
      </c>
      <c r="AP83" s="3">
        <f t="shared" si="391"/>
        <v>0</v>
      </c>
      <c r="AQ83" s="3">
        <f t="shared" si="391"/>
        <v>0</v>
      </c>
      <c r="AR83" s="3">
        <f t="shared" si="391"/>
        <v>0</v>
      </c>
      <c r="AS83" s="3">
        <f t="shared" si="391"/>
        <v>0</v>
      </c>
      <c r="AU83" s="3">
        <f t="shared" ref="AU83:BF83" si="392">IF(AND(AU$5&gt;=$C83,AU$5&lt;=$D83),$E83,0)</f>
        <v>0</v>
      </c>
      <c r="AV83" s="3">
        <f t="shared" si="392"/>
        <v>0</v>
      </c>
      <c r="AW83" s="3">
        <f t="shared" si="392"/>
        <v>0</v>
      </c>
      <c r="AX83" s="3">
        <f t="shared" si="392"/>
        <v>0</v>
      </c>
      <c r="AY83" s="3">
        <f t="shared" si="392"/>
        <v>0</v>
      </c>
      <c r="AZ83" s="3">
        <f t="shared" si="392"/>
        <v>0</v>
      </c>
      <c r="BA83" s="3">
        <f t="shared" si="392"/>
        <v>0</v>
      </c>
      <c r="BB83" s="3">
        <f t="shared" si="392"/>
        <v>0</v>
      </c>
      <c r="BC83" s="3">
        <f t="shared" si="392"/>
        <v>0</v>
      </c>
      <c r="BD83" s="3">
        <f t="shared" si="392"/>
        <v>0</v>
      </c>
      <c r="BE83" s="3">
        <f t="shared" si="392"/>
        <v>0</v>
      </c>
      <c r="BF83" s="3">
        <f t="shared" si="392"/>
        <v>0</v>
      </c>
      <c r="BG83" s="2"/>
      <c r="BH83" s="3">
        <f t="shared" ref="BH83:BS83" si="393">IF(AND(BH$5&gt;=$C83,BH$5&lt;=$D83),$E83,0)</f>
        <v>0</v>
      </c>
      <c r="BI83" s="3">
        <f t="shared" si="393"/>
        <v>0</v>
      </c>
      <c r="BJ83" s="3">
        <f t="shared" si="393"/>
        <v>0</v>
      </c>
      <c r="BK83" s="3">
        <f t="shared" si="393"/>
        <v>0</v>
      </c>
      <c r="BL83" s="3">
        <f t="shared" si="393"/>
        <v>0</v>
      </c>
      <c r="BM83" s="3">
        <f t="shared" si="393"/>
        <v>0</v>
      </c>
      <c r="BN83" s="3">
        <f t="shared" si="393"/>
        <v>0</v>
      </c>
      <c r="BO83" s="3">
        <f t="shared" si="393"/>
        <v>0</v>
      </c>
      <c r="BP83" s="3">
        <f t="shared" si="393"/>
        <v>0</v>
      </c>
      <c r="BQ83" s="3">
        <f t="shared" si="393"/>
        <v>0</v>
      </c>
      <c r="BR83" s="3">
        <f t="shared" si="393"/>
        <v>0</v>
      </c>
      <c r="BS83" s="3">
        <f t="shared" si="393"/>
        <v>0</v>
      </c>
      <c r="BT83" s="2"/>
    </row>
    <row r="84" spans="1:72" ht="15.75" customHeight="1">
      <c r="A84" s="54" t="str">
        <f>IF('Capital purchases'!C88="","",'Capital purchases'!C88)</f>
        <v/>
      </c>
      <c r="B84" s="2"/>
      <c r="C84" s="2" t="str">
        <f>IF($A84="","",'Capital purchases'!B88)</f>
        <v/>
      </c>
      <c r="D84" s="3" t="str">
        <f>IF($A84="","",'Capital purchases'!J88)</f>
        <v/>
      </c>
      <c r="E84" s="162" t="str">
        <f>IF($A84="","",'Capital purchases'!I88)</f>
        <v/>
      </c>
      <c r="H84" s="3">
        <f t="shared" ref="H84:S84" si="394">IF(AND(H$5&gt;=$C84,H$5&lt;=$D84),$E84,0)</f>
        <v>0</v>
      </c>
      <c r="I84" s="3">
        <f t="shared" si="394"/>
        <v>0</v>
      </c>
      <c r="J84" s="3">
        <f t="shared" si="394"/>
        <v>0</v>
      </c>
      <c r="K84" s="3">
        <f t="shared" si="394"/>
        <v>0</v>
      </c>
      <c r="L84" s="3">
        <f t="shared" si="394"/>
        <v>0</v>
      </c>
      <c r="M84" s="3">
        <f t="shared" si="394"/>
        <v>0</v>
      </c>
      <c r="N84" s="3">
        <f t="shared" si="394"/>
        <v>0</v>
      </c>
      <c r="O84" s="3">
        <f t="shared" si="394"/>
        <v>0</v>
      </c>
      <c r="P84" s="3">
        <f t="shared" si="394"/>
        <v>0</v>
      </c>
      <c r="Q84" s="3">
        <f t="shared" si="394"/>
        <v>0</v>
      </c>
      <c r="R84" s="3">
        <f t="shared" si="394"/>
        <v>0</v>
      </c>
      <c r="S84" s="3">
        <f t="shared" si="394"/>
        <v>0</v>
      </c>
      <c r="U84" s="3">
        <f t="shared" ref="U84:AF84" si="395">IF(AND(U$5&gt;=$C84,U$5&lt;=$D84),$E84,0)</f>
        <v>0</v>
      </c>
      <c r="V84" s="3">
        <f t="shared" si="395"/>
        <v>0</v>
      </c>
      <c r="W84" s="3">
        <f t="shared" si="395"/>
        <v>0</v>
      </c>
      <c r="X84" s="3">
        <f t="shared" si="395"/>
        <v>0</v>
      </c>
      <c r="Y84" s="3">
        <f t="shared" si="395"/>
        <v>0</v>
      </c>
      <c r="Z84" s="3">
        <f t="shared" si="395"/>
        <v>0</v>
      </c>
      <c r="AA84" s="3">
        <f t="shared" si="395"/>
        <v>0</v>
      </c>
      <c r="AB84" s="3">
        <f t="shared" si="395"/>
        <v>0</v>
      </c>
      <c r="AC84" s="3">
        <f t="shared" si="395"/>
        <v>0</v>
      </c>
      <c r="AD84" s="3">
        <f t="shared" si="395"/>
        <v>0</v>
      </c>
      <c r="AE84" s="3">
        <f t="shared" si="395"/>
        <v>0</v>
      </c>
      <c r="AF84" s="3">
        <f t="shared" si="395"/>
        <v>0</v>
      </c>
      <c r="AH84" s="3">
        <f t="shared" ref="AH84:AS84" si="396">IF(AND(AH$5&gt;=$C84,AH$5&lt;=$D84),$E84,0)</f>
        <v>0</v>
      </c>
      <c r="AI84" s="3">
        <f t="shared" si="396"/>
        <v>0</v>
      </c>
      <c r="AJ84" s="3">
        <f t="shared" si="396"/>
        <v>0</v>
      </c>
      <c r="AK84" s="3">
        <f t="shared" si="396"/>
        <v>0</v>
      </c>
      <c r="AL84" s="3">
        <f t="shared" si="396"/>
        <v>0</v>
      </c>
      <c r="AM84" s="3">
        <f t="shared" si="396"/>
        <v>0</v>
      </c>
      <c r="AN84" s="3">
        <f t="shared" si="396"/>
        <v>0</v>
      </c>
      <c r="AO84" s="3">
        <f t="shared" si="396"/>
        <v>0</v>
      </c>
      <c r="AP84" s="3">
        <f t="shared" si="396"/>
        <v>0</v>
      </c>
      <c r="AQ84" s="3">
        <f t="shared" si="396"/>
        <v>0</v>
      </c>
      <c r="AR84" s="3">
        <f t="shared" si="396"/>
        <v>0</v>
      </c>
      <c r="AS84" s="3">
        <f t="shared" si="396"/>
        <v>0</v>
      </c>
      <c r="AU84" s="3">
        <f t="shared" ref="AU84:BF84" si="397">IF(AND(AU$5&gt;=$C84,AU$5&lt;=$D84),$E84,0)</f>
        <v>0</v>
      </c>
      <c r="AV84" s="3">
        <f t="shared" si="397"/>
        <v>0</v>
      </c>
      <c r="AW84" s="3">
        <f t="shared" si="397"/>
        <v>0</v>
      </c>
      <c r="AX84" s="3">
        <f t="shared" si="397"/>
        <v>0</v>
      </c>
      <c r="AY84" s="3">
        <f t="shared" si="397"/>
        <v>0</v>
      </c>
      <c r="AZ84" s="3">
        <f t="shared" si="397"/>
        <v>0</v>
      </c>
      <c r="BA84" s="3">
        <f t="shared" si="397"/>
        <v>0</v>
      </c>
      <c r="BB84" s="3">
        <f t="shared" si="397"/>
        <v>0</v>
      </c>
      <c r="BC84" s="3">
        <f t="shared" si="397"/>
        <v>0</v>
      </c>
      <c r="BD84" s="3">
        <f t="shared" si="397"/>
        <v>0</v>
      </c>
      <c r="BE84" s="3">
        <f t="shared" si="397"/>
        <v>0</v>
      </c>
      <c r="BF84" s="3">
        <f t="shared" si="397"/>
        <v>0</v>
      </c>
      <c r="BG84" s="2"/>
      <c r="BH84" s="3">
        <f t="shared" ref="BH84:BS84" si="398">IF(AND(BH$5&gt;=$C84,BH$5&lt;=$D84),$E84,0)</f>
        <v>0</v>
      </c>
      <c r="BI84" s="3">
        <f t="shared" si="398"/>
        <v>0</v>
      </c>
      <c r="BJ84" s="3">
        <f t="shared" si="398"/>
        <v>0</v>
      </c>
      <c r="BK84" s="3">
        <f t="shared" si="398"/>
        <v>0</v>
      </c>
      <c r="BL84" s="3">
        <f t="shared" si="398"/>
        <v>0</v>
      </c>
      <c r="BM84" s="3">
        <f t="shared" si="398"/>
        <v>0</v>
      </c>
      <c r="BN84" s="3">
        <f t="shared" si="398"/>
        <v>0</v>
      </c>
      <c r="BO84" s="3">
        <f t="shared" si="398"/>
        <v>0</v>
      </c>
      <c r="BP84" s="3">
        <f t="shared" si="398"/>
        <v>0</v>
      </c>
      <c r="BQ84" s="3">
        <f t="shared" si="398"/>
        <v>0</v>
      </c>
      <c r="BR84" s="3">
        <f t="shared" si="398"/>
        <v>0</v>
      </c>
      <c r="BS84" s="3">
        <f t="shared" si="398"/>
        <v>0</v>
      </c>
      <c r="BT84" s="2"/>
    </row>
    <row r="85" spans="1:72" ht="15.75" customHeight="1">
      <c r="A85" s="54" t="str">
        <f>IF('Capital purchases'!C89="","",'Capital purchases'!C89)</f>
        <v/>
      </c>
      <c r="B85" s="2"/>
      <c r="C85" s="2" t="str">
        <f>IF($A85="","",'Capital purchases'!B89)</f>
        <v/>
      </c>
      <c r="D85" s="3" t="str">
        <f>IF($A85="","",'Capital purchases'!J89)</f>
        <v/>
      </c>
      <c r="E85" s="162" t="str">
        <f>IF($A85="","",'Capital purchases'!I89)</f>
        <v/>
      </c>
      <c r="H85" s="3">
        <f t="shared" ref="H85:S85" si="399">IF(AND(H$5&gt;=$C85,H$5&lt;=$D85),$E85,0)</f>
        <v>0</v>
      </c>
      <c r="I85" s="3">
        <f t="shared" si="399"/>
        <v>0</v>
      </c>
      <c r="J85" s="3">
        <f t="shared" si="399"/>
        <v>0</v>
      </c>
      <c r="K85" s="3">
        <f t="shared" si="399"/>
        <v>0</v>
      </c>
      <c r="L85" s="3">
        <f t="shared" si="399"/>
        <v>0</v>
      </c>
      <c r="M85" s="3">
        <f t="shared" si="399"/>
        <v>0</v>
      </c>
      <c r="N85" s="3">
        <f t="shared" si="399"/>
        <v>0</v>
      </c>
      <c r="O85" s="3">
        <f t="shared" si="399"/>
        <v>0</v>
      </c>
      <c r="P85" s="3">
        <f t="shared" si="399"/>
        <v>0</v>
      </c>
      <c r="Q85" s="3">
        <f t="shared" si="399"/>
        <v>0</v>
      </c>
      <c r="R85" s="3">
        <f t="shared" si="399"/>
        <v>0</v>
      </c>
      <c r="S85" s="3">
        <f t="shared" si="399"/>
        <v>0</v>
      </c>
      <c r="U85" s="3">
        <f t="shared" ref="U85:AF85" si="400">IF(AND(U$5&gt;=$C85,U$5&lt;=$D85),$E85,0)</f>
        <v>0</v>
      </c>
      <c r="V85" s="3">
        <f t="shared" si="400"/>
        <v>0</v>
      </c>
      <c r="W85" s="3">
        <f t="shared" si="400"/>
        <v>0</v>
      </c>
      <c r="X85" s="3">
        <f t="shared" si="400"/>
        <v>0</v>
      </c>
      <c r="Y85" s="3">
        <f t="shared" si="400"/>
        <v>0</v>
      </c>
      <c r="Z85" s="3">
        <f t="shared" si="400"/>
        <v>0</v>
      </c>
      <c r="AA85" s="3">
        <f t="shared" si="400"/>
        <v>0</v>
      </c>
      <c r="AB85" s="3">
        <f t="shared" si="400"/>
        <v>0</v>
      </c>
      <c r="AC85" s="3">
        <f t="shared" si="400"/>
        <v>0</v>
      </c>
      <c r="AD85" s="3">
        <f t="shared" si="400"/>
        <v>0</v>
      </c>
      <c r="AE85" s="3">
        <f t="shared" si="400"/>
        <v>0</v>
      </c>
      <c r="AF85" s="3">
        <f t="shared" si="400"/>
        <v>0</v>
      </c>
      <c r="AH85" s="3">
        <f t="shared" ref="AH85:AS85" si="401">IF(AND(AH$5&gt;=$C85,AH$5&lt;=$D85),$E85,0)</f>
        <v>0</v>
      </c>
      <c r="AI85" s="3">
        <f t="shared" si="401"/>
        <v>0</v>
      </c>
      <c r="AJ85" s="3">
        <f t="shared" si="401"/>
        <v>0</v>
      </c>
      <c r="AK85" s="3">
        <f t="shared" si="401"/>
        <v>0</v>
      </c>
      <c r="AL85" s="3">
        <f t="shared" si="401"/>
        <v>0</v>
      </c>
      <c r="AM85" s="3">
        <f t="shared" si="401"/>
        <v>0</v>
      </c>
      <c r="AN85" s="3">
        <f t="shared" si="401"/>
        <v>0</v>
      </c>
      <c r="AO85" s="3">
        <f t="shared" si="401"/>
        <v>0</v>
      </c>
      <c r="AP85" s="3">
        <f t="shared" si="401"/>
        <v>0</v>
      </c>
      <c r="AQ85" s="3">
        <f t="shared" si="401"/>
        <v>0</v>
      </c>
      <c r="AR85" s="3">
        <f t="shared" si="401"/>
        <v>0</v>
      </c>
      <c r="AS85" s="3">
        <f t="shared" si="401"/>
        <v>0</v>
      </c>
      <c r="AU85" s="3">
        <f t="shared" ref="AU85:BF85" si="402">IF(AND(AU$5&gt;=$C85,AU$5&lt;=$D85),$E85,0)</f>
        <v>0</v>
      </c>
      <c r="AV85" s="3">
        <f t="shared" si="402"/>
        <v>0</v>
      </c>
      <c r="AW85" s="3">
        <f t="shared" si="402"/>
        <v>0</v>
      </c>
      <c r="AX85" s="3">
        <f t="shared" si="402"/>
        <v>0</v>
      </c>
      <c r="AY85" s="3">
        <f t="shared" si="402"/>
        <v>0</v>
      </c>
      <c r="AZ85" s="3">
        <f t="shared" si="402"/>
        <v>0</v>
      </c>
      <c r="BA85" s="3">
        <f t="shared" si="402"/>
        <v>0</v>
      </c>
      <c r="BB85" s="3">
        <f t="shared" si="402"/>
        <v>0</v>
      </c>
      <c r="BC85" s="3">
        <f t="shared" si="402"/>
        <v>0</v>
      </c>
      <c r="BD85" s="3">
        <f t="shared" si="402"/>
        <v>0</v>
      </c>
      <c r="BE85" s="3">
        <f t="shared" si="402"/>
        <v>0</v>
      </c>
      <c r="BF85" s="3">
        <f t="shared" si="402"/>
        <v>0</v>
      </c>
      <c r="BG85" s="2"/>
      <c r="BH85" s="3">
        <f t="shared" ref="BH85:BS85" si="403">IF(AND(BH$5&gt;=$C85,BH$5&lt;=$D85),$E85,0)</f>
        <v>0</v>
      </c>
      <c r="BI85" s="3">
        <f t="shared" si="403"/>
        <v>0</v>
      </c>
      <c r="BJ85" s="3">
        <f t="shared" si="403"/>
        <v>0</v>
      </c>
      <c r="BK85" s="3">
        <f t="shared" si="403"/>
        <v>0</v>
      </c>
      <c r="BL85" s="3">
        <f t="shared" si="403"/>
        <v>0</v>
      </c>
      <c r="BM85" s="3">
        <f t="shared" si="403"/>
        <v>0</v>
      </c>
      <c r="BN85" s="3">
        <f t="shared" si="403"/>
        <v>0</v>
      </c>
      <c r="BO85" s="3">
        <f t="shared" si="403"/>
        <v>0</v>
      </c>
      <c r="BP85" s="3">
        <f t="shared" si="403"/>
        <v>0</v>
      </c>
      <c r="BQ85" s="3">
        <f t="shared" si="403"/>
        <v>0</v>
      </c>
      <c r="BR85" s="3">
        <f t="shared" si="403"/>
        <v>0</v>
      </c>
      <c r="BS85" s="3">
        <f t="shared" si="403"/>
        <v>0</v>
      </c>
      <c r="BT85" s="2"/>
    </row>
    <row r="86" spans="1:72" ht="15.75" customHeight="1">
      <c r="A86" s="54" t="str">
        <f>IF('Capital purchases'!C90="","",'Capital purchases'!C90)</f>
        <v/>
      </c>
      <c r="B86" s="2"/>
      <c r="C86" s="2" t="str">
        <f>IF($A86="","",'Capital purchases'!B90)</f>
        <v/>
      </c>
      <c r="D86" s="3" t="str">
        <f>IF($A86="","",'Capital purchases'!J90)</f>
        <v/>
      </c>
      <c r="E86" s="162" t="str">
        <f>IF($A86="","",'Capital purchases'!I90)</f>
        <v/>
      </c>
      <c r="H86" s="3">
        <f t="shared" ref="H86:S86" si="404">IF(AND(H$5&gt;=$C86,H$5&lt;=$D86),$E86,0)</f>
        <v>0</v>
      </c>
      <c r="I86" s="3">
        <f t="shared" si="404"/>
        <v>0</v>
      </c>
      <c r="J86" s="3">
        <f t="shared" si="404"/>
        <v>0</v>
      </c>
      <c r="K86" s="3">
        <f t="shared" si="404"/>
        <v>0</v>
      </c>
      <c r="L86" s="3">
        <f t="shared" si="404"/>
        <v>0</v>
      </c>
      <c r="M86" s="3">
        <f t="shared" si="404"/>
        <v>0</v>
      </c>
      <c r="N86" s="3">
        <f t="shared" si="404"/>
        <v>0</v>
      </c>
      <c r="O86" s="3">
        <f t="shared" si="404"/>
        <v>0</v>
      </c>
      <c r="P86" s="3">
        <f t="shared" si="404"/>
        <v>0</v>
      </c>
      <c r="Q86" s="3">
        <f t="shared" si="404"/>
        <v>0</v>
      </c>
      <c r="R86" s="3">
        <f t="shared" si="404"/>
        <v>0</v>
      </c>
      <c r="S86" s="3">
        <f t="shared" si="404"/>
        <v>0</v>
      </c>
      <c r="U86" s="3">
        <f t="shared" ref="U86:AF86" si="405">IF(AND(U$5&gt;=$C86,U$5&lt;=$D86),$E86,0)</f>
        <v>0</v>
      </c>
      <c r="V86" s="3">
        <f t="shared" si="405"/>
        <v>0</v>
      </c>
      <c r="W86" s="3">
        <f t="shared" si="405"/>
        <v>0</v>
      </c>
      <c r="X86" s="3">
        <f t="shared" si="405"/>
        <v>0</v>
      </c>
      <c r="Y86" s="3">
        <f t="shared" si="405"/>
        <v>0</v>
      </c>
      <c r="Z86" s="3">
        <f t="shared" si="405"/>
        <v>0</v>
      </c>
      <c r="AA86" s="3">
        <f t="shared" si="405"/>
        <v>0</v>
      </c>
      <c r="AB86" s="3">
        <f t="shared" si="405"/>
        <v>0</v>
      </c>
      <c r="AC86" s="3">
        <f t="shared" si="405"/>
        <v>0</v>
      </c>
      <c r="AD86" s="3">
        <f t="shared" si="405"/>
        <v>0</v>
      </c>
      <c r="AE86" s="3">
        <f t="shared" si="405"/>
        <v>0</v>
      </c>
      <c r="AF86" s="3">
        <f t="shared" si="405"/>
        <v>0</v>
      </c>
      <c r="AH86" s="3">
        <f t="shared" ref="AH86:AS86" si="406">IF(AND(AH$5&gt;=$C86,AH$5&lt;=$D86),$E86,0)</f>
        <v>0</v>
      </c>
      <c r="AI86" s="3">
        <f t="shared" si="406"/>
        <v>0</v>
      </c>
      <c r="AJ86" s="3">
        <f t="shared" si="406"/>
        <v>0</v>
      </c>
      <c r="AK86" s="3">
        <f t="shared" si="406"/>
        <v>0</v>
      </c>
      <c r="AL86" s="3">
        <f t="shared" si="406"/>
        <v>0</v>
      </c>
      <c r="AM86" s="3">
        <f t="shared" si="406"/>
        <v>0</v>
      </c>
      <c r="AN86" s="3">
        <f t="shared" si="406"/>
        <v>0</v>
      </c>
      <c r="AO86" s="3">
        <f t="shared" si="406"/>
        <v>0</v>
      </c>
      <c r="AP86" s="3">
        <f t="shared" si="406"/>
        <v>0</v>
      </c>
      <c r="AQ86" s="3">
        <f t="shared" si="406"/>
        <v>0</v>
      </c>
      <c r="AR86" s="3">
        <f t="shared" si="406"/>
        <v>0</v>
      </c>
      <c r="AS86" s="3">
        <f t="shared" si="406"/>
        <v>0</v>
      </c>
      <c r="AU86" s="3">
        <f t="shared" ref="AU86:BF86" si="407">IF(AND(AU$5&gt;=$C86,AU$5&lt;=$D86),$E86,0)</f>
        <v>0</v>
      </c>
      <c r="AV86" s="3">
        <f t="shared" si="407"/>
        <v>0</v>
      </c>
      <c r="AW86" s="3">
        <f t="shared" si="407"/>
        <v>0</v>
      </c>
      <c r="AX86" s="3">
        <f t="shared" si="407"/>
        <v>0</v>
      </c>
      <c r="AY86" s="3">
        <f t="shared" si="407"/>
        <v>0</v>
      </c>
      <c r="AZ86" s="3">
        <f t="shared" si="407"/>
        <v>0</v>
      </c>
      <c r="BA86" s="3">
        <f t="shared" si="407"/>
        <v>0</v>
      </c>
      <c r="BB86" s="3">
        <f t="shared" si="407"/>
        <v>0</v>
      </c>
      <c r="BC86" s="3">
        <f t="shared" si="407"/>
        <v>0</v>
      </c>
      <c r="BD86" s="3">
        <f t="shared" si="407"/>
        <v>0</v>
      </c>
      <c r="BE86" s="3">
        <f t="shared" si="407"/>
        <v>0</v>
      </c>
      <c r="BF86" s="3">
        <f t="shared" si="407"/>
        <v>0</v>
      </c>
      <c r="BG86" s="2"/>
      <c r="BH86" s="3">
        <f t="shared" ref="BH86:BS86" si="408">IF(AND(BH$5&gt;=$C86,BH$5&lt;=$D86),$E86,0)</f>
        <v>0</v>
      </c>
      <c r="BI86" s="3">
        <f t="shared" si="408"/>
        <v>0</v>
      </c>
      <c r="BJ86" s="3">
        <f t="shared" si="408"/>
        <v>0</v>
      </c>
      <c r="BK86" s="3">
        <f t="shared" si="408"/>
        <v>0</v>
      </c>
      <c r="BL86" s="3">
        <f t="shared" si="408"/>
        <v>0</v>
      </c>
      <c r="BM86" s="3">
        <f t="shared" si="408"/>
        <v>0</v>
      </c>
      <c r="BN86" s="3">
        <f t="shared" si="408"/>
        <v>0</v>
      </c>
      <c r="BO86" s="3">
        <f t="shared" si="408"/>
        <v>0</v>
      </c>
      <c r="BP86" s="3">
        <f t="shared" si="408"/>
        <v>0</v>
      </c>
      <c r="BQ86" s="3">
        <f t="shared" si="408"/>
        <v>0</v>
      </c>
      <c r="BR86" s="3">
        <f t="shared" si="408"/>
        <v>0</v>
      </c>
      <c r="BS86" s="3">
        <f t="shared" si="408"/>
        <v>0</v>
      </c>
      <c r="BT86" s="2"/>
    </row>
    <row r="87" spans="1:72" ht="15.75" customHeight="1">
      <c r="A87" s="54" t="str">
        <f>IF('Capital purchases'!C91="","",'Capital purchases'!C91)</f>
        <v/>
      </c>
      <c r="B87" s="2"/>
      <c r="C87" s="2" t="str">
        <f>IF($A87="","",'Capital purchases'!B91)</f>
        <v/>
      </c>
      <c r="D87" s="3" t="str">
        <f>IF($A87="","",'Capital purchases'!J91)</f>
        <v/>
      </c>
      <c r="E87" s="162" t="str">
        <f>IF($A87="","",'Capital purchases'!I91)</f>
        <v/>
      </c>
      <c r="H87" s="3">
        <f t="shared" ref="H87:S87" si="409">IF(AND(H$5&gt;=$C87,H$5&lt;=$D87),$E87,0)</f>
        <v>0</v>
      </c>
      <c r="I87" s="3">
        <f t="shared" si="409"/>
        <v>0</v>
      </c>
      <c r="J87" s="3">
        <f t="shared" si="409"/>
        <v>0</v>
      </c>
      <c r="K87" s="3">
        <f t="shared" si="409"/>
        <v>0</v>
      </c>
      <c r="L87" s="3">
        <f t="shared" si="409"/>
        <v>0</v>
      </c>
      <c r="M87" s="3">
        <f t="shared" si="409"/>
        <v>0</v>
      </c>
      <c r="N87" s="3">
        <f t="shared" si="409"/>
        <v>0</v>
      </c>
      <c r="O87" s="3">
        <f t="shared" si="409"/>
        <v>0</v>
      </c>
      <c r="P87" s="3">
        <f t="shared" si="409"/>
        <v>0</v>
      </c>
      <c r="Q87" s="3">
        <f t="shared" si="409"/>
        <v>0</v>
      </c>
      <c r="R87" s="3">
        <f t="shared" si="409"/>
        <v>0</v>
      </c>
      <c r="S87" s="3">
        <f t="shared" si="409"/>
        <v>0</v>
      </c>
      <c r="U87" s="3">
        <f t="shared" ref="U87:AF87" si="410">IF(AND(U$5&gt;=$C87,U$5&lt;=$D87),$E87,0)</f>
        <v>0</v>
      </c>
      <c r="V87" s="3">
        <f t="shared" si="410"/>
        <v>0</v>
      </c>
      <c r="W87" s="3">
        <f t="shared" si="410"/>
        <v>0</v>
      </c>
      <c r="X87" s="3">
        <f t="shared" si="410"/>
        <v>0</v>
      </c>
      <c r="Y87" s="3">
        <f t="shared" si="410"/>
        <v>0</v>
      </c>
      <c r="Z87" s="3">
        <f t="shared" si="410"/>
        <v>0</v>
      </c>
      <c r="AA87" s="3">
        <f t="shared" si="410"/>
        <v>0</v>
      </c>
      <c r="AB87" s="3">
        <f t="shared" si="410"/>
        <v>0</v>
      </c>
      <c r="AC87" s="3">
        <f t="shared" si="410"/>
        <v>0</v>
      </c>
      <c r="AD87" s="3">
        <f t="shared" si="410"/>
        <v>0</v>
      </c>
      <c r="AE87" s="3">
        <f t="shared" si="410"/>
        <v>0</v>
      </c>
      <c r="AF87" s="3">
        <f t="shared" si="410"/>
        <v>0</v>
      </c>
      <c r="AH87" s="3">
        <f t="shared" ref="AH87:AS87" si="411">IF(AND(AH$5&gt;=$C87,AH$5&lt;=$D87),$E87,0)</f>
        <v>0</v>
      </c>
      <c r="AI87" s="3">
        <f t="shared" si="411"/>
        <v>0</v>
      </c>
      <c r="AJ87" s="3">
        <f t="shared" si="411"/>
        <v>0</v>
      </c>
      <c r="AK87" s="3">
        <f t="shared" si="411"/>
        <v>0</v>
      </c>
      <c r="AL87" s="3">
        <f t="shared" si="411"/>
        <v>0</v>
      </c>
      <c r="AM87" s="3">
        <f t="shared" si="411"/>
        <v>0</v>
      </c>
      <c r="AN87" s="3">
        <f t="shared" si="411"/>
        <v>0</v>
      </c>
      <c r="AO87" s="3">
        <f t="shared" si="411"/>
        <v>0</v>
      </c>
      <c r="AP87" s="3">
        <f t="shared" si="411"/>
        <v>0</v>
      </c>
      <c r="AQ87" s="3">
        <f t="shared" si="411"/>
        <v>0</v>
      </c>
      <c r="AR87" s="3">
        <f t="shared" si="411"/>
        <v>0</v>
      </c>
      <c r="AS87" s="3">
        <f t="shared" si="411"/>
        <v>0</v>
      </c>
      <c r="AU87" s="3">
        <f t="shared" ref="AU87:BF87" si="412">IF(AND(AU$5&gt;=$C87,AU$5&lt;=$D87),$E87,0)</f>
        <v>0</v>
      </c>
      <c r="AV87" s="3">
        <f t="shared" si="412"/>
        <v>0</v>
      </c>
      <c r="AW87" s="3">
        <f t="shared" si="412"/>
        <v>0</v>
      </c>
      <c r="AX87" s="3">
        <f t="shared" si="412"/>
        <v>0</v>
      </c>
      <c r="AY87" s="3">
        <f t="shared" si="412"/>
        <v>0</v>
      </c>
      <c r="AZ87" s="3">
        <f t="shared" si="412"/>
        <v>0</v>
      </c>
      <c r="BA87" s="3">
        <f t="shared" si="412"/>
        <v>0</v>
      </c>
      <c r="BB87" s="3">
        <f t="shared" si="412"/>
        <v>0</v>
      </c>
      <c r="BC87" s="3">
        <f t="shared" si="412"/>
        <v>0</v>
      </c>
      <c r="BD87" s="3">
        <f t="shared" si="412"/>
        <v>0</v>
      </c>
      <c r="BE87" s="3">
        <f t="shared" si="412"/>
        <v>0</v>
      </c>
      <c r="BF87" s="3">
        <f t="shared" si="412"/>
        <v>0</v>
      </c>
      <c r="BG87" s="2"/>
      <c r="BH87" s="3">
        <f t="shared" ref="BH87:BS87" si="413">IF(AND(BH$5&gt;=$C87,BH$5&lt;=$D87),$E87,0)</f>
        <v>0</v>
      </c>
      <c r="BI87" s="3">
        <f t="shared" si="413"/>
        <v>0</v>
      </c>
      <c r="BJ87" s="3">
        <f t="shared" si="413"/>
        <v>0</v>
      </c>
      <c r="BK87" s="3">
        <f t="shared" si="413"/>
        <v>0</v>
      </c>
      <c r="BL87" s="3">
        <f t="shared" si="413"/>
        <v>0</v>
      </c>
      <c r="BM87" s="3">
        <f t="shared" si="413"/>
        <v>0</v>
      </c>
      <c r="BN87" s="3">
        <f t="shared" si="413"/>
        <v>0</v>
      </c>
      <c r="BO87" s="3">
        <f t="shared" si="413"/>
        <v>0</v>
      </c>
      <c r="BP87" s="3">
        <f t="shared" si="413"/>
        <v>0</v>
      </c>
      <c r="BQ87" s="3">
        <f t="shared" si="413"/>
        <v>0</v>
      </c>
      <c r="BR87" s="3">
        <f t="shared" si="413"/>
        <v>0</v>
      </c>
      <c r="BS87" s="3">
        <f t="shared" si="413"/>
        <v>0</v>
      </c>
      <c r="BT87" s="2"/>
    </row>
    <row r="88" spans="1:72" ht="15.75" customHeight="1">
      <c r="A88" s="54" t="str">
        <f>IF('Capital purchases'!C92="","",'Capital purchases'!C92)</f>
        <v/>
      </c>
      <c r="B88" s="2"/>
      <c r="C88" s="2" t="str">
        <f>IF($A88="","",'Capital purchases'!B92)</f>
        <v/>
      </c>
      <c r="D88" s="3" t="str">
        <f>IF($A88="","",'Capital purchases'!J92)</f>
        <v/>
      </c>
      <c r="E88" s="162" t="str">
        <f>IF($A88="","",'Capital purchases'!I92)</f>
        <v/>
      </c>
      <c r="H88" s="3">
        <f t="shared" ref="H88:S88" si="414">IF(AND(H$5&gt;=$C88,H$5&lt;=$D88),$E88,0)</f>
        <v>0</v>
      </c>
      <c r="I88" s="3">
        <f t="shared" si="414"/>
        <v>0</v>
      </c>
      <c r="J88" s="3">
        <f t="shared" si="414"/>
        <v>0</v>
      </c>
      <c r="K88" s="3">
        <f t="shared" si="414"/>
        <v>0</v>
      </c>
      <c r="L88" s="3">
        <f t="shared" si="414"/>
        <v>0</v>
      </c>
      <c r="M88" s="3">
        <f t="shared" si="414"/>
        <v>0</v>
      </c>
      <c r="N88" s="3">
        <f t="shared" si="414"/>
        <v>0</v>
      </c>
      <c r="O88" s="3">
        <f t="shared" si="414"/>
        <v>0</v>
      </c>
      <c r="P88" s="3">
        <f t="shared" si="414"/>
        <v>0</v>
      </c>
      <c r="Q88" s="3">
        <f t="shared" si="414"/>
        <v>0</v>
      </c>
      <c r="R88" s="3">
        <f t="shared" si="414"/>
        <v>0</v>
      </c>
      <c r="S88" s="3">
        <f t="shared" si="414"/>
        <v>0</v>
      </c>
      <c r="U88" s="3">
        <f t="shared" ref="U88:AF88" si="415">IF(AND(U$5&gt;=$C88,U$5&lt;=$D88),$E88,0)</f>
        <v>0</v>
      </c>
      <c r="V88" s="3">
        <f t="shared" si="415"/>
        <v>0</v>
      </c>
      <c r="W88" s="3">
        <f t="shared" si="415"/>
        <v>0</v>
      </c>
      <c r="X88" s="3">
        <f t="shared" si="415"/>
        <v>0</v>
      </c>
      <c r="Y88" s="3">
        <f t="shared" si="415"/>
        <v>0</v>
      </c>
      <c r="Z88" s="3">
        <f t="shared" si="415"/>
        <v>0</v>
      </c>
      <c r="AA88" s="3">
        <f t="shared" si="415"/>
        <v>0</v>
      </c>
      <c r="AB88" s="3">
        <f t="shared" si="415"/>
        <v>0</v>
      </c>
      <c r="AC88" s="3">
        <f t="shared" si="415"/>
        <v>0</v>
      </c>
      <c r="AD88" s="3">
        <f t="shared" si="415"/>
        <v>0</v>
      </c>
      <c r="AE88" s="3">
        <f t="shared" si="415"/>
        <v>0</v>
      </c>
      <c r="AF88" s="3">
        <f t="shared" si="415"/>
        <v>0</v>
      </c>
      <c r="AH88" s="3">
        <f t="shared" ref="AH88:AS88" si="416">IF(AND(AH$5&gt;=$C88,AH$5&lt;=$D88),$E88,0)</f>
        <v>0</v>
      </c>
      <c r="AI88" s="3">
        <f t="shared" si="416"/>
        <v>0</v>
      </c>
      <c r="AJ88" s="3">
        <f t="shared" si="416"/>
        <v>0</v>
      </c>
      <c r="AK88" s="3">
        <f t="shared" si="416"/>
        <v>0</v>
      </c>
      <c r="AL88" s="3">
        <f t="shared" si="416"/>
        <v>0</v>
      </c>
      <c r="AM88" s="3">
        <f t="shared" si="416"/>
        <v>0</v>
      </c>
      <c r="AN88" s="3">
        <f t="shared" si="416"/>
        <v>0</v>
      </c>
      <c r="AO88" s="3">
        <f t="shared" si="416"/>
        <v>0</v>
      </c>
      <c r="AP88" s="3">
        <f t="shared" si="416"/>
        <v>0</v>
      </c>
      <c r="AQ88" s="3">
        <f t="shared" si="416"/>
        <v>0</v>
      </c>
      <c r="AR88" s="3">
        <f t="shared" si="416"/>
        <v>0</v>
      </c>
      <c r="AS88" s="3">
        <f t="shared" si="416"/>
        <v>0</v>
      </c>
      <c r="AU88" s="3">
        <f t="shared" ref="AU88:BF88" si="417">IF(AND(AU$5&gt;=$C88,AU$5&lt;=$D88),$E88,0)</f>
        <v>0</v>
      </c>
      <c r="AV88" s="3">
        <f t="shared" si="417"/>
        <v>0</v>
      </c>
      <c r="AW88" s="3">
        <f t="shared" si="417"/>
        <v>0</v>
      </c>
      <c r="AX88" s="3">
        <f t="shared" si="417"/>
        <v>0</v>
      </c>
      <c r="AY88" s="3">
        <f t="shared" si="417"/>
        <v>0</v>
      </c>
      <c r="AZ88" s="3">
        <f t="shared" si="417"/>
        <v>0</v>
      </c>
      <c r="BA88" s="3">
        <f t="shared" si="417"/>
        <v>0</v>
      </c>
      <c r="BB88" s="3">
        <f t="shared" si="417"/>
        <v>0</v>
      </c>
      <c r="BC88" s="3">
        <f t="shared" si="417"/>
        <v>0</v>
      </c>
      <c r="BD88" s="3">
        <f t="shared" si="417"/>
        <v>0</v>
      </c>
      <c r="BE88" s="3">
        <f t="shared" si="417"/>
        <v>0</v>
      </c>
      <c r="BF88" s="3">
        <f t="shared" si="417"/>
        <v>0</v>
      </c>
      <c r="BG88" s="2"/>
      <c r="BH88" s="3">
        <f t="shared" ref="BH88:BS88" si="418">IF(AND(BH$5&gt;=$C88,BH$5&lt;=$D88),$E88,0)</f>
        <v>0</v>
      </c>
      <c r="BI88" s="3">
        <f t="shared" si="418"/>
        <v>0</v>
      </c>
      <c r="BJ88" s="3">
        <f t="shared" si="418"/>
        <v>0</v>
      </c>
      <c r="BK88" s="3">
        <f t="shared" si="418"/>
        <v>0</v>
      </c>
      <c r="BL88" s="3">
        <f t="shared" si="418"/>
        <v>0</v>
      </c>
      <c r="BM88" s="3">
        <f t="shared" si="418"/>
        <v>0</v>
      </c>
      <c r="BN88" s="3">
        <f t="shared" si="418"/>
        <v>0</v>
      </c>
      <c r="BO88" s="3">
        <f t="shared" si="418"/>
        <v>0</v>
      </c>
      <c r="BP88" s="3">
        <f t="shared" si="418"/>
        <v>0</v>
      </c>
      <c r="BQ88" s="3">
        <f t="shared" si="418"/>
        <v>0</v>
      </c>
      <c r="BR88" s="3">
        <f t="shared" si="418"/>
        <v>0</v>
      </c>
      <c r="BS88" s="3">
        <f t="shared" si="418"/>
        <v>0</v>
      </c>
      <c r="BT88" s="2"/>
    </row>
    <row r="89" spans="1:72" ht="15.75" customHeight="1">
      <c r="A89" s="54" t="str">
        <f>IF('Capital purchases'!C93="","",'Capital purchases'!C93)</f>
        <v/>
      </c>
      <c r="B89" s="2"/>
      <c r="C89" s="2" t="str">
        <f>IF($A89="","",'Capital purchases'!B93)</f>
        <v/>
      </c>
      <c r="D89" s="3" t="str">
        <f>IF($A89="","",'Capital purchases'!J93)</f>
        <v/>
      </c>
      <c r="E89" s="162" t="str">
        <f>IF($A89="","",'Capital purchases'!I93)</f>
        <v/>
      </c>
      <c r="H89" s="3">
        <f t="shared" ref="H89:S89" si="419">IF(AND(H$5&gt;=$C89,H$5&lt;=$D89),$E89,0)</f>
        <v>0</v>
      </c>
      <c r="I89" s="3">
        <f t="shared" si="419"/>
        <v>0</v>
      </c>
      <c r="J89" s="3">
        <f t="shared" si="419"/>
        <v>0</v>
      </c>
      <c r="K89" s="3">
        <f t="shared" si="419"/>
        <v>0</v>
      </c>
      <c r="L89" s="3">
        <f t="shared" si="419"/>
        <v>0</v>
      </c>
      <c r="M89" s="3">
        <f t="shared" si="419"/>
        <v>0</v>
      </c>
      <c r="N89" s="3">
        <f t="shared" si="419"/>
        <v>0</v>
      </c>
      <c r="O89" s="3">
        <f t="shared" si="419"/>
        <v>0</v>
      </c>
      <c r="P89" s="3">
        <f t="shared" si="419"/>
        <v>0</v>
      </c>
      <c r="Q89" s="3">
        <f t="shared" si="419"/>
        <v>0</v>
      </c>
      <c r="R89" s="3">
        <f t="shared" si="419"/>
        <v>0</v>
      </c>
      <c r="S89" s="3">
        <f t="shared" si="419"/>
        <v>0</v>
      </c>
      <c r="U89" s="3">
        <f t="shared" ref="U89:AF89" si="420">IF(AND(U$5&gt;=$C89,U$5&lt;=$D89),$E89,0)</f>
        <v>0</v>
      </c>
      <c r="V89" s="3">
        <f t="shared" si="420"/>
        <v>0</v>
      </c>
      <c r="W89" s="3">
        <f t="shared" si="420"/>
        <v>0</v>
      </c>
      <c r="X89" s="3">
        <f t="shared" si="420"/>
        <v>0</v>
      </c>
      <c r="Y89" s="3">
        <f t="shared" si="420"/>
        <v>0</v>
      </c>
      <c r="Z89" s="3">
        <f t="shared" si="420"/>
        <v>0</v>
      </c>
      <c r="AA89" s="3">
        <f t="shared" si="420"/>
        <v>0</v>
      </c>
      <c r="AB89" s="3">
        <f t="shared" si="420"/>
        <v>0</v>
      </c>
      <c r="AC89" s="3">
        <f t="shared" si="420"/>
        <v>0</v>
      </c>
      <c r="AD89" s="3">
        <f t="shared" si="420"/>
        <v>0</v>
      </c>
      <c r="AE89" s="3">
        <f t="shared" si="420"/>
        <v>0</v>
      </c>
      <c r="AF89" s="3">
        <f t="shared" si="420"/>
        <v>0</v>
      </c>
      <c r="AH89" s="3">
        <f t="shared" ref="AH89:AS89" si="421">IF(AND(AH$5&gt;=$C89,AH$5&lt;=$D89),$E89,0)</f>
        <v>0</v>
      </c>
      <c r="AI89" s="3">
        <f t="shared" si="421"/>
        <v>0</v>
      </c>
      <c r="AJ89" s="3">
        <f t="shared" si="421"/>
        <v>0</v>
      </c>
      <c r="AK89" s="3">
        <f t="shared" si="421"/>
        <v>0</v>
      </c>
      <c r="AL89" s="3">
        <f t="shared" si="421"/>
        <v>0</v>
      </c>
      <c r="AM89" s="3">
        <f t="shared" si="421"/>
        <v>0</v>
      </c>
      <c r="AN89" s="3">
        <f t="shared" si="421"/>
        <v>0</v>
      </c>
      <c r="AO89" s="3">
        <f t="shared" si="421"/>
        <v>0</v>
      </c>
      <c r="AP89" s="3">
        <f t="shared" si="421"/>
        <v>0</v>
      </c>
      <c r="AQ89" s="3">
        <f t="shared" si="421"/>
        <v>0</v>
      </c>
      <c r="AR89" s="3">
        <f t="shared" si="421"/>
        <v>0</v>
      </c>
      <c r="AS89" s="3">
        <f t="shared" si="421"/>
        <v>0</v>
      </c>
      <c r="AU89" s="3">
        <f t="shared" ref="AU89:BF89" si="422">IF(AND(AU$5&gt;=$C89,AU$5&lt;=$D89),$E89,0)</f>
        <v>0</v>
      </c>
      <c r="AV89" s="3">
        <f t="shared" si="422"/>
        <v>0</v>
      </c>
      <c r="AW89" s="3">
        <f t="shared" si="422"/>
        <v>0</v>
      </c>
      <c r="AX89" s="3">
        <f t="shared" si="422"/>
        <v>0</v>
      </c>
      <c r="AY89" s="3">
        <f t="shared" si="422"/>
        <v>0</v>
      </c>
      <c r="AZ89" s="3">
        <f t="shared" si="422"/>
        <v>0</v>
      </c>
      <c r="BA89" s="3">
        <f t="shared" si="422"/>
        <v>0</v>
      </c>
      <c r="BB89" s="3">
        <f t="shared" si="422"/>
        <v>0</v>
      </c>
      <c r="BC89" s="3">
        <f t="shared" si="422"/>
        <v>0</v>
      </c>
      <c r="BD89" s="3">
        <f t="shared" si="422"/>
        <v>0</v>
      </c>
      <c r="BE89" s="3">
        <f t="shared" si="422"/>
        <v>0</v>
      </c>
      <c r="BF89" s="3">
        <f t="shared" si="422"/>
        <v>0</v>
      </c>
      <c r="BG89" s="2"/>
      <c r="BH89" s="3">
        <f t="shared" ref="BH89:BS89" si="423">IF(AND(BH$5&gt;=$C89,BH$5&lt;=$D89),$E89,0)</f>
        <v>0</v>
      </c>
      <c r="BI89" s="3">
        <f t="shared" si="423"/>
        <v>0</v>
      </c>
      <c r="BJ89" s="3">
        <f t="shared" si="423"/>
        <v>0</v>
      </c>
      <c r="BK89" s="3">
        <f t="shared" si="423"/>
        <v>0</v>
      </c>
      <c r="BL89" s="3">
        <f t="shared" si="423"/>
        <v>0</v>
      </c>
      <c r="BM89" s="3">
        <f t="shared" si="423"/>
        <v>0</v>
      </c>
      <c r="BN89" s="3">
        <f t="shared" si="423"/>
        <v>0</v>
      </c>
      <c r="BO89" s="3">
        <f t="shared" si="423"/>
        <v>0</v>
      </c>
      <c r="BP89" s="3">
        <f t="shared" si="423"/>
        <v>0</v>
      </c>
      <c r="BQ89" s="3">
        <f t="shared" si="423"/>
        <v>0</v>
      </c>
      <c r="BR89" s="3">
        <f t="shared" si="423"/>
        <v>0</v>
      </c>
      <c r="BS89" s="3">
        <f t="shared" si="423"/>
        <v>0</v>
      </c>
      <c r="BT89" s="2"/>
    </row>
    <row r="90" spans="1:72" ht="15.75" customHeight="1">
      <c r="A90" s="54" t="str">
        <f>IF('Capital purchases'!C94="","",'Capital purchases'!C94)</f>
        <v/>
      </c>
      <c r="B90" s="2"/>
      <c r="C90" s="2" t="str">
        <f>IF($A90="","",'Capital purchases'!B94)</f>
        <v/>
      </c>
      <c r="D90" s="3" t="str">
        <f>IF($A90="","",'Capital purchases'!J94)</f>
        <v/>
      </c>
      <c r="E90" s="162" t="str">
        <f>IF($A90="","",'Capital purchases'!I94)</f>
        <v/>
      </c>
      <c r="H90" s="3">
        <f t="shared" ref="H90:S90" si="424">IF(AND(H$5&gt;=$C90,H$5&lt;=$D90),$E90,0)</f>
        <v>0</v>
      </c>
      <c r="I90" s="3">
        <f t="shared" si="424"/>
        <v>0</v>
      </c>
      <c r="J90" s="3">
        <f t="shared" si="424"/>
        <v>0</v>
      </c>
      <c r="K90" s="3">
        <f t="shared" si="424"/>
        <v>0</v>
      </c>
      <c r="L90" s="3">
        <f t="shared" si="424"/>
        <v>0</v>
      </c>
      <c r="M90" s="3">
        <f t="shared" si="424"/>
        <v>0</v>
      </c>
      <c r="N90" s="3">
        <f t="shared" si="424"/>
        <v>0</v>
      </c>
      <c r="O90" s="3">
        <f t="shared" si="424"/>
        <v>0</v>
      </c>
      <c r="P90" s="3">
        <f t="shared" si="424"/>
        <v>0</v>
      </c>
      <c r="Q90" s="3">
        <f t="shared" si="424"/>
        <v>0</v>
      </c>
      <c r="R90" s="3">
        <f t="shared" si="424"/>
        <v>0</v>
      </c>
      <c r="S90" s="3">
        <f t="shared" si="424"/>
        <v>0</v>
      </c>
      <c r="U90" s="3">
        <f t="shared" ref="U90:AF90" si="425">IF(AND(U$5&gt;=$C90,U$5&lt;=$D90),$E90,0)</f>
        <v>0</v>
      </c>
      <c r="V90" s="3">
        <f t="shared" si="425"/>
        <v>0</v>
      </c>
      <c r="W90" s="3">
        <f t="shared" si="425"/>
        <v>0</v>
      </c>
      <c r="X90" s="3">
        <f t="shared" si="425"/>
        <v>0</v>
      </c>
      <c r="Y90" s="3">
        <f t="shared" si="425"/>
        <v>0</v>
      </c>
      <c r="Z90" s="3">
        <f t="shared" si="425"/>
        <v>0</v>
      </c>
      <c r="AA90" s="3">
        <f t="shared" si="425"/>
        <v>0</v>
      </c>
      <c r="AB90" s="3">
        <f t="shared" si="425"/>
        <v>0</v>
      </c>
      <c r="AC90" s="3">
        <f t="shared" si="425"/>
        <v>0</v>
      </c>
      <c r="AD90" s="3">
        <f t="shared" si="425"/>
        <v>0</v>
      </c>
      <c r="AE90" s="3">
        <f t="shared" si="425"/>
        <v>0</v>
      </c>
      <c r="AF90" s="3">
        <f t="shared" si="425"/>
        <v>0</v>
      </c>
      <c r="AH90" s="3">
        <f t="shared" ref="AH90:AS90" si="426">IF(AND(AH$5&gt;=$C90,AH$5&lt;=$D90),$E90,0)</f>
        <v>0</v>
      </c>
      <c r="AI90" s="3">
        <f t="shared" si="426"/>
        <v>0</v>
      </c>
      <c r="AJ90" s="3">
        <f t="shared" si="426"/>
        <v>0</v>
      </c>
      <c r="AK90" s="3">
        <f t="shared" si="426"/>
        <v>0</v>
      </c>
      <c r="AL90" s="3">
        <f t="shared" si="426"/>
        <v>0</v>
      </c>
      <c r="AM90" s="3">
        <f t="shared" si="426"/>
        <v>0</v>
      </c>
      <c r="AN90" s="3">
        <f t="shared" si="426"/>
        <v>0</v>
      </c>
      <c r="AO90" s="3">
        <f t="shared" si="426"/>
        <v>0</v>
      </c>
      <c r="AP90" s="3">
        <f t="shared" si="426"/>
        <v>0</v>
      </c>
      <c r="AQ90" s="3">
        <f t="shared" si="426"/>
        <v>0</v>
      </c>
      <c r="AR90" s="3">
        <f t="shared" si="426"/>
        <v>0</v>
      </c>
      <c r="AS90" s="3">
        <f t="shared" si="426"/>
        <v>0</v>
      </c>
      <c r="AU90" s="3">
        <f t="shared" ref="AU90:BF90" si="427">IF(AND(AU$5&gt;=$C90,AU$5&lt;=$D90),$E90,0)</f>
        <v>0</v>
      </c>
      <c r="AV90" s="3">
        <f t="shared" si="427"/>
        <v>0</v>
      </c>
      <c r="AW90" s="3">
        <f t="shared" si="427"/>
        <v>0</v>
      </c>
      <c r="AX90" s="3">
        <f t="shared" si="427"/>
        <v>0</v>
      </c>
      <c r="AY90" s="3">
        <f t="shared" si="427"/>
        <v>0</v>
      </c>
      <c r="AZ90" s="3">
        <f t="shared" si="427"/>
        <v>0</v>
      </c>
      <c r="BA90" s="3">
        <f t="shared" si="427"/>
        <v>0</v>
      </c>
      <c r="BB90" s="3">
        <f t="shared" si="427"/>
        <v>0</v>
      </c>
      <c r="BC90" s="3">
        <f t="shared" si="427"/>
        <v>0</v>
      </c>
      <c r="BD90" s="3">
        <f t="shared" si="427"/>
        <v>0</v>
      </c>
      <c r="BE90" s="3">
        <f t="shared" si="427"/>
        <v>0</v>
      </c>
      <c r="BF90" s="3">
        <f t="shared" si="427"/>
        <v>0</v>
      </c>
      <c r="BG90" s="2"/>
      <c r="BH90" s="3">
        <f t="shared" ref="BH90:BS90" si="428">IF(AND(BH$5&gt;=$C90,BH$5&lt;=$D90),$E90,0)</f>
        <v>0</v>
      </c>
      <c r="BI90" s="3">
        <f t="shared" si="428"/>
        <v>0</v>
      </c>
      <c r="BJ90" s="3">
        <f t="shared" si="428"/>
        <v>0</v>
      </c>
      <c r="BK90" s="3">
        <f t="shared" si="428"/>
        <v>0</v>
      </c>
      <c r="BL90" s="3">
        <f t="shared" si="428"/>
        <v>0</v>
      </c>
      <c r="BM90" s="3">
        <f t="shared" si="428"/>
        <v>0</v>
      </c>
      <c r="BN90" s="3">
        <f t="shared" si="428"/>
        <v>0</v>
      </c>
      <c r="BO90" s="3">
        <f t="shared" si="428"/>
        <v>0</v>
      </c>
      <c r="BP90" s="3">
        <f t="shared" si="428"/>
        <v>0</v>
      </c>
      <c r="BQ90" s="3">
        <f t="shared" si="428"/>
        <v>0</v>
      </c>
      <c r="BR90" s="3">
        <f t="shared" si="428"/>
        <v>0</v>
      </c>
      <c r="BS90" s="3">
        <f t="shared" si="428"/>
        <v>0</v>
      </c>
      <c r="BT90" s="2"/>
    </row>
    <row r="91" spans="1:72" ht="15.75" customHeight="1">
      <c r="A91" s="54" t="str">
        <f>IF('Capital purchases'!C95="","",'Capital purchases'!C95)</f>
        <v/>
      </c>
      <c r="B91" s="2"/>
      <c r="C91" s="2" t="str">
        <f>IF($A91="","",'Capital purchases'!B95)</f>
        <v/>
      </c>
      <c r="D91" s="3" t="str">
        <f>IF($A91="","",'Capital purchases'!J95)</f>
        <v/>
      </c>
      <c r="E91" s="162" t="str">
        <f>IF($A91="","",'Capital purchases'!I95)</f>
        <v/>
      </c>
      <c r="H91" s="3">
        <f t="shared" ref="H91:S91" si="429">IF(AND(H$5&gt;=$C91,H$5&lt;=$D91),$E91,0)</f>
        <v>0</v>
      </c>
      <c r="I91" s="3">
        <f t="shared" si="429"/>
        <v>0</v>
      </c>
      <c r="J91" s="3">
        <f t="shared" si="429"/>
        <v>0</v>
      </c>
      <c r="K91" s="3">
        <f t="shared" si="429"/>
        <v>0</v>
      </c>
      <c r="L91" s="3">
        <f t="shared" si="429"/>
        <v>0</v>
      </c>
      <c r="M91" s="3">
        <f t="shared" si="429"/>
        <v>0</v>
      </c>
      <c r="N91" s="3">
        <f t="shared" si="429"/>
        <v>0</v>
      </c>
      <c r="O91" s="3">
        <f t="shared" si="429"/>
        <v>0</v>
      </c>
      <c r="P91" s="3">
        <f t="shared" si="429"/>
        <v>0</v>
      </c>
      <c r="Q91" s="3">
        <f t="shared" si="429"/>
        <v>0</v>
      </c>
      <c r="R91" s="3">
        <f t="shared" si="429"/>
        <v>0</v>
      </c>
      <c r="S91" s="3">
        <f t="shared" si="429"/>
        <v>0</v>
      </c>
      <c r="U91" s="3">
        <f t="shared" ref="U91:AF91" si="430">IF(AND(U$5&gt;=$C91,U$5&lt;=$D91),$E91,0)</f>
        <v>0</v>
      </c>
      <c r="V91" s="3">
        <f t="shared" si="430"/>
        <v>0</v>
      </c>
      <c r="W91" s="3">
        <f t="shared" si="430"/>
        <v>0</v>
      </c>
      <c r="X91" s="3">
        <f t="shared" si="430"/>
        <v>0</v>
      </c>
      <c r="Y91" s="3">
        <f t="shared" si="430"/>
        <v>0</v>
      </c>
      <c r="Z91" s="3">
        <f t="shared" si="430"/>
        <v>0</v>
      </c>
      <c r="AA91" s="3">
        <f t="shared" si="430"/>
        <v>0</v>
      </c>
      <c r="AB91" s="3">
        <f t="shared" si="430"/>
        <v>0</v>
      </c>
      <c r="AC91" s="3">
        <f t="shared" si="430"/>
        <v>0</v>
      </c>
      <c r="AD91" s="3">
        <f t="shared" si="430"/>
        <v>0</v>
      </c>
      <c r="AE91" s="3">
        <f t="shared" si="430"/>
        <v>0</v>
      </c>
      <c r="AF91" s="3">
        <f t="shared" si="430"/>
        <v>0</v>
      </c>
      <c r="AH91" s="3">
        <f t="shared" ref="AH91:AS91" si="431">IF(AND(AH$5&gt;=$C91,AH$5&lt;=$D91),$E91,0)</f>
        <v>0</v>
      </c>
      <c r="AI91" s="3">
        <f t="shared" si="431"/>
        <v>0</v>
      </c>
      <c r="AJ91" s="3">
        <f t="shared" si="431"/>
        <v>0</v>
      </c>
      <c r="AK91" s="3">
        <f t="shared" si="431"/>
        <v>0</v>
      </c>
      <c r="AL91" s="3">
        <f t="shared" si="431"/>
        <v>0</v>
      </c>
      <c r="AM91" s="3">
        <f t="shared" si="431"/>
        <v>0</v>
      </c>
      <c r="AN91" s="3">
        <f t="shared" si="431"/>
        <v>0</v>
      </c>
      <c r="AO91" s="3">
        <f t="shared" si="431"/>
        <v>0</v>
      </c>
      <c r="AP91" s="3">
        <f t="shared" si="431"/>
        <v>0</v>
      </c>
      <c r="AQ91" s="3">
        <f t="shared" si="431"/>
        <v>0</v>
      </c>
      <c r="AR91" s="3">
        <f t="shared" si="431"/>
        <v>0</v>
      </c>
      <c r="AS91" s="3">
        <f t="shared" si="431"/>
        <v>0</v>
      </c>
      <c r="AU91" s="3">
        <f t="shared" ref="AU91:BF91" si="432">IF(AND(AU$5&gt;=$C91,AU$5&lt;=$D91),$E91,0)</f>
        <v>0</v>
      </c>
      <c r="AV91" s="3">
        <f t="shared" si="432"/>
        <v>0</v>
      </c>
      <c r="AW91" s="3">
        <f t="shared" si="432"/>
        <v>0</v>
      </c>
      <c r="AX91" s="3">
        <f t="shared" si="432"/>
        <v>0</v>
      </c>
      <c r="AY91" s="3">
        <f t="shared" si="432"/>
        <v>0</v>
      </c>
      <c r="AZ91" s="3">
        <f t="shared" si="432"/>
        <v>0</v>
      </c>
      <c r="BA91" s="3">
        <f t="shared" si="432"/>
        <v>0</v>
      </c>
      <c r="BB91" s="3">
        <f t="shared" si="432"/>
        <v>0</v>
      </c>
      <c r="BC91" s="3">
        <f t="shared" si="432"/>
        <v>0</v>
      </c>
      <c r="BD91" s="3">
        <f t="shared" si="432"/>
        <v>0</v>
      </c>
      <c r="BE91" s="3">
        <f t="shared" si="432"/>
        <v>0</v>
      </c>
      <c r="BF91" s="3">
        <f t="shared" si="432"/>
        <v>0</v>
      </c>
      <c r="BG91" s="2"/>
      <c r="BH91" s="3">
        <f t="shared" ref="BH91:BS91" si="433">IF(AND(BH$5&gt;=$C91,BH$5&lt;=$D91),$E91,0)</f>
        <v>0</v>
      </c>
      <c r="BI91" s="3">
        <f t="shared" si="433"/>
        <v>0</v>
      </c>
      <c r="BJ91" s="3">
        <f t="shared" si="433"/>
        <v>0</v>
      </c>
      <c r="BK91" s="3">
        <f t="shared" si="433"/>
        <v>0</v>
      </c>
      <c r="BL91" s="3">
        <f t="shared" si="433"/>
        <v>0</v>
      </c>
      <c r="BM91" s="3">
        <f t="shared" si="433"/>
        <v>0</v>
      </c>
      <c r="BN91" s="3">
        <f t="shared" si="433"/>
        <v>0</v>
      </c>
      <c r="BO91" s="3">
        <f t="shared" si="433"/>
        <v>0</v>
      </c>
      <c r="BP91" s="3">
        <f t="shared" si="433"/>
        <v>0</v>
      </c>
      <c r="BQ91" s="3">
        <f t="shared" si="433"/>
        <v>0</v>
      </c>
      <c r="BR91" s="3">
        <f t="shared" si="433"/>
        <v>0</v>
      </c>
      <c r="BS91" s="3">
        <f t="shared" si="433"/>
        <v>0</v>
      </c>
      <c r="BT91" s="2"/>
    </row>
    <row r="92" spans="1:72" ht="15.75" customHeight="1">
      <c r="A92" s="54" t="str">
        <f>IF('Capital purchases'!C96="","",'Capital purchases'!C96)</f>
        <v/>
      </c>
      <c r="B92" s="2"/>
      <c r="C92" s="2" t="str">
        <f>IF($A92="","",'Capital purchases'!B96)</f>
        <v/>
      </c>
      <c r="D92" s="3" t="str">
        <f>IF($A92="","",'Capital purchases'!J96)</f>
        <v/>
      </c>
      <c r="E92" s="162" t="str">
        <f>IF($A92="","",'Capital purchases'!I96)</f>
        <v/>
      </c>
      <c r="H92" s="3">
        <f t="shared" ref="H92:S92" si="434">IF(AND(H$5&gt;=$C92,H$5&lt;=$D92),$E92,0)</f>
        <v>0</v>
      </c>
      <c r="I92" s="3">
        <f t="shared" si="434"/>
        <v>0</v>
      </c>
      <c r="J92" s="3">
        <f t="shared" si="434"/>
        <v>0</v>
      </c>
      <c r="K92" s="3">
        <f t="shared" si="434"/>
        <v>0</v>
      </c>
      <c r="L92" s="3">
        <f t="shared" si="434"/>
        <v>0</v>
      </c>
      <c r="M92" s="3">
        <f t="shared" si="434"/>
        <v>0</v>
      </c>
      <c r="N92" s="3">
        <f t="shared" si="434"/>
        <v>0</v>
      </c>
      <c r="O92" s="3">
        <f t="shared" si="434"/>
        <v>0</v>
      </c>
      <c r="P92" s="3">
        <f t="shared" si="434"/>
        <v>0</v>
      </c>
      <c r="Q92" s="3">
        <f t="shared" si="434"/>
        <v>0</v>
      </c>
      <c r="R92" s="3">
        <f t="shared" si="434"/>
        <v>0</v>
      </c>
      <c r="S92" s="3">
        <f t="shared" si="434"/>
        <v>0</v>
      </c>
      <c r="U92" s="3">
        <f t="shared" ref="U92:AF92" si="435">IF(AND(U$5&gt;=$C92,U$5&lt;=$D92),$E92,0)</f>
        <v>0</v>
      </c>
      <c r="V92" s="3">
        <f t="shared" si="435"/>
        <v>0</v>
      </c>
      <c r="W92" s="3">
        <f t="shared" si="435"/>
        <v>0</v>
      </c>
      <c r="X92" s="3">
        <f t="shared" si="435"/>
        <v>0</v>
      </c>
      <c r="Y92" s="3">
        <f t="shared" si="435"/>
        <v>0</v>
      </c>
      <c r="Z92" s="3">
        <f t="shared" si="435"/>
        <v>0</v>
      </c>
      <c r="AA92" s="3">
        <f t="shared" si="435"/>
        <v>0</v>
      </c>
      <c r="AB92" s="3">
        <f t="shared" si="435"/>
        <v>0</v>
      </c>
      <c r="AC92" s="3">
        <f t="shared" si="435"/>
        <v>0</v>
      </c>
      <c r="AD92" s="3">
        <f t="shared" si="435"/>
        <v>0</v>
      </c>
      <c r="AE92" s="3">
        <f t="shared" si="435"/>
        <v>0</v>
      </c>
      <c r="AF92" s="3">
        <f t="shared" si="435"/>
        <v>0</v>
      </c>
      <c r="AH92" s="3">
        <f t="shared" ref="AH92:AS92" si="436">IF(AND(AH$5&gt;=$C92,AH$5&lt;=$D92),$E92,0)</f>
        <v>0</v>
      </c>
      <c r="AI92" s="3">
        <f t="shared" si="436"/>
        <v>0</v>
      </c>
      <c r="AJ92" s="3">
        <f t="shared" si="436"/>
        <v>0</v>
      </c>
      <c r="AK92" s="3">
        <f t="shared" si="436"/>
        <v>0</v>
      </c>
      <c r="AL92" s="3">
        <f t="shared" si="436"/>
        <v>0</v>
      </c>
      <c r="AM92" s="3">
        <f t="shared" si="436"/>
        <v>0</v>
      </c>
      <c r="AN92" s="3">
        <f t="shared" si="436"/>
        <v>0</v>
      </c>
      <c r="AO92" s="3">
        <f t="shared" si="436"/>
        <v>0</v>
      </c>
      <c r="AP92" s="3">
        <f t="shared" si="436"/>
        <v>0</v>
      </c>
      <c r="AQ92" s="3">
        <f t="shared" si="436"/>
        <v>0</v>
      </c>
      <c r="AR92" s="3">
        <f t="shared" si="436"/>
        <v>0</v>
      </c>
      <c r="AS92" s="3">
        <f t="shared" si="436"/>
        <v>0</v>
      </c>
      <c r="AU92" s="3">
        <f t="shared" ref="AU92:BF92" si="437">IF(AND(AU$5&gt;=$C92,AU$5&lt;=$D92),$E92,0)</f>
        <v>0</v>
      </c>
      <c r="AV92" s="3">
        <f t="shared" si="437"/>
        <v>0</v>
      </c>
      <c r="AW92" s="3">
        <f t="shared" si="437"/>
        <v>0</v>
      </c>
      <c r="AX92" s="3">
        <f t="shared" si="437"/>
        <v>0</v>
      </c>
      <c r="AY92" s="3">
        <f t="shared" si="437"/>
        <v>0</v>
      </c>
      <c r="AZ92" s="3">
        <f t="shared" si="437"/>
        <v>0</v>
      </c>
      <c r="BA92" s="3">
        <f t="shared" si="437"/>
        <v>0</v>
      </c>
      <c r="BB92" s="3">
        <f t="shared" si="437"/>
        <v>0</v>
      </c>
      <c r="BC92" s="3">
        <f t="shared" si="437"/>
        <v>0</v>
      </c>
      <c r="BD92" s="3">
        <f t="shared" si="437"/>
        <v>0</v>
      </c>
      <c r="BE92" s="3">
        <f t="shared" si="437"/>
        <v>0</v>
      </c>
      <c r="BF92" s="3">
        <f t="shared" si="437"/>
        <v>0</v>
      </c>
      <c r="BG92" s="2"/>
      <c r="BH92" s="3">
        <f t="shared" ref="BH92:BS92" si="438">IF(AND(BH$5&gt;=$C92,BH$5&lt;=$D92),$E92,0)</f>
        <v>0</v>
      </c>
      <c r="BI92" s="3">
        <f t="shared" si="438"/>
        <v>0</v>
      </c>
      <c r="BJ92" s="3">
        <f t="shared" si="438"/>
        <v>0</v>
      </c>
      <c r="BK92" s="3">
        <f t="shared" si="438"/>
        <v>0</v>
      </c>
      <c r="BL92" s="3">
        <f t="shared" si="438"/>
        <v>0</v>
      </c>
      <c r="BM92" s="3">
        <f t="shared" si="438"/>
        <v>0</v>
      </c>
      <c r="BN92" s="3">
        <f t="shared" si="438"/>
        <v>0</v>
      </c>
      <c r="BO92" s="3">
        <f t="shared" si="438"/>
        <v>0</v>
      </c>
      <c r="BP92" s="3">
        <f t="shared" si="438"/>
        <v>0</v>
      </c>
      <c r="BQ92" s="3">
        <f t="shared" si="438"/>
        <v>0</v>
      </c>
      <c r="BR92" s="3">
        <f t="shared" si="438"/>
        <v>0</v>
      </c>
      <c r="BS92" s="3">
        <f t="shared" si="438"/>
        <v>0</v>
      </c>
      <c r="BT92" s="2"/>
    </row>
    <row r="93" spans="1:72" ht="15.75" customHeight="1">
      <c r="A93" s="54" t="str">
        <f>IF('Capital purchases'!C97="","",'Capital purchases'!C97)</f>
        <v/>
      </c>
      <c r="B93" s="2"/>
      <c r="C93" s="2" t="str">
        <f>IF($A93="","",'Capital purchases'!B97)</f>
        <v/>
      </c>
      <c r="D93" s="3" t="str">
        <f>IF($A93="","",'Capital purchases'!J97)</f>
        <v/>
      </c>
      <c r="E93" s="162" t="str">
        <f>IF($A93="","",'Capital purchases'!I97)</f>
        <v/>
      </c>
      <c r="H93" s="3">
        <f t="shared" ref="H93:S93" si="439">IF(AND(H$5&gt;=$C93,H$5&lt;=$D93),$E93,0)</f>
        <v>0</v>
      </c>
      <c r="I93" s="3">
        <f t="shared" si="439"/>
        <v>0</v>
      </c>
      <c r="J93" s="3">
        <f t="shared" si="439"/>
        <v>0</v>
      </c>
      <c r="K93" s="3">
        <f t="shared" si="439"/>
        <v>0</v>
      </c>
      <c r="L93" s="3">
        <f t="shared" si="439"/>
        <v>0</v>
      </c>
      <c r="M93" s="3">
        <f t="shared" si="439"/>
        <v>0</v>
      </c>
      <c r="N93" s="3">
        <f t="shared" si="439"/>
        <v>0</v>
      </c>
      <c r="O93" s="3">
        <f t="shared" si="439"/>
        <v>0</v>
      </c>
      <c r="P93" s="3">
        <f t="shared" si="439"/>
        <v>0</v>
      </c>
      <c r="Q93" s="3">
        <f t="shared" si="439"/>
        <v>0</v>
      </c>
      <c r="R93" s="3">
        <f t="shared" si="439"/>
        <v>0</v>
      </c>
      <c r="S93" s="3">
        <f t="shared" si="439"/>
        <v>0</v>
      </c>
      <c r="U93" s="3">
        <f t="shared" ref="U93:AF93" si="440">IF(AND(U$5&gt;=$C93,U$5&lt;=$D93),$E93,0)</f>
        <v>0</v>
      </c>
      <c r="V93" s="3">
        <f t="shared" si="440"/>
        <v>0</v>
      </c>
      <c r="W93" s="3">
        <f t="shared" si="440"/>
        <v>0</v>
      </c>
      <c r="X93" s="3">
        <f t="shared" si="440"/>
        <v>0</v>
      </c>
      <c r="Y93" s="3">
        <f t="shared" si="440"/>
        <v>0</v>
      </c>
      <c r="Z93" s="3">
        <f t="shared" si="440"/>
        <v>0</v>
      </c>
      <c r="AA93" s="3">
        <f t="shared" si="440"/>
        <v>0</v>
      </c>
      <c r="AB93" s="3">
        <f t="shared" si="440"/>
        <v>0</v>
      </c>
      <c r="AC93" s="3">
        <f t="shared" si="440"/>
        <v>0</v>
      </c>
      <c r="AD93" s="3">
        <f t="shared" si="440"/>
        <v>0</v>
      </c>
      <c r="AE93" s="3">
        <f t="shared" si="440"/>
        <v>0</v>
      </c>
      <c r="AF93" s="3">
        <f t="shared" si="440"/>
        <v>0</v>
      </c>
      <c r="AH93" s="3">
        <f t="shared" ref="AH93:AS93" si="441">IF(AND(AH$5&gt;=$C93,AH$5&lt;=$D93),$E93,0)</f>
        <v>0</v>
      </c>
      <c r="AI93" s="3">
        <f t="shared" si="441"/>
        <v>0</v>
      </c>
      <c r="AJ93" s="3">
        <f t="shared" si="441"/>
        <v>0</v>
      </c>
      <c r="AK93" s="3">
        <f t="shared" si="441"/>
        <v>0</v>
      </c>
      <c r="AL93" s="3">
        <f t="shared" si="441"/>
        <v>0</v>
      </c>
      <c r="AM93" s="3">
        <f t="shared" si="441"/>
        <v>0</v>
      </c>
      <c r="AN93" s="3">
        <f t="shared" si="441"/>
        <v>0</v>
      </c>
      <c r="AO93" s="3">
        <f t="shared" si="441"/>
        <v>0</v>
      </c>
      <c r="AP93" s="3">
        <f t="shared" si="441"/>
        <v>0</v>
      </c>
      <c r="AQ93" s="3">
        <f t="shared" si="441"/>
        <v>0</v>
      </c>
      <c r="AR93" s="3">
        <f t="shared" si="441"/>
        <v>0</v>
      </c>
      <c r="AS93" s="3">
        <f t="shared" si="441"/>
        <v>0</v>
      </c>
      <c r="AU93" s="3">
        <f t="shared" ref="AU93:BF93" si="442">IF(AND(AU$5&gt;=$C93,AU$5&lt;=$D93),$E93,0)</f>
        <v>0</v>
      </c>
      <c r="AV93" s="3">
        <f t="shared" si="442"/>
        <v>0</v>
      </c>
      <c r="AW93" s="3">
        <f t="shared" si="442"/>
        <v>0</v>
      </c>
      <c r="AX93" s="3">
        <f t="shared" si="442"/>
        <v>0</v>
      </c>
      <c r="AY93" s="3">
        <f t="shared" si="442"/>
        <v>0</v>
      </c>
      <c r="AZ93" s="3">
        <f t="shared" si="442"/>
        <v>0</v>
      </c>
      <c r="BA93" s="3">
        <f t="shared" si="442"/>
        <v>0</v>
      </c>
      <c r="BB93" s="3">
        <f t="shared" si="442"/>
        <v>0</v>
      </c>
      <c r="BC93" s="3">
        <f t="shared" si="442"/>
        <v>0</v>
      </c>
      <c r="BD93" s="3">
        <f t="shared" si="442"/>
        <v>0</v>
      </c>
      <c r="BE93" s="3">
        <f t="shared" si="442"/>
        <v>0</v>
      </c>
      <c r="BF93" s="3">
        <f t="shared" si="442"/>
        <v>0</v>
      </c>
      <c r="BG93" s="2"/>
      <c r="BH93" s="3">
        <f t="shared" ref="BH93:BS93" si="443">IF(AND(BH$5&gt;=$C93,BH$5&lt;=$D93),$E93,0)</f>
        <v>0</v>
      </c>
      <c r="BI93" s="3">
        <f t="shared" si="443"/>
        <v>0</v>
      </c>
      <c r="BJ93" s="3">
        <f t="shared" si="443"/>
        <v>0</v>
      </c>
      <c r="BK93" s="3">
        <f t="shared" si="443"/>
        <v>0</v>
      </c>
      <c r="BL93" s="3">
        <f t="shared" si="443"/>
        <v>0</v>
      </c>
      <c r="BM93" s="3">
        <f t="shared" si="443"/>
        <v>0</v>
      </c>
      <c r="BN93" s="3">
        <f t="shared" si="443"/>
        <v>0</v>
      </c>
      <c r="BO93" s="3">
        <f t="shared" si="443"/>
        <v>0</v>
      </c>
      <c r="BP93" s="3">
        <f t="shared" si="443"/>
        <v>0</v>
      </c>
      <c r="BQ93" s="3">
        <f t="shared" si="443"/>
        <v>0</v>
      </c>
      <c r="BR93" s="3">
        <f t="shared" si="443"/>
        <v>0</v>
      </c>
      <c r="BS93" s="3">
        <f t="shared" si="443"/>
        <v>0</v>
      </c>
      <c r="BT93" s="2"/>
    </row>
    <row r="94" spans="1:72" ht="15.75" customHeight="1">
      <c r="A94" s="54" t="str">
        <f>IF('Capital purchases'!C98="","",'Capital purchases'!C98)</f>
        <v/>
      </c>
      <c r="B94" s="2"/>
      <c r="C94" s="2" t="str">
        <f>IF($A94="","",'Capital purchases'!B98)</f>
        <v/>
      </c>
      <c r="D94" s="3" t="str">
        <f>IF($A94="","",'Capital purchases'!J98)</f>
        <v/>
      </c>
      <c r="E94" s="162" t="str">
        <f>IF($A94="","",'Capital purchases'!I98)</f>
        <v/>
      </c>
      <c r="H94" s="3">
        <f t="shared" ref="H94:S94" si="444">IF(AND(H$5&gt;=$C94,H$5&lt;=$D94),$E94,0)</f>
        <v>0</v>
      </c>
      <c r="I94" s="3">
        <f t="shared" si="444"/>
        <v>0</v>
      </c>
      <c r="J94" s="3">
        <f t="shared" si="444"/>
        <v>0</v>
      </c>
      <c r="K94" s="3">
        <f t="shared" si="444"/>
        <v>0</v>
      </c>
      <c r="L94" s="3">
        <f t="shared" si="444"/>
        <v>0</v>
      </c>
      <c r="M94" s="3">
        <f t="shared" si="444"/>
        <v>0</v>
      </c>
      <c r="N94" s="3">
        <f t="shared" si="444"/>
        <v>0</v>
      </c>
      <c r="O94" s="3">
        <f t="shared" si="444"/>
        <v>0</v>
      </c>
      <c r="P94" s="3">
        <f t="shared" si="444"/>
        <v>0</v>
      </c>
      <c r="Q94" s="3">
        <f t="shared" si="444"/>
        <v>0</v>
      </c>
      <c r="R94" s="3">
        <f t="shared" si="444"/>
        <v>0</v>
      </c>
      <c r="S94" s="3">
        <f t="shared" si="444"/>
        <v>0</v>
      </c>
      <c r="U94" s="3">
        <f t="shared" ref="U94:AF94" si="445">IF(AND(U$5&gt;=$C94,U$5&lt;=$D94),$E94,0)</f>
        <v>0</v>
      </c>
      <c r="V94" s="3">
        <f t="shared" si="445"/>
        <v>0</v>
      </c>
      <c r="W94" s="3">
        <f t="shared" si="445"/>
        <v>0</v>
      </c>
      <c r="X94" s="3">
        <f t="shared" si="445"/>
        <v>0</v>
      </c>
      <c r="Y94" s="3">
        <f t="shared" si="445"/>
        <v>0</v>
      </c>
      <c r="Z94" s="3">
        <f t="shared" si="445"/>
        <v>0</v>
      </c>
      <c r="AA94" s="3">
        <f t="shared" si="445"/>
        <v>0</v>
      </c>
      <c r="AB94" s="3">
        <f t="shared" si="445"/>
        <v>0</v>
      </c>
      <c r="AC94" s="3">
        <f t="shared" si="445"/>
        <v>0</v>
      </c>
      <c r="AD94" s="3">
        <f t="shared" si="445"/>
        <v>0</v>
      </c>
      <c r="AE94" s="3">
        <f t="shared" si="445"/>
        <v>0</v>
      </c>
      <c r="AF94" s="3">
        <f t="shared" si="445"/>
        <v>0</v>
      </c>
      <c r="AH94" s="3">
        <f t="shared" ref="AH94:AS94" si="446">IF(AND(AH$5&gt;=$C94,AH$5&lt;=$D94),$E94,0)</f>
        <v>0</v>
      </c>
      <c r="AI94" s="3">
        <f t="shared" si="446"/>
        <v>0</v>
      </c>
      <c r="AJ94" s="3">
        <f t="shared" si="446"/>
        <v>0</v>
      </c>
      <c r="AK94" s="3">
        <f t="shared" si="446"/>
        <v>0</v>
      </c>
      <c r="AL94" s="3">
        <f t="shared" si="446"/>
        <v>0</v>
      </c>
      <c r="AM94" s="3">
        <f t="shared" si="446"/>
        <v>0</v>
      </c>
      <c r="AN94" s="3">
        <f t="shared" si="446"/>
        <v>0</v>
      </c>
      <c r="AO94" s="3">
        <f t="shared" si="446"/>
        <v>0</v>
      </c>
      <c r="AP94" s="3">
        <f t="shared" si="446"/>
        <v>0</v>
      </c>
      <c r="AQ94" s="3">
        <f t="shared" si="446"/>
        <v>0</v>
      </c>
      <c r="AR94" s="3">
        <f t="shared" si="446"/>
        <v>0</v>
      </c>
      <c r="AS94" s="3">
        <f t="shared" si="446"/>
        <v>0</v>
      </c>
      <c r="AU94" s="3">
        <f t="shared" ref="AU94:BF94" si="447">IF(AND(AU$5&gt;=$C94,AU$5&lt;=$D94),$E94,0)</f>
        <v>0</v>
      </c>
      <c r="AV94" s="3">
        <f t="shared" si="447"/>
        <v>0</v>
      </c>
      <c r="AW94" s="3">
        <f t="shared" si="447"/>
        <v>0</v>
      </c>
      <c r="AX94" s="3">
        <f t="shared" si="447"/>
        <v>0</v>
      </c>
      <c r="AY94" s="3">
        <f t="shared" si="447"/>
        <v>0</v>
      </c>
      <c r="AZ94" s="3">
        <f t="shared" si="447"/>
        <v>0</v>
      </c>
      <c r="BA94" s="3">
        <f t="shared" si="447"/>
        <v>0</v>
      </c>
      <c r="BB94" s="3">
        <f t="shared" si="447"/>
        <v>0</v>
      </c>
      <c r="BC94" s="3">
        <f t="shared" si="447"/>
        <v>0</v>
      </c>
      <c r="BD94" s="3">
        <f t="shared" si="447"/>
        <v>0</v>
      </c>
      <c r="BE94" s="3">
        <f t="shared" si="447"/>
        <v>0</v>
      </c>
      <c r="BF94" s="3">
        <f t="shared" si="447"/>
        <v>0</v>
      </c>
      <c r="BG94" s="2"/>
      <c r="BH94" s="3">
        <f t="shared" ref="BH94:BS94" si="448">IF(AND(BH$5&gt;=$C94,BH$5&lt;=$D94),$E94,0)</f>
        <v>0</v>
      </c>
      <c r="BI94" s="3">
        <f t="shared" si="448"/>
        <v>0</v>
      </c>
      <c r="BJ94" s="3">
        <f t="shared" si="448"/>
        <v>0</v>
      </c>
      <c r="BK94" s="3">
        <f t="shared" si="448"/>
        <v>0</v>
      </c>
      <c r="BL94" s="3">
        <f t="shared" si="448"/>
        <v>0</v>
      </c>
      <c r="BM94" s="3">
        <f t="shared" si="448"/>
        <v>0</v>
      </c>
      <c r="BN94" s="3">
        <f t="shared" si="448"/>
        <v>0</v>
      </c>
      <c r="BO94" s="3">
        <f t="shared" si="448"/>
        <v>0</v>
      </c>
      <c r="BP94" s="3">
        <f t="shared" si="448"/>
        <v>0</v>
      </c>
      <c r="BQ94" s="3">
        <f t="shared" si="448"/>
        <v>0</v>
      </c>
      <c r="BR94" s="3">
        <f t="shared" si="448"/>
        <v>0</v>
      </c>
      <c r="BS94" s="3">
        <f t="shared" si="448"/>
        <v>0</v>
      </c>
      <c r="BT94" s="2"/>
    </row>
    <row r="95" spans="1:72" ht="15.75" customHeight="1">
      <c r="A95" s="54" t="str">
        <f>IF('Capital purchases'!C99="","",'Capital purchases'!C99)</f>
        <v/>
      </c>
      <c r="B95" s="2"/>
      <c r="C95" s="2" t="str">
        <f>IF($A95="","",'Capital purchases'!B99)</f>
        <v/>
      </c>
      <c r="D95" s="3" t="str">
        <f>IF($A95="","",'Capital purchases'!J99)</f>
        <v/>
      </c>
      <c r="E95" s="162" t="str">
        <f>IF($A95="","",'Capital purchases'!I99)</f>
        <v/>
      </c>
      <c r="H95" s="3">
        <f t="shared" ref="H95:S95" si="449">IF(AND(H$5&gt;=$C95,H$5&lt;=$D95),$E95,0)</f>
        <v>0</v>
      </c>
      <c r="I95" s="3">
        <f t="shared" si="449"/>
        <v>0</v>
      </c>
      <c r="J95" s="3">
        <f t="shared" si="449"/>
        <v>0</v>
      </c>
      <c r="K95" s="3">
        <f t="shared" si="449"/>
        <v>0</v>
      </c>
      <c r="L95" s="3">
        <f t="shared" si="449"/>
        <v>0</v>
      </c>
      <c r="M95" s="3">
        <f t="shared" si="449"/>
        <v>0</v>
      </c>
      <c r="N95" s="3">
        <f t="shared" si="449"/>
        <v>0</v>
      </c>
      <c r="O95" s="3">
        <f t="shared" si="449"/>
        <v>0</v>
      </c>
      <c r="P95" s="3">
        <f t="shared" si="449"/>
        <v>0</v>
      </c>
      <c r="Q95" s="3">
        <f t="shared" si="449"/>
        <v>0</v>
      </c>
      <c r="R95" s="3">
        <f t="shared" si="449"/>
        <v>0</v>
      </c>
      <c r="S95" s="3">
        <f t="shared" si="449"/>
        <v>0</v>
      </c>
      <c r="U95" s="3">
        <f t="shared" ref="U95:AF95" si="450">IF(AND(U$5&gt;=$C95,U$5&lt;=$D95),$E95,0)</f>
        <v>0</v>
      </c>
      <c r="V95" s="3">
        <f t="shared" si="450"/>
        <v>0</v>
      </c>
      <c r="W95" s="3">
        <f t="shared" si="450"/>
        <v>0</v>
      </c>
      <c r="X95" s="3">
        <f t="shared" si="450"/>
        <v>0</v>
      </c>
      <c r="Y95" s="3">
        <f t="shared" si="450"/>
        <v>0</v>
      </c>
      <c r="Z95" s="3">
        <f t="shared" si="450"/>
        <v>0</v>
      </c>
      <c r="AA95" s="3">
        <f t="shared" si="450"/>
        <v>0</v>
      </c>
      <c r="AB95" s="3">
        <f t="shared" si="450"/>
        <v>0</v>
      </c>
      <c r="AC95" s="3">
        <f t="shared" si="450"/>
        <v>0</v>
      </c>
      <c r="AD95" s="3">
        <f t="shared" si="450"/>
        <v>0</v>
      </c>
      <c r="AE95" s="3">
        <f t="shared" si="450"/>
        <v>0</v>
      </c>
      <c r="AF95" s="3">
        <f t="shared" si="450"/>
        <v>0</v>
      </c>
      <c r="AH95" s="3">
        <f t="shared" ref="AH95:AS95" si="451">IF(AND(AH$5&gt;=$C95,AH$5&lt;=$D95),$E95,0)</f>
        <v>0</v>
      </c>
      <c r="AI95" s="3">
        <f t="shared" si="451"/>
        <v>0</v>
      </c>
      <c r="AJ95" s="3">
        <f t="shared" si="451"/>
        <v>0</v>
      </c>
      <c r="AK95" s="3">
        <f t="shared" si="451"/>
        <v>0</v>
      </c>
      <c r="AL95" s="3">
        <f t="shared" si="451"/>
        <v>0</v>
      </c>
      <c r="AM95" s="3">
        <f t="shared" si="451"/>
        <v>0</v>
      </c>
      <c r="AN95" s="3">
        <f t="shared" si="451"/>
        <v>0</v>
      </c>
      <c r="AO95" s="3">
        <f t="shared" si="451"/>
        <v>0</v>
      </c>
      <c r="AP95" s="3">
        <f t="shared" si="451"/>
        <v>0</v>
      </c>
      <c r="AQ95" s="3">
        <f t="shared" si="451"/>
        <v>0</v>
      </c>
      <c r="AR95" s="3">
        <f t="shared" si="451"/>
        <v>0</v>
      </c>
      <c r="AS95" s="3">
        <f t="shared" si="451"/>
        <v>0</v>
      </c>
      <c r="AU95" s="3">
        <f t="shared" ref="AU95:BF95" si="452">IF(AND(AU$5&gt;=$C95,AU$5&lt;=$D95),$E95,0)</f>
        <v>0</v>
      </c>
      <c r="AV95" s="3">
        <f t="shared" si="452"/>
        <v>0</v>
      </c>
      <c r="AW95" s="3">
        <f t="shared" si="452"/>
        <v>0</v>
      </c>
      <c r="AX95" s="3">
        <f t="shared" si="452"/>
        <v>0</v>
      </c>
      <c r="AY95" s="3">
        <f t="shared" si="452"/>
        <v>0</v>
      </c>
      <c r="AZ95" s="3">
        <f t="shared" si="452"/>
        <v>0</v>
      </c>
      <c r="BA95" s="3">
        <f t="shared" si="452"/>
        <v>0</v>
      </c>
      <c r="BB95" s="3">
        <f t="shared" si="452"/>
        <v>0</v>
      </c>
      <c r="BC95" s="3">
        <f t="shared" si="452"/>
        <v>0</v>
      </c>
      <c r="BD95" s="3">
        <f t="shared" si="452"/>
        <v>0</v>
      </c>
      <c r="BE95" s="3">
        <f t="shared" si="452"/>
        <v>0</v>
      </c>
      <c r="BF95" s="3">
        <f t="shared" si="452"/>
        <v>0</v>
      </c>
      <c r="BG95" s="2"/>
      <c r="BH95" s="3">
        <f t="shared" ref="BH95:BS95" si="453">IF(AND(BH$5&gt;=$C95,BH$5&lt;=$D95),$E95,0)</f>
        <v>0</v>
      </c>
      <c r="BI95" s="3">
        <f t="shared" si="453"/>
        <v>0</v>
      </c>
      <c r="BJ95" s="3">
        <f t="shared" si="453"/>
        <v>0</v>
      </c>
      <c r="BK95" s="3">
        <f t="shared" si="453"/>
        <v>0</v>
      </c>
      <c r="BL95" s="3">
        <f t="shared" si="453"/>
        <v>0</v>
      </c>
      <c r="BM95" s="3">
        <f t="shared" si="453"/>
        <v>0</v>
      </c>
      <c r="BN95" s="3">
        <f t="shared" si="453"/>
        <v>0</v>
      </c>
      <c r="BO95" s="3">
        <f t="shared" si="453"/>
        <v>0</v>
      </c>
      <c r="BP95" s="3">
        <f t="shared" si="453"/>
        <v>0</v>
      </c>
      <c r="BQ95" s="3">
        <f t="shared" si="453"/>
        <v>0</v>
      </c>
      <c r="BR95" s="3">
        <f t="shared" si="453"/>
        <v>0</v>
      </c>
      <c r="BS95" s="3">
        <f t="shared" si="453"/>
        <v>0</v>
      </c>
      <c r="BT95" s="2"/>
    </row>
    <row r="96" spans="1:72" ht="15.75" customHeight="1">
      <c r="A96" s="54" t="str">
        <f>IF('Capital purchases'!C100="","",'Capital purchases'!C100)</f>
        <v/>
      </c>
      <c r="B96" s="2"/>
      <c r="C96" s="2" t="str">
        <f>IF($A96="","",'Capital purchases'!B100)</f>
        <v/>
      </c>
      <c r="D96" s="3" t="str">
        <f>IF($A96="","",'Capital purchases'!J100)</f>
        <v/>
      </c>
      <c r="E96" s="162" t="str">
        <f>IF($A96="","",'Capital purchases'!I100)</f>
        <v/>
      </c>
      <c r="H96" s="3">
        <f t="shared" ref="H96:S96" si="454">IF(AND(H$5&gt;=$C96,H$5&lt;=$D96),$E96,0)</f>
        <v>0</v>
      </c>
      <c r="I96" s="3">
        <f t="shared" si="454"/>
        <v>0</v>
      </c>
      <c r="J96" s="3">
        <f t="shared" si="454"/>
        <v>0</v>
      </c>
      <c r="K96" s="3">
        <f t="shared" si="454"/>
        <v>0</v>
      </c>
      <c r="L96" s="3">
        <f t="shared" si="454"/>
        <v>0</v>
      </c>
      <c r="M96" s="3">
        <f t="shared" si="454"/>
        <v>0</v>
      </c>
      <c r="N96" s="3">
        <f t="shared" si="454"/>
        <v>0</v>
      </c>
      <c r="O96" s="3">
        <f t="shared" si="454"/>
        <v>0</v>
      </c>
      <c r="P96" s="3">
        <f t="shared" si="454"/>
        <v>0</v>
      </c>
      <c r="Q96" s="3">
        <f t="shared" si="454"/>
        <v>0</v>
      </c>
      <c r="R96" s="3">
        <f t="shared" si="454"/>
        <v>0</v>
      </c>
      <c r="S96" s="3">
        <f t="shared" si="454"/>
        <v>0</v>
      </c>
      <c r="U96" s="3">
        <f t="shared" ref="U96:AF96" si="455">IF(AND(U$5&gt;=$C96,U$5&lt;=$D96),$E96,0)</f>
        <v>0</v>
      </c>
      <c r="V96" s="3">
        <f t="shared" si="455"/>
        <v>0</v>
      </c>
      <c r="W96" s="3">
        <f t="shared" si="455"/>
        <v>0</v>
      </c>
      <c r="X96" s="3">
        <f t="shared" si="455"/>
        <v>0</v>
      </c>
      <c r="Y96" s="3">
        <f t="shared" si="455"/>
        <v>0</v>
      </c>
      <c r="Z96" s="3">
        <f t="shared" si="455"/>
        <v>0</v>
      </c>
      <c r="AA96" s="3">
        <f t="shared" si="455"/>
        <v>0</v>
      </c>
      <c r="AB96" s="3">
        <f t="shared" si="455"/>
        <v>0</v>
      </c>
      <c r="AC96" s="3">
        <f t="shared" si="455"/>
        <v>0</v>
      </c>
      <c r="AD96" s="3">
        <f t="shared" si="455"/>
        <v>0</v>
      </c>
      <c r="AE96" s="3">
        <f t="shared" si="455"/>
        <v>0</v>
      </c>
      <c r="AF96" s="3">
        <f t="shared" si="455"/>
        <v>0</v>
      </c>
      <c r="AH96" s="3">
        <f t="shared" ref="AH96:AS96" si="456">IF(AND(AH$5&gt;=$C96,AH$5&lt;=$D96),$E96,0)</f>
        <v>0</v>
      </c>
      <c r="AI96" s="3">
        <f t="shared" si="456"/>
        <v>0</v>
      </c>
      <c r="AJ96" s="3">
        <f t="shared" si="456"/>
        <v>0</v>
      </c>
      <c r="AK96" s="3">
        <f t="shared" si="456"/>
        <v>0</v>
      </c>
      <c r="AL96" s="3">
        <f t="shared" si="456"/>
        <v>0</v>
      </c>
      <c r="AM96" s="3">
        <f t="shared" si="456"/>
        <v>0</v>
      </c>
      <c r="AN96" s="3">
        <f t="shared" si="456"/>
        <v>0</v>
      </c>
      <c r="AO96" s="3">
        <f t="shared" si="456"/>
        <v>0</v>
      </c>
      <c r="AP96" s="3">
        <f t="shared" si="456"/>
        <v>0</v>
      </c>
      <c r="AQ96" s="3">
        <f t="shared" si="456"/>
        <v>0</v>
      </c>
      <c r="AR96" s="3">
        <f t="shared" si="456"/>
        <v>0</v>
      </c>
      <c r="AS96" s="3">
        <f t="shared" si="456"/>
        <v>0</v>
      </c>
      <c r="AU96" s="3">
        <f t="shared" ref="AU96:BF96" si="457">IF(AND(AU$5&gt;=$C96,AU$5&lt;=$D96),$E96,0)</f>
        <v>0</v>
      </c>
      <c r="AV96" s="3">
        <f t="shared" si="457"/>
        <v>0</v>
      </c>
      <c r="AW96" s="3">
        <f t="shared" si="457"/>
        <v>0</v>
      </c>
      <c r="AX96" s="3">
        <f t="shared" si="457"/>
        <v>0</v>
      </c>
      <c r="AY96" s="3">
        <f t="shared" si="457"/>
        <v>0</v>
      </c>
      <c r="AZ96" s="3">
        <f t="shared" si="457"/>
        <v>0</v>
      </c>
      <c r="BA96" s="3">
        <f t="shared" si="457"/>
        <v>0</v>
      </c>
      <c r="BB96" s="3">
        <f t="shared" si="457"/>
        <v>0</v>
      </c>
      <c r="BC96" s="3">
        <f t="shared" si="457"/>
        <v>0</v>
      </c>
      <c r="BD96" s="3">
        <f t="shared" si="457"/>
        <v>0</v>
      </c>
      <c r="BE96" s="3">
        <f t="shared" si="457"/>
        <v>0</v>
      </c>
      <c r="BF96" s="3">
        <f t="shared" si="457"/>
        <v>0</v>
      </c>
      <c r="BG96" s="2"/>
      <c r="BH96" s="3">
        <f t="shared" ref="BH96:BS96" si="458">IF(AND(BH$5&gt;=$C96,BH$5&lt;=$D96),$E96,0)</f>
        <v>0</v>
      </c>
      <c r="BI96" s="3">
        <f t="shared" si="458"/>
        <v>0</v>
      </c>
      <c r="BJ96" s="3">
        <f t="shared" si="458"/>
        <v>0</v>
      </c>
      <c r="BK96" s="3">
        <f t="shared" si="458"/>
        <v>0</v>
      </c>
      <c r="BL96" s="3">
        <f t="shared" si="458"/>
        <v>0</v>
      </c>
      <c r="BM96" s="3">
        <f t="shared" si="458"/>
        <v>0</v>
      </c>
      <c r="BN96" s="3">
        <f t="shared" si="458"/>
        <v>0</v>
      </c>
      <c r="BO96" s="3">
        <f t="shared" si="458"/>
        <v>0</v>
      </c>
      <c r="BP96" s="3">
        <f t="shared" si="458"/>
        <v>0</v>
      </c>
      <c r="BQ96" s="3">
        <f t="shared" si="458"/>
        <v>0</v>
      </c>
      <c r="BR96" s="3">
        <f t="shared" si="458"/>
        <v>0</v>
      </c>
      <c r="BS96" s="3">
        <f t="shared" si="458"/>
        <v>0</v>
      </c>
      <c r="BT96" s="2"/>
    </row>
    <row r="97" spans="1:73" ht="15.75" customHeight="1">
      <c r="A97" s="54" t="str">
        <f>IF('Capital purchases'!C101="","",'Capital purchases'!C101)</f>
        <v/>
      </c>
      <c r="B97" s="2"/>
      <c r="C97" s="2" t="str">
        <f>IF($A97="","",'Capital purchases'!B101)</f>
        <v/>
      </c>
      <c r="D97" s="3" t="str">
        <f>IF($A97="","",'Capital purchases'!J101)</f>
        <v/>
      </c>
      <c r="E97" s="162" t="str">
        <f>IF($A97="","",'Capital purchases'!I101)</f>
        <v/>
      </c>
      <c r="H97" s="3">
        <f t="shared" ref="H97:S97" si="459">IF(AND(H$5&gt;=$C97,H$5&lt;=$D97),$E97,0)</f>
        <v>0</v>
      </c>
      <c r="I97" s="3">
        <f t="shared" si="459"/>
        <v>0</v>
      </c>
      <c r="J97" s="3">
        <f t="shared" si="459"/>
        <v>0</v>
      </c>
      <c r="K97" s="3">
        <f t="shared" si="459"/>
        <v>0</v>
      </c>
      <c r="L97" s="3">
        <f t="shared" si="459"/>
        <v>0</v>
      </c>
      <c r="M97" s="3">
        <f t="shared" si="459"/>
        <v>0</v>
      </c>
      <c r="N97" s="3">
        <f t="shared" si="459"/>
        <v>0</v>
      </c>
      <c r="O97" s="3">
        <f t="shared" si="459"/>
        <v>0</v>
      </c>
      <c r="P97" s="3">
        <f t="shared" si="459"/>
        <v>0</v>
      </c>
      <c r="Q97" s="3">
        <f t="shared" si="459"/>
        <v>0</v>
      </c>
      <c r="R97" s="3">
        <f t="shared" si="459"/>
        <v>0</v>
      </c>
      <c r="S97" s="3">
        <f t="shared" si="459"/>
        <v>0</v>
      </c>
      <c r="U97" s="3">
        <f t="shared" ref="U97:AF97" si="460">IF(AND(U$5&gt;=$C97,U$5&lt;=$D97),$E97,0)</f>
        <v>0</v>
      </c>
      <c r="V97" s="3">
        <f t="shared" si="460"/>
        <v>0</v>
      </c>
      <c r="W97" s="3">
        <f t="shared" si="460"/>
        <v>0</v>
      </c>
      <c r="X97" s="3">
        <f t="shared" si="460"/>
        <v>0</v>
      </c>
      <c r="Y97" s="3">
        <f t="shared" si="460"/>
        <v>0</v>
      </c>
      <c r="Z97" s="3">
        <f t="shared" si="460"/>
        <v>0</v>
      </c>
      <c r="AA97" s="3">
        <f t="shared" si="460"/>
        <v>0</v>
      </c>
      <c r="AB97" s="3">
        <f t="shared" si="460"/>
        <v>0</v>
      </c>
      <c r="AC97" s="3">
        <f t="shared" si="460"/>
        <v>0</v>
      </c>
      <c r="AD97" s="3">
        <f t="shared" si="460"/>
        <v>0</v>
      </c>
      <c r="AE97" s="3">
        <f t="shared" si="460"/>
        <v>0</v>
      </c>
      <c r="AF97" s="3">
        <f t="shared" si="460"/>
        <v>0</v>
      </c>
      <c r="AH97" s="3">
        <f t="shared" ref="AH97:AS97" si="461">IF(AND(AH$5&gt;=$C97,AH$5&lt;=$D97),$E97,0)</f>
        <v>0</v>
      </c>
      <c r="AI97" s="3">
        <f t="shared" si="461"/>
        <v>0</v>
      </c>
      <c r="AJ97" s="3">
        <f t="shared" si="461"/>
        <v>0</v>
      </c>
      <c r="AK97" s="3">
        <f t="shared" si="461"/>
        <v>0</v>
      </c>
      <c r="AL97" s="3">
        <f t="shared" si="461"/>
        <v>0</v>
      </c>
      <c r="AM97" s="3">
        <f t="shared" si="461"/>
        <v>0</v>
      </c>
      <c r="AN97" s="3">
        <f t="shared" si="461"/>
        <v>0</v>
      </c>
      <c r="AO97" s="3">
        <f t="shared" si="461"/>
        <v>0</v>
      </c>
      <c r="AP97" s="3">
        <f t="shared" si="461"/>
        <v>0</v>
      </c>
      <c r="AQ97" s="3">
        <f t="shared" si="461"/>
        <v>0</v>
      </c>
      <c r="AR97" s="3">
        <f t="shared" si="461"/>
        <v>0</v>
      </c>
      <c r="AS97" s="3">
        <f t="shared" si="461"/>
        <v>0</v>
      </c>
      <c r="AU97" s="3">
        <f t="shared" ref="AU97:BF97" si="462">IF(AND(AU$5&gt;=$C97,AU$5&lt;=$D97),$E97,0)</f>
        <v>0</v>
      </c>
      <c r="AV97" s="3">
        <f t="shared" si="462"/>
        <v>0</v>
      </c>
      <c r="AW97" s="3">
        <f t="shared" si="462"/>
        <v>0</v>
      </c>
      <c r="AX97" s="3">
        <f t="shared" si="462"/>
        <v>0</v>
      </c>
      <c r="AY97" s="3">
        <f t="shared" si="462"/>
        <v>0</v>
      </c>
      <c r="AZ97" s="3">
        <f t="shared" si="462"/>
        <v>0</v>
      </c>
      <c r="BA97" s="3">
        <f t="shared" si="462"/>
        <v>0</v>
      </c>
      <c r="BB97" s="3">
        <f t="shared" si="462"/>
        <v>0</v>
      </c>
      <c r="BC97" s="3">
        <f t="shared" si="462"/>
        <v>0</v>
      </c>
      <c r="BD97" s="3">
        <f t="shared" si="462"/>
        <v>0</v>
      </c>
      <c r="BE97" s="3">
        <f t="shared" si="462"/>
        <v>0</v>
      </c>
      <c r="BF97" s="3">
        <f t="shared" si="462"/>
        <v>0</v>
      </c>
      <c r="BG97" s="2"/>
      <c r="BH97" s="3">
        <f t="shared" ref="BH97:BS97" si="463">IF(AND(BH$5&gt;=$C97,BH$5&lt;=$D97),$E97,0)</f>
        <v>0</v>
      </c>
      <c r="BI97" s="3">
        <f t="shared" si="463"/>
        <v>0</v>
      </c>
      <c r="BJ97" s="3">
        <f t="shared" si="463"/>
        <v>0</v>
      </c>
      <c r="BK97" s="3">
        <f t="shared" si="463"/>
        <v>0</v>
      </c>
      <c r="BL97" s="3">
        <f t="shared" si="463"/>
        <v>0</v>
      </c>
      <c r="BM97" s="3">
        <f t="shared" si="463"/>
        <v>0</v>
      </c>
      <c r="BN97" s="3">
        <f t="shared" si="463"/>
        <v>0</v>
      </c>
      <c r="BO97" s="3">
        <f t="shared" si="463"/>
        <v>0</v>
      </c>
      <c r="BP97" s="3">
        <f t="shared" si="463"/>
        <v>0</v>
      </c>
      <c r="BQ97" s="3">
        <f t="shared" si="463"/>
        <v>0</v>
      </c>
      <c r="BR97" s="3">
        <f t="shared" si="463"/>
        <v>0</v>
      </c>
      <c r="BS97" s="3">
        <f t="shared" si="463"/>
        <v>0</v>
      </c>
      <c r="BT97" s="2"/>
    </row>
    <row r="98" spans="1:73" ht="15.75" customHeight="1">
      <c r="A98" s="54" t="str">
        <f>IF('Capital purchases'!C102="","",'Capital purchases'!C102)</f>
        <v/>
      </c>
      <c r="B98" s="2"/>
      <c r="C98" s="2" t="str">
        <f>IF($A98="","",'Capital purchases'!B102)</f>
        <v/>
      </c>
      <c r="D98" s="3" t="str">
        <f>IF($A98="","",'Capital purchases'!J102)</f>
        <v/>
      </c>
      <c r="E98" s="162" t="str">
        <f>IF($A98="","",'Capital purchases'!I102)</f>
        <v/>
      </c>
      <c r="H98" s="3">
        <f t="shared" ref="H98:S98" si="464">IF(AND(H$5&gt;=$C98,H$5&lt;=$D98),$E98,0)</f>
        <v>0</v>
      </c>
      <c r="I98" s="3">
        <f t="shared" si="464"/>
        <v>0</v>
      </c>
      <c r="J98" s="3">
        <f t="shared" si="464"/>
        <v>0</v>
      </c>
      <c r="K98" s="3">
        <f t="shared" si="464"/>
        <v>0</v>
      </c>
      <c r="L98" s="3">
        <f t="shared" si="464"/>
        <v>0</v>
      </c>
      <c r="M98" s="3">
        <f t="shared" si="464"/>
        <v>0</v>
      </c>
      <c r="N98" s="3">
        <f t="shared" si="464"/>
        <v>0</v>
      </c>
      <c r="O98" s="3">
        <f t="shared" si="464"/>
        <v>0</v>
      </c>
      <c r="P98" s="3">
        <f t="shared" si="464"/>
        <v>0</v>
      </c>
      <c r="Q98" s="3">
        <f t="shared" si="464"/>
        <v>0</v>
      </c>
      <c r="R98" s="3">
        <f t="shared" si="464"/>
        <v>0</v>
      </c>
      <c r="S98" s="3">
        <f t="shared" si="464"/>
        <v>0</v>
      </c>
      <c r="U98" s="3">
        <f t="shared" ref="U98:AF98" si="465">IF(AND(U$5&gt;=$C98,U$5&lt;=$D98),$E98,0)</f>
        <v>0</v>
      </c>
      <c r="V98" s="3">
        <f t="shared" si="465"/>
        <v>0</v>
      </c>
      <c r="W98" s="3">
        <f t="shared" si="465"/>
        <v>0</v>
      </c>
      <c r="X98" s="3">
        <f t="shared" si="465"/>
        <v>0</v>
      </c>
      <c r="Y98" s="3">
        <f t="shared" si="465"/>
        <v>0</v>
      </c>
      <c r="Z98" s="3">
        <f t="shared" si="465"/>
        <v>0</v>
      </c>
      <c r="AA98" s="3">
        <f t="shared" si="465"/>
        <v>0</v>
      </c>
      <c r="AB98" s="3">
        <f t="shared" si="465"/>
        <v>0</v>
      </c>
      <c r="AC98" s="3">
        <f t="shared" si="465"/>
        <v>0</v>
      </c>
      <c r="AD98" s="3">
        <f t="shared" si="465"/>
        <v>0</v>
      </c>
      <c r="AE98" s="3">
        <f t="shared" si="465"/>
        <v>0</v>
      </c>
      <c r="AF98" s="3">
        <f t="shared" si="465"/>
        <v>0</v>
      </c>
      <c r="AH98" s="3">
        <f t="shared" ref="AH98:AS98" si="466">IF(AND(AH$5&gt;=$C98,AH$5&lt;=$D98),$E98,0)</f>
        <v>0</v>
      </c>
      <c r="AI98" s="3">
        <f t="shared" si="466"/>
        <v>0</v>
      </c>
      <c r="AJ98" s="3">
        <f t="shared" si="466"/>
        <v>0</v>
      </c>
      <c r="AK98" s="3">
        <f t="shared" si="466"/>
        <v>0</v>
      </c>
      <c r="AL98" s="3">
        <f t="shared" si="466"/>
        <v>0</v>
      </c>
      <c r="AM98" s="3">
        <f t="shared" si="466"/>
        <v>0</v>
      </c>
      <c r="AN98" s="3">
        <f t="shared" si="466"/>
        <v>0</v>
      </c>
      <c r="AO98" s="3">
        <f t="shared" si="466"/>
        <v>0</v>
      </c>
      <c r="AP98" s="3">
        <f t="shared" si="466"/>
        <v>0</v>
      </c>
      <c r="AQ98" s="3">
        <f t="shared" si="466"/>
        <v>0</v>
      </c>
      <c r="AR98" s="3">
        <f t="shared" si="466"/>
        <v>0</v>
      </c>
      <c r="AS98" s="3">
        <f t="shared" si="466"/>
        <v>0</v>
      </c>
      <c r="AU98" s="3">
        <f t="shared" ref="AU98:BF98" si="467">IF(AND(AU$5&gt;=$C98,AU$5&lt;=$D98),$E98,0)</f>
        <v>0</v>
      </c>
      <c r="AV98" s="3">
        <f t="shared" si="467"/>
        <v>0</v>
      </c>
      <c r="AW98" s="3">
        <f t="shared" si="467"/>
        <v>0</v>
      </c>
      <c r="AX98" s="3">
        <f t="shared" si="467"/>
        <v>0</v>
      </c>
      <c r="AY98" s="3">
        <f t="shared" si="467"/>
        <v>0</v>
      </c>
      <c r="AZ98" s="3">
        <f t="shared" si="467"/>
        <v>0</v>
      </c>
      <c r="BA98" s="3">
        <f t="shared" si="467"/>
        <v>0</v>
      </c>
      <c r="BB98" s="3">
        <f t="shared" si="467"/>
        <v>0</v>
      </c>
      <c r="BC98" s="3">
        <f t="shared" si="467"/>
        <v>0</v>
      </c>
      <c r="BD98" s="3">
        <f t="shared" si="467"/>
        <v>0</v>
      </c>
      <c r="BE98" s="3">
        <f t="shared" si="467"/>
        <v>0</v>
      </c>
      <c r="BF98" s="3">
        <f t="shared" si="467"/>
        <v>0</v>
      </c>
      <c r="BG98" s="2"/>
      <c r="BH98" s="3">
        <f t="shared" ref="BH98:BS98" si="468">IF(AND(BH$5&gt;=$C98,BH$5&lt;=$D98),$E98,0)</f>
        <v>0</v>
      </c>
      <c r="BI98" s="3">
        <f t="shared" si="468"/>
        <v>0</v>
      </c>
      <c r="BJ98" s="3">
        <f t="shared" si="468"/>
        <v>0</v>
      </c>
      <c r="BK98" s="3">
        <f t="shared" si="468"/>
        <v>0</v>
      </c>
      <c r="BL98" s="3">
        <f t="shared" si="468"/>
        <v>0</v>
      </c>
      <c r="BM98" s="3">
        <f t="shared" si="468"/>
        <v>0</v>
      </c>
      <c r="BN98" s="3">
        <f t="shared" si="468"/>
        <v>0</v>
      </c>
      <c r="BO98" s="3">
        <f t="shared" si="468"/>
        <v>0</v>
      </c>
      <c r="BP98" s="3">
        <f t="shared" si="468"/>
        <v>0</v>
      </c>
      <c r="BQ98" s="3">
        <f t="shared" si="468"/>
        <v>0</v>
      </c>
      <c r="BR98" s="3">
        <f t="shared" si="468"/>
        <v>0</v>
      </c>
      <c r="BS98" s="3">
        <f t="shared" si="468"/>
        <v>0</v>
      </c>
      <c r="BT98" s="2"/>
    </row>
    <row r="99" spans="1:73" ht="15.75" customHeight="1">
      <c r="A99" s="54" t="str">
        <f>IF('Capital purchases'!C103="","",'Capital purchases'!C103)</f>
        <v/>
      </c>
      <c r="B99" s="2"/>
      <c r="C99" s="2" t="str">
        <f>IF($A99="","",'Capital purchases'!B103)</f>
        <v/>
      </c>
      <c r="D99" s="3" t="str">
        <f>IF($A99="","",'Capital purchases'!J103)</f>
        <v/>
      </c>
      <c r="E99" s="162" t="str">
        <f>IF($A99="","",'Capital purchases'!I103)</f>
        <v/>
      </c>
      <c r="H99" s="3">
        <f t="shared" ref="H99:S99" si="469">IF(AND(H$5&gt;=$C99,H$5&lt;=$D99),$E99,0)</f>
        <v>0</v>
      </c>
      <c r="I99" s="3">
        <f t="shared" si="469"/>
        <v>0</v>
      </c>
      <c r="J99" s="3">
        <f t="shared" si="469"/>
        <v>0</v>
      </c>
      <c r="K99" s="3">
        <f t="shared" si="469"/>
        <v>0</v>
      </c>
      <c r="L99" s="3">
        <f t="shared" si="469"/>
        <v>0</v>
      </c>
      <c r="M99" s="3">
        <f t="shared" si="469"/>
        <v>0</v>
      </c>
      <c r="N99" s="3">
        <f t="shared" si="469"/>
        <v>0</v>
      </c>
      <c r="O99" s="3">
        <f t="shared" si="469"/>
        <v>0</v>
      </c>
      <c r="P99" s="3">
        <f t="shared" si="469"/>
        <v>0</v>
      </c>
      <c r="Q99" s="3">
        <f t="shared" si="469"/>
        <v>0</v>
      </c>
      <c r="R99" s="3">
        <f t="shared" si="469"/>
        <v>0</v>
      </c>
      <c r="S99" s="3">
        <f t="shared" si="469"/>
        <v>0</v>
      </c>
      <c r="U99" s="3">
        <f t="shared" ref="U99:AF99" si="470">IF(AND(U$5&gt;=$C99,U$5&lt;=$D99),$E99,0)</f>
        <v>0</v>
      </c>
      <c r="V99" s="3">
        <f t="shared" si="470"/>
        <v>0</v>
      </c>
      <c r="W99" s="3">
        <f t="shared" si="470"/>
        <v>0</v>
      </c>
      <c r="X99" s="3">
        <f t="shared" si="470"/>
        <v>0</v>
      </c>
      <c r="Y99" s="3">
        <f t="shared" si="470"/>
        <v>0</v>
      </c>
      <c r="Z99" s="3">
        <f t="shared" si="470"/>
        <v>0</v>
      </c>
      <c r="AA99" s="3">
        <f t="shared" si="470"/>
        <v>0</v>
      </c>
      <c r="AB99" s="3">
        <f t="shared" si="470"/>
        <v>0</v>
      </c>
      <c r="AC99" s="3">
        <f t="shared" si="470"/>
        <v>0</v>
      </c>
      <c r="AD99" s="3">
        <f t="shared" si="470"/>
        <v>0</v>
      </c>
      <c r="AE99" s="3">
        <f t="shared" si="470"/>
        <v>0</v>
      </c>
      <c r="AF99" s="3">
        <f t="shared" si="470"/>
        <v>0</v>
      </c>
      <c r="AH99" s="3">
        <f t="shared" ref="AH99:AS99" si="471">IF(AND(AH$5&gt;=$C99,AH$5&lt;=$D99),$E99,0)</f>
        <v>0</v>
      </c>
      <c r="AI99" s="3">
        <f t="shared" si="471"/>
        <v>0</v>
      </c>
      <c r="AJ99" s="3">
        <f t="shared" si="471"/>
        <v>0</v>
      </c>
      <c r="AK99" s="3">
        <f t="shared" si="471"/>
        <v>0</v>
      </c>
      <c r="AL99" s="3">
        <f t="shared" si="471"/>
        <v>0</v>
      </c>
      <c r="AM99" s="3">
        <f t="shared" si="471"/>
        <v>0</v>
      </c>
      <c r="AN99" s="3">
        <f t="shared" si="471"/>
        <v>0</v>
      </c>
      <c r="AO99" s="3">
        <f t="shared" si="471"/>
        <v>0</v>
      </c>
      <c r="AP99" s="3">
        <f t="shared" si="471"/>
        <v>0</v>
      </c>
      <c r="AQ99" s="3">
        <f t="shared" si="471"/>
        <v>0</v>
      </c>
      <c r="AR99" s="3">
        <f t="shared" si="471"/>
        <v>0</v>
      </c>
      <c r="AS99" s="3">
        <f t="shared" si="471"/>
        <v>0</v>
      </c>
      <c r="AU99" s="3">
        <f t="shared" ref="AU99:BF99" si="472">IF(AND(AU$5&gt;=$C99,AU$5&lt;=$D99),$E99,0)</f>
        <v>0</v>
      </c>
      <c r="AV99" s="3">
        <f t="shared" si="472"/>
        <v>0</v>
      </c>
      <c r="AW99" s="3">
        <f t="shared" si="472"/>
        <v>0</v>
      </c>
      <c r="AX99" s="3">
        <f t="shared" si="472"/>
        <v>0</v>
      </c>
      <c r="AY99" s="3">
        <f t="shared" si="472"/>
        <v>0</v>
      </c>
      <c r="AZ99" s="3">
        <f t="shared" si="472"/>
        <v>0</v>
      </c>
      <c r="BA99" s="3">
        <f t="shared" si="472"/>
        <v>0</v>
      </c>
      <c r="BB99" s="3">
        <f t="shared" si="472"/>
        <v>0</v>
      </c>
      <c r="BC99" s="3">
        <f t="shared" si="472"/>
        <v>0</v>
      </c>
      <c r="BD99" s="3">
        <f t="shared" si="472"/>
        <v>0</v>
      </c>
      <c r="BE99" s="3">
        <f t="shared" si="472"/>
        <v>0</v>
      </c>
      <c r="BF99" s="3">
        <f t="shared" si="472"/>
        <v>0</v>
      </c>
      <c r="BG99" s="2"/>
      <c r="BH99" s="3">
        <f t="shared" ref="BH99:BS99" si="473">IF(AND(BH$5&gt;=$C99,BH$5&lt;=$D99),$E99,0)</f>
        <v>0</v>
      </c>
      <c r="BI99" s="3">
        <f t="shared" si="473"/>
        <v>0</v>
      </c>
      <c r="BJ99" s="3">
        <f t="shared" si="473"/>
        <v>0</v>
      </c>
      <c r="BK99" s="3">
        <f t="shared" si="473"/>
        <v>0</v>
      </c>
      <c r="BL99" s="3">
        <f t="shared" si="473"/>
        <v>0</v>
      </c>
      <c r="BM99" s="3">
        <f t="shared" si="473"/>
        <v>0</v>
      </c>
      <c r="BN99" s="3">
        <f t="shared" si="473"/>
        <v>0</v>
      </c>
      <c r="BO99" s="3">
        <f t="shared" si="473"/>
        <v>0</v>
      </c>
      <c r="BP99" s="3">
        <f t="shared" si="473"/>
        <v>0</v>
      </c>
      <c r="BQ99" s="3">
        <f t="shared" si="473"/>
        <v>0</v>
      </c>
      <c r="BR99" s="3">
        <f t="shared" si="473"/>
        <v>0</v>
      </c>
      <c r="BS99" s="3">
        <f t="shared" si="473"/>
        <v>0</v>
      </c>
      <c r="BT99" s="2"/>
    </row>
    <row r="100" spans="1:73" ht="15.75" customHeight="1">
      <c r="A100" s="54" t="str">
        <f>IF('Capital purchases'!C104="","",'Capital purchases'!C104)</f>
        <v/>
      </c>
      <c r="B100" s="2"/>
      <c r="C100" s="2" t="str">
        <f>IF($A100="","",'Capital purchases'!B104)</f>
        <v/>
      </c>
      <c r="D100" s="3" t="str">
        <f>IF($A100="","",'Capital purchases'!J104)</f>
        <v/>
      </c>
      <c r="E100" s="162" t="str">
        <f>IF($A100="","",'Capital purchases'!I104)</f>
        <v/>
      </c>
      <c r="H100" s="3">
        <f t="shared" ref="H100:S100" si="474">IF(AND(H$5&gt;=$C100,H$5&lt;=$D100),$E100,0)</f>
        <v>0</v>
      </c>
      <c r="I100" s="3">
        <f t="shared" si="474"/>
        <v>0</v>
      </c>
      <c r="J100" s="3">
        <f t="shared" si="474"/>
        <v>0</v>
      </c>
      <c r="K100" s="3">
        <f t="shared" si="474"/>
        <v>0</v>
      </c>
      <c r="L100" s="3">
        <f t="shared" si="474"/>
        <v>0</v>
      </c>
      <c r="M100" s="3">
        <f t="shared" si="474"/>
        <v>0</v>
      </c>
      <c r="N100" s="3">
        <f t="shared" si="474"/>
        <v>0</v>
      </c>
      <c r="O100" s="3">
        <f t="shared" si="474"/>
        <v>0</v>
      </c>
      <c r="P100" s="3">
        <f t="shared" si="474"/>
        <v>0</v>
      </c>
      <c r="Q100" s="3">
        <f t="shared" si="474"/>
        <v>0</v>
      </c>
      <c r="R100" s="3">
        <f t="shared" si="474"/>
        <v>0</v>
      </c>
      <c r="S100" s="3">
        <f t="shared" si="474"/>
        <v>0</v>
      </c>
      <c r="U100" s="3">
        <f t="shared" ref="U100:AF100" si="475">IF(AND(U$5&gt;=$C100,U$5&lt;=$D100),$E100,0)</f>
        <v>0</v>
      </c>
      <c r="V100" s="3">
        <f t="shared" si="475"/>
        <v>0</v>
      </c>
      <c r="W100" s="3">
        <f t="shared" si="475"/>
        <v>0</v>
      </c>
      <c r="X100" s="3">
        <f t="shared" si="475"/>
        <v>0</v>
      </c>
      <c r="Y100" s="3">
        <f t="shared" si="475"/>
        <v>0</v>
      </c>
      <c r="Z100" s="3">
        <f t="shared" si="475"/>
        <v>0</v>
      </c>
      <c r="AA100" s="3">
        <f t="shared" si="475"/>
        <v>0</v>
      </c>
      <c r="AB100" s="3">
        <f t="shared" si="475"/>
        <v>0</v>
      </c>
      <c r="AC100" s="3">
        <f t="shared" si="475"/>
        <v>0</v>
      </c>
      <c r="AD100" s="3">
        <f t="shared" si="475"/>
        <v>0</v>
      </c>
      <c r="AE100" s="3">
        <f t="shared" si="475"/>
        <v>0</v>
      </c>
      <c r="AF100" s="3">
        <f t="shared" si="475"/>
        <v>0</v>
      </c>
      <c r="AH100" s="3">
        <f t="shared" ref="AH100:AS100" si="476">IF(AND(AH$5&gt;=$C100,AH$5&lt;=$D100),$E100,0)</f>
        <v>0</v>
      </c>
      <c r="AI100" s="3">
        <f t="shared" si="476"/>
        <v>0</v>
      </c>
      <c r="AJ100" s="3">
        <f t="shared" si="476"/>
        <v>0</v>
      </c>
      <c r="AK100" s="3">
        <f t="shared" si="476"/>
        <v>0</v>
      </c>
      <c r="AL100" s="3">
        <f t="shared" si="476"/>
        <v>0</v>
      </c>
      <c r="AM100" s="3">
        <f t="shared" si="476"/>
        <v>0</v>
      </c>
      <c r="AN100" s="3">
        <f t="shared" si="476"/>
        <v>0</v>
      </c>
      <c r="AO100" s="3">
        <f t="shared" si="476"/>
        <v>0</v>
      </c>
      <c r="AP100" s="3">
        <f t="shared" si="476"/>
        <v>0</v>
      </c>
      <c r="AQ100" s="3">
        <f t="shared" si="476"/>
        <v>0</v>
      </c>
      <c r="AR100" s="3">
        <f t="shared" si="476"/>
        <v>0</v>
      </c>
      <c r="AS100" s="3">
        <f t="shared" si="476"/>
        <v>0</v>
      </c>
      <c r="AU100" s="3">
        <f t="shared" ref="AU100:BF100" si="477">IF(AND(AU$5&gt;=$C100,AU$5&lt;=$D100),$E100,0)</f>
        <v>0</v>
      </c>
      <c r="AV100" s="3">
        <f t="shared" si="477"/>
        <v>0</v>
      </c>
      <c r="AW100" s="3">
        <f t="shared" si="477"/>
        <v>0</v>
      </c>
      <c r="AX100" s="3">
        <f t="shared" si="477"/>
        <v>0</v>
      </c>
      <c r="AY100" s="3">
        <f t="shared" si="477"/>
        <v>0</v>
      </c>
      <c r="AZ100" s="3">
        <f t="shared" si="477"/>
        <v>0</v>
      </c>
      <c r="BA100" s="3">
        <f t="shared" si="477"/>
        <v>0</v>
      </c>
      <c r="BB100" s="3">
        <f t="shared" si="477"/>
        <v>0</v>
      </c>
      <c r="BC100" s="3">
        <f t="shared" si="477"/>
        <v>0</v>
      </c>
      <c r="BD100" s="3">
        <f t="shared" si="477"/>
        <v>0</v>
      </c>
      <c r="BE100" s="3">
        <f t="shared" si="477"/>
        <v>0</v>
      </c>
      <c r="BF100" s="3">
        <f t="shared" si="477"/>
        <v>0</v>
      </c>
      <c r="BG100" s="2"/>
      <c r="BH100" s="3">
        <f t="shared" ref="BH100:BS100" si="478">IF(AND(BH$5&gt;=$C100,BH$5&lt;=$D100),$E100,0)</f>
        <v>0</v>
      </c>
      <c r="BI100" s="3">
        <f t="shared" si="478"/>
        <v>0</v>
      </c>
      <c r="BJ100" s="3">
        <f t="shared" si="478"/>
        <v>0</v>
      </c>
      <c r="BK100" s="3">
        <f t="shared" si="478"/>
        <v>0</v>
      </c>
      <c r="BL100" s="3">
        <f t="shared" si="478"/>
        <v>0</v>
      </c>
      <c r="BM100" s="3">
        <f t="shared" si="478"/>
        <v>0</v>
      </c>
      <c r="BN100" s="3">
        <f t="shared" si="478"/>
        <v>0</v>
      </c>
      <c r="BO100" s="3">
        <f t="shared" si="478"/>
        <v>0</v>
      </c>
      <c r="BP100" s="3">
        <f t="shared" si="478"/>
        <v>0</v>
      </c>
      <c r="BQ100" s="3">
        <f t="shared" si="478"/>
        <v>0</v>
      </c>
      <c r="BR100" s="3">
        <f t="shared" si="478"/>
        <v>0</v>
      </c>
      <c r="BS100" s="3">
        <f t="shared" si="478"/>
        <v>0</v>
      </c>
      <c r="BT100" s="2"/>
    </row>
    <row r="101" spans="1:73" ht="15.75" customHeight="1">
      <c r="A101" s="54" t="str">
        <f>IF('Capital purchases'!C106="","",'Capital purchases'!C106)</f>
        <v/>
      </c>
      <c r="B101" s="2"/>
      <c r="C101" s="2" t="str">
        <f>IF($A101="","",'Capital purchases'!B106)</f>
        <v/>
      </c>
      <c r="D101" s="2" t="str">
        <f>IF($A101="","",'Capital purchases'!J106)</f>
        <v/>
      </c>
      <c r="E101" s="162" t="str">
        <f>IF($A101="","",'Capital purchases'!I106)</f>
        <v/>
      </c>
      <c r="H101" s="3">
        <f t="shared" ref="H101:S101" si="479">IF(AND(H$5&gt;=$C101,H$5&lt;=$D101),$E101,0)</f>
        <v>0</v>
      </c>
      <c r="I101" s="3">
        <f t="shared" si="479"/>
        <v>0</v>
      </c>
      <c r="J101" s="3">
        <f t="shared" si="479"/>
        <v>0</v>
      </c>
      <c r="K101" s="3">
        <f t="shared" si="479"/>
        <v>0</v>
      </c>
      <c r="L101" s="3">
        <f t="shared" si="479"/>
        <v>0</v>
      </c>
      <c r="M101" s="3">
        <f t="shared" si="479"/>
        <v>0</v>
      </c>
      <c r="N101" s="3">
        <f t="shared" si="479"/>
        <v>0</v>
      </c>
      <c r="O101" s="3">
        <f t="shared" si="479"/>
        <v>0</v>
      </c>
      <c r="P101" s="3">
        <f t="shared" si="479"/>
        <v>0</v>
      </c>
      <c r="Q101" s="3">
        <f t="shared" si="479"/>
        <v>0</v>
      </c>
      <c r="R101" s="3">
        <f t="shared" si="479"/>
        <v>0</v>
      </c>
      <c r="S101" s="3">
        <f t="shared" si="479"/>
        <v>0</v>
      </c>
      <c r="U101" s="3">
        <f t="shared" ref="U101:AF101" si="480">IF(AND(U$5&gt;=$C101,U$5&lt;=$D101),$E101,0)</f>
        <v>0</v>
      </c>
      <c r="V101" s="3">
        <f t="shared" si="480"/>
        <v>0</v>
      </c>
      <c r="W101" s="3">
        <f t="shared" si="480"/>
        <v>0</v>
      </c>
      <c r="X101" s="3">
        <f t="shared" si="480"/>
        <v>0</v>
      </c>
      <c r="Y101" s="3">
        <f t="shared" si="480"/>
        <v>0</v>
      </c>
      <c r="Z101" s="3">
        <f t="shared" si="480"/>
        <v>0</v>
      </c>
      <c r="AA101" s="3">
        <f t="shared" si="480"/>
        <v>0</v>
      </c>
      <c r="AB101" s="3">
        <f t="shared" si="480"/>
        <v>0</v>
      </c>
      <c r="AC101" s="3">
        <f t="shared" si="480"/>
        <v>0</v>
      </c>
      <c r="AD101" s="3">
        <f t="shared" si="480"/>
        <v>0</v>
      </c>
      <c r="AE101" s="3">
        <f t="shared" si="480"/>
        <v>0</v>
      </c>
      <c r="AF101" s="3">
        <f t="shared" si="480"/>
        <v>0</v>
      </c>
      <c r="AH101" s="3">
        <f t="shared" ref="AH101:AS101" si="481">IF(AND(AH$5&gt;=$C101,AH$5&lt;=$D101),$E101,0)</f>
        <v>0</v>
      </c>
      <c r="AI101" s="3">
        <f t="shared" si="481"/>
        <v>0</v>
      </c>
      <c r="AJ101" s="3">
        <f t="shared" si="481"/>
        <v>0</v>
      </c>
      <c r="AK101" s="3">
        <f t="shared" si="481"/>
        <v>0</v>
      </c>
      <c r="AL101" s="3">
        <f t="shared" si="481"/>
        <v>0</v>
      </c>
      <c r="AM101" s="3">
        <f t="shared" si="481"/>
        <v>0</v>
      </c>
      <c r="AN101" s="3">
        <f t="shared" si="481"/>
        <v>0</v>
      </c>
      <c r="AO101" s="3">
        <f t="shared" si="481"/>
        <v>0</v>
      </c>
      <c r="AP101" s="3">
        <f t="shared" si="481"/>
        <v>0</v>
      </c>
      <c r="AQ101" s="3">
        <f t="shared" si="481"/>
        <v>0</v>
      </c>
      <c r="AR101" s="3">
        <f t="shared" si="481"/>
        <v>0</v>
      </c>
      <c r="AS101" s="3">
        <f t="shared" si="481"/>
        <v>0</v>
      </c>
      <c r="AU101" s="3">
        <f t="shared" ref="AU101:BF101" si="482">IF(AND(AU$5&gt;=$C101,AU$5&lt;=$D101),$E101,0)</f>
        <v>0</v>
      </c>
      <c r="AV101" s="3">
        <f t="shared" si="482"/>
        <v>0</v>
      </c>
      <c r="AW101" s="3">
        <f t="shared" si="482"/>
        <v>0</v>
      </c>
      <c r="AX101" s="3">
        <f t="shared" si="482"/>
        <v>0</v>
      </c>
      <c r="AY101" s="3">
        <f t="shared" si="482"/>
        <v>0</v>
      </c>
      <c r="AZ101" s="3">
        <f t="shared" si="482"/>
        <v>0</v>
      </c>
      <c r="BA101" s="3">
        <f t="shared" si="482"/>
        <v>0</v>
      </c>
      <c r="BB101" s="3">
        <f t="shared" si="482"/>
        <v>0</v>
      </c>
      <c r="BC101" s="3">
        <f t="shared" si="482"/>
        <v>0</v>
      </c>
      <c r="BD101" s="3">
        <f t="shared" si="482"/>
        <v>0</v>
      </c>
      <c r="BE101" s="3">
        <f t="shared" si="482"/>
        <v>0</v>
      </c>
      <c r="BF101" s="3">
        <f t="shared" si="482"/>
        <v>0</v>
      </c>
      <c r="BG101" s="2"/>
      <c r="BH101" s="3">
        <f t="shared" ref="BH101:BS101" si="483">IF(AND(BH$5&gt;=$C101,BH$5&lt;=$D101),$E101,0)</f>
        <v>0</v>
      </c>
      <c r="BI101" s="3">
        <f t="shared" si="483"/>
        <v>0</v>
      </c>
      <c r="BJ101" s="3">
        <f t="shared" si="483"/>
        <v>0</v>
      </c>
      <c r="BK101" s="3">
        <f t="shared" si="483"/>
        <v>0</v>
      </c>
      <c r="BL101" s="3">
        <f t="shared" si="483"/>
        <v>0</v>
      </c>
      <c r="BM101" s="3">
        <f t="shared" si="483"/>
        <v>0</v>
      </c>
      <c r="BN101" s="3">
        <f t="shared" si="483"/>
        <v>0</v>
      </c>
      <c r="BO101" s="3">
        <f t="shared" si="483"/>
        <v>0</v>
      </c>
      <c r="BP101" s="3">
        <f t="shared" si="483"/>
        <v>0</v>
      </c>
      <c r="BQ101" s="3">
        <f t="shared" si="483"/>
        <v>0</v>
      </c>
      <c r="BR101" s="3">
        <f t="shared" si="483"/>
        <v>0</v>
      </c>
      <c r="BS101" s="3">
        <f t="shared" si="483"/>
        <v>0</v>
      </c>
      <c r="BT101" s="2"/>
    </row>
    <row r="102" spans="1:73" ht="15.75" customHeight="1">
      <c r="A102" s="54" t="str">
        <f>IF('Capital purchases'!C107="","",'Capital purchases'!C107)</f>
        <v/>
      </c>
      <c r="B102" s="2"/>
      <c r="C102" s="2" t="str">
        <f>IF($A102="","",'Capital purchases'!B107)</f>
        <v/>
      </c>
      <c r="D102" s="2" t="str">
        <f>IF($A102="","",'Capital purchases'!J107)</f>
        <v/>
      </c>
      <c r="E102" s="162" t="str">
        <f>IF($A102="","",'Capital purchases'!I107)</f>
        <v/>
      </c>
      <c r="H102" s="3">
        <f t="shared" ref="H102:S102" si="484">IF(AND(H$5&gt;=$C102,H$5&lt;=$D102),$E102,0)</f>
        <v>0</v>
      </c>
      <c r="I102" s="3">
        <f t="shared" si="484"/>
        <v>0</v>
      </c>
      <c r="J102" s="3">
        <f t="shared" si="484"/>
        <v>0</v>
      </c>
      <c r="K102" s="3">
        <f t="shared" si="484"/>
        <v>0</v>
      </c>
      <c r="L102" s="3">
        <f t="shared" si="484"/>
        <v>0</v>
      </c>
      <c r="M102" s="3">
        <f t="shared" si="484"/>
        <v>0</v>
      </c>
      <c r="N102" s="3">
        <f t="shared" si="484"/>
        <v>0</v>
      </c>
      <c r="O102" s="3">
        <f t="shared" si="484"/>
        <v>0</v>
      </c>
      <c r="P102" s="3">
        <f t="shared" si="484"/>
        <v>0</v>
      </c>
      <c r="Q102" s="3">
        <f t="shared" si="484"/>
        <v>0</v>
      </c>
      <c r="R102" s="3">
        <f t="shared" si="484"/>
        <v>0</v>
      </c>
      <c r="S102" s="3">
        <f t="shared" si="484"/>
        <v>0</v>
      </c>
      <c r="U102" s="3">
        <f t="shared" ref="U102:AF102" si="485">IF(AND(U$5&gt;=$C102,U$5&lt;=$D102),$E102,0)</f>
        <v>0</v>
      </c>
      <c r="V102" s="3">
        <f t="shared" si="485"/>
        <v>0</v>
      </c>
      <c r="W102" s="3">
        <f t="shared" si="485"/>
        <v>0</v>
      </c>
      <c r="X102" s="3">
        <f t="shared" si="485"/>
        <v>0</v>
      </c>
      <c r="Y102" s="3">
        <f t="shared" si="485"/>
        <v>0</v>
      </c>
      <c r="Z102" s="3">
        <f t="shared" si="485"/>
        <v>0</v>
      </c>
      <c r="AA102" s="3">
        <f t="shared" si="485"/>
        <v>0</v>
      </c>
      <c r="AB102" s="3">
        <f t="shared" si="485"/>
        <v>0</v>
      </c>
      <c r="AC102" s="3">
        <f t="shared" si="485"/>
        <v>0</v>
      </c>
      <c r="AD102" s="3">
        <f t="shared" si="485"/>
        <v>0</v>
      </c>
      <c r="AE102" s="3">
        <f t="shared" si="485"/>
        <v>0</v>
      </c>
      <c r="AF102" s="3">
        <f t="shared" si="485"/>
        <v>0</v>
      </c>
      <c r="AH102" s="3">
        <f t="shared" ref="AH102:AS102" si="486">IF(AND(AH$5&gt;=$C102,AH$5&lt;=$D102),$E102,0)</f>
        <v>0</v>
      </c>
      <c r="AI102" s="3">
        <f t="shared" si="486"/>
        <v>0</v>
      </c>
      <c r="AJ102" s="3">
        <f t="shared" si="486"/>
        <v>0</v>
      </c>
      <c r="AK102" s="3">
        <f t="shared" si="486"/>
        <v>0</v>
      </c>
      <c r="AL102" s="3">
        <f t="shared" si="486"/>
        <v>0</v>
      </c>
      <c r="AM102" s="3">
        <f t="shared" si="486"/>
        <v>0</v>
      </c>
      <c r="AN102" s="3">
        <f t="shared" si="486"/>
        <v>0</v>
      </c>
      <c r="AO102" s="3">
        <f t="shared" si="486"/>
        <v>0</v>
      </c>
      <c r="AP102" s="3">
        <f t="shared" si="486"/>
        <v>0</v>
      </c>
      <c r="AQ102" s="3">
        <f t="shared" si="486"/>
        <v>0</v>
      </c>
      <c r="AR102" s="3">
        <f t="shared" si="486"/>
        <v>0</v>
      </c>
      <c r="AS102" s="3">
        <f t="shared" si="486"/>
        <v>0</v>
      </c>
      <c r="AU102" s="3">
        <f t="shared" ref="AU102:BF102" si="487">IF(AND(AU$5&gt;=$C102,AU$5&lt;=$D102),$E102,0)</f>
        <v>0</v>
      </c>
      <c r="AV102" s="3">
        <f t="shared" si="487"/>
        <v>0</v>
      </c>
      <c r="AW102" s="3">
        <f t="shared" si="487"/>
        <v>0</v>
      </c>
      <c r="AX102" s="3">
        <f t="shared" si="487"/>
        <v>0</v>
      </c>
      <c r="AY102" s="3">
        <f t="shared" si="487"/>
        <v>0</v>
      </c>
      <c r="AZ102" s="3">
        <f t="shared" si="487"/>
        <v>0</v>
      </c>
      <c r="BA102" s="3">
        <f t="shared" si="487"/>
        <v>0</v>
      </c>
      <c r="BB102" s="3">
        <f t="shared" si="487"/>
        <v>0</v>
      </c>
      <c r="BC102" s="3">
        <f t="shared" si="487"/>
        <v>0</v>
      </c>
      <c r="BD102" s="3">
        <f t="shared" si="487"/>
        <v>0</v>
      </c>
      <c r="BE102" s="3">
        <f t="shared" si="487"/>
        <v>0</v>
      </c>
      <c r="BF102" s="3">
        <f t="shared" si="487"/>
        <v>0</v>
      </c>
      <c r="BG102" s="2"/>
      <c r="BH102" s="3">
        <f t="shared" ref="BH102:BS102" si="488">IF(AND(BH$5&gt;=$C102,BH$5&lt;=$D102),$E102,0)</f>
        <v>0</v>
      </c>
      <c r="BI102" s="3">
        <f t="shared" si="488"/>
        <v>0</v>
      </c>
      <c r="BJ102" s="3">
        <f t="shared" si="488"/>
        <v>0</v>
      </c>
      <c r="BK102" s="3">
        <f t="shared" si="488"/>
        <v>0</v>
      </c>
      <c r="BL102" s="3">
        <f t="shared" si="488"/>
        <v>0</v>
      </c>
      <c r="BM102" s="3">
        <f t="shared" si="488"/>
        <v>0</v>
      </c>
      <c r="BN102" s="3">
        <f t="shared" si="488"/>
        <v>0</v>
      </c>
      <c r="BO102" s="3">
        <f t="shared" si="488"/>
        <v>0</v>
      </c>
      <c r="BP102" s="3">
        <f t="shared" si="488"/>
        <v>0</v>
      </c>
      <c r="BQ102" s="3">
        <f t="shared" si="488"/>
        <v>0</v>
      </c>
      <c r="BR102" s="3">
        <f t="shared" si="488"/>
        <v>0</v>
      </c>
      <c r="BS102" s="3">
        <f t="shared" si="488"/>
        <v>0</v>
      </c>
      <c r="BT102" s="2"/>
    </row>
    <row r="103" spans="1:73" ht="15.75" customHeight="1">
      <c r="A103" s="54" t="str">
        <f>IF('Capital purchases'!C108="","",'Capital purchases'!C108)</f>
        <v/>
      </c>
      <c r="B103" s="2"/>
      <c r="C103" s="2" t="str">
        <f>IF($A103="","",'Capital purchases'!B108)</f>
        <v/>
      </c>
      <c r="D103" s="2" t="str">
        <f>IF($A103="","",'Capital purchases'!J108)</f>
        <v/>
      </c>
      <c r="E103" s="162" t="str">
        <f>IF($A103="","",'Capital purchases'!I108)</f>
        <v/>
      </c>
      <c r="H103" s="3">
        <f t="shared" ref="H103:S103" si="489">IF(AND(H$5&gt;=$C103,H$5&lt;=$D103),$E103,0)</f>
        <v>0</v>
      </c>
      <c r="I103" s="3">
        <f t="shared" si="489"/>
        <v>0</v>
      </c>
      <c r="J103" s="3">
        <f t="shared" si="489"/>
        <v>0</v>
      </c>
      <c r="K103" s="3">
        <f t="shared" si="489"/>
        <v>0</v>
      </c>
      <c r="L103" s="3">
        <f t="shared" si="489"/>
        <v>0</v>
      </c>
      <c r="M103" s="3">
        <f t="shared" si="489"/>
        <v>0</v>
      </c>
      <c r="N103" s="3">
        <f t="shared" si="489"/>
        <v>0</v>
      </c>
      <c r="O103" s="3">
        <f t="shared" si="489"/>
        <v>0</v>
      </c>
      <c r="P103" s="3">
        <f t="shared" si="489"/>
        <v>0</v>
      </c>
      <c r="Q103" s="3">
        <f t="shared" si="489"/>
        <v>0</v>
      </c>
      <c r="R103" s="3">
        <f t="shared" si="489"/>
        <v>0</v>
      </c>
      <c r="S103" s="3">
        <f t="shared" si="489"/>
        <v>0</v>
      </c>
      <c r="U103" s="3">
        <f t="shared" ref="U103:AF103" si="490">IF(AND(U$5&gt;=$C103,U$5&lt;=$D103),$E103,0)</f>
        <v>0</v>
      </c>
      <c r="V103" s="3">
        <f t="shared" si="490"/>
        <v>0</v>
      </c>
      <c r="W103" s="3">
        <f t="shared" si="490"/>
        <v>0</v>
      </c>
      <c r="X103" s="3">
        <f t="shared" si="490"/>
        <v>0</v>
      </c>
      <c r="Y103" s="3">
        <f t="shared" si="490"/>
        <v>0</v>
      </c>
      <c r="Z103" s="3">
        <f t="shared" si="490"/>
        <v>0</v>
      </c>
      <c r="AA103" s="3">
        <f t="shared" si="490"/>
        <v>0</v>
      </c>
      <c r="AB103" s="3">
        <f t="shared" si="490"/>
        <v>0</v>
      </c>
      <c r="AC103" s="3">
        <f t="shared" si="490"/>
        <v>0</v>
      </c>
      <c r="AD103" s="3">
        <f t="shared" si="490"/>
        <v>0</v>
      </c>
      <c r="AE103" s="3">
        <f t="shared" si="490"/>
        <v>0</v>
      </c>
      <c r="AF103" s="3">
        <f t="shared" si="490"/>
        <v>0</v>
      </c>
      <c r="AH103" s="3">
        <f t="shared" ref="AH103:AS103" si="491">IF(AND(AH$5&gt;=$C103,AH$5&lt;=$D103),$E103,0)</f>
        <v>0</v>
      </c>
      <c r="AI103" s="3">
        <f t="shared" si="491"/>
        <v>0</v>
      </c>
      <c r="AJ103" s="3">
        <f t="shared" si="491"/>
        <v>0</v>
      </c>
      <c r="AK103" s="3">
        <f t="shared" si="491"/>
        <v>0</v>
      </c>
      <c r="AL103" s="3">
        <f t="shared" si="491"/>
        <v>0</v>
      </c>
      <c r="AM103" s="3">
        <f t="shared" si="491"/>
        <v>0</v>
      </c>
      <c r="AN103" s="3">
        <f t="shared" si="491"/>
        <v>0</v>
      </c>
      <c r="AO103" s="3">
        <f t="shared" si="491"/>
        <v>0</v>
      </c>
      <c r="AP103" s="3">
        <f t="shared" si="491"/>
        <v>0</v>
      </c>
      <c r="AQ103" s="3">
        <f t="shared" si="491"/>
        <v>0</v>
      </c>
      <c r="AR103" s="3">
        <f t="shared" si="491"/>
        <v>0</v>
      </c>
      <c r="AS103" s="3">
        <f t="shared" si="491"/>
        <v>0</v>
      </c>
      <c r="AU103" s="3">
        <f t="shared" ref="AU103:BF103" si="492">IF(AND(AU$5&gt;=$C103,AU$5&lt;=$D103),$E103,0)</f>
        <v>0</v>
      </c>
      <c r="AV103" s="3">
        <f t="shared" si="492"/>
        <v>0</v>
      </c>
      <c r="AW103" s="3">
        <f t="shared" si="492"/>
        <v>0</v>
      </c>
      <c r="AX103" s="3">
        <f t="shared" si="492"/>
        <v>0</v>
      </c>
      <c r="AY103" s="3">
        <f t="shared" si="492"/>
        <v>0</v>
      </c>
      <c r="AZ103" s="3">
        <f t="shared" si="492"/>
        <v>0</v>
      </c>
      <c r="BA103" s="3">
        <f t="shared" si="492"/>
        <v>0</v>
      </c>
      <c r="BB103" s="3">
        <f t="shared" si="492"/>
        <v>0</v>
      </c>
      <c r="BC103" s="3">
        <f t="shared" si="492"/>
        <v>0</v>
      </c>
      <c r="BD103" s="3">
        <f t="shared" si="492"/>
        <v>0</v>
      </c>
      <c r="BE103" s="3">
        <f t="shared" si="492"/>
        <v>0</v>
      </c>
      <c r="BF103" s="3">
        <f t="shared" si="492"/>
        <v>0</v>
      </c>
      <c r="BG103" s="2"/>
      <c r="BH103" s="3">
        <f t="shared" ref="BH103:BS103" si="493">IF(AND(BH$5&gt;=$C103,BH$5&lt;=$D103),$E103,0)</f>
        <v>0</v>
      </c>
      <c r="BI103" s="3">
        <f t="shared" si="493"/>
        <v>0</v>
      </c>
      <c r="BJ103" s="3">
        <f t="shared" si="493"/>
        <v>0</v>
      </c>
      <c r="BK103" s="3">
        <f t="shared" si="493"/>
        <v>0</v>
      </c>
      <c r="BL103" s="3">
        <f t="shared" si="493"/>
        <v>0</v>
      </c>
      <c r="BM103" s="3">
        <f t="shared" si="493"/>
        <v>0</v>
      </c>
      <c r="BN103" s="3">
        <f t="shared" si="493"/>
        <v>0</v>
      </c>
      <c r="BO103" s="3">
        <f t="shared" si="493"/>
        <v>0</v>
      </c>
      <c r="BP103" s="3">
        <f t="shared" si="493"/>
        <v>0</v>
      </c>
      <c r="BQ103" s="3">
        <f t="shared" si="493"/>
        <v>0</v>
      </c>
      <c r="BR103" s="3">
        <f t="shared" si="493"/>
        <v>0</v>
      </c>
      <c r="BS103" s="3">
        <f t="shared" si="493"/>
        <v>0</v>
      </c>
      <c r="BT103" s="2"/>
    </row>
    <row r="104" spans="1:73" ht="15.75" customHeight="1">
      <c r="A104" s="31" t="str">
        <f>IF('Capital purchases'!C109="","",'Capital purchases'!C109)</f>
        <v/>
      </c>
      <c r="B104" s="32"/>
      <c r="C104" s="32" t="str">
        <f>IF($A104="","",'Capital purchases'!B109)</f>
        <v/>
      </c>
      <c r="D104" s="32" t="str">
        <f>IF($A104="","",'Capital purchases'!J109)</f>
        <v/>
      </c>
      <c r="E104" s="163" t="str">
        <f>IF($A104="","",'Capital purchases'!I109)</f>
        <v/>
      </c>
      <c r="F104" s="2"/>
      <c r="H104" s="3">
        <f t="shared" ref="H104:S104" si="494">IF(AND(H$5&gt;=$C104,H$5&lt;=$D104),$E104,0)</f>
        <v>0</v>
      </c>
      <c r="I104" s="3">
        <f t="shared" si="494"/>
        <v>0</v>
      </c>
      <c r="J104" s="3">
        <f t="shared" si="494"/>
        <v>0</v>
      </c>
      <c r="K104" s="3">
        <f t="shared" si="494"/>
        <v>0</v>
      </c>
      <c r="L104" s="3">
        <f t="shared" si="494"/>
        <v>0</v>
      </c>
      <c r="M104" s="3">
        <f t="shared" si="494"/>
        <v>0</v>
      </c>
      <c r="N104" s="3">
        <f t="shared" si="494"/>
        <v>0</v>
      </c>
      <c r="O104" s="3">
        <f t="shared" si="494"/>
        <v>0</v>
      </c>
      <c r="P104" s="3">
        <f t="shared" si="494"/>
        <v>0</v>
      </c>
      <c r="Q104" s="3">
        <f t="shared" si="494"/>
        <v>0</v>
      </c>
      <c r="R104" s="3">
        <f t="shared" si="494"/>
        <v>0</v>
      </c>
      <c r="S104" s="3">
        <f t="shared" si="494"/>
        <v>0</v>
      </c>
      <c r="U104" s="3">
        <f t="shared" ref="U104:AF104" si="495">IF(AND(U$5&gt;=$C104,U$5&lt;=$D104),$E104,0)</f>
        <v>0</v>
      </c>
      <c r="V104" s="3">
        <f t="shared" si="495"/>
        <v>0</v>
      </c>
      <c r="W104" s="3">
        <f t="shared" si="495"/>
        <v>0</v>
      </c>
      <c r="X104" s="3">
        <f t="shared" si="495"/>
        <v>0</v>
      </c>
      <c r="Y104" s="3">
        <f t="shared" si="495"/>
        <v>0</v>
      </c>
      <c r="Z104" s="3">
        <f t="shared" si="495"/>
        <v>0</v>
      </c>
      <c r="AA104" s="3">
        <f t="shared" si="495"/>
        <v>0</v>
      </c>
      <c r="AB104" s="3">
        <f t="shared" si="495"/>
        <v>0</v>
      </c>
      <c r="AC104" s="3">
        <f t="shared" si="495"/>
        <v>0</v>
      </c>
      <c r="AD104" s="3">
        <f t="shared" si="495"/>
        <v>0</v>
      </c>
      <c r="AE104" s="3">
        <f t="shared" si="495"/>
        <v>0</v>
      </c>
      <c r="AF104" s="3">
        <f t="shared" si="495"/>
        <v>0</v>
      </c>
      <c r="AH104" s="3">
        <f t="shared" ref="AH104:AS104" si="496">IF(AND(AH$5&gt;=$C104,AH$5&lt;=$D104),$E104,0)</f>
        <v>0</v>
      </c>
      <c r="AI104" s="3">
        <f t="shared" si="496"/>
        <v>0</v>
      </c>
      <c r="AJ104" s="3">
        <f t="shared" si="496"/>
        <v>0</v>
      </c>
      <c r="AK104" s="3">
        <f t="shared" si="496"/>
        <v>0</v>
      </c>
      <c r="AL104" s="3">
        <f t="shared" si="496"/>
        <v>0</v>
      </c>
      <c r="AM104" s="3">
        <f t="shared" si="496"/>
        <v>0</v>
      </c>
      <c r="AN104" s="3">
        <f t="shared" si="496"/>
        <v>0</v>
      </c>
      <c r="AO104" s="3">
        <f t="shared" si="496"/>
        <v>0</v>
      </c>
      <c r="AP104" s="3">
        <f t="shared" si="496"/>
        <v>0</v>
      </c>
      <c r="AQ104" s="3">
        <f t="shared" si="496"/>
        <v>0</v>
      </c>
      <c r="AR104" s="3">
        <f t="shared" si="496"/>
        <v>0</v>
      </c>
      <c r="AS104" s="3">
        <f t="shared" si="496"/>
        <v>0</v>
      </c>
      <c r="AU104" s="3">
        <f t="shared" ref="AU104:BF104" si="497">IF(AND(AU$5&gt;=$C104,AU$5&lt;=$D104),$E104,0)</f>
        <v>0</v>
      </c>
      <c r="AV104" s="3">
        <f t="shared" si="497"/>
        <v>0</v>
      </c>
      <c r="AW104" s="3">
        <f t="shared" si="497"/>
        <v>0</v>
      </c>
      <c r="AX104" s="3">
        <f t="shared" si="497"/>
        <v>0</v>
      </c>
      <c r="AY104" s="3">
        <f t="shared" si="497"/>
        <v>0</v>
      </c>
      <c r="AZ104" s="3">
        <f t="shared" si="497"/>
        <v>0</v>
      </c>
      <c r="BA104" s="3">
        <f t="shared" si="497"/>
        <v>0</v>
      </c>
      <c r="BB104" s="3">
        <f t="shared" si="497"/>
        <v>0</v>
      </c>
      <c r="BC104" s="3">
        <f t="shared" si="497"/>
        <v>0</v>
      </c>
      <c r="BD104" s="3">
        <f t="shared" si="497"/>
        <v>0</v>
      </c>
      <c r="BE104" s="3">
        <f t="shared" si="497"/>
        <v>0</v>
      </c>
      <c r="BF104" s="3">
        <f t="shared" si="497"/>
        <v>0</v>
      </c>
      <c r="BG104" s="2"/>
      <c r="BH104" s="3">
        <f t="shared" ref="BH104:BS104" si="498">IF(AND(BH$5&gt;=$C104,BH$5&lt;=$D104),$E104,0)</f>
        <v>0</v>
      </c>
      <c r="BI104" s="3">
        <f t="shared" si="498"/>
        <v>0</v>
      </c>
      <c r="BJ104" s="3">
        <f t="shared" si="498"/>
        <v>0</v>
      </c>
      <c r="BK104" s="3">
        <f t="shared" si="498"/>
        <v>0</v>
      </c>
      <c r="BL104" s="3">
        <f t="shared" si="498"/>
        <v>0</v>
      </c>
      <c r="BM104" s="3">
        <f t="shared" si="498"/>
        <v>0</v>
      </c>
      <c r="BN104" s="3">
        <f t="shared" si="498"/>
        <v>0</v>
      </c>
      <c r="BO104" s="3">
        <f t="shared" si="498"/>
        <v>0</v>
      </c>
      <c r="BP104" s="3">
        <f t="shared" si="498"/>
        <v>0</v>
      </c>
      <c r="BQ104" s="3">
        <f t="shared" si="498"/>
        <v>0</v>
      </c>
      <c r="BR104" s="3">
        <f t="shared" si="498"/>
        <v>0</v>
      </c>
      <c r="BS104" s="3">
        <f t="shared" si="498"/>
        <v>0</v>
      </c>
      <c r="BT104" s="2"/>
    </row>
    <row r="105" spans="1:73" ht="15.75" customHeight="1">
      <c r="A105" s="37" t="s">
        <v>298</v>
      </c>
      <c r="B105" s="37"/>
      <c r="C105" s="37"/>
      <c r="D105" s="37"/>
      <c r="E105" s="37"/>
      <c r="F105" s="37"/>
      <c r="G105" s="37"/>
      <c r="H105" s="41">
        <f t="shared" ref="H105:S105" si="499">SUM(H6:H104)</f>
        <v>2819</v>
      </c>
      <c r="I105" s="41">
        <f t="shared" si="499"/>
        <v>2819</v>
      </c>
      <c r="J105" s="41">
        <f t="shared" si="499"/>
        <v>2819</v>
      </c>
      <c r="K105" s="41">
        <f t="shared" si="499"/>
        <v>2819</v>
      </c>
      <c r="L105" s="41">
        <f t="shared" si="499"/>
        <v>2819</v>
      </c>
      <c r="M105" s="41">
        <f t="shared" si="499"/>
        <v>2819</v>
      </c>
      <c r="N105" s="41">
        <f t="shared" si="499"/>
        <v>2819</v>
      </c>
      <c r="O105" s="41">
        <f t="shared" si="499"/>
        <v>2819</v>
      </c>
      <c r="P105" s="41">
        <f t="shared" si="499"/>
        <v>2819</v>
      </c>
      <c r="Q105" s="41">
        <f t="shared" si="499"/>
        <v>2819</v>
      </c>
      <c r="R105" s="41">
        <f t="shared" si="499"/>
        <v>2819</v>
      </c>
      <c r="S105" s="41">
        <f t="shared" si="499"/>
        <v>2819</v>
      </c>
      <c r="T105" s="37"/>
      <c r="U105" s="41">
        <f t="shared" ref="U105:AF105" si="500">SUM(U6:U104)</f>
        <v>2819</v>
      </c>
      <c r="V105" s="41">
        <f t="shared" si="500"/>
        <v>2819</v>
      </c>
      <c r="W105" s="41">
        <f t="shared" si="500"/>
        <v>2819</v>
      </c>
      <c r="X105" s="41">
        <f t="shared" si="500"/>
        <v>2819</v>
      </c>
      <c r="Y105" s="41">
        <f t="shared" si="500"/>
        <v>2819</v>
      </c>
      <c r="Z105" s="41">
        <f t="shared" si="500"/>
        <v>2819</v>
      </c>
      <c r="AA105" s="41">
        <f t="shared" si="500"/>
        <v>2819</v>
      </c>
      <c r="AB105" s="41">
        <f t="shared" si="500"/>
        <v>2819</v>
      </c>
      <c r="AC105" s="41">
        <f t="shared" si="500"/>
        <v>2819</v>
      </c>
      <c r="AD105" s="41">
        <f t="shared" si="500"/>
        <v>2819</v>
      </c>
      <c r="AE105" s="41">
        <f t="shared" si="500"/>
        <v>2819</v>
      </c>
      <c r="AF105" s="41">
        <f t="shared" si="500"/>
        <v>2819</v>
      </c>
      <c r="AG105" s="37"/>
      <c r="AH105" s="41">
        <f t="shared" ref="AH105:AS105" si="501">SUM(AH6:AH104)</f>
        <v>2819</v>
      </c>
      <c r="AI105" s="41">
        <f t="shared" si="501"/>
        <v>2819</v>
      </c>
      <c r="AJ105" s="41">
        <f t="shared" si="501"/>
        <v>2819</v>
      </c>
      <c r="AK105" s="41">
        <f t="shared" si="501"/>
        <v>2819</v>
      </c>
      <c r="AL105" s="41">
        <f t="shared" si="501"/>
        <v>2819</v>
      </c>
      <c r="AM105" s="41">
        <f t="shared" si="501"/>
        <v>2819</v>
      </c>
      <c r="AN105" s="41">
        <f t="shared" si="501"/>
        <v>2819</v>
      </c>
      <c r="AO105" s="41">
        <f t="shared" si="501"/>
        <v>2819</v>
      </c>
      <c r="AP105" s="41">
        <f t="shared" si="501"/>
        <v>2819</v>
      </c>
      <c r="AQ105" s="41">
        <f t="shared" si="501"/>
        <v>2819</v>
      </c>
      <c r="AR105" s="41">
        <f t="shared" si="501"/>
        <v>2819</v>
      </c>
      <c r="AS105" s="41">
        <f t="shared" si="501"/>
        <v>2819</v>
      </c>
      <c r="AT105" s="37"/>
      <c r="AU105" s="41">
        <f t="shared" ref="AU105:BF105" si="502">SUM(AU6:AU104)</f>
        <v>2819</v>
      </c>
      <c r="AV105" s="41">
        <f t="shared" si="502"/>
        <v>2819</v>
      </c>
      <c r="AW105" s="41">
        <f t="shared" si="502"/>
        <v>2819</v>
      </c>
      <c r="AX105" s="41">
        <f t="shared" si="502"/>
        <v>2819</v>
      </c>
      <c r="AY105" s="41">
        <f t="shared" si="502"/>
        <v>2819</v>
      </c>
      <c r="AZ105" s="41">
        <f t="shared" si="502"/>
        <v>2819</v>
      </c>
      <c r="BA105" s="41">
        <f t="shared" si="502"/>
        <v>2819</v>
      </c>
      <c r="BB105" s="41">
        <f t="shared" si="502"/>
        <v>2819</v>
      </c>
      <c r="BC105" s="41">
        <f t="shared" si="502"/>
        <v>2819</v>
      </c>
      <c r="BD105" s="41">
        <f t="shared" si="502"/>
        <v>2819</v>
      </c>
      <c r="BE105" s="41">
        <f t="shared" si="502"/>
        <v>2819</v>
      </c>
      <c r="BF105" s="41">
        <f t="shared" si="502"/>
        <v>2819</v>
      </c>
      <c r="BG105" s="37"/>
      <c r="BH105" s="41">
        <f t="shared" ref="BH105:BS105" si="503">SUM(BH6:BH104)</f>
        <v>2819</v>
      </c>
      <c r="BI105" s="41">
        <f t="shared" si="503"/>
        <v>2819</v>
      </c>
      <c r="BJ105" s="41">
        <f t="shared" si="503"/>
        <v>2819</v>
      </c>
      <c r="BK105" s="41">
        <f t="shared" si="503"/>
        <v>2819</v>
      </c>
      <c r="BL105" s="41">
        <f t="shared" si="503"/>
        <v>2819</v>
      </c>
      <c r="BM105" s="41">
        <f t="shared" si="503"/>
        <v>2819</v>
      </c>
      <c r="BN105" s="41">
        <f t="shared" si="503"/>
        <v>2819</v>
      </c>
      <c r="BO105" s="41">
        <f t="shared" si="503"/>
        <v>2819</v>
      </c>
      <c r="BP105" s="41">
        <f t="shared" si="503"/>
        <v>2819</v>
      </c>
      <c r="BQ105" s="41">
        <f t="shared" si="503"/>
        <v>2819</v>
      </c>
      <c r="BR105" s="41">
        <f t="shared" si="503"/>
        <v>2819</v>
      </c>
      <c r="BS105" s="41">
        <f t="shared" si="503"/>
        <v>2819</v>
      </c>
      <c r="BT105" s="37"/>
      <c r="BU105" s="37"/>
    </row>
    <row r="106" spans="1:73" ht="15.75" customHeight="1">
      <c r="B106" s="2"/>
      <c r="C106" s="2"/>
      <c r="D106" s="2"/>
      <c r="E106" s="145"/>
      <c r="H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</row>
    <row r="107" spans="1:73" ht="15.75" customHeight="1"/>
    <row r="108" spans="1:73" ht="15.75" customHeight="1"/>
    <row r="109" spans="1:73" ht="15.75" customHeight="1"/>
    <row r="110" spans="1:73" ht="15.75" customHeight="1"/>
    <row r="111" spans="1:73" ht="15.75" customHeight="1"/>
    <row r="112" spans="1:73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U1000"/>
  <sheetViews>
    <sheetView workbookViewId="0">
      <selection activeCell="B12" sqref="B12"/>
    </sheetView>
  </sheetViews>
  <sheetFormatPr defaultColWidth="14.42578125" defaultRowHeight="15" customHeight="1"/>
  <cols>
    <col min="1" max="1" width="11.85546875" customWidth="1"/>
    <col min="2" max="2" width="12.140625" customWidth="1"/>
    <col min="3" max="3" width="15.5703125" customWidth="1"/>
    <col min="4" max="4" width="15.28515625" customWidth="1"/>
    <col min="5" max="5" width="13.85546875" customWidth="1"/>
    <col min="7" max="7" width="4.140625" customWidth="1"/>
    <col min="8" max="8" width="8.140625" customWidth="1"/>
    <col min="9" max="9" width="10" customWidth="1"/>
    <col min="10" max="44" width="9" customWidth="1"/>
    <col min="45" max="71" width="8.140625" customWidth="1"/>
    <col min="72" max="72" width="12.7109375" customWidth="1"/>
    <col min="73" max="73" width="11.85546875" customWidth="1"/>
    <col min="74" max="74" width="12.28515625" customWidth="1"/>
    <col min="75" max="75" width="15.5703125" customWidth="1"/>
    <col min="76" max="76" width="15.28515625" customWidth="1"/>
    <col min="77" max="77" width="13.85546875" customWidth="1"/>
    <col min="79" max="79" width="4.140625" customWidth="1"/>
    <col min="80" max="80" width="8.140625" customWidth="1"/>
    <col min="81" max="81" width="10" customWidth="1"/>
    <col min="82" max="116" width="9" customWidth="1"/>
    <col min="117" max="151" width="8.140625" customWidth="1"/>
  </cols>
  <sheetData>
    <row r="1" spans="1:151">
      <c r="A1" s="17" t="str">
        <f>Assumptions!A1</f>
        <v>Central Brewing Company</v>
      </c>
      <c r="B1" s="2"/>
      <c r="C1" s="2"/>
      <c r="D1" s="2"/>
      <c r="E1" s="2"/>
      <c r="F1" s="2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>
        <f>Assumptions!BA1</f>
        <v>0</v>
      </c>
      <c r="BU1" s="2"/>
      <c r="BV1" s="2"/>
      <c r="BW1" s="2"/>
      <c r="BX1" s="2"/>
      <c r="BY1" s="2"/>
      <c r="BZ1" s="2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</row>
    <row r="2" spans="1:151">
      <c r="A2" s="17" t="s">
        <v>299</v>
      </c>
      <c r="B2" s="2"/>
      <c r="C2" s="2"/>
      <c r="D2" s="2"/>
      <c r="E2" s="2"/>
      <c r="F2" s="2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 t="s">
        <v>299</v>
      </c>
      <c r="BU2" s="2"/>
      <c r="BV2" s="2"/>
      <c r="BW2" s="2"/>
      <c r="BX2" s="2"/>
      <c r="BY2" s="2"/>
      <c r="BZ2" s="2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</row>
    <row r="3" spans="1:151">
      <c r="A3" s="17"/>
      <c r="B3" s="2"/>
      <c r="C3" s="2"/>
      <c r="D3" s="2"/>
      <c r="E3" s="2"/>
      <c r="F3" s="2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2"/>
      <c r="BV3" s="2"/>
      <c r="BW3" s="2"/>
      <c r="BX3" s="2"/>
      <c r="BY3" s="2"/>
      <c r="BZ3" s="2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</row>
    <row r="4" spans="1:151">
      <c r="A4" s="17" t="s">
        <v>300</v>
      </c>
      <c r="B4" s="2"/>
      <c r="C4" s="2"/>
      <c r="D4" s="2"/>
      <c r="E4" s="2"/>
      <c r="F4" s="2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 t="s">
        <v>301</v>
      </c>
      <c r="BU4" s="2"/>
      <c r="BV4" s="2"/>
      <c r="BW4" s="2"/>
      <c r="BX4" s="2"/>
      <c r="BY4" s="2"/>
      <c r="BZ4" s="2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</row>
    <row r="5" spans="1:151">
      <c r="A5" s="164"/>
      <c r="B5" s="165"/>
      <c r="C5" s="164"/>
      <c r="D5" s="166"/>
      <c r="E5" s="167"/>
      <c r="F5" s="164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64"/>
      <c r="BU5" s="165"/>
      <c r="BV5" s="164"/>
      <c r="BW5" s="164"/>
      <c r="BX5" s="166"/>
      <c r="BY5" s="167"/>
      <c r="BZ5" s="164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</row>
    <row r="6" spans="1:151">
      <c r="A6" s="164" t="s">
        <v>302</v>
      </c>
      <c r="B6" s="165">
        <f>Assumptions!B34</f>
        <v>800000</v>
      </c>
      <c r="C6" s="164"/>
      <c r="D6" s="167"/>
      <c r="E6" s="164"/>
      <c r="F6" s="164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64" t="s">
        <v>302</v>
      </c>
      <c r="BU6" s="165">
        <f>Assumptions!$B$38</f>
        <v>0</v>
      </c>
      <c r="BV6" s="164"/>
      <c r="BW6" s="164"/>
      <c r="BX6" s="167"/>
      <c r="BY6" s="164"/>
      <c r="BZ6" s="164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</row>
    <row r="7" spans="1:151">
      <c r="A7" s="164" t="s">
        <v>303</v>
      </c>
      <c r="B7" s="168">
        <f>Assumptions!B37</f>
        <v>0.1</v>
      </c>
      <c r="C7" s="168">
        <f>B7/12</f>
        <v>8.3333333333333332E-3</v>
      </c>
      <c r="D7" s="166"/>
      <c r="E7" s="164"/>
      <c r="F7" s="164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64" t="s">
        <v>303</v>
      </c>
      <c r="BU7" s="168">
        <f>Assumptions!$B$41</f>
        <v>0</v>
      </c>
      <c r="BV7" s="168">
        <f>BU7/12</f>
        <v>0</v>
      </c>
      <c r="BW7" s="164"/>
      <c r="BX7" s="166"/>
      <c r="BY7" s="164"/>
      <c r="BZ7" s="164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</row>
    <row r="8" spans="1:151">
      <c r="A8" s="164" t="s">
        <v>304</v>
      </c>
      <c r="B8" s="165">
        <f>Assumptions!B35</f>
        <v>120</v>
      </c>
      <c r="C8" s="164"/>
      <c r="D8" s="164"/>
      <c r="E8" s="164"/>
      <c r="F8" s="164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64" t="s">
        <v>304</v>
      </c>
      <c r="BU8" s="165">
        <f>Assumptions!$B$39</f>
        <v>0</v>
      </c>
      <c r="BV8" s="164"/>
      <c r="BW8" s="164"/>
      <c r="BX8" s="164"/>
      <c r="BY8" s="164"/>
      <c r="BZ8" s="164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</row>
    <row r="9" spans="1:151">
      <c r="A9" s="164"/>
      <c r="B9" s="164"/>
      <c r="C9" s="166"/>
      <c r="D9" s="164"/>
      <c r="E9" s="164"/>
      <c r="F9" s="164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64"/>
      <c r="BU9" s="164"/>
      <c r="BV9" s="164"/>
      <c r="BW9" s="166"/>
      <c r="BX9" s="164"/>
      <c r="BY9" s="164"/>
      <c r="BZ9" s="164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</row>
    <row r="10" spans="1:151">
      <c r="A10" s="164"/>
      <c r="B10" s="164"/>
      <c r="C10" s="164"/>
      <c r="D10" s="164"/>
      <c r="E10" s="369" t="s">
        <v>305</v>
      </c>
      <c r="F10" s="370"/>
      <c r="G10" s="17"/>
      <c r="H10" s="17" t="s">
        <v>306</v>
      </c>
      <c r="I10" s="39">
        <f>I11+Assumptions!$B$36-1</f>
        <v>1</v>
      </c>
      <c r="J10" s="39">
        <f>J11+Assumptions!$B$36-1</f>
        <v>2</v>
      </c>
      <c r="K10" s="39">
        <f>K11+Assumptions!$B$36-1</f>
        <v>3</v>
      </c>
      <c r="L10" s="39">
        <f>L11+Assumptions!$B$36-1</f>
        <v>4</v>
      </c>
      <c r="M10" s="39">
        <f>M11+Assumptions!$B$36-1</f>
        <v>5</v>
      </c>
      <c r="N10" s="39">
        <f>N11+Assumptions!$B$36-1</f>
        <v>6</v>
      </c>
      <c r="O10" s="39">
        <f>O11+Assumptions!$B$36-1</f>
        <v>7</v>
      </c>
      <c r="P10" s="39">
        <f>P11+Assumptions!$B$36-1</f>
        <v>8</v>
      </c>
      <c r="Q10" s="39">
        <f>Q11+Assumptions!$B$36-1</f>
        <v>9</v>
      </c>
      <c r="R10" s="39">
        <f>R11+Assumptions!$B$36-1</f>
        <v>10</v>
      </c>
      <c r="S10" s="39">
        <f>S11+Assumptions!$B$36-1</f>
        <v>11</v>
      </c>
      <c r="T10" s="39">
        <f>T11+Assumptions!$B$36-1</f>
        <v>12</v>
      </c>
      <c r="U10" s="39">
        <f>U11+Assumptions!$B$36-1</f>
        <v>13</v>
      </c>
      <c r="V10" s="39">
        <f>V11+Assumptions!$B$36-1</f>
        <v>14</v>
      </c>
      <c r="W10" s="39">
        <f>W11+Assumptions!$B$36-1</f>
        <v>15</v>
      </c>
      <c r="X10" s="39">
        <f>X11+Assumptions!$B$36-1</f>
        <v>16</v>
      </c>
      <c r="Y10" s="39">
        <f>Y11+Assumptions!$B$36-1</f>
        <v>17</v>
      </c>
      <c r="Z10" s="39">
        <f>Z11+Assumptions!$B$36-1</f>
        <v>18</v>
      </c>
      <c r="AA10" s="39">
        <f>AA11+Assumptions!$B$36-1</f>
        <v>19</v>
      </c>
      <c r="AB10" s="39">
        <f>AB11+Assumptions!$B$36-1</f>
        <v>20</v>
      </c>
      <c r="AC10" s="39">
        <f>AC11+Assumptions!$B$36-1</f>
        <v>21</v>
      </c>
      <c r="AD10" s="39">
        <f>AD11+Assumptions!$B$36-1</f>
        <v>22</v>
      </c>
      <c r="AE10" s="39">
        <f>AE11+Assumptions!$B$36-1</f>
        <v>23</v>
      </c>
      <c r="AF10" s="39">
        <f>AF11+Assumptions!$B$36-1</f>
        <v>24</v>
      </c>
      <c r="AG10" s="39">
        <f>AG11+Assumptions!$B$36-1</f>
        <v>25</v>
      </c>
      <c r="AH10" s="39">
        <f>AH11+Assumptions!$B$36-1</f>
        <v>26</v>
      </c>
      <c r="AI10" s="39">
        <f>AI11+Assumptions!$B$36-1</f>
        <v>27</v>
      </c>
      <c r="AJ10" s="39">
        <f>AJ11+Assumptions!$B$36-1</f>
        <v>28</v>
      </c>
      <c r="AK10" s="39">
        <f>AK11+Assumptions!$B$36-1</f>
        <v>29</v>
      </c>
      <c r="AL10" s="39">
        <f>AL11+Assumptions!$B$36-1</f>
        <v>30</v>
      </c>
      <c r="AM10" s="39">
        <f>AM11+Assumptions!$B$36-1</f>
        <v>31</v>
      </c>
      <c r="AN10" s="39">
        <f>AN11+Assumptions!$B$36-1</f>
        <v>32</v>
      </c>
      <c r="AO10" s="39">
        <f>AO11+Assumptions!$B$36-1</f>
        <v>33</v>
      </c>
      <c r="AP10" s="39">
        <f>AP11+Assumptions!$B$36-1</f>
        <v>34</v>
      </c>
      <c r="AQ10" s="39">
        <f>AQ11+Assumptions!$B$36-1</f>
        <v>35</v>
      </c>
      <c r="AR10" s="39">
        <f>AR11+Assumptions!$B$36-1</f>
        <v>36</v>
      </c>
      <c r="AS10" s="39">
        <f>AS11+Assumptions!$B$36-1</f>
        <v>37</v>
      </c>
      <c r="AT10" s="39">
        <f>AT11+Assumptions!$B$36-1</f>
        <v>38</v>
      </c>
      <c r="AU10" s="39">
        <f>AU11+Assumptions!$B$36-1</f>
        <v>39</v>
      </c>
      <c r="AV10" s="39">
        <f>AV11+Assumptions!$B$36-1</f>
        <v>40</v>
      </c>
      <c r="AW10" s="39">
        <f>AW11+Assumptions!$B$36-1</f>
        <v>41</v>
      </c>
      <c r="AX10" s="39">
        <f>AX11+Assumptions!$B$36-1</f>
        <v>42</v>
      </c>
      <c r="AY10" s="39">
        <f>AY11+Assumptions!$B$36-1</f>
        <v>43</v>
      </c>
      <c r="AZ10" s="39">
        <f>AZ11+Assumptions!$B$36-1</f>
        <v>44</v>
      </c>
      <c r="BA10" s="39">
        <f>BA11+Assumptions!$B$36-1</f>
        <v>45</v>
      </c>
      <c r="BB10" s="39">
        <f>BB11+Assumptions!$B$36-1</f>
        <v>46</v>
      </c>
      <c r="BC10" s="39">
        <f>BC11+Assumptions!$B$36-1</f>
        <v>47</v>
      </c>
      <c r="BD10" s="39">
        <f>BD11+Assumptions!$B$36-1</f>
        <v>48</v>
      </c>
      <c r="BE10" s="39">
        <f>BE11+Assumptions!$B$36-1</f>
        <v>49</v>
      </c>
      <c r="BF10" s="39">
        <f>BF11+Assumptions!$B$36-1</f>
        <v>50</v>
      </c>
      <c r="BG10" s="39">
        <f>BG11+Assumptions!$B$36-1</f>
        <v>51</v>
      </c>
      <c r="BH10" s="39">
        <f>BH11+Assumptions!$B$36-1</f>
        <v>52</v>
      </c>
      <c r="BI10" s="39">
        <f>BI11+Assumptions!$B$36-1</f>
        <v>53</v>
      </c>
      <c r="BJ10" s="39">
        <f>BJ11+Assumptions!$B$36-1</f>
        <v>54</v>
      </c>
      <c r="BK10" s="39">
        <f>BK11+Assumptions!$B$36-1</f>
        <v>55</v>
      </c>
      <c r="BL10" s="39">
        <f>BL11+Assumptions!$B$36-1</f>
        <v>56</v>
      </c>
      <c r="BM10" s="39">
        <f>BM11+Assumptions!$B$36-1</f>
        <v>57</v>
      </c>
      <c r="BN10" s="39">
        <f>BN11+Assumptions!$B$36-1</f>
        <v>58</v>
      </c>
      <c r="BO10" s="39">
        <f>BO11+Assumptions!$B$36-1</f>
        <v>59</v>
      </c>
      <c r="BP10" s="39">
        <f>BP11+Assumptions!$B$36-1</f>
        <v>60</v>
      </c>
      <c r="BQ10" s="39">
        <f>BQ11+Assumptions!$B$36-1</f>
        <v>61</v>
      </c>
      <c r="BR10" s="17"/>
      <c r="BS10" s="17"/>
      <c r="BT10" s="164"/>
      <c r="BU10" s="164"/>
      <c r="BV10" s="164"/>
      <c r="BW10" s="164"/>
      <c r="BX10" s="164"/>
      <c r="BY10" s="369" t="s">
        <v>305</v>
      </c>
      <c r="BZ10" s="370"/>
      <c r="CA10" s="17"/>
      <c r="CB10" s="17" t="s">
        <v>306</v>
      </c>
      <c r="CC10" s="39">
        <f>CC11+Assumptions!$B$40-1</f>
        <v>1</v>
      </c>
      <c r="CD10" s="39">
        <f>CD11+Assumptions!$B$40-1</f>
        <v>2</v>
      </c>
      <c r="CE10" s="39">
        <f>CE11+Assumptions!$B$40-1</f>
        <v>3</v>
      </c>
      <c r="CF10" s="39">
        <f>CF11+Assumptions!$B$40-1</f>
        <v>4</v>
      </c>
      <c r="CG10" s="39">
        <f>CG11+Assumptions!$B$40-1</f>
        <v>5</v>
      </c>
      <c r="CH10" s="39">
        <f>CH11+Assumptions!$B$40-1</f>
        <v>6</v>
      </c>
      <c r="CI10" s="39">
        <f>CI11+Assumptions!$B$40-1</f>
        <v>7</v>
      </c>
      <c r="CJ10" s="39">
        <f>CJ11+Assumptions!$B$40-1</f>
        <v>8</v>
      </c>
      <c r="CK10" s="39">
        <f>CK11+Assumptions!$B$40-1</f>
        <v>9</v>
      </c>
      <c r="CL10" s="39">
        <f>CL11+Assumptions!$B$40-1</f>
        <v>10</v>
      </c>
      <c r="CM10" s="39">
        <f>CM11+Assumptions!$B$40-1</f>
        <v>11</v>
      </c>
      <c r="CN10" s="39">
        <f>CN11+Assumptions!$B$40-1</f>
        <v>12</v>
      </c>
      <c r="CO10" s="39">
        <f>CO11+Assumptions!$B$40-1</f>
        <v>13</v>
      </c>
      <c r="CP10" s="39">
        <f>CP11+Assumptions!$B$40-1</f>
        <v>14</v>
      </c>
      <c r="CQ10" s="39">
        <f>CQ11+Assumptions!$B$40-1</f>
        <v>15</v>
      </c>
      <c r="CR10" s="39">
        <f>CR11+Assumptions!$B$40-1</f>
        <v>16</v>
      </c>
      <c r="CS10" s="39">
        <f>CS11+Assumptions!$B$40-1</f>
        <v>17</v>
      </c>
      <c r="CT10" s="39">
        <f>CT11+Assumptions!$B$40-1</f>
        <v>18</v>
      </c>
      <c r="CU10" s="39">
        <f>CU11+Assumptions!$B$40-1</f>
        <v>19</v>
      </c>
      <c r="CV10" s="39">
        <f>CV11+Assumptions!$B$40-1</f>
        <v>20</v>
      </c>
      <c r="CW10" s="39">
        <f>CW11+Assumptions!$B$40-1</f>
        <v>21</v>
      </c>
      <c r="CX10" s="39">
        <f>CX11+Assumptions!$B$40-1</f>
        <v>22</v>
      </c>
      <c r="CY10" s="39">
        <f>CY11+Assumptions!$B$40-1</f>
        <v>23</v>
      </c>
      <c r="CZ10" s="39">
        <f>CZ11+Assumptions!$B$40-1</f>
        <v>24</v>
      </c>
      <c r="DA10" s="39">
        <f>DA11+Assumptions!$B$40-1</f>
        <v>25</v>
      </c>
      <c r="DB10" s="39">
        <f>DB11+Assumptions!$B$40-1</f>
        <v>26</v>
      </c>
      <c r="DC10" s="39">
        <f>DC11+Assumptions!$B$40-1</f>
        <v>27</v>
      </c>
      <c r="DD10" s="39">
        <f>DD11+Assumptions!$B$40-1</f>
        <v>28</v>
      </c>
      <c r="DE10" s="39">
        <f>DE11+Assumptions!$B$40-1</f>
        <v>29</v>
      </c>
      <c r="DF10" s="39">
        <f>DF11+Assumptions!$B$40-1</f>
        <v>30</v>
      </c>
      <c r="DG10" s="39">
        <f>DG11+Assumptions!$B$40-1</f>
        <v>31</v>
      </c>
      <c r="DH10" s="39">
        <f>DH11+Assumptions!$B$40-1</f>
        <v>32</v>
      </c>
      <c r="DI10" s="39">
        <f>DI11+Assumptions!$B$40-1</f>
        <v>33</v>
      </c>
      <c r="DJ10" s="39">
        <f>DJ11+Assumptions!$B$40-1</f>
        <v>34</v>
      </c>
      <c r="DK10" s="39">
        <f>DK11+Assumptions!$B$40-1</f>
        <v>35</v>
      </c>
      <c r="DL10" s="39">
        <f>DL11+Assumptions!$B$40-1</f>
        <v>36</v>
      </c>
      <c r="DM10" s="39">
        <f>DM11+Assumptions!$B$40-1</f>
        <v>37</v>
      </c>
      <c r="DN10" s="39">
        <f>DN11+Assumptions!$B$40-1</f>
        <v>38</v>
      </c>
      <c r="DO10" s="39">
        <f>DO11+Assumptions!$B$40-1</f>
        <v>39</v>
      </c>
      <c r="DP10" s="39">
        <f>DP11+Assumptions!$B$40-1</f>
        <v>40</v>
      </c>
      <c r="DQ10" s="39">
        <f>DQ11+Assumptions!$B$40-1</f>
        <v>41</v>
      </c>
      <c r="DR10" s="39">
        <f>DR11+Assumptions!$B$40-1</f>
        <v>42</v>
      </c>
      <c r="DS10" s="39">
        <f>DS11+Assumptions!$B$40-1</f>
        <v>43</v>
      </c>
      <c r="DT10" s="39">
        <f>DT11+Assumptions!$B$40-1</f>
        <v>44</v>
      </c>
      <c r="DU10" s="39">
        <f>DU11+Assumptions!$B$40-1</f>
        <v>45</v>
      </c>
      <c r="DV10" s="39">
        <f>DV11+Assumptions!$B$40-1</f>
        <v>46</v>
      </c>
      <c r="DW10" s="39">
        <f>DW11+Assumptions!$B$40-1</f>
        <v>47</v>
      </c>
      <c r="DX10" s="39">
        <f>DX11+Assumptions!$B$40-1</f>
        <v>48</v>
      </c>
      <c r="DY10" s="39">
        <f>DY11+Assumptions!$B$40-1</f>
        <v>49</v>
      </c>
      <c r="DZ10" s="39">
        <f>DZ11+Assumptions!$B$40-1</f>
        <v>50</v>
      </c>
      <c r="EA10" s="39">
        <f>EA11+Assumptions!$B$40-1</f>
        <v>51</v>
      </c>
      <c r="EB10" s="39">
        <f>EB11+Assumptions!$B$40-1</f>
        <v>52</v>
      </c>
      <c r="EC10" s="39">
        <f>EC11+Assumptions!$B$40-1</f>
        <v>53</v>
      </c>
      <c r="ED10" s="39">
        <f>ED11+Assumptions!$B$40-1</f>
        <v>54</v>
      </c>
      <c r="EE10" s="39">
        <f>EE11+Assumptions!$B$40-1</f>
        <v>55</v>
      </c>
      <c r="EF10" s="39">
        <f>EF11+Assumptions!$B$40-1</f>
        <v>56</v>
      </c>
      <c r="EG10" s="39">
        <f>EG11+Assumptions!$B$40-1</f>
        <v>57</v>
      </c>
      <c r="EH10" s="39">
        <f>EH11+Assumptions!$B$40-1</f>
        <v>58</v>
      </c>
      <c r="EI10" s="39">
        <f>EI11+Assumptions!$B$40-1</f>
        <v>59</v>
      </c>
      <c r="EJ10" s="39">
        <f>EJ11+Assumptions!$B$40-1</f>
        <v>60</v>
      </c>
      <c r="EK10" s="39">
        <f>EK11+Assumptions!$B$40-1</f>
        <v>61</v>
      </c>
      <c r="EL10" s="17"/>
      <c r="EM10" s="17"/>
      <c r="EN10" s="17"/>
      <c r="EO10" s="17"/>
      <c r="EP10" s="17"/>
      <c r="EQ10" s="17"/>
      <c r="ER10" s="17"/>
      <c r="ES10" s="17"/>
      <c r="ET10" s="17"/>
      <c r="EU10" s="17"/>
    </row>
    <row r="11" spans="1:151">
      <c r="A11" s="169" t="s">
        <v>307</v>
      </c>
      <c r="B11" s="169" t="s">
        <v>263</v>
      </c>
      <c r="C11" s="169" t="s">
        <v>308</v>
      </c>
      <c r="D11" s="169" t="s">
        <v>309</v>
      </c>
      <c r="E11" s="169" t="s">
        <v>310</v>
      </c>
      <c r="F11" s="169" t="s">
        <v>311</v>
      </c>
      <c r="G11" s="17"/>
      <c r="H11" s="17" t="s">
        <v>312</v>
      </c>
      <c r="I11" s="17">
        <v>1</v>
      </c>
      <c r="J11" s="17">
        <f t="shared" ref="J11:BQ11" si="0">I11+1</f>
        <v>2</v>
      </c>
      <c r="K11" s="17">
        <f t="shared" si="0"/>
        <v>3</v>
      </c>
      <c r="L11" s="17">
        <f t="shared" si="0"/>
        <v>4</v>
      </c>
      <c r="M11" s="17">
        <f t="shared" si="0"/>
        <v>5</v>
      </c>
      <c r="N11" s="17">
        <f t="shared" si="0"/>
        <v>6</v>
      </c>
      <c r="O11" s="17">
        <f t="shared" si="0"/>
        <v>7</v>
      </c>
      <c r="P11" s="17">
        <f t="shared" si="0"/>
        <v>8</v>
      </c>
      <c r="Q11" s="17">
        <f t="shared" si="0"/>
        <v>9</v>
      </c>
      <c r="R11" s="17">
        <f t="shared" si="0"/>
        <v>10</v>
      </c>
      <c r="S11" s="17">
        <f t="shared" si="0"/>
        <v>11</v>
      </c>
      <c r="T11" s="17">
        <f t="shared" si="0"/>
        <v>12</v>
      </c>
      <c r="U11" s="17">
        <f t="shared" si="0"/>
        <v>13</v>
      </c>
      <c r="V11" s="17">
        <f t="shared" si="0"/>
        <v>14</v>
      </c>
      <c r="W11" s="17">
        <f t="shared" si="0"/>
        <v>15</v>
      </c>
      <c r="X11" s="17">
        <f t="shared" si="0"/>
        <v>16</v>
      </c>
      <c r="Y11" s="17">
        <f t="shared" si="0"/>
        <v>17</v>
      </c>
      <c r="Z11" s="17">
        <f t="shared" si="0"/>
        <v>18</v>
      </c>
      <c r="AA11" s="17">
        <f t="shared" si="0"/>
        <v>19</v>
      </c>
      <c r="AB11" s="17">
        <f t="shared" si="0"/>
        <v>20</v>
      </c>
      <c r="AC11" s="17">
        <f t="shared" si="0"/>
        <v>21</v>
      </c>
      <c r="AD11" s="17">
        <f t="shared" si="0"/>
        <v>22</v>
      </c>
      <c r="AE11" s="17">
        <f t="shared" si="0"/>
        <v>23</v>
      </c>
      <c r="AF11" s="17">
        <f t="shared" si="0"/>
        <v>24</v>
      </c>
      <c r="AG11" s="17">
        <f t="shared" si="0"/>
        <v>25</v>
      </c>
      <c r="AH11" s="17">
        <f t="shared" si="0"/>
        <v>26</v>
      </c>
      <c r="AI11" s="17">
        <f t="shared" si="0"/>
        <v>27</v>
      </c>
      <c r="AJ11" s="17">
        <f t="shared" si="0"/>
        <v>28</v>
      </c>
      <c r="AK11" s="17">
        <f t="shared" si="0"/>
        <v>29</v>
      </c>
      <c r="AL11" s="17">
        <f t="shared" si="0"/>
        <v>30</v>
      </c>
      <c r="AM11" s="17">
        <f t="shared" si="0"/>
        <v>31</v>
      </c>
      <c r="AN11" s="17">
        <f t="shared" si="0"/>
        <v>32</v>
      </c>
      <c r="AO11" s="17">
        <f t="shared" si="0"/>
        <v>33</v>
      </c>
      <c r="AP11" s="17">
        <f t="shared" si="0"/>
        <v>34</v>
      </c>
      <c r="AQ11" s="17">
        <f t="shared" si="0"/>
        <v>35</v>
      </c>
      <c r="AR11" s="17">
        <f t="shared" si="0"/>
        <v>36</v>
      </c>
      <c r="AS11" s="17">
        <f t="shared" si="0"/>
        <v>37</v>
      </c>
      <c r="AT11" s="17">
        <f t="shared" si="0"/>
        <v>38</v>
      </c>
      <c r="AU11" s="17">
        <f t="shared" si="0"/>
        <v>39</v>
      </c>
      <c r="AV11" s="17">
        <f t="shared" si="0"/>
        <v>40</v>
      </c>
      <c r="AW11" s="17">
        <f t="shared" si="0"/>
        <v>41</v>
      </c>
      <c r="AX11" s="17">
        <f t="shared" si="0"/>
        <v>42</v>
      </c>
      <c r="AY11" s="17">
        <f t="shared" si="0"/>
        <v>43</v>
      </c>
      <c r="AZ11" s="17">
        <f t="shared" si="0"/>
        <v>44</v>
      </c>
      <c r="BA11" s="17">
        <f t="shared" si="0"/>
        <v>45</v>
      </c>
      <c r="BB11" s="17">
        <f t="shared" si="0"/>
        <v>46</v>
      </c>
      <c r="BC11" s="17">
        <f t="shared" si="0"/>
        <v>47</v>
      </c>
      <c r="BD11" s="17">
        <f t="shared" si="0"/>
        <v>48</v>
      </c>
      <c r="BE11" s="17">
        <f t="shared" si="0"/>
        <v>49</v>
      </c>
      <c r="BF11" s="17">
        <f t="shared" si="0"/>
        <v>50</v>
      </c>
      <c r="BG11" s="17">
        <f t="shared" si="0"/>
        <v>51</v>
      </c>
      <c r="BH11" s="17">
        <f t="shared" si="0"/>
        <v>52</v>
      </c>
      <c r="BI11" s="17">
        <f t="shared" si="0"/>
        <v>53</v>
      </c>
      <c r="BJ11" s="17">
        <f t="shared" si="0"/>
        <v>54</v>
      </c>
      <c r="BK11" s="17">
        <f t="shared" si="0"/>
        <v>55</v>
      </c>
      <c r="BL11" s="17">
        <f t="shared" si="0"/>
        <v>56</v>
      </c>
      <c r="BM11" s="17">
        <f t="shared" si="0"/>
        <v>57</v>
      </c>
      <c r="BN11" s="17">
        <f t="shared" si="0"/>
        <v>58</v>
      </c>
      <c r="BO11" s="17">
        <f t="shared" si="0"/>
        <v>59</v>
      </c>
      <c r="BP11" s="17">
        <f t="shared" si="0"/>
        <v>60</v>
      </c>
      <c r="BQ11" s="17">
        <f t="shared" si="0"/>
        <v>61</v>
      </c>
      <c r="BR11" s="17"/>
      <c r="BS11" s="17"/>
      <c r="BT11" s="164"/>
      <c r="BU11" s="169" t="s">
        <v>307</v>
      </c>
      <c r="BV11" s="169" t="s">
        <v>263</v>
      </c>
      <c r="BW11" s="169" t="s">
        <v>308</v>
      </c>
      <c r="BX11" s="169" t="s">
        <v>309</v>
      </c>
      <c r="BY11" s="169" t="s">
        <v>310</v>
      </c>
      <c r="BZ11" s="169" t="s">
        <v>311</v>
      </c>
      <c r="CA11" s="17"/>
      <c r="CB11" s="17" t="s">
        <v>312</v>
      </c>
      <c r="CC11" s="17">
        <v>1</v>
      </c>
      <c r="CD11" s="17">
        <f t="shared" ref="CD11:EK11" si="1">CC11+1</f>
        <v>2</v>
      </c>
      <c r="CE11" s="17">
        <f t="shared" si="1"/>
        <v>3</v>
      </c>
      <c r="CF11" s="17">
        <f t="shared" si="1"/>
        <v>4</v>
      </c>
      <c r="CG11" s="17">
        <f t="shared" si="1"/>
        <v>5</v>
      </c>
      <c r="CH11" s="17">
        <f t="shared" si="1"/>
        <v>6</v>
      </c>
      <c r="CI11" s="17">
        <f t="shared" si="1"/>
        <v>7</v>
      </c>
      <c r="CJ11" s="17">
        <f t="shared" si="1"/>
        <v>8</v>
      </c>
      <c r="CK11" s="17">
        <f t="shared" si="1"/>
        <v>9</v>
      </c>
      <c r="CL11" s="17">
        <f t="shared" si="1"/>
        <v>10</v>
      </c>
      <c r="CM11" s="17">
        <f t="shared" si="1"/>
        <v>11</v>
      </c>
      <c r="CN11" s="17">
        <f t="shared" si="1"/>
        <v>12</v>
      </c>
      <c r="CO11" s="17">
        <f t="shared" si="1"/>
        <v>13</v>
      </c>
      <c r="CP11" s="17">
        <f t="shared" si="1"/>
        <v>14</v>
      </c>
      <c r="CQ11" s="17">
        <f t="shared" si="1"/>
        <v>15</v>
      </c>
      <c r="CR11" s="17">
        <f t="shared" si="1"/>
        <v>16</v>
      </c>
      <c r="CS11" s="17">
        <f t="shared" si="1"/>
        <v>17</v>
      </c>
      <c r="CT11" s="17">
        <f t="shared" si="1"/>
        <v>18</v>
      </c>
      <c r="CU11" s="17">
        <f t="shared" si="1"/>
        <v>19</v>
      </c>
      <c r="CV11" s="17">
        <f t="shared" si="1"/>
        <v>20</v>
      </c>
      <c r="CW11" s="17">
        <f t="shared" si="1"/>
        <v>21</v>
      </c>
      <c r="CX11" s="17">
        <f t="shared" si="1"/>
        <v>22</v>
      </c>
      <c r="CY11" s="17">
        <f t="shared" si="1"/>
        <v>23</v>
      </c>
      <c r="CZ11" s="17">
        <f t="shared" si="1"/>
        <v>24</v>
      </c>
      <c r="DA11" s="17">
        <f t="shared" si="1"/>
        <v>25</v>
      </c>
      <c r="DB11" s="17">
        <f t="shared" si="1"/>
        <v>26</v>
      </c>
      <c r="DC11" s="17">
        <f t="shared" si="1"/>
        <v>27</v>
      </c>
      <c r="DD11" s="17">
        <f t="shared" si="1"/>
        <v>28</v>
      </c>
      <c r="DE11" s="17">
        <f t="shared" si="1"/>
        <v>29</v>
      </c>
      <c r="DF11" s="17">
        <f t="shared" si="1"/>
        <v>30</v>
      </c>
      <c r="DG11" s="17">
        <f t="shared" si="1"/>
        <v>31</v>
      </c>
      <c r="DH11" s="17">
        <f t="shared" si="1"/>
        <v>32</v>
      </c>
      <c r="DI11" s="17">
        <f t="shared" si="1"/>
        <v>33</v>
      </c>
      <c r="DJ11" s="17">
        <f t="shared" si="1"/>
        <v>34</v>
      </c>
      <c r="DK11" s="17">
        <f t="shared" si="1"/>
        <v>35</v>
      </c>
      <c r="DL11" s="17">
        <f t="shared" si="1"/>
        <v>36</v>
      </c>
      <c r="DM11" s="17">
        <f t="shared" si="1"/>
        <v>37</v>
      </c>
      <c r="DN11" s="17">
        <f t="shared" si="1"/>
        <v>38</v>
      </c>
      <c r="DO11" s="17">
        <f t="shared" si="1"/>
        <v>39</v>
      </c>
      <c r="DP11" s="17">
        <f t="shared" si="1"/>
        <v>40</v>
      </c>
      <c r="DQ11" s="17">
        <f t="shared" si="1"/>
        <v>41</v>
      </c>
      <c r="DR11" s="17">
        <f t="shared" si="1"/>
        <v>42</v>
      </c>
      <c r="DS11" s="17">
        <f t="shared" si="1"/>
        <v>43</v>
      </c>
      <c r="DT11" s="17">
        <f t="shared" si="1"/>
        <v>44</v>
      </c>
      <c r="DU11" s="17">
        <f t="shared" si="1"/>
        <v>45</v>
      </c>
      <c r="DV11" s="17">
        <f t="shared" si="1"/>
        <v>46</v>
      </c>
      <c r="DW11" s="17">
        <f t="shared" si="1"/>
        <v>47</v>
      </c>
      <c r="DX11" s="17">
        <f t="shared" si="1"/>
        <v>48</v>
      </c>
      <c r="DY11" s="17">
        <f t="shared" si="1"/>
        <v>49</v>
      </c>
      <c r="DZ11" s="17">
        <f t="shared" si="1"/>
        <v>50</v>
      </c>
      <c r="EA11" s="17">
        <f t="shared" si="1"/>
        <v>51</v>
      </c>
      <c r="EB11" s="17">
        <f t="shared" si="1"/>
        <v>52</v>
      </c>
      <c r="EC11" s="17">
        <f t="shared" si="1"/>
        <v>53</v>
      </c>
      <c r="ED11" s="17">
        <f t="shared" si="1"/>
        <v>54</v>
      </c>
      <c r="EE11" s="17">
        <f t="shared" si="1"/>
        <v>55</v>
      </c>
      <c r="EF11" s="17">
        <f t="shared" si="1"/>
        <v>56</v>
      </c>
      <c r="EG11" s="17">
        <f t="shared" si="1"/>
        <v>57</v>
      </c>
      <c r="EH11" s="17">
        <f t="shared" si="1"/>
        <v>58</v>
      </c>
      <c r="EI11" s="17">
        <f t="shared" si="1"/>
        <v>59</v>
      </c>
      <c r="EJ11" s="17">
        <f t="shared" si="1"/>
        <v>60</v>
      </c>
      <c r="EK11" s="17">
        <f t="shared" si="1"/>
        <v>61</v>
      </c>
      <c r="EL11" s="17"/>
      <c r="EM11" s="17"/>
      <c r="EN11" s="17"/>
      <c r="EO11" s="17"/>
      <c r="EP11" s="17"/>
      <c r="EQ11" s="17"/>
      <c r="ER11" s="17"/>
      <c r="ES11" s="17"/>
      <c r="ET11" s="17"/>
      <c r="EU11" s="17"/>
    </row>
    <row r="12" spans="1:151">
      <c r="A12" s="164">
        <v>1</v>
      </c>
      <c r="B12" s="166">
        <f>IF(B6&lt;=1,0,PMT($C$7,$B$8,$B$6,,0))</f>
        <v>-10572.058950540932</v>
      </c>
      <c r="C12" s="166">
        <f t="shared" ref="C12:C131" si="2">B12-D12</f>
        <v>-3905.3922838742646</v>
      </c>
      <c r="D12" s="166">
        <f t="shared" ref="D12:D131" si="3">-(E12*$C$7)</f>
        <v>-6666.666666666667</v>
      </c>
      <c r="E12" s="165">
        <f>B6</f>
        <v>800000</v>
      </c>
      <c r="F12" s="167">
        <f t="shared" ref="F12:F131" si="4">E12+C12</f>
        <v>796094.60771612579</v>
      </c>
      <c r="G12" s="17"/>
      <c r="H12" s="17" t="s">
        <v>313</v>
      </c>
      <c r="I12" s="39">
        <f t="shared" ref="I12:BQ12" si="5">-VLOOKUP(I$11,$A$12:$F$131,3,FALSE)</f>
        <v>3905.3922838742646</v>
      </c>
      <c r="J12" s="39">
        <f t="shared" si="5"/>
        <v>3937.9372195732167</v>
      </c>
      <c r="K12" s="39">
        <f t="shared" si="5"/>
        <v>3970.7533630696598</v>
      </c>
      <c r="L12" s="39">
        <f t="shared" si="5"/>
        <v>4003.8429744285731</v>
      </c>
      <c r="M12" s="39">
        <f t="shared" si="5"/>
        <v>4037.2083325488111</v>
      </c>
      <c r="N12" s="39">
        <f t="shared" si="5"/>
        <v>4070.8517353200514</v>
      </c>
      <c r="O12" s="39">
        <f t="shared" si="5"/>
        <v>4104.7754997810525</v>
      </c>
      <c r="P12" s="39">
        <f t="shared" si="5"/>
        <v>4138.9819622792274</v>
      </c>
      <c r="Q12" s="39">
        <f t="shared" si="5"/>
        <v>4173.4734786315539</v>
      </c>
      <c r="R12" s="39">
        <f t="shared" si="5"/>
        <v>4208.2524242868167</v>
      </c>
      <c r="S12" s="39">
        <f t="shared" si="5"/>
        <v>4243.3211944892073</v>
      </c>
      <c r="T12" s="39">
        <f t="shared" si="5"/>
        <v>4278.6822044432838</v>
      </c>
      <c r="U12" s="39">
        <f t="shared" si="5"/>
        <v>4314.3378894803118</v>
      </c>
      <c r="V12" s="39">
        <f t="shared" si="5"/>
        <v>4350.2907052259807</v>
      </c>
      <c r="W12" s="39">
        <f t="shared" si="5"/>
        <v>4386.5431277695307</v>
      </c>
      <c r="X12" s="39">
        <f t="shared" si="5"/>
        <v>4423.0976538342766</v>
      </c>
      <c r="Y12" s="39">
        <f t="shared" si="5"/>
        <v>4459.9568009495615</v>
      </c>
      <c r="Z12" s="39">
        <f t="shared" si="5"/>
        <v>4497.1231076241411</v>
      </c>
      <c r="AA12" s="39">
        <f t="shared" si="5"/>
        <v>4534.5991335210092</v>
      </c>
      <c r="AB12" s="39">
        <f t="shared" si="5"/>
        <v>4572.3874596336836</v>
      </c>
      <c r="AC12" s="39">
        <f t="shared" si="5"/>
        <v>4610.490688463964</v>
      </c>
      <c r="AD12" s="39">
        <f t="shared" si="5"/>
        <v>4648.9114442011632</v>
      </c>
      <c r="AE12" s="39">
        <f t="shared" si="5"/>
        <v>4687.6523729028395</v>
      </c>
      <c r="AF12" s="39">
        <f t="shared" si="5"/>
        <v>4726.7161426770299</v>
      </c>
      <c r="AG12" s="39">
        <f t="shared" si="5"/>
        <v>4766.1054438660049</v>
      </c>
      <c r="AH12" s="39">
        <f t="shared" si="5"/>
        <v>4805.8229892315549</v>
      </c>
      <c r="AI12" s="39">
        <f t="shared" si="5"/>
        <v>4845.8715141418179</v>
      </c>
      <c r="AJ12" s="39">
        <f t="shared" si="5"/>
        <v>4886.2537767596659</v>
      </c>
      <c r="AK12" s="39">
        <f t="shared" si="5"/>
        <v>4926.9725582326628</v>
      </c>
      <c r="AL12" s="39">
        <f t="shared" si="5"/>
        <v>4968.030662884601</v>
      </c>
      <c r="AM12" s="39">
        <f t="shared" si="5"/>
        <v>5009.4309184086396</v>
      </c>
      <c r="AN12" s="39">
        <f t="shared" si="5"/>
        <v>5051.1761760620448</v>
      </c>
      <c r="AO12" s="39">
        <f t="shared" si="5"/>
        <v>5093.2693108625626</v>
      </c>
      <c r="AP12" s="39">
        <f t="shared" si="5"/>
        <v>5135.7132217864164</v>
      </c>
      <c r="AQ12" s="39">
        <f t="shared" si="5"/>
        <v>5178.5108319679703</v>
      </c>
      <c r="AR12" s="39">
        <f t="shared" si="5"/>
        <v>5221.6650889010361</v>
      </c>
      <c r="AS12" s="39">
        <f t="shared" si="5"/>
        <v>5265.1789646418783</v>
      </c>
      <c r="AT12" s="39">
        <f t="shared" si="5"/>
        <v>5309.0554560138944</v>
      </c>
      <c r="AU12" s="39">
        <f t="shared" si="5"/>
        <v>5353.2975848140095</v>
      </c>
      <c r="AV12" s="39">
        <f t="shared" si="5"/>
        <v>5397.9083980207934</v>
      </c>
      <c r="AW12" s="39">
        <f t="shared" si="5"/>
        <v>5442.8909680042998</v>
      </c>
      <c r="AX12" s="39">
        <f t="shared" si="5"/>
        <v>5488.2483927376688</v>
      </c>
      <c r="AY12" s="39">
        <f t="shared" si="5"/>
        <v>5533.9837960104824</v>
      </c>
      <c r="AZ12" s="39">
        <f t="shared" si="5"/>
        <v>5580.1003276439033</v>
      </c>
      <c r="BA12" s="39">
        <f t="shared" si="5"/>
        <v>5626.6011637076026</v>
      </c>
      <c r="BB12" s="39">
        <f t="shared" si="5"/>
        <v>5673.4895067384987</v>
      </c>
      <c r="BC12" s="39">
        <f t="shared" si="5"/>
        <v>5720.7685859613193</v>
      </c>
      <c r="BD12" s="39">
        <f t="shared" si="5"/>
        <v>5768.4416575109972</v>
      </c>
      <c r="BE12" s="39">
        <f t="shared" si="5"/>
        <v>5816.5120046569227</v>
      </c>
      <c r="BF12" s="39">
        <f t="shared" si="5"/>
        <v>5864.9829380290639</v>
      </c>
      <c r="BG12" s="39">
        <f t="shared" si="5"/>
        <v>5913.8577958459737</v>
      </c>
      <c r="BH12" s="39">
        <f t="shared" si="5"/>
        <v>5963.1399441446893</v>
      </c>
      <c r="BI12" s="39">
        <f t="shared" si="5"/>
        <v>6012.8327770125616</v>
      </c>
      <c r="BJ12" s="39">
        <f t="shared" si="5"/>
        <v>6062.9397168209998</v>
      </c>
      <c r="BK12" s="39">
        <f t="shared" si="5"/>
        <v>6113.4642144611744</v>
      </c>
      <c r="BL12" s="39">
        <f t="shared" si="5"/>
        <v>6164.4097495816841</v>
      </c>
      <c r="BM12" s="39">
        <f t="shared" si="5"/>
        <v>6215.7798308281981</v>
      </c>
      <c r="BN12" s="39">
        <f t="shared" si="5"/>
        <v>6267.5779960850996</v>
      </c>
      <c r="BO12" s="39">
        <f t="shared" si="5"/>
        <v>6319.8078127191429</v>
      </c>
      <c r="BP12" s="39">
        <f t="shared" si="5"/>
        <v>6372.4728778251356</v>
      </c>
      <c r="BQ12" s="39">
        <f t="shared" si="5"/>
        <v>6425.576818473678</v>
      </c>
      <c r="BR12" s="17"/>
      <c r="BS12" s="17"/>
      <c r="BT12" s="166"/>
      <c r="BU12" s="164">
        <v>1</v>
      </c>
      <c r="BV12" s="166">
        <f>IF(BY12&lt;=1,0,PMT($BV$7,$BU$8,$BU$6,,0))</f>
        <v>0</v>
      </c>
      <c r="BW12" s="166">
        <f t="shared" ref="BW12:BW131" si="6">BV12-BX12</f>
        <v>0</v>
      </c>
      <c r="BX12" s="166">
        <f t="shared" ref="BX12:BX131" si="7">-(BY12*$BV$7)</f>
        <v>0</v>
      </c>
      <c r="BY12" s="165">
        <f>BU6</f>
        <v>0</v>
      </c>
      <c r="BZ12" s="167">
        <f t="shared" ref="BZ12:BZ131" si="8">BY12+BW12</f>
        <v>0</v>
      </c>
      <c r="CA12" s="17"/>
      <c r="CB12" s="17" t="s">
        <v>313</v>
      </c>
      <c r="CC12" s="39">
        <f t="shared" ref="CC12:EK12" si="9">-VLOOKUP(CC$11,$BU$12:$BZ$131,3,FALSE)</f>
        <v>0</v>
      </c>
      <c r="CD12" s="39">
        <f t="shared" si="9"/>
        <v>0</v>
      </c>
      <c r="CE12" s="39">
        <f t="shared" si="9"/>
        <v>0</v>
      </c>
      <c r="CF12" s="39">
        <f t="shared" si="9"/>
        <v>0</v>
      </c>
      <c r="CG12" s="39">
        <f t="shared" si="9"/>
        <v>0</v>
      </c>
      <c r="CH12" s="39">
        <f t="shared" si="9"/>
        <v>0</v>
      </c>
      <c r="CI12" s="39">
        <f t="shared" si="9"/>
        <v>0</v>
      </c>
      <c r="CJ12" s="39">
        <f t="shared" si="9"/>
        <v>0</v>
      </c>
      <c r="CK12" s="39">
        <f t="shared" si="9"/>
        <v>0</v>
      </c>
      <c r="CL12" s="39">
        <f t="shared" si="9"/>
        <v>0</v>
      </c>
      <c r="CM12" s="39">
        <f t="shared" si="9"/>
        <v>0</v>
      </c>
      <c r="CN12" s="39">
        <f t="shared" si="9"/>
        <v>0</v>
      </c>
      <c r="CO12" s="39">
        <f t="shared" si="9"/>
        <v>0</v>
      </c>
      <c r="CP12" s="39">
        <f t="shared" si="9"/>
        <v>0</v>
      </c>
      <c r="CQ12" s="39">
        <f t="shared" si="9"/>
        <v>0</v>
      </c>
      <c r="CR12" s="39">
        <f t="shared" si="9"/>
        <v>0</v>
      </c>
      <c r="CS12" s="39">
        <f t="shared" si="9"/>
        <v>0</v>
      </c>
      <c r="CT12" s="39">
        <f t="shared" si="9"/>
        <v>0</v>
      </c>
      <c r="CU12" s="39">
        <f t="shared" si="9"/>
        <v>0</v>
      </c>
      <c r="CV12" s="39">
        <f t="shared" si="9"/>
        <v>0</v>
      </c>
      <c r="CW12" s="39">
        <f t="shared" si="9"/>
        <v>0</v>
      </c>
      <c r="CX12" s="39">
        <f t="shared" si="9"/>
        <v>0</v>
      </c>
      <c r="CY12" s="39">
        <f t="shared" si="9"/>
        <v>0</v>
      </c>
      <c r="CZ12" s="39">
        <f t="shared" si="9"/>
        <v>0</v>
      </c>
      <c r="DA12" s="39">
        <f t="shared" si="9"/>
        <v>0</v>
      </c>
      <c r="DB12" s="39">
        <f t="shared" si="9"/>
        <v>0</v>
      </c>
      <c r="DC12" s="39">
        <f t="shared" si="9"/>
        <v>0</v>
      </c>
      <c r="DD12" s="39">
        <f t="shared" si="9"/>
        <v>0</v>
      </c>
      <c r="DE12" s="39">
        <f t="shared" si="9"/>
        <v>0</v>
      </c>
      <c r="DF12" s="39">
        <f t="shared" si="9"/>
        <v>0</v>
      </c>
      <c r="DG12" s="39">
        <f t="shared" si="9"/>
        <v>0</v>
      </c>
      <c r="DH12" s="39">
        <f t="shared" si="9"/>
        <v>0</v>
      </c>
      <c r="DI12" s="39">
        <f t="shared" si="9"/>
        <v>0</v>
      </c>
      <c r="DJ12" s="39">
        <f t="shared" si="9"/>
        <v>0</v>
      </c>
      <c r="DK12" s="39">
        <f t="shared" si="9"/>
        <v>0</v>
      </c>
      <c r="DL12" s="39">
        <f t="shared" si="9"/>
        <v>0</v>
      </c>
      <c r="DM12" s="39">
        <f t="shared" si="9"/>
        <v>0</v>
      </c>
      <c r="DN12" s="39">
        <f t="shared" si="9"/>
        <v>0</v>
      </c>
      <c r="DO12" s="39">
        <f t="shared" si="9"/>
        <v>0</v>
      </c>
      <c r="DP12" s="39">
        <f t="shared" si="9"/>
        <v>0</v>
      </c>
      <c r="DQ12" s="39">
        <f t="shared" si="9"/>
        <v>0</v>
      </c>
      <c r="DR12" s="39">
        <f t="shared" si="9"/>
        <v>0</v>
      </c>
      <c r="DS12" s="39">
        <f t="shared" si="9"/>
        <v>0</v>
      </c>
      <c r="DT12" s="39">
        <f t="shared" si="9"/>
        <v>0</v>
      </c>
      <c r="DU12" s="39">
        <f t="shared" si="9"/>
        <v>0</v>
      </c>
      <c r="DV12" s="39">
        <f t="shared" si="9"/>
        <v>0</v>
      </c>
      <c r="DW12" s="39">
        <f t="shared" si="9"/>
        <v>0</v>
      </c>
      <c r="DX12" s="39">
        <f t="shared" si="9"/>
        <v>0</v>
      </c>
      <c r="DY12" s="39">
        <f t="shared" si="9"/>
        <v>0</v>
      </c>
      <c r="DZ12" s="39">
        <f t="shared" si="9"/>
        <v>0</v>
      </c>
      <c r="EA12" s="39">
        <f t="shared" si="9"/>
        <v>0</v>
      </c>
      <c r="EB12" s="39">
        <f t="shared" si="9"/>
        <v>0</v>
      </c>
      <c r="EC12" s="39">
        <f t="shared" si="9"/>
        <v>0</v>
      </c>
      <c r="ED12" s="39">
        <f t="shared" si="9"/>
        <v>0</v>
      </c>
      <c r="EE12" s="39">
        <f t="shared" si="9"/>
        <v>0</v>
      </c>
      <c r="EF12" s="39">
        <f t="shared" si="9"/>
        <v>0</v>
      </c>
      <c r="EG12" s="39">
        <f t="shared" si="9"/>
        <v>0</v>
      </c>
      <c r="EH12" s="39">
        <f t="shared" si="9"/>
        <v>0</v>
      </c>
      <c r="EI12" s="39">
        <f t="shared" si="9"/>
        <v>0</v>
      </c>
      <c r="EJ12" s="39">
        <f t="shared" si="9"/>
        <v>0</v>
      </c>
      <c r="EK12" s="39">
        <f t="shared" si="9"/>
        <v>0</v>
      </c>
      <c r="EL12" s="17"/>
      <c r="EM12" s="17"/>
      <c r="EN12" s="17"/>
      <c r="EO12" s="17"/>
      <c r="EP12" s="17"/>
      <c r="EQ12" s="17"/>
      <c r="ER12" s="17"/>
      <c r="ES12" s="17"/>
      <c r="ET12" s="17"/>
      <c r="EU12" s="17"/>
    </row>
    <row r="13" spans="1:151">
      <c r="A13" s="164">
        <v>2</v>
      </c>
      <c r="B13" s="166">
        <f t="shared" ref="B13:B131" si="10">IF(F12&lt;=1,0,PMT($C$7,$B$8,$B$6,,0))</f>
        <v>-10572.058950540932</v>
      </c>
      <c r="C13" s="166">
        <f t="shared" si="2"/>
        <v>-3937.9372195732167</v>
      </c>
      <c r="D13" s="166">
        <f t="shared" si="3"/>
        <v>-6634.1217309677149</v>
      </c>
      <c r="E13" s="167">
        <f t="shared" ref="E13:E131" si="11">F12</f>
        <v>796094.60771612579</v>
      </c>
      <c r="F13" s="167">
        <f t="shared" si="4"/>
        <v>792156.6704965526</v>
      </c>
      <c r="G13" s="17"/>
      <c r="H13" s="17" t="s">
        <v>314</v>
      </c>
      <c r="I13" s="39">
        <f t="shared" ref="I13:BQ13" si="12">-VLOOKUP(I$11,$A$12:$F$131,4,FALSE)</f>
        <v>6666.666666666667</v>
      </c>
      <c r="J13" s="39">
        <f t="shared" si="12"/>
        <v>6634.1217309677149</v>
      </c>
      <c r="K13" s="39">
        <f t="shared" si="12"/>
        <v>6601.3055874712718</v>
      </c>
      <c r="L13" s="39">
        <f t="shared" si="12"/>
        <v>6568.2159761123585</v>
      </c>
      <c r="M13" s="39">
        <f t="shared" si="12"/>
        <v>6534.8506179921205</v>
      </c>
      <c r="N13" s="39">
        <f t="shared" si="12"/>
        <v>6501.2072152208802</v>
      </c>
      <c r="O13" s="39">
        <f t="shared" si="12"/>
        <v>6467.2834507598791</v>
      </c>
      <c r="P13" s="39">
        <f t="shared" si="12"/>
        <v>6433.0769882617042</v>
      </c>
      <c r="Q13" s="39">
        <f t="shared" si="12"/>
        <v>6398.5854719093777</v>
      </c>
      <c r="R13" s="39">
        <f t="shared" si="12"/>
        <v>6363.8065262541149</v>
      </c>
      <c r="S13" s="39">
        <f t="shared" si="12"/>
        <v>6328.7377560517243</v>
      </c>
      <c r="T13" s="39">
        <f t="shared" si="12"/>
        <v>6293.3767460976478</v>
      </c>
      <c r="U13" s="39">
        <f t="shared" si="12"/>
        <v>6257.7210610606198</v>
      </c>
      <c r="V13" s="39">
        <f t="shared" si="12"/>
        <v>6221.7682453149509</v>
      </c>
      <c r="W13" s="39">
        <f t="shared" si="12"/>
        <v>6185.515822771401</v>
      </c>
      <c r="X13" s="39">
        <f t="shared" si="12"/>
        <v>6148.961296706655</v>
      </c>
      <c r="Y13" s="39">
        <f t="shared" si="12"/>
        <v>6112.1021495913701</v>
      </c>
      <c r="Z13" s="39">
        <f t="shared" si="12"/>
        <v>6074.9358429167905</v>
      </c>
      <c r="AA13" s="39">
        <f t="shared" si="12"/>
        <v>6037.4598170199224</v>
      </c>
      <c r="AB13" s="39">
        <f t="shared" si="12"/>
        <v>5999.671490907248</v>
      </c>
      <c r="AC13" s="39">
        <f t="shared" si="12"/>
        <v>5961.5682620769676</v>
      </c>
      <c r="AD13" s="39">
        <f t="shared" si="12"/>
        <v>5923.1475063397684</v>
      </c>
      <c r="AE13" s="39">
        <f t="shared" si="12"/>
        <v>5884.4065776380921</v>
      </c>
      <c r="AF13" s="39">
        <f t="shared" si="12"/>
        <v>5845.3428078639017</v>
      </c>
      <c r="AG13" s="39">
        <f t="shared" si="12"/>
        <v>5805.9535066749268</v>
      </c>
      <c r="AH13" s="39">
        <f t="shared" si="12"/>
        <v>5766.2359613093768</v>
      </c>
      <c r="AI13" s="39">
        <f t="shared" si="12"/>
        <v>5726.1874363991137</v>
      </c>
      <c r="AJ13" s="39">
        <f t="shared" si="12"/>
        <v>5685.8051737812657</v>
      </c>
      <c r="AK13" s="39">
        <f t="shared" si="12"/>
        <v>5645.0863923082688</v>
      </c>
      <c r="AL13" s="39">
        <f t="shared" si="12"/>
        <v>5604.0282876563306</v>
      </c>
      <c r="AM13" s="39">
        <f t="shared" si="12"/>
        <v>5562.628032132292</v>
      </c>
      <c r="AN13" s="39">
        <f t="shared" si="12"/>
        <v>5520.8827744788869</v>
      </c>
      <c r="AO13" s="39">
        <f t="shared" si="12"/>
        <v>5478.789639678369</v>
      </c>
      <c r="AP13" s="39">
        <f t="shared" si="12"/>
        <v>5436.3457287545152</v>
      </c>
      <c r="AQ13" s="39">
        <f t="shared" si="12"/>
        <v>5393.5481185729614</v>
      </c>
      <c r="AR13" s="39">
        <f t="shared" si="12"/>
        <v>5350.3938616398955</v>
      </c>
      <c r="AS13" s="39">
        <f t="shared" si="12"/>
        <v>5306.8799858990533</v>
      </c>
      <c r="AT13" s="39">
        <f t="shared" si="12"/>
        <v>5263.0034945270372</v>
      </c>
      <c r="AU13" s="39">
        <f t="shared" si="12"/>
        <v>5218.7613657269221</v>
      </c>
      <c r="AV13" s="39">
        <f t="shared" si="12"/>
        <v>5174.1505525201383</v>
      </c>
      <c r="AW13" s="39">
        <f t="shared" si="12"/>
        <v>5129.1679825366318</v>
      </c>
      <c r="AX13" s="39">
        <f t="shared" si="12"/>
        <v>5083.8105578032628</v>
      </c>
      <c r="AY13" s="39">
        <f t="shared" si="12"/>
        <v>5038.0751545304493</v>
      </c>
      <c r="AZ13" s="39">
        <f t="shared" si="12"/>
        <v>4991.9586228970284</v>
      </c>
      <c r="BA13" s="39">
        <f t="shared" si="12"/>
        <v>4945.457786833329</v>
      </c>
      <c r="BB13" s="39">
        <f t="shared" si="12"/>
        <v>4898.5694438024329</v>
      </c>
      <c r="BC13" s="39">
        <f t="shared" si="12"/>
        <v>4851.2903645796123</v>
      </c>
      <c r="BD13" s="39">
        <f t="shared" si="12"/>
        <v>4803.6172930299344</v>
      </c>
      <c r="BE13" s="39">
        <f t="shared" si="12"/>
        <v>4755.5469458840089</v>
      </c>
      <c r="BF13" s="39">
        <f t="shared" si="12"/>
        <v>4707.0760125118677</v>
      </c>
      <c r="BG13" s="39">
        <f t="shared" si="12"/>
        <v>4658.2011546949579</v>
      </c>
      <c r="BH13" s="39">
        <f t="shared" si="12"/>
        <v>4608.9190063962424</v>
      </c>
      <c r="BI13" s="39">
        <f t="shared" si="12"/>
        <v>4559.2261735283701</v>
      </c>
      <c r="BJ13" s="39">
        <f t="shared" si="12"/>
        <v>4509.1192337199318</v>
      </c>
      <c r="BK13" s="39">
        <f t="shared" si="12"/>
        <v>4458.5947360797572</v>
      </c>
      <c r="BL13" s="39">
        <f t="shared" si="12"/>
        <v>4407.6492009592475</v>
      </c>
      <c r="BM13" s="39">
        <f t="shared" si="12"/>
        <v>4356.2791197127335</v>
      </c>
      <c r="BN13" s="39">
        <f t="shared" si="12"/>
        <v>4304.480954455832</v>
      </c>
      <c r="BO13" s="39">
        <f t="shared" si="12"/>
        <v>4252.2511378217887</v>
      </c>
      <c r="BP13" s="39">
        <f t="shared" si="12"/>
        <v>4199.586072715796</v>
      </c>
      <c r="BQ13" s="39">
        <f t="shared" si="12"/>
        <v>4146.4821320672536</v>
      </c>
      <c r="BR13" s="17"/>
      <c r="BS13" s="17"/>
      <c r="BT13" s="170"/>
      <c r="BU13" s="164">
        <v>2</v>
      </c>
      <c r="BV13" s="166">
        <f t="shared" ref="BV13:BV131" si="13">IF(BZ12&lt;=1,0,PMT($BV$7,$BU$8,$BU$6,,0))</f>
        <v>0</v>
      </c>
      <c r="BW13" s="166">
        <f t="shared" si="6"/>
        <v>0</v>
      </c>
      <c r="BX13" s="166">
        <f t="shared" si="7"/>
        <v>0</v>
      </c>
      <c r="BY13" s="167">
        <f t="shared" ref="BY13:BY131" si="14">BZ12</f>
        <v>0</v>
      </c>
      <c r="BZ13" s="167">
        <f t="shared" si="8"/>
        <v>0</v>
      </c>
      <c r="CA13" s="17"/>
      <c r="CB13" s="17" t="s">
        <v>314</v>
      </c>
      <c r="CC13" s="39">
        <f>-VLOOKUP(CC$11,$BU$12:$BZ$131,4,FALSE)</f>
        <v>0</v>
      </c>
      <c r="CD13" s="39">
        <f t="shared" ref="CD13:EK13" si="15">-VLOOKUP(CD$11,$BU$12:$BZ$131,4,FALSE)</f>
        <v>0</v>
      </c>
      <c r="CE13" s="39">
        <f t="shared" si="15"/>
        <v>0</v>
      </c>
      <c r="CF13" s="39">
        <f t="shared" si="15"/>
        <v>0</v>
      </c>
      <c r="CG13" s="39">
        <f t="shared" si="15"/>
        <v>0</v>
      </c>
      <c r="CH13" s="39">
        <f t="shared" si="15"/>
        <v>0</v>
      </c>
      <c r="CI13" s="39">
        <f t="shared" si="15"/>
        <v>0</v>
      </c>
      <c r="CJ13" s="39">
        <f t="shared" si="15"/>
        <v>0</v>
      </c>
      <c r="CK13" s="39">
        <f t="shared" si="15"/>
        <v>0</v>
      </c>
      <c r="CL13" s="39">
        <f t="shared" si="15"/>
        <v>0</v>
      </c>
      <c r="CM13" s="39">
        <f t="shared" si="15"/>
        <v>0</v>
      </c>
      <c r="CN13" s="39">
        <f t="shared" si="15"/>
        <v>0</v>
      </c>
      <c r="CO13" s="39">
        <f t="shared" si="15"/>
        <v>0</v>
      </c>
      <c r="CP13" s="39">
        <f t="shared" si="15"/>
        <v>0</v>
      </c>
      <c r="CQ13" s="39">
        <f t="shared" si="15"/>
        <v>0</v>
      </c>
      <c r="CR13" s="39">
        <f t="shared" si="15"/>
        <v>0</v>
      </c>
      <c r="CS13" s="39">
        <f t="shared" si="15"/>
        <v>0</v>
      </c>
      <c r="CT13" s="39">
        <f t="shared" si="15"/>
        <v>0</v>
      </c>
      <c r="CU13" s="39">
        <f t="shared" si="15"/>
        <v>0</v>
      </c>
      <c r="CV13" s="39">
        <f t="shared" si="15"/>
        <v>0</v>
      </c>
      <c r="CW13" s="39">
        <f t="shared" si="15"/>
        <v>0</v>
      </c>
      <c r="CX13" s="39">
        <f t="shared" si="15"/>
        <v>0</v>
      </c>
      <c r="CY13" s="39">
        <f t="shared" si="15"/>
        <v>0</v>
      </c>
      <c r="CZ13" s="39">
        <f t="shared" si="15"/>
        <v>0</v>
      </c>
      <c r="DA13" s="39">
        <f t="shared" si="15"/>
        <v>0</v>
      </c>
      <c r="DB13" s="39">
        <f t="shared" si="15"/>
        <v>0</v>
      </c>
      <c r="DC13" s="39">
        <f t="shared" si="15"/>
        <v>0</v>
      </c>
      <c r="DD13" s="39">
        <f t="shared" si="15"/>
        <v>0</v>
      </c>
      <c r="DE13" s="39">
        <f t="shared" si="15"/>
        <v>0</v>
      </c>
      <c r="DF13" s="39">
        <f t="shared" si="15"/>
        <v>0</v>
      </c>
      <c r="DG13" s="39">
        <f t="shared" si="15"/>
        <v>0</v>
      </c>
      <c r="DH13" s="39">
        <f t="shared" si="15"/>
        <v>0</v>
      </c>
      <c r="DI13" s="39">
        <f t="shared" si="15"/>
        <v>0</v>
      </c>
      <c r="DJ13" s="39">
        <f t="shared" si="15"/>
        <v>0</v>
      </c>
      <c r="DK13" s="39">
        <f t="shared" si="15"/>
        <v>0</v>
      </c>
      <c r="DL13" s="39">
        <f t="shared" si="15"/>
        <v>0</v>
      </c>
      <c r="DM13" s="39">
        <f t="shared" si="15"/>
        <v>0</v>
      </c>
      <c r="DN13" s="39">
        <f t="shared" si="15"/>
        <v>0</v>
      </c>
      <c r="DO13" s="39">
        <f t="shared" si="15"/>
        <v>0</v>
      </c>
      <c r="DP13" s="39">
        <f t="shared" si="15"/>
        <v>0</v>
      </c>
      <c r="DQ13" s="39">
        <f t="shared" si="15"/>
        <v>0</v>
      </c>
      <c r="DR13" s="39">
        <f t="shared" si="15"/>
        <v>0</v>
      </c>
      <c r="DS13" s="39">
        <f t="shared" si="15"/>
        <v>0</v>
      </c>
      <c r="DT13" s="39">
        <f t="shared" si="15"/>
        <v>0</v>
      </c>
      <c r="DU13" s="39">
        <f t="shared" si="15"/>
        <v>0</v>
      </c>
      <c r="DV13" s="39">
        <f t="shared" si="15"/>
        <v>0</v>
      </c>
      <c r="DW13" s="39">
        <f t="shared" si="15"/>
        <v>0</v>
      </c>
      <c r="DX13" s="39">
        <f t="shared" si="15"/>
        <v>0</v>
      </c>
      <c r="DY13" s="39">
        <f t="shared" si="15"/>
        <v>0</v>
      </c>
      <c r="DZ13" s="39">
        <f t="shared" si="15"/>
        <v>0</v>
      </c>
      <c r="EA13" s="39">
        <f t="shared" si="15"/>
        <v>0</v>
      </c>
      <c r="EB13" s="39">
        <f t="shared" si="15"/>
        <v>0</v>
      </c>
      <c r="EC13" s="39">
        <f t="shared" si="15"/>
        <v>0</v>
      </c>
      <c r="ED13" s="39">
        <f t="shared" si="15"/>
        <v>0</v>
      </c>
      <c r="EE13" s="39">
        <f t="shared" si="15"/>
        <v>0</v>
      </c>
      <c r="EF13" s="39">
        <f t="shared" si="15"/>
        <v>0</v>
      </c>
      <c r="EG13" s="39">
        <f t="shared" si="15"/>
        <v>0</v>
      </c>
      <c r="EH13" s="39">
        <f t="shared" si="15"/>
        <v>0</v>
      </c>
      <c r="EI13" s="39">
        <f t="shared" si="15"/>
        <v>0</v>
      </c>
      <c r="EJ13" s="39">
        <f t="shared" si="15"/>
        <v>0</v>
      </c>
      <c r="EK13" s="39">
        <f t="shared" si="15"/>
        <v>0</v>
      </c>
      <c r="EL13" s="17"/>
      <c r="EM13" s="17"/>
      <c r="EN13" s="17"/>
      <c r="EO13" s="17"/>
      <c r="EP13" s="17"/>
      <c r="EQ13" s="17"/>
      <c r="ER13" s="17"/>
      <c r="ES13" s="17"/>
      <c r="ET13" s="17"/>
      <c r="EU13" s="17"/>
    </row>
    <row r="14" spans="1:151">
      <c r="A14" s="164">
        <v>3</v>
      </c>
      <c r="B14" s="166">
        <f t="shared" si="10"/>
        <v>-10572.058950540932</v>
      </c>
      <c r="C14" s="166">
        <f t="shared" si="2"/>
        <v>-3970.7533630696598</v>
      </c>
      <c r="D14" s="166">
        <f t="shared" si="3"/>
        <v>-6601.3055874712718</v>
      </c>
      <c r="E14" s="167">
        <f t="shared" si="11"/>
        <v>792156.6704965526</v>
      </c>
      <c r="F14" s="167">
        <f t="shared" si="4"/>
        <v>788185.91713348299</v>
      </c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0"/>
      <c r="BU14" s="164">
        <v>3</v>
      </c>
      <c r="BV14" s="166">
        <f t="shared" si="13"/>
        <v>0</v>
      </c>
      <c r="BW14" s="166">
        <f t="shared" si="6"/>
        <v>0</v>
      </c>
      <c r="BX14" s="166">
        <f t="shared" si="7"/>
        <v>0</v>
      </c>
      <c r="BY14" s="167">
        <f t="shared" si="14"/>
        <v>0</v>
      </c>
      <c r="BZ14" s="167">
        <f t="shared" si="8"/>
        <v>0</v>
      </c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</row>
    <row r="15" spans="1:151">
      <c r="A15" s="164">
        <v>4</v>
      </c>
      <c r="B15" s="166">
        <f t="shared" si="10"/>
        <v>-10572.058950540932</v>
      </c>
      <c r="C15" s="166">
        <f t="shared" si="2"/>
        <v>-4003.8429744285731</v>
      </c>
      <c r="D15" s="166">
        <f t="shared" si="3"/>
        <v>-6568.2159761123585</v>
      </c>
      <c r="E15" s="167">
        <f t="shared" si="11"/>
        <v>788185.91713348299</v>
      </c>
      <c r="F15" s="167">
        <f t="shared" si="4"/>
        <v>784182.07415905443</v>
      </c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0"/>
      <c r="BU15" s="164">
        <v>4</v>
      </c>
      <c r="BV15" s="166">
        <f t="shared" si="13"/>
        <v>0</v>
      </c>
      <c r="BW15" s="166">
        <f t="shared" si="6"/>
        <v>0</v>
      </c>
      <c r="BX15" s="166">
        <f t="shared" si="7"/>
        <v>0</v>
      </c>
      <c r="BY15" s="167">
        <f t="shared" si="14"/>
        <v>0</v>
      </c>
      <c r="BZ15" s="167">
        <f t="shared" si="8"/>
        <v>0</v>
      </c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</row>
    <row r="16" spans="1:151">
      <c r="A16" s="164">
        <v>5</v>
      </c>
      <c r="B16" s="166">
        <f t="shared" si="10"/>
        <v>-10572.058950540932</v>
      </c>
      <c r="C16" s="166">
        <f t="shared" si="2"/>
        <v>-4037.2083325488111</v>
      </c>
      <c r="D16" s="166">
        <f t="shared" si="3"/>
        <v>-6534.8506179921205</v>
      </c>
      <c r="E16" s="167">
        <f t="shared" si="11"/>
        <v>784182.07415905443</v>
      </c>
      <c r="F16" s="167">
        <f t="shared" si="4"/>
        <v>780144.86582650559</v>
      </c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0"/>
      <c r="BU16" s="164">
        <v>5</v>
      </c>
      <c r="BV16" s="166">
        <f t="shared" si="13"/>
        <v>0</v>
      </c>
      <c r="BW16" s="166">
        <f t="shared" si="6"/>
        <v>0</v>
      </c>
      <c r="BX16" s="166">
        <f t="shared" si="7"/>
        <v>0</v>
      </c>
      <c r="BY16" s="167">
        <f t="shared" si="14"/>
        <v>0</v>
      </c>
      <c r="BZ16" s="167">
        <f t="shared" si="8"/>
        <v>0</v>
      </c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</row>
    <row r="17" spans="1:151">
      <c r="A17" s="164">
        <v>6</v>
      </c>
      <c r="B17" s="166">
        <f t="shared" si="10"/>
        <v>-10572.058950540932</v>
      </c>
      <c r="C17" s="166">
        <f t="shared" si="2"/>
        <v>-4070.8517353200514</v>
      </c>
      <c r="D17" s="166">
        <f t="shared" si="3"/>
        <v>-6501.2072152208802</v>
      </c>
      <c r="E17" s="167">
        <f t="shared" si="11"/>
        <v>780144.86582650559</v>
      </c>
      <c r="F17" s="167">
        <f t="shared" si="4"/>
        <v>776074.01409118553</v>
      </c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0"/>
      <c r="BU17" s="164">
        <v>6</v>
      </c>
      <c r="BV17" s="166">
        <f t="shared" si="13"/>
        <v>0</v>
      </c>
      <c r="BW17" s="166">
        <f t="shared" si="6"/>
        <v>0</v>
      </c>
      <c r="BX17" s="166">
        <f t="shared" si="7"/>
        <v>0</v>
      </c>
      <c r="BY17" s="167">
        <f t="shared" si="14"/>
        <v>0</v>
      </c>
      <c r="BZ17" s="167">
        <f t="shared" si="8"/>
        <v>0</v>
      </c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</row>
    <row r="18" spans="1:151">
      <c r="A18" s="164">
        <v>7</v>
      </c>
      <c r="B18" s="166">
        <f t="shared" si="10"/>
        <v>-10572.058950540932</v>
      </c>
      <c r="C18" s="166">
        <f t="shared" si="2"/>
        <v>-4104.7754997810525</v>
      </c>
      <c r="D18" s="166">
        <f t="shared" si="3"/>
        <v>-6467.2834507598791</v>
      </c>
      <c r="E18" s="167">
        <f t="shared" si="11"/>
        <v>776074.01409118553</v>
      </c>
      <c r="F18" s="167">
        <f t="shared" si="4"/>
        <v>771969.23859140452</v>
      </c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0"/>
      <c r="BU18" s="164">
        <v>7</v>
      </c>
      <c r="BV18" s="166">
        <f t="shared" si="13"/>
        <v>0</v>
      </c>
      <c r="BW18" s="166">
        <f t="shared" si="6"/>
        <v>0</v>
      </c>
      <c r="BX18" s="166">
        <f t="shared" si="7"/>
        <v>0</v>
      </c>
      <c r="BY18" s="167">
        <f t="shared" si="14"/>
        <v>0</v>
      </c>
      <c r="BZ18" s="167">
        <f t="shared" si="8"/>
        <v>0</v>
      </c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</row>
    <row r="19" spans="1:151">
      <c r="A19" s="164">
        <v>8</v>
      </c>
      <c r="B19" s="166">
        <f t="shared" si="10"/>
        <v>-10572.058950540932</v>
      </c>
      <c r="C19" s="166">
        <f t="shared" si="2"/>
        <v>-4138.9819622792274</v>
      </c>
      <c r="D19" s="166">
        <f t="shared" si="3"/>
        <v>-6433.0769882617042</v>
      </c>
      <c r="E19" s="167">
        <f t="shared" si="11"/>
        <v>771969.23859140452</v>
      </c>
      <c r="F19" s="167">
        <f t="shared" si="4"/>
        <v>767830.25662912533</v>
      </c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0"/>
      <c r="BU19" s="164">
        <v>8</v>
      </c>
      <c r="BV19" s="166">
        <f t="shared" si="13"/>
        <v>0</v>
      </c>
      <c r="BW19" s="166">
        <f t="shared" si="6"/>
        <v>0</v>
      </c>
      <c r="BX19" s="166">
        <f t="shared" si="7"/>
        <v>0</v>
      </c>
      <c r="BY19" s="167">
        <f t="shared" si="14"/>
        <v>0</v>
      </c>
      <c r="BZ19" s="167">
        <f t="shared" si="8"/>
        <v>0</v>
      </c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</row>
    <row r="20" spans="1:151">
      <c r="A20" s="164">
        <v>9</v>
      </c>
      <c r="B20" s="166">
        <f t="shared" si="10"/>
        <v>-10572.058950540932</v>
      </c>
      <c r="C20" s="166">
        <f t="shared" si="2"/>
        <v>-4173.4734786315539</v>
      </c>
      <c r="D20" s="166">
        <f t="shared" si="3"/>
        <v>-6398.5854719093777</v>
      </c>
      <c r="E20" s="167">
        <f t="shared" si="11"/>
        <v>767830.25662912533</v>
      </c>
      <c r="F20" s="167">
        <f t="shared" si="4"/>
        <v>763656.78315049375</v>
      </c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0"/>
      <c r="BU20" s="164">
        <v>9</v>
      </c>
      <c r="BV20" s="166">
        <f t="shared" si="13"/>
        <v>0</v>
      </c>
      <c r="BW20" s="166">
        <f t="shared" si="6"/>
        <v>0</v>
      </c>
      <c r="BX20" s="166">
        <f t="shared" si="7"/>
        <v>0</v>
      </c>
      <c r="BY20" s="167">
        <f t="shared" si="14"/>
        <v>0</v>
      </c>
      <c r="BZ20" s="167">
        <f t="shared" si="8"/>
        <v>0</v>
      </c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</row>
    <row r="21" spans="1:151" ht="16.5" customHeight="1">
      <c r="A21" s="164">
        <v>10</v>
      </c>
      <c r="B21" s="166">
        <f t="shared" si="10"/>
        <v>-10572.058950540932</v>
      </c>
      <c r="C21" s="166">
        <f t="shared" si="2"/>
        <v>-4208.2524242868167</v>
      </c>
      <c r="D21" s="166">
        <f t="shared" si="3"/>
        <v>-6363.8065262541149</v>
      </c>
      <c r="E21" s="167">
        <f t="shared" si="11"/>
        <v>763656.78315049375</v>
      </c>
      <c r="F21" s="167">
        <f t="shared" si="4"/>
        <v>759448.53072620695</v>
      </c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0"/>
      <c r="BU21" s="164">
        <v>10</v>
      </c>
      <c r="BV21" s="166">
        <f t="shared" si="13"/>
        <v>0</v>
      </c>
      <c r="BW21" s="166">
        <f t="shared" si="6"/>
        <v>0</v>
      </c>
      <c r="BX21" s="166">
        <f t="shared" si="7"/>
        <v>0</v>
      </c>
      <c r="BY21" s="167">
        <f t="shared" si="14"/>
        <v>0</v>
      </c>
      <c r="BZ21" s="167">
        <f t="shared" si="8"/>
        <v>0</v>
      </c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</row>
    <row r="22" spans="1:151" ht="15.75" customHeight="1">
      <c r="A22" s="164">
        <v>11</v>
      </c>
      <c r="B22" s="166">
        <f t="shared" si="10"/>
        <v>-10572.058950540932</v>
      </c>
      <c r="C22" s="166">
        <f t="shared" si="2"/>
        <v>-4243.3211944892073</v>
      </c>
      <c r="D22" s="166">
        <f t="shared" si="3"/>
        <v>-6328.7377560517243</v>
      </c>
      <c r="E22" s="167">
        <f t="shared" si="11"/>
        <v>759448.53072620695</v>
      </c>
      <c r="F22" s="167">
        <f t="shared" si="4"/>
        <v>755205.2095317177</v>
      </c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0"/>
      <c r="BU22" s="164">
        <v>11</v>
      </c>
      <c r="BV22" s="166">
        <f t="shared" si="13"/>
        <v>0</v>
      </c>
      <c r="BW22" s="166">
        <f t="shared" si="6"/>
        <v>0</v>
      </c>
      <c r="BX22" s="166">
        <f t="shared" si="7"/>
        <v>0</v>
      </c>
      <c r="BY22" s="167">
        <f t="shared" si="14"/>
        <v>0</v>
      </c>
      <c r="BZ22" s="167">
        <f t="shared" si="8"/>
        <v>0</v>
      </c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</row>
    <row r="23" spans="1:151" ht="15.75" customHeight="1">
      <c r="A23" s="164">
        <v>12</v>
      </c>
      <c r="B23" s="166">
        <f t="shared" si="10"/>
        <v>-10572.058950540932</v>
      </c>
      <c r="C23" s="166">
        <f t="shared" si="2"/>
        <v>-4278.6822044432838</v>
      </c>
      <c r="D23" s="166">
        <f t="shared" si="3"/>
        <v>-6293.3767460976478</v>
      </c>
      <c r="E23" s="167">
        <f t="shared" si="11"/>
        <v>755205.2095317177</v>
      </c>
      <c r="F23" s="167">
        <f t="shared" si="4"/>
        <v>750926.52732727444</v>
      </c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0"/>
      <c r="BU23" s="164">
        <v>12</v>
      </c>
      <c r="BV23" s="166">
        <f t="shared" si="13"/>
        <v>0</v>
      </c>
      <c r="BW23" s="166">
        <f t="shared" si="6"/>
        <v>0</v>
      </c>
      <c r="BX23" s="166">
        <f t="shared" si="7"/>
        <v>0</v>
      </c>
      <c r="BY23" s="167">
        <f t="shared" si="14"/>
        <v>0</v>
      </c>
      <c r="BZ23" s="167">
        <f t="shared" si="8"/>
        <v>0</v>
      </c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</row>
    <row r="24" spans="1:151" ht="15.75" customHeight="1">
      <c r="A24" s="164">
        <v>13</v>
      </c>
      <c r="B24" s="166">
        <f t="shared" si="10"/>
        <v>-10572.058950540932</v>
      </c>
      <c r="C24" s="166">
        <f t="shared" si="2"/>
        <v>-4314.3378894803118</v>
      </c>
      <c r="D24" s="166">
        <f t="shared" si="3"/>
        <v>-6257.7210610606198</v>
      </c>
      <c r="E24" s="167">
        <f t="shared" si="11"/>
        <v>750926.52732727444</v>
      </c>
      <c r="F24" s="167">
        <f t="shared" si="4"/>
        <v>746612.18943779415</v>
      </c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0"/>
      <c r="BU24" s="164">
        <v>13</v>
      </c>
      <c r="BV24" s="166">
        <f t="shared" si="13"/>
        <v>0</v>
      </c>
      <c r="BW24" s="166">
        <f t="shared" si="6"/>
        <v>0</v>
      </c>
      <c r="BX24" s="166">
        <f t="shared" si="7"/>
        <v>0</v>
      </c>
      <c r="BY24" s="167">
        <f t="shared" si="14"/>
        <v>0</v>
      </c>
      <c r="BZ24" s="167">
        <f t="shared" si="8"/>
        <v>0</v>
      </c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</row>
    <row r="25" spans="1:151" ht="15.75" customHeight="1">
      <c r="A25" s="164">
        <v>14</v>
      </c>
      <c r="B25" s="166">
        <f t="shared" si="10"/>
        <v>-10572.058950540932</v>
      </c>
      <c r="C25" s="166">
        <f t="shared" si="2"/>
        <v>-4350.2907052259807</v>
      </c>
      <c r="D25" s="166">
        <f t="shared" si="3"/>
        <v>-6221.7682453149509</v>
      </c>
      <c r="E25" s="167">
        <f t="shared" si="11"/>
        <v>746612.18943779415</v>
      </c>
      <c r="F25" s="167">
        <f t="shared" si="4"/>
        <v>742261.89873256814</v>
      </c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0"/>
      <c r="BU25" s="164">
        <v>14</v>
      </c>
      <c r="BV25" s="166">
        <f t="shared" si="13"/>
        <v>0</v>
      </c>
      <c r="BW25" s="166">
        <f t="shared" si="6"/>
        <v>0</v>
      </c>
      <c r="BX25" s="166">
        <f t="shared" si="7"/>
        <v>0</v>
      </c>
      <c r="BY25" s="167">
        <f t="shared" si="14"/>
        <v>0</v>
      </c>
      <c r="BZ25" s="167">
        <f t="shared" si="8"/>
        <v>0</v>
      </c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</row>
    <row r="26" spans="1:151" ht="15.75" customHeight="1">
      <c r="A26" s="164">
        <v>15</v>
      </c>
      <c r="B26" s="166">
        <f t="shared" si="10"/>
        <v>-10572.058950540932</v>
      </c>
      <c r="C26" s="166">
        <f t="shared" si="2"/>
        <v>-4386.5431277695307</v>
      </c>
      <c r="D26" s="166">
        <f t="shared" si="3"/>
        <v>-6185.515822771401</v>
      </c>
      <c r="E26" s="167">
        <f t="shared" si="11"/>
        <v>742261.89873256814</v>
      </c>
      <c r="F26" s="167">
        <f t="shared" si="4"/>
        <v>737875.35560479865</v>
      </c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0"/>
      <c r="BU26" s="164">
        <v>15</v>
      </c>
      <c r="BV26" s="166">
        <f t="shared" si="13"/>
        <v>0</v>
      </c>
      <c r="BW26" s="166">
        <f t="shared" si="6"/>
        <v>0</v>
      </c>
      <c r="BX26" s="166">
        <f t="shared" si="7"/>
        <v>0</v>
      </c>
      <c r="BY26" s="167">
        <f t="shared" si="14"/>
        <v>0</v>
      </c>
      <c r="BZ26" s="167">
        <f t="shared" si="8"/>
        <v>0</v>
      </c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</row>
    <row r="27" spans="1:151" ht="15.75" customHeight="1">
      <c r="A27" s="164">
        <v>16</v>
      </c>
      <c r="B27" s="166">
        <f t="shared" si="10"/>
        <v>-10572.058950540932</v>
      </c>
      <c r="C27" s="166">
        <f t="shared" si="2"/>
        <v>-4423.0976538342766</v>
      </c>
      <c r="D27" s="166">
        <f t="shared" si="3"/>
        <v>-6148.961296706655</v>
      </c>
      <c r="E27" s="167">
        <f t="shared" si="11"/>
        <v>737875.35560479865</v>
      </c>
      <c r="F27" s="167">
        <f t="shared" si="4"/>
        <v>733452.25795096438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0"/>
      <c r="BU27" s="164">
        <v>16</v>
      </c>
      <c r="BV27" s="166">
        <f t="shared" si="13"/>
        <v>0</v>
      </c>
      <c r="BW27" s="166">
        <f t="shared" si="6"/>
        <v>0</v>
      </c>
      <c r="BX27" s="166">
        <f t="shared" si="7"/>
        <v>0</v>
      </c>
      <c r="BY27" s="167">
        <f t="shared" si="14"/>
        <v>0</v>
      </c>
      <c r="BZ27" s="167">
        <f t="shared" si="8"/>
        <v>0</v>
      </c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</row>
    <row r="28" spans="1:151" ht="15.75" customHeight="1">
      <c r="A28" s="164">
        <v>17</v>
      </c>
      <c r="B28" s="166">
        <f t="shared" si="10"/>
        <v>-10572.058950540932</v>
      </c>
      <c r="C28" s="166">
        <f t="shared" si="2"/>
        <v>-4459.9568009495615</v>
      </c>
      <c r="D28" s="166">
        <f t="shared" si="3"/>
        <v>-6112.1021495913701</v>
      </c>
      <c r="E28" s="167">
        <f t="shared" si="11"/>
        <v>733452.25795096438</v>
      </c>
      <c r="F28" s="167">
        <f t="shared" si="4"/>
        <v>728992.30115001486</v>
      </c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0"/>
      <c r="BU28" s="164">
        <v>17</v>
      </c>
      <c r="BV28" s="166">
        <f t="shared" si="13"/>
        <v>0</v>
      </c>
      <c r="BW28" s="166">
        <f t="shared" si="6"/>
        <v>0</v>
      </c>
      <c r="BX28" s="166">
        <f t="shared" si="7"/>
        <v>0</v>
      </c>
      <c r="BY28" s="167">
        <f t="shared" si="14"/>
        <v>0</v>
      </c>
      <c r="BZ28" s="167">
        <f t="shared" si="8"/>
        <v>0</v>
      </c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</row>
    <row r="29" spans="1:151" ht="15.75" customHeight="1">
      <c r="A29" s="164">
        <v>18</v>
      </c>
      <c r="B29" s="166">
        <f t="shared" si="10"/>
        <v>-10572.058950540932</v>
      </c>
      <c r="C29" s="166">
        <f t="shared" si="2"/>
        <v>-4497.1231076241411</v>
      </c>
      <c r="D29" s="166">
        <f t="shared" si="3"/>
        <v>-6074.9358429167905</v>
      </c>
      <c r="E29" s="167">
        <f t="shared" si="11"/>
        <v>728992.30115001486</v>
      </c>
      <c r="F29" s="167">
        <f t="shared" si="4"/>
        <v>724495.17804239073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0"/>
      <c r="BU29" s="164">
        <v>18</v>
      </c>
      <c r="BV29" s="166">
        <f t="shared" si="13"/>
        <v>0</v>
      </c>
      <c r="BW29" s="166">
        <f t="shared" si="6"/>
        <v>0</v>
      </c>
      <c r="BX29" s="166">
        <f t="shared" si="7"/>
        <v>0</v>
      </c>
      <c r="BY29" s="167">
        <f t="shared" si="14"/>
        <v>0</v>
      </c>
      <c r="BZ29" s="167">
        <f t="shared" si="8"/>
        <v>0</v>
      </c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</row>
    <row r="30" spans="1:151" ht="15.75" customHeight="1">
      <c r="A30" s="164">
        <v>19</v>
      </c>
      <c r="B30" s="166">
        <f t="shared" si="10"/>
        <v>-10572.058950540932</v>
      </c>
      <c r="C30" s="166">
        <f t="shared" si="2"/>
        <v>-4534.5991335210092</v>
      </c>
      <c r="D30" s="166">
        <f t="shared" si="3"/>
        <v>-6037.4598170199224</v>
      </c>
      <c r="E30" s="167">
        <f t="shared" si="11"/>
        <v>724495.17804239073</v>
      </c>
      <c r="F30" s="167">
        <f t="shared" si="4"/>
        <v>719960.57890886976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0"/>
      <c r="BU30" s="164">
        <v>19</v>
      </c>
      <c r="BV30" s="166">
        <f t="shared" si="13"/>
        <v>0</v>
      </c>
      <c r="BW30" s="166">
        <f t="shared" si="6"/>
        <v>0</v>
      </c>
      <c r="BX30" s="166">
        <f t="shared" si="7"/>
        <v>0</v>
      </c>
      <c r="BY30" s="167">
        <f t="shared" si="14"/>
        <v>0</v>
      </c>
      <c r="BZ30" s="167">
        <f t="shared" si="8"/>
        <v>0</v>
      </c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</row>
    <row r="31" spans="1:151" ht="15.75" customHeight="1">
      <c r="A31" s="164">
        <v>20</v>
      </c>
      <c r="B31" s="166">
        <f t="shared" si="10"/>
        <v>-10572.058950540932</v>
      </c>
      <c r="C31" s="166">
        <f t="shared" si="2"/>
        <v>-4572.3874596336836</v>
      </c>
      <c r="D31" s="166">
        <f t="shared" si="3"/>
        <v>-5999.671490907248</v>
      </c>
      <c r="E31" s="167">
        <f t="shared" si="11"/>
        <v>719960.57890886976</v>
      </c>
      <c r="F31" s="167">
        <f t="shared" si="4"/>
        <v>715388.19144923612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0"/>
      <c r="BU31" s="164">
        <v>20</v>
      </c>
      <c r="BV31" s="166">
        <f t="shared" si="13"/>
        <v>0</v>
      </c>
      <c r="BW31" s="166">
        <f t="shared" si="6"/>
        <v>0</v>
      </c>
      <c r="BX31" s="166">
        <f t="shared" si="7"/>
        <v>0</v>
      </c>
      <c r="BY31" s="167">
        <f t="shared" si="14"/>
        <v>0</v>
      </c>
      <c r="BZ31" s="167">
        <f t="shared" si="8"/>
        <v>0</v>
      </c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</row>
    <row r="32" spans="1:151" ht="15.75" customHeight="1">
      <c r="A32" s="164">
        <v>21</v>
      </c>
      <c r="B32" s="166">
        <f t="shared" si="10"/>
        <v>-10572.058950540932</v>
      </c>
      <c r="C32" s="166">
        <f t="shared" si="2"/>
        <v>-4610.490688463964</v>
      </c>
      <c r="D32" s="166">
        <f t="shared" si="3"/>
        <v>-5961.5682620769676</v>
      </c>
      <c r="E32" s="167">
        <f t="shared" si="11"/>
        <v>715388.19144923612</v>
      </c>
      <c r="F32" s="167">
        <f t="shared" si="4"/>
        <v>710777.70076077222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0"/>
      <c r="BU32" s="164">
        <v>21</v>
      </c>
      <c r="BV32" s="166">
        <f t="shared" si="13"/>
        <v>0</v>
      </c>
      <c r="BW32" s="166">
        <f t="shared" si="6"/>
        <v>0</v>
      </c>
      <c r="BX32" s="166">
        <f t="shared" si="7"/>
        <v>0</v>
      </c>
      <c r="BY32" s="167">
        <f t="shared" si="14"/>
        <v>0</v>
      </c>
      <c r="BZ32" s="167">
        <f t="shared" si="8"/>
        <v>0</v>
      </c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</row>
    <row r="33" spans="1:151" ht="15.75" customHeight="1">
      <c r="A33" s="164">
        <v>22</v>
      </c>
      <c r="B33" s="166">
        <f t="shared" si="10"/>
        <v>-10572.058950540932</v>
      </c>
      <c r="C33" s="166">
        <f t="shared" si="2"/>
        <v>-4648.9114442011632</v>
      </c>
      <c r="D33" s="166">
        <f t="shared" si="3"/>
        <v>-5923.1475063397684</v>
      </c>
      <c r="E33" s="167">
        <f t="shared" si="11"/>
        <v>710777.70076077222</v>
      </c>
      <c r="F33" s="167">
        <f t="shared" si="4"/>
        <v>706128.78931657108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0"/>
      <c r="BU33" s="164">
        <v>22</v>
      </c>
      <c r="BV33" s="166">
        <f t="shared" si="13"/>
        <v>0</v>
      </c>
      <c r="BW33" s="166">
        <f t="shared" si="6"/>
        <v>0</v>
      </c>
      <c r="BX33" s="166">
        <f t="shared" si="7"/>
        <v>0</v>
      </c>
      <c r="BY33" s="167">
        <f t="shared" si="14"/>
        <v>0</v>
      </c>
      <c r="BZ33" s="167">
        <f t="shared" si="8"/>
        <v>0</v>
      </c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</row>
    <row r="34" spans="1:151" ht="15.75" customHeight="1">
      <c r="A34" s="164">
        <v>23</v>
      </c>
      <c r="B34" s="166">
        <f t="shared" si="10"/>
        <v>-10572.058950540932</v>
      </c>
      <c r="C34" s="166">
        <f t="shared" si="2"/>
        <v>-4687.6523729028395</v>
      </c>
      <c r="D34" s="166">
        <f t="shared" si="3"/>
        <v>-5884.4065776380921</v>
      </c>
      <c r="E34" s="167">
        <f t="shared" si="11"/>
        <v>706128.78931657108</v>
      </c>
      <c r="F34" s="167">
        <f t="shared" si="4"/>
        <v>701441.13694366824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0"/>
      <c r="BU34" s="164">
        <v>23</v>
      </c>
      <c r="BV34" s="166">
        <f t="shared" si="13"/>
        <v>0</v>
      </c>
      <c r="BW34" s="166">
        <f t="shared" si="6"/>
        <v>0</v>
      </c>
      <c r="BX34" s="166">
        <f t="shared" si="7"/>
        <v>0</v>
      </c>
      <c r="BY34" s="167">
        <f t="shared" si="14"/>
        <v>0</v>
      </c>
      <c r="BZ34" s="167">
        <f t="shared" si="8"/>
        <v>0</v>
      </c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</row>
    <row r="35" spans="1:151" ht="15.75" customHeight="1">
      <c r="A35" s="164">
        <v>24</v>
      </c>
      <c r="B35" s="166">
        <f t="shared" si="10"/>
        <v>-10572.058950540932</v>
      </c>
      <c r="C35" s="166">
        <f t="shared" si="2"/>
        <v>-4726.7161426770299</v>
      </c>
      <c r="D35" s="166">
        <f t="shared" si="3"/>
        <v>-5845.3428078639017</v>
      </c>
      <c r="E35" s="167">
        <f t="shared" si="11"/>
        <v>701441.13694366824</v>
      </c>
      <c r="F35" s="167">
        <f t="shared" si="4"/>
        <v>696714.42080099124</v>
      </c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0"/>
      <c r="BU35" s="164">
        <v>24</v>
      </c>
      <c r="BV35" s="166">
        <f t="shared" si="13"/>
        <v>0</v>
      </c>
      <c r="BW35" s="166">
        <f t="shared" si="6"/>
        <v>0</v>
      </c>
      <c r="BX35" s="166">
        <f t="shared" si="7"/>
        <v>0</v>
      </c>
      <c r="BY35" s="167">
        <f t="shared" si="14"/>
        <v>0</v>
      </c>
      <c r="BZ35" s="167">
        <f t="shared" si="8"/>
        <v>0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</row>
    <row r="36" spans="1:151" ht="15.75" customHeight="1">
      <c r="A36" s="164">
        <v>25</v>
      </c>
      <c r="B36" s="166">
        <f t="shared" si="10"/>
        <v>-10572.058950540932</v>
      </c>
      <c r="C36" s="166">
        <f t="shared" si="2"/>
        <v>-4766.1054438660049</v>
      </c>
      <c r="D36" s="166">
        <f t="shared" si="3"/>
        <v>-5805.9535066749268</v>
      </c>
      <c r="E36" s="167">
        <f t="shared" si="11"/>
        <v>696714.42080099124</v>
      </c>
      <c r="F36" s="167">
        <f t="shared" si="4"/>
        <v>691948.31535712525</v>
      </c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0"/>
      <c r="BU36" s="164">
        <v>25</v>
      </c>
      <c r="BV36" s="166">
        <f t="shared" si="13"/>
        <v>0</v>
      </c>
      <c r="BW36" s="166">
        <f t="shared" si="6"/>
        <v>0</v>
      </c>
      <c r="BX36" s="166">
        <f t="shared" si="7"/>
        <v>0</v>
      </c>
      <c r="BY36" s="167">
        <f t="shared" si="14"/>
        <v>0</v>
      </c>
      <c r="BZ36" s="167">
        <f t="shared" si="8"/>
        <v>0</v>
      </c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</row>
    <row r="37" spans="1:151" ht="15.75" customHeight="1">
      <c r="A37" s="164">
        <v>26</v>
      </c>
      <c r="B37" s="166">
        <f t="shared" si="10"/>
        <v>-10572.058950540932</v>
      </c>
      <c r="C37" s="166">
        <f t="shared" si="2"/>
        <v>-4805.8229892315549</v>
      </c>
      <c r="D37" s="166">
        <f t="shared" si="3"/>
        <v>-5766.2359613093768</v>
      </c>
      <c r="E37" s="167">
        <f t="shared" si="11"/>
        <v>691948.31535712525</v>
      </c>
      <c r="F37" s="167">
        <f t="shared" si="4"/>
        <v>687142.49236789369</v>
      </c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0"/>
      <c r="BU37" s="164">
        <v>26</v>
      </c>
      <c r="BV37" s="166">
        <f t="shared" si="13"/>
        <v>0</v>
      </c>
      <c r="BW37" s="166">
        <f t="shared" si="6"/>
        <v>0</v>
      </c>
      <c r="BX37" s="166">
        <f t="shared" si="7"/>
        <v>0</v>
      </c>
      <c r="BY37" s="167">
        <f t="shared" si="14"/>
        <v>0</v>
      </c>
      <c r="BZ37" s="167">
        <f t="shared" si="8"/>
        <v>0</v>
      </c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</row>
    <row r="38" spans="1:151" ht="15.75" customHeight="1">
      <c r="A38" s="164">
        <v>27</v>
      </c>
      <c r="B38" s="166">
        <f t="shared" si="10"/>
        <v>-10572.058950540932</v>
      </c>
      <c r="C38" s="166">
        <f t="shared" si="2"/>
        <v>-4845.8715141418179</v>
      </c>
      <c r="D38" s="166">
        <f t="shared" si="3"/>
        <v>-5726.1874363991137</v>
      </c>
      <c r="E38" s="167">
        <f t="shared" si="11"/>
        <v>687142.49236789369</v>
      </c>
      <c r="F38" s="167">
        <f t="shared" si="4"/>
        <v>682296.6208537519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0"/>
      <c r="BU38" s="164">
        <v>27</v>
      </c>
      <c r="BV38" s="166">
        <f t="shared" si="13"/>
        <v>0</v>
      </c>
      <c r="BW38" s="166">
        <f t="shared" si="6"/>
        <v>0</v>
      </c>
      <c r="BX38" s="166">
        <f t="shared" si="7"/>
        <v>0</v>
      </c>
      <c r="BY38" s="167">
        <f t="shared" si="14"/>
        <v>0</v>
      </c>
      <c r="BZ38" s="167">
        <f t="shared" si="8"/>
        <v>0</v>
      </c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</row>
    <row r="39" spans="1:151" ht="15.75" customHeight="1">
      <c r="A39" s="164">
        <v>28</v>
      </c>
      <c r="B39" s="166">
        <f t="shared" si="10"/>
        <v>-10572.058950540932</v>
      </c>
      <c r="C39" s="166">
        <f t="shared" si="2"/>
        <v>-4886.2537767596659</v>
      </c>
      <c r="D39" s="166">
        <f t="shared" si="3"/>
        <v>-5685.8051737812657</v>
      </c>
      <c r="E39" s="167">
        <f t="shared" si="11"/>
        <v>682296.6208537519</v>
      </c>
      <c r="F39" s="167">
        <f t="shared" si="4"/>
        <v>677410.36707699229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0"/>
      <c r="BU39" s="164">
        <v>28</v>
      </c>
      <c r="BV39" s="166">
        <f t="shared" si="13"/>
        <v>0</v>
      </c>
      <c r="BW39" s="166">
        <f t="shared" si="6"/>
        <v>0</v>
      </c>
      <c r="BX39" s="166">
        <f t="shared" si="7"/>
        <v>0</v>
      </c>
      <c r="BY39" s="167">
        <f t="shared" si="14"/>
        <v>0</v>
      </c>
      <c r="BZ39" s="167">
        <f t="shared" si="8"/>
        <v>0</v>
      </c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</row>
    <row r="40" spans="1:151" ht="15.75" customHeight="1">
      <c r="A40" s="164">
        <v>29</v>
      </c>
      <c r="B40" s="166">
        <f t="shared" si="10"/>
        <v>-10572.058950540932</v>
      </c>
      <c r="C40" s="166">
        <f t="shared" si="2"/>
        <v>-4926.9725582326628</v>
      </c>
      <c r="D40" s="166">
        <f t="shared" si="3"/>
        <v>-5645.0863923082688</v>
      </c>
      <c r="E40" s="167">
        <f t="shared" si="11"/>
        <v>677410.36707699229</v>
      </c>
      <c r="F40" s="167">
        <f t="shared" si="4"/>
        <v>672483.39451875968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0"/>
      <c r="BU40" s="164">
        <v>29</v>
      </c>
      <c r="BV40" s="166">
        <f t="shared" si="13"/>
        <v>0</v>
      </c>
      <c r="BW40" s="166">
        <f t="shared" si="6"/>
        <v>0</v>
      </c>
      <c r="BX40" s="166">
        <f t="shared" si="7"/>
        <v>0</v>
      </c>
      <c r="BY40" s="167">
        <f t="shared" si="14"/>
        <v>0</v>
      </c>
      <c r="BZ40" s="167">
        <f t="shared" si="8"/>
        <v>0</v>
      </c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</row>
    <row r="41" spans="1:151" ht="15.75" customHeight="1">
      <c r="A41" s="164">
        <v>30</v>
      </c>
      <c r="B41" s="166">
        <f t="shared" si="10"/>
        <v>-10572.058950540932</v>
      </c>
      <c r="C41" s="166">
        <f t="shared" si="2"/>
        <v>-4968.030662884601</v>
      </c>
      <c r="D41" s="166">
        <f t="shared" si="3"/>
        <v>-5604.0282876563306</v>
      </c>
      <c r="E41" s="167">
        <f t="shared" si="11"/>
        <v>672483.39451875968</v>
      </c>
      <c r="F41" s="167">
        <f t="shared" si="4"/>
        <v>667515.3638558751</v>
      </c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0"/>
      <c r="BU41" s="164">
        <v>30</v>
      </c>
      <c r="BV41" s="166">
        <f t="shared" si="13"/>
        <v>0</v>
      </c>
      <c r="BW41" s="166">
        <f t="shared" si="6"/>
        <v>0</v>
      </c>
      <c r="BX41" s="166">
        <f t="shared" si="7"/>
        <v>0</v>
      </c>
      <c r="BY41" s="167">
        <f t="shared" si="14"/>
        <v>0</v>
      </c>
      <c r="BZ41" s="167">
        <f t="shared" si="8"/>
        <v>0</v>
      </c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</row>
    <row r="42" spans="1:151" ht="15.75" customHeight="1">
      <c r="A42" s="164">
        <v>31</v>
      </c>
      <c r="B42" s="166">
        <f t="shared" si="10"/>
        <v>-10572.058950540932</v>
      </c>
      <c r="C42" s="166">
        <f t="shared" si="2"/>
        <v>-5009.4309184086396</v>
      </c>
      <c r="D42" s="166">
        <f t="shared" si="3"/>
        <v>-5562.628032132292</v>
      </c>
      <c r="E42" s="167">
        <f t="shared" si="11"/>
        <v>667515.3638558751</v>
      </c>
      <c r="F42" s="167">
        <f t="shared" si="4"/>
        <v>662505.93293746642</v>
      </c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0"/>
      <c r="BU42" s="164">
        <v>31</v>
      </c>
      <c r="BV42" s="166">
        <f t="shared" si="13"/>
        <v>0</v>
      </c>
      <c r="BW42" s="166">
        <f t="shared" si="6"/>
        <v>0</v>
      </c>
      <c r="BX42" s="166">
        <f t="shared" si="7"/>
        <v>0</v>
      </c>
      <c r="BY42" s="167">
        <f t="shared" si="14"/>
        <v>0</v>
      </c>
      <c r="BZ42" s="167">
        <f t="shared" si="8"/>
        <v>0</v>
      </c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</row>
    <row r="43" spans="1:151" ht="15.75" customHeight="1">
      <c r="A43" s="164">
        <v>32</v>
      </c>
      <c r="B43" s="166">
        <f t="shared" si="10"/>
        <v>-10572.058950540932</v>
      </c>
      <c r="C43" s="166">
        <f t="shared" si="2"/>
        <v>-5051.1761760620448</v>
      </c>
      <c r="D43" s="166">
        <f t="shared" si="3"/>
        <v>-5520.8827744788869</v>
      </c>
      <c r="E43" s="167">
        <f t="shared" si="11"/>
        <v>662505.93293746642</v>
      </c>
      <c r="F43" s="167">
        <f t="shared" si="4"/>
        <v>657454.75676140434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0"/>
      <c r="BU43" s="164">
        <v>32</v>
      </c>
      <c r="BV43" s="166">
        <f t="shared" si="13"/>
        <v>0</v>
      </c>
      <c r="BW43" s="166">
        <f t="shared" si="6"/>
        <v>0</v>
      </c>
      <c r="BX43" s="166">
        <f t="shared" si="7"/>
        <v>0</v>
      </c>
      <c r="BY43" s="167">
        <f t="shared" si="14"/>
        <v>0</v>
      </c>
      <c r="BZ43" s="167">
        <f t="shared" si="8"/>
        <v>0</v>
      </c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</row>
    <row r="44" spans="1:151" ht="15.75" customHeight="1">
      <c r="A44" s="164">
        <v>33</v>
      </c>
      <c r="B44" s="166">
        <f t="shared" si="10"/>
        <v>-10572.058950540932</v>
      </c>
      <c r="C44" s="166">
        <f t="shared" si="2"/>
        <v>-5093.2693108625626</v>
      </c>
      <c r="D44" s="166">
        <f t="shared" si="3"/>
        <v>-5478.789639678369</v>
      </c>
      <c r="E44" s="167">
        <f t="shared" si="11"/>
        <v>657454.75676140434</v>
      </c>
      <c r="F44" s="167">
        <f t="shared" si="4"/>
        <v>652361.48745054181</v>
      </c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0"/>
      <c r="BU44" s="164">
        <v>33</v>
      </c>
      <c r="BV44" s="166">
        <f t="shared" si="13"/>
        <v>0</v>
      </c>
      <c r="BW44" s="166">
        <f t="shared" si="6"/>
        <v>0</v>
      </c>
      <c r="BX44" s="166">
        <f t="shared" si="7"/>
        <v>0</v>
      </c>
      <c r="BY44" s="167">
        <f t="shared" si="14"/>
        <v>0</v>
      </c>
      <c r="BZ44" s="167">
        <f t="shared" si="8"/>
        <v>0</v>
      </c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</row>
    <row r="45" spans="1:151" ht="15.75" customHeight="1">
      <c r="A45" s="164">
        <v>34</v>
      </c>
      <c r="B45" s="166">
        <f t="shared" si="10"/>
        <v>-10572.058950540932</v>
      </c>
      <c r="C45" s="166">
        <f t="shared" si="2"/>
        <v>-5135.7132217864164</v>
      </c>
      <c r="D45" s="166">
        <f t="shared" si="3"/>
        <v>-5436.3457287545152</v>
      </c>
      <c r="E45" s="167">
        <f t="shared" si="11"/>
        <v>652361.48745054181</v>
      </c>
      <c r="F45" s="167">
        <f t="shared" si="4"/>
        <v>647225.77422875538</v>
      </c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0"/>
      <c r="BU45" s="164">
        <v>34</v>
      </c>
      <c r="BV45" s="166">
        <f t="shared" si="13"/>
        <v>0</v>
      </c>
      <c r="BW45" s="166">
        <f t="shared" si="6"/>
        <v>0</v>
      </c>
      <c r="BX45" s="166">
        <f t="shared" si="7"/>
        <v>0</v>
      </c>
      <c r="BY45" s="167">
        <f t="shared" si="14"/>
        <v>0</v>
      </c>
      <c r="BZ45" s="167">
        <f t="shared" si="8"/>
        <v>0</v>
      </c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</row>
    <row r="46" spans="1:151" ht="15.75" customHeight="1">
      <c r="A46" s="164">
        <v>35</v>
      </c>
      <c r="B46" s="166">
        <f t="shared" si="10"/>
        <v>-10572.058950540932</v>
      </c>
      <c r="C46" s="166">
        <f t="shared" si="2"/>
        <v>-5178.5108319679703</v>
      </c>
      <c r="D46" s="166">
        <f t="shared" si="3"/>
        <v>-5393.5481185729614</v>
      </c>
      <c r="E46" s="167">
        <f t="shared" si="11"/>
        <v>647225.77422875538</v>
      </c>
      <c r="F46" s="167">
        <f t="shared" si="4"/>
        <v>642047.26339678746</v>
      </c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0"/>
      <c r="BU46" s="164">
        <v>35</v>
      </c>
      <c r="BV46" s="166">
        <f t="shared" si="13"/>
        <v>0</v>
      </c>
      <c r="BW46" s="166">
        <f t="shared" si="6"/>
        <v>0</v>
      </c>
      <c r="BX46" s="166">
        <f t="shared" si="7"/>
        <v>0</v>
      </c>
      <c r="BY46" s="167">
        <f t="shared" si="14"/>
        <v>0</v>
      </c>
      <c r="BZ46" s="167">
        <f t="shared" si="8"/>
        <v>0</v>
      </c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</row>
    <row r="47" spans="1:151" ht="15.75" customHeight="1">
      <c r="A47" s="164">
        <v>36</v>
      </c>
      <c r="B47" s="166">
        <f t="shared" si="10"/>
        <v>-10572.058950540932</v>
      </c>
      <c r="C47" s="166">
        <f t="shared" si="2"/>
        <v>-5221.6650889010361</v>
      </c>
      <c r="D47" s="166">
        <f t="shared" si="3"/>
        <v>-5350.3938616398955</v>
      </c>
      <c r="E47" s="167">
        <f t="shared" si="11"/>
        <v>642047.26339678746</v>
      </c>
      <c r="F47" s="167">
        <f t="shared" si="4"/>
        <v>636825.59830788639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0"/>
      <c r="BU47" s="164">
        <v>36</v>
      </c>
      <c r="BV47" s="166">
        <f t="shared" si="13"/>
        <v>0</v>
      </c>
      <c r="BW47" s="166">
        <f t="shared" si="6"/>
        <v>0</v>
      </c>
      <c r="BX47" s="166">
        <f t="shared" si="7"/>
        <v>0</v>
      </c>
      <c r="BY47" s="167">
        <f t="shared" si="14"/>
        <v>0</v>
      </c>
      <c r="BZ47" s="167">
        <f t="shared" si="8"/>
        <v>0</v>
      </c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</row>
    <row r="48" spans="1:151" ht="15.75" customHeight="1">
      <c r="A48" s="164">
        <v>37</v>
      </c>
      <c r="B48" s="166">
        <f t="shared" si="10"/>
        <v>-10572.058950540932</v>
      </c>
      <c r="C48" s="166">
        <f t="shared" si="2"/>
        <v>-5265.1789646418783</v>
      </c>
      <c r="D48" s="166">
        <f t="shared" si="3"/>
        <v>-5306.8799858990533</v>
      </c>
      <c r="E48" s="167">
        <f t="shared" si="11"/>
        <v>636825.59830788639</v>
      </c>
      <c r="F48" s="167">
        <f t="shared" si="4"/>
        <v>631560.41934324452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0"/>
      <c r="BU48" s="164">
        <v>37</v>
      </c>
      <c r="BV48" s="166">
        <f t="shared" si="13"/>
        <v>0</v>
      </c>
      <c r="BW48" s="166">
        <f t="shared" si="6"/>
        <v>0</v>
      </c>
      <c r="BX48" s="166">
        <f t="shared" si="7"/>
        <v>0</v>
      </c>
      <c r="BY48" s="167">
        <f t="shared" si="14"/>
        <v>0</v>
      </c>
      <c r="BZ48" s="167">
        <f t="shared" si="8"/>
        <v>0</v>
      </c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</row>
    <row r="49" spans="1:151" ht="15.75" customHeight="1">
      <c r="A49" s="164">
        <v>38</v>
      </c>
      <c r="B49" s="166">
        <f t="shared" si="10"/>
        <v>-10572.058950540932</v>
      </c>
      <c r="C49" s="166">
        <f t="shared" si="2"/>
        <v>-5309.0554560138944</v>
      </c>
      <c r="D49" s="166">
        <f t="shared" si="3"/>
        <v>-5263.0034945270372</v>
      </c>
      <c r="E49" s="167">
        <f t="shared" si="11"/>
        <v>631560.41934324452</v>
      </c>
      <c r="F49" s="167">
        <f t="shared" si="4"/>
        <v>626251.36388723063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0"/>
      <c r="BU49" s="164">
        <v>38</v>
      </c>
      <c r="BV49" s="166">
        <f t="shared" si="13"/>
        <v>0</v>
      </c>
      <c r="BW49" s="166">
        <f t="shared" si="6"/>
        <v>0</v>
      </c>
      <c r="BX49" s="166">
        <f t="shared" si="7"/>
        <v>0</v>
      </c>
      <c r="BY49" s="167">
        <f t="shared" si="14"/>
        <v>0</v>
      </c>
      <c r="BZ49" s="167">
        <f t="shared" si="8"/>
        <v>0</v>
      </c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</row>
    <row r="50" spans="1:151" ht="15.75" customHeight="1">
      <c r="A50" s="164">
        <v>39</v>
      </c>
      <c r="B50" s="166">
        <f t="shared" si="10"/>
        <v>-10572.058950540932</v>
      </c>
      <c r="C50" s="166">
        <f t="shared" si="2"/>
        <v>-5353.2975848140095</v>
      </c>
      <c r="D50" s="166">
        <f t="shared" si="3"/>
        <v>-5218.7613657269221</v>
      </c>
      <c r="E50" s="167">
        <f t="shared" si="11"/>
        <v>626251.36388723063</v>
      </c>
      <c r="F50" s="167">
        <f t="shared" si="4"/>
        <v>620898.06630241661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0"/>
      <c r="BU50" s="164">
        <v>39</v>
      </c>
      <c r="BV50" s="166">
        <f t="shared" si="13"/>
        <v>0</v>
      </c>
      <c r="BW50" s="166">
        <f t="shared" si="6"/>
        <v>0</v>
      </c>
      <c r="BX50" s="166">
        <f t="shared" si="7"/>
        <v>0</v>
      </c>
      <c r="BY50" s="167">
        <f t="shared" si="14"/>
        <v>0</v>
      </c>
      <c r="BZ50" s="167">
        <f t="shared" si="8"/>
        <v>0</v>
      </c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</row>
    <row r="51" spans="1:151" ht="15.75" customHeight="1">
      <c r="A51" s="164">
        <v>40</v>
      </c>
      <c r="B51" s="166">
        <f t="shared" si="10"/>
        <v>-10572.058950540932</v>
      </c>
      <c r="C51" s="166">
        <f t="shared" si="2"/>
        <v>-5397.9083980207934</v>
      </c>
      <c r="D51" s="166">
        <f t="shared" si="3"/>
        <v>-5174.1505525201383</v>
      </c>
      <c r="E51" s="167">
        <f t="shared" si="11"/>
        <v>620898.06630241661</v>
      </c>
      <c r="F51" s="167">
        <f t="shared" si="4"/>
        <v>615500.15790439583</v>
      </c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0"/>
      <c r="BU51" s="164">
        <v>40</v>
      </c>
      <c r="BV51" s="166">
        <f t="shared" si="13"/>
        <v>0</v>
      </c>
      <c r="BW51" s="166">
        <f t="shared" si="6"/>
        <v>0</v>
      </c>
      <c r="BX51" s="166">
        <f t="shared" si="7"/>
        <v>0</v>
      </c>
      <c r="BY51" s="167">
        <f t="shared" si="14"/>
        <v>0</v>
      </c>
      <c r="BZ51" s="167">
        <f t="shared" si="8"/>
        <v>0</v>
      </c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</row>
    <row r="52" spans="1:151" ht="15.75" customHeight="1">
      <c r="A52" s="164">
        <v>41</v>
      </c>
      <c r="B52" s="166">
        <f t="shared" si="10"/>
        <v>-10572.058950540932</v>
      </c>
      <c r="C52" s="166">
        <f t="shared" si="2"/>
        <v>-5442.8909680042998</v>
      </c>
      <c r="D52" s="166">
        <f t="shared" si="3"/>
        <v>-5129.1679825366318</v>
      </c>
      <c r="E52" s="167">
        <f t="shared" si="11"/>
        <v>615500.15790439583</v>
      </c>
      <c r="F52" s="167">
        <f t="shared" si="4"/>
        <v>610057.26693639159</v>
      </c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0"/>
      <c r="BU52" s="164">
        <v>41</v>
      </c>
      <c r="BV52" s="166">
        <f t="shared" si="13"/>
        <v>0</v>
      </c>
      <c r="BW52" s="166">
        <f t="shared" si="6"/>
        <v>0</v>
      </c>
      <c r="BX52" s="166">
        <f t="shared" si="7"/>
        <v>0</v>
      </c>
      <c r="BY52" s="167">
        <f t="shared" si="14"/>
        <v>0</v>
      </c>
      <c r="BZ52" s="167">
        <f t="shared" si="8"/>
        <v>0</v>
      </c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</row>
    <row r="53" spans="1:151" ht="15.75" customHeight="1">
      <c r="A53" s="164">
        <v>42</v>
      </c>
      <c r="B53" s="166">
        <f t="shared" si="10"/>
        <v>-10572.058950540932</v>
      </c>
      <c r="C53" s="166">
        <f t="shared" si="2"/>
        <v>-5488.2483927376688</v>
      </c>
      <c r="D53" s="166">
        <f t="shared" si="3"/>
        <v>-5083.8105578032628</v>
      </c>
      <c r="E53" s="167">
        <f t="shared" si="11"/>
        <v>610057.26693639159</v>
      </c>
      <c r="F53" s="167">
        <f t="shared" si="4"/>
        <v>604569.01854365389</v>
      </c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0"/>
      <c r="BU53" s="164">
        <v>42</v>
      </c>
      <c r="BV53" s="166">
        <f t="shared" si="13"/>
        <v>0</v>
      </c>
      <c r="BW53" s="166">
        <f t="shared" si="6"/>
        <v>0</v>
      </c>
      <c r="BX53" s="166">
        <f t="shared" si="7"/>
        <v>0</v>
      </c>
      <c r="BY53" s="167">
        <f t="shared" si="14"/>
        <v>0</v>
      </c>
      <c r="BZ53" s="167">
        <f t="shared" si="8"/>
        <v>0</v>
      </c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</row>
    <row r="54" spans="1:151" ht="15.75" customHeight="1">
      <c r="A54" s="164">
        <v>43</v>
      </c>
      <c r="B54" s="166">
        <f t="shared" si="10"/>
        <v>-10572.058950540932</v>
      </c>
      <c r="C54" s="166">
        <f t="shared" si="2"/>
        <v>-5533.9837960104824</v>
      </c>
      <c r="D54" s="166">
        <f t="shared" si="3"/>
        <v>-5038.0751545304493</v>
      </c>
      <c r="E54" s="167">
        <f t="shared" si="11"/>
        <v>604569.01854365389</v>
      </c>
      <c r="F54" s="167">
        <f t="shared" si="4"/>
        <v>599035.0347476434</v>
      </c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0"/>
      <c r="BU54" s="164">
        <v>43</v>
      </c>
      <c r="BV54" s="166">
        <f t="shared" si="13"/>
        <v>0</v>
      </c>
      <c r="BW54" s="166">
        <f t="shared" si="6"/>
        <v>0</v>
      </c>
      <c r="BX54" s="166">
        <f t="shared" si="7"/>
        <v>0</v>
      </c>
      <c r="BY54" s="167">
        <f t="shared" si="14"/>
        <v>0</v>
      </c>
      <c r="BZ54" s="167">
        <f t="shared" si="8"/>
        <v>0</v>
      </c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</row>
    <row r="55" spans="1:151" ht="15.75" customHeight="1">
      <c r="A55" s="164">
        <v>44</v>
      </c>
      <c r="B55" s="166">
        <f t="shared" si="10"/>
        <v>-10572.058950540932</v>
      </c>
      <c r="C55" s="166">
        <f t="shared" si="2"/>
        <v>-5580.1003276439033</v>
      </c>
      <c r="D55" s="166">
        <f t="shared" si="3"/>
        <v>-4991.9586228970284</v>
      </c>
      <c r="E55" s="167">
        <f t="shared" si="11"/>
        <v>599035.0347476434</v>
      </c>
      <c r="F55" s="167">
        <f t="shared" si="4"/>
        <v>593454.93441999948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0"/>
      <c r="BU55" s="164">
        <v>44</v>
      </c>
      <c r="BV55" s="166">
        <f t="shared" si="13"/>
        <v>0</v>
      </c>
      <c r="BW55" s="166">
        <f t="shared" si="6"/>
        <v>0</v>
      </c>
      <c r="BX55" s="166">
        <f t="shared" si="7"/>
        <v>0</v>
      </c>
      <c r="BY55" s="167">
        <f t="shared" si="14"/>
        <v>0</v>
      </c>
      <c r="BZ55" s="167">
        <f t="shared" si="8"/>
        <v>0</v>
      </c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</row>
    <row r="56" spans="1:151" ht="15.75" customHeight="1">
      <c r="A56" s="164">
        <v>45</v>
      </c>
      <c r="B56" s="166">
        <f t="shared" si="10"/>
        <v>-10572.058950540932</v>
      </c>
      <c r="C56" s="166">
        <f t="shared" si="2"/>
        <v>-5626.6011637076026</v>
      </c>
      <c r="D56" s="166">
        <f t="shared" si="3"/>
        <v>-4945.457786833329</v>
      </c>
      <c r="E56" s="167">
        <f t="shared" si="11"/>
        <v>593454.93441999948</v>
      </c>
      <c r="F56" s="167">
        <f t="shared" si="4"/>
        <v>587828.33325629192</v>
      </c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0"/>
      <c r="BU56" s="164">
        <v>45</v>
      </c>
      <c r="BV56" s="166">
        <f t="shared" si="13"/>
        <v>0</v>
      </c>
      <c r="BW56" s="166">
        <f t="shared" si="6"/>
        <v>0</v>
      </c>
      <c r="BX56" s="166">
        <f t="shared" si="7"/>
        <v>0</v>
      </c>
      <c r="BY56" s="167">
        <f t="shared" si="14"/>
        <v>0</v>
      </c>
      <c r="BZ56" s="167">
        <f t="shared" si="8"/>
        <v>0</v>
      </c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</row>
    <row r="57" spans="1:151" ht="15.75" customHeight="1">
      <c r="A57" s="164">
        <v>46</v>
      </c>
      <c r="B57" s="166">
        <f t="shared" si="10"/>
        <v>-10572.058950540932</v>
      </c>
      <c r="C57" s="166">
        <f t="shared" si="2"/>
        <v>-5673.4895067384987</v>
      </c>
      <c r="D57" s="166">
        <f t="shared" si="3"/>
        <v>-4898.5694438024329</v>
      </c>
      <c r="E57" s="167">
        <f t="shared" si="11"/>
        <v>587828.33325629192</v>
      </c>
      <c r="F57" s="167">
        <f t="shared" si="4"/>
        <v>582154.84374955343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0"/>
      <c r="BU57" s="164">
        <v>46</v>
      </c>
      <c r="BV57" s="166">
        <f t="shared" si="13"/>
        <v>0</v>
      </c>
      <c r="BW57" s="166">
        <f t="shared" si="6"/>
        <v>0</v>
      </c>
      <c r="BX57" s="166">
        <f t="shared" si="7"/>
        <v>0</v>
      </c>
      <c r="BY57" s="167">
        <f t="shared" si="14"/>
        <v>0</v>
      </c>
      <c r="BZ57" s="167">
        <f t="shared" si="8"/>
        <v>0</v>
      </c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</row>
    <row r="58" spans="1:151" ht="15.75" customHeight="1">
      <c r="A58" s="164">
        <v>47</v>
      </c>
      <c r="B58" s="166">
        <f t="shared" si="10"/>
        <v>-10572.058950540932</v>
      </c>
      <c r="C58" s="166">
        <f t="shared" si="2"/>
        <v>-5720.7685859613193</v>
      </c>
      <c r="D58" s="166">
        <f t="shared" si="3"/>
        <v>-4851.2903645796123</v>
      </c>
      <c r="E58" s="167">
        <f t="shared" si="11"/>
        <v>582154.84374955343</v>
      </c>
      <c r="F58" s="167">
        <f t="shared" si="4"/>
        <v>576434.07516359212</v>
      </c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0"/>
      <c r="BU58" s="164">
        <v>47</v>
      </c>
      <c r="BV58" s="166">
        <f t="shared" si="13"/>
        <v>0</v>
      </c>
      <c r="BW58" s="166">
        <f t="shared" si="6"/>
        <v>0</v>
      </c>
      <c r="BX58" s="166">
        <f t="shared" si="7"/>
        <v>0</v>
      </c>
      <c r="BY58" s="167">
        <f t="shared" si="14"/>
        <v>0</v>
      </c>
      <c r="BZ58" s="167">
        <f t="shared" si="8"/>
        <v>0</v>
      </c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</row>
    <row r="59" spans="1:151" ht="15.75" customHeight="1">
      <c r="A59" s="164">
        <v>48</v>
      </c>
      <c r="B59" s="166">
        <f t="shared" si="10"/>
        <v>-10572.058950540932</v>
      </c>
      <c r="C59" s="166">
        <f t="shared" si="2"/>
        <v>-5768.4416575109972</v>
      </c>
      <c r="D59" s="166">
        <f t="shared" si="3"/>
        <v>-4803.6172930299344</v>
      </c>
      <c r="E59" s="167">
        <f t="shared" si="11"/>
        <v>576434.07516359212</v>
      </c>
      <c r="F59" s="167">
        <f t="shared" si="4"/>
        <v>570665.63350608107</v>
      </c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0"/>
      <c r="BU59" s="164">
        <v>48</v>
      </c>
      <c r="BV59" s="166">
        <f t="shared" si="13"/>
        <v>0</v>
      </c>
      <c r="BW59" s="166">
        <f t="shared" si="6"/>
        <v>0</v>
      </c>
      <c r="BX59" s="166">
        <f t="shared" si="7"/>
        <v>0</v>
      </c>
      <c r="BY59" s="167">
        <f t="shared" si="14"/>
        <v>0</v>
      </c>
      <c r="BZ59" s="167">
        <f t="shared" si="8"/>
        <v>0</v>
      </c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</row>
    <row r="60" spans="1:151" ht="15.75" customHeight="1">
      <c r="A60" s="164">
        <v>49</v>
      </c>
      <c r="B60" s="166">
        <f t="shared" si="10"/>
        <v>-10572.058950540932</v>
      </c>
      <c r="C60" s="166">
        <f t="shared" si="2"/>
        <v>-5816.5120046569227</v>
      </c>
      <c r="D60" s="166">
        <f t="shared" si="3"/>
        <v>-4755.5469458840089</v>
      </c>
      <c r="E60" s="167">
        <f t="shared" si="11"/>
        <v>570665.63350608107</v>
      </c>
      <c r="F60" s="167">
        <f t="shared" si="4"/>
        <v>564849.12150142412</v>
      </c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0"/>
      <c r="BU60" s="164">
        <v>49</v>
      </c>
      <c r="BV60" s="166">
        <f t="shared" si="13"/>
        <v>0</v>
      </c>
      <c r="BW60" s="166">
        <f t="shared" si="6"/>
        <v>0</v>
      </c>
      <c r="BX60" s="166">
        <f t="shared" si="7"/>
        <v>0</v>
      </c>
      <c r="BY60" s="167">
        <f t="shared" si="14"/>
        <v>0</v>
      </c>
      <c r="BZ60" s="167">
        <f t="shared" si="8"/>
        <v>0</v>
      </c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</row>
    <row r="61" spans="1:151" ht="15.75" customHeight="1">
      <c r="A61" s="164">
        <v>50</v>
      </c>
      <c r="B61" s="166">
        <f t="shared" si="10"/>
        <v>-10572.058950540932</v>
      </c>
      <c r="C61" s="166">
        <f t="shared" si="2"/>
        <v>-5864.9829380290639</v>
      </c>
      <c r="D61" s="166">
        <f t="shared" si="3"/>
        <v>-4707.0760125118677</v>
      </c>
      <c r="E61" s="167">
        <f t="shared" si="11"/>
        <v>564849.12150142412</v>
      </c>
      <c r="F61" s="167">
        <f t="shared" si="4"/>
        <v>558984.13856339501</v>
      </c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0"/>
      <c r="BU61" s="164">
        <v>50</v>
      </c>
      <c r="BV61" s="166">
        <f t="shared" si="13"/>
        <v>0</v>
      </c>
      <c r="BW61" s="166">
        <f t="shared" si="6"/>
        <v>0</v>
      </c>
      <c r="BX61" s="166">
        <f t="shared" si="7"/>
        <v>0</v>
      </c>
      <c r="BY61" s="167">
        <f t="shared" si="14"/>
        <v>0</v>
      </c>
      <c r="BZ61" s="167">
        <f t="shared" si="8"/>
        <v>0</v>
      </c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</row>
    <row r="62" spans="1:151" ht="15.75" customHeight="1">
      <c r="A62" s="164">
        <v>51</v>
      </c>
      <c r="B62" s="166">
        <f t="shared" si="10"/>
        <v>-10572.058950540932</v>
      </c>
      <c r="C62" s="166">
        <f t="shared" si="2"/>
        <v>-5913.8577958459737</v>
      </c>
      <c r="D62" s="166">
        <f t="shared" si="3"/>
        <v>-4658.2011546949579</v>
      </c>
      <c r="E62" s="167">
        <f t="shared" si="11"/>
        <v>558984.13856339501</v>
      </c>
      <c r="F62" s="167">
        <f t="shared" si="4"/>
        <v>553070.28076754906</v>
      </c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0"/>
      <c r="BU62" s="164">
        <v>51</v>
      </c>
      <c r="BV62" s="166">
        <f t="shared" si="13"/>
        <v>0</v>
      </c>
      <c r="BW62" s="166">
        <f t="shared" si="6"/>
        <v>0</v>
      </c>
      <c r="BX62" s="166">
        <f t="shared" si="7"/>
        <v>0</v>
      </c>
      <c r="BY62" s="167">
        <f t="shared" si="14"/>
        <v>0</v>
      </c>
      <c r="BZ62" s="167">
        <f t="shared" si="8"/>
        <v>0</v>
      </c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</row>
    <row r="63" spans="1:151" ht="15.75" customHeight="1">
      <c r="A63" s="164">
        <v>52</v>
      </c>
      <c r="B63" s="166">
        <f t="shared" si="10"/>
        <v>-10572.058950540932</v>
      </c>
      <c r="C63" s="166">
        <f t="shared" si="2"/>
        <v>-5963.1399441446893</v>
      </c>
      <c r="D63" s="166">
        <f t="shared" si="3"/>
        <v>-4608.9190063962424</v>
      </c>
      <c r="E63" s="167">
        <f t="shared" si="11"/>
        <v>553070.28076754906</v>
      </c>
      <c r="F63" s="167">
        <f t="shared" si="4"/>
        <v>547107.14082340442</v>
      </c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0"/>
      <c r="BU63" s="164">
        <v>52</v>
      </c>
      <c r="BV63" s="166">
        <f t="shared" si="13"/>
        <v>0</v>
      </c>
      <c r="BW63" s="166">
        <f t="shared" si="6"/>
        <v>0</v>
      </c>
      <c r="BX63" s="166">
        <f t="shared" si="7"/>
        <v>0</v>
      </c>
      <c r="BY63" s="167">
        <f t="shared" si="14"/>
        <v>0</v>
      </c>
      <c r="BZ63" s="167">
        <f t="shared" si="8"/>
        <v>0</v>
      </c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</row>
    <row r="64" spans="1:151" ht="15.75" customHeight="1">
      <c r="A64" s="164">
        <v>53</v>
      </c>
      <c r="B64" s="166">
        <f t="shared" si="10"/>
        <v>-10572.058950540932</v>
      </c>
      <c r="C64" s="166">
        <f t="shared" si="2"/>
        <v>-6012.8327770125616</v>
      </c>
      <c r="D64" s="166">
        <f t="shared" si="3"/>
        <v>-4559.2261735283701</v>
      </c>
      <c r="E64" s="167">
        <f t="shared" si="11"/>
        <v>547107.14082340442</v>
      </c>
      <c r="F64" s="167">
        <f t="shared" si="4"/>
        <v>541094.30804639182</v>
      </c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0"/>
      <c r="BU64" s="164">
        <v>53</v>
      </c>
      <c r="BV64" s="166">
        <f t="shared" si="13"/>
        <v>0</v>
      </c>
      <c r="BW64" s="166">
        <f t="shared" si="6"/>
        <v>0</v>
      </c>
      <c r="BX64" s="166">
        <f t="shared" si="7"/>
        <v>0</v>
      </c>
      <c r="BY64" s="167">
        <f t="shared" si="14"/>
        <v>0</v>
      </c>
      <c r="BZ64" s="167">
        <f t="shared" si="8"/>
        <v>0</v>
      </c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</row>
    <row r="65" spans="1:151" ht="15.75" customHeight="1">
      <c r="A65" s="164">
        <v>54</v>
      </c>
      <c r="B65" s="166">
        <f t="shared" si="10"/>
        <v>-10572.058950540932</v>
      </c>
      <c r="C65" s="166">
        <f t="shared" si="2"/>
        <v>-6062.9397168209998</v>
      </c>
      <c r="D65" s="166">
        <f t="shared" si="3"/>
        <v>-4509.1192337199318</v>
      </c>
      <c r="E65" s="167">
        <f t="shared" si="11"/>
        <v>541094.30804639182</v>
      </c>
      <c r="F65" s="167">
        <f t="shared" si="4"/>
        <v>535031.36832957086</v>
      </c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0"/>
      <c r="BU65" s="164">
        <v>54</v>
      </c>
      <c r="BV65" s="166">
        <f t="shared" si="13"/>
        <v>0</v>
      </c>
      <c r="BW65" s="166">
        <f t="shared" si="6"/>
        <v>0</v>
      </c>
      <c r="BX65" s="166">
        <f t="shared" si="7"/>
        <v>0</v>
      </c>
      <c r="BY65" s="167">
        <f t="shared" si="14"/>
        <v>0</v>
      </c>
      <c r="BZ65" s="167">
        <f t="shared" si="8"/>
        <v>0</v>
      </c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</row>
    <row r="66" spans="1:151" ht="15.75" customHeight="1">
      <c r="A66" s="164">
        <v>55</v>
      </c>
      <c r="B66" s="166">
        <f t="shared" si="10"/>
        <v>-10572.058950540932</v>
      </c>
      <c r="C66" s="166">
        <f t="shared" si="2"/>
        <v>-6113.4642144611744</v>
      </c>
      <c r="D66" s="166">
        <f t="shared" si="3"/>
        <v>-4458.5947360797572</v>
      </c>
      <c r="E66" s="167">
        <f t="shared" si="11"/>
        <v>535031.36832957086</v>
      </c>
      <c r="F66" s="167">
        <f t="shared" si="4"/>
        <v>528917.9041151097</v>
      </c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0"/>
      <c r="BU66" s="164">
        <v>55</v>
      </c>
      <c r="BV66" s="166">
        <f t="shared" si="13"/>
        <v>0</v>
      </c>
      <c r="BW66" s="166">
        <f t="shared" si="6"/>
        <v>0</v>
      </c>
      <c r="BX66" s="166">
        <f t="shared" si="7"/>
        <v>0</v>
      </c>
      <c r="BY66" s="167">
        <f t="shared" si="14"/>
        <v>0</v>
      </c>
      <c r="BZ66" s="167">
        <f t="shared" si="8"/>
        <v>0</v>
      </c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</row>
    <row r="67" spans="1:151" ht="15.75" customHeight="1">
      <c r="A67" s="164">
        <v>56</v>
      </c>
      <c r="B67" s="166">
        <f t="shared" si="10"/>
        <v>-10572.058950540932</v>
      </c>
      <c r="C67" s="166">
        <f t="shared" si="2"/>
        <v>-6164.4097495816841</v>
      </c>
      <c r="D67" s="166">
        <f t="shared" si="3"/>
        <v>-4407.6492009592475</v>
      </c>
      <c r="E67" s="167">
        <f t="shared" si="11"/>
        <v>528917.9041151097</v>
      </c>
      <c r="F67" s="167">
        <f t="shared" si="4"/>
        <v>522753.49436552799</v>
      </c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0"/>
      <c r="BU67" s="164">
        <v>56</v>
      </c>
      <c r="BV67" s="166">
        <f t="shared" si="13"/>
        <v>0</v>
      </c>
      <c r="BW67" s="166">
        <f t="shared" si="6"/>
        <v>0</v>
      </c>
      <c r="BX67" s="166">
        <f t="shared" si="7"/>
        <v>0</v>
      </c>
      <c r="BY67" s="167">
        <f t="shared" si="14"/>
        <v>0</v>
      </c>
      <c r="BZ67" s="167">
        <f t="shared" si="8"/>
        <v>0</v>
      </c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</row>
    <row r="68" spans="1:151" ht="15.75" customHeight="1">
      <c r="A68" s="164">
        <v>57</v>
      </c>
      <c r="B68" s="166">
        <f t="shared" si="10"/>
        <v>-10572.058950540932</v>
      </c>
      <c r="C68" s="166">
        <f t="shared" si="2"/>
        <v>-6215.7798308281981</v>
      </c>
      <c r="D68" s="166">
        <f t="shared" si="3"/>
        <v>-4356.2791197127335</v>
      </c>
      <c r="E68" s="167">
        <f t="shared" si="11"/>
        <v>522753.49436552799</v>
      </c>
      <c r="F68" s="167">
        <f t="shared" si="4"/>
        <v>516537.7145346998</v>
      </c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0"/>
      <c r="BU68" s="164">
        <v>57</v>
      </c>
      <c r="BV68" s="166">
        <f t="shared" si="13"/>
        <v>0</v>
      </c>
      <c r="BW68" s="166">
        <f t="shared" si="6"/>
        <v>0</v>
      </c>
      <c r="BX68" s="166">
        <f t="shared" si="7"/>
        <v>0</v>
      </c>
      <c r="BY68" s="167">
        <f t="shared" si="14"/>
        <v>0</v>
      </c>
      <c r="BZ68" s="167">
        <f t="shared" si="8"/>
        <v>0</v>
      </c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</row>
    <row r="69" spans="1:151" ht="15.75" customHeight="1">
      <c r="A69" s="164">
        <v>58</v>
      </c>
      <c r="B69" s="166">
        <f t="shared" si="10"/>
        <v>-10572.058950540932</v>
      </c>
      <c r="C69" s="166">
        <f t="shared" si="2"/>
        <v>-6267.5779960850996</v>
      </c>
      <c r="D69" s="166">
        <f t="shared" si="3"/>
        <v>-4304.480954455832</v>
      </c>
      <c r="E69" s="167">
        <f t="shared" si="11"/>
        <v>516537.7145346998</v>
      </c>
      <c r="F69" s="167">
        <f t="shared" si="4"/>
        <v>510270.13653861469</v>
      </c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0"/>
      <c r="BU69" s="164">
        <v>58</v>
      </c>
      <c r="BV69" s="166">
        <f t="shared" si="13"/>
        <v>0</v>
      </c>
      <c r="BW69" s="166">
        <f t="shared" si="6"/>
        <v>0</v>
      </c>
      <c r="BX69" s="166">
        <f t="shared" si="7"/>
        <v>0</v>
      </c>
      <c r="BY69" s="167">
        <f t="shared" si="14"/>
        <v>0</v>
      </c>
      <c r="BZ69" s="167">
        <f t="shared" si="8"/>
        <v>0</v>
      </c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</row>
    <row r="70" spans="1:151" ht="15.75" customHeight="1">
      <c r="A70" s="164">
        <v>59</v>
      </c>
      <c r="B70" s="166">
        <f t="shared" si="10"/>
        <v>-10572.058950540932</v>
      </c>
      <c r="C70" s="166">
        <f t="shared" si="2"/>
        <v>-6319.8078127191429</v>
      </c>
      <c r="D70" s="166">
        <f t="shared" si="3"/>
        <v>-4252.2511378217887</v>
      </c>
      <c r="E70" s="167">
        <f t="shared" si="11"/>
        <v>510270.13653861469</v>
      </c>
      <c r="F70" s="167">
        <f t="shared" si="4"/>
        <v>503950.32872589555</v>
      </c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0"/>
      <c r="BU70" s="164">
        <v>59</v>
      </c>
      <c r="BV70" s="166">
        <f t="shared" si="13"/>
        <v>0</v>
      </c>
      <c r="BW70" s="166">
        <f t="shared" si="6"/>
        <v>0</v>
      </c>
      <c r="BX70" s="166">
        <f t="shared" si="7"/>
        <v>0</v>
      </c>
      <c r="BY70" s="167">
        <f t="shared" si="14"/>
        <v>0</v>
      </c>
      <c r="BZ70" s="167">
        <f t="shared" si="8"/>
        <v>0</v>
      </c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</row>
    <row r="71" spans="1:151" ht="15.75" customHeight="1">
      <c r="A71" s="164">
        <v>60</v>
      </c>
      <c r="B71" s="166">
        <f t="shared" si="10"/>
        <v>-10572.058950540932</v>
      </c>
      <c r="C71" s="166">
        <f t="shared" si="2"/>
        <v>-6372.4728778251356</v>
      </c>
      <c r="D71" s="166">
        <f t="shared" si="3"/>
        <v>-4199.586072715796</v>
      </c>
      <c r="E71" s="167">
        <f t="shared" si="11"/>
        <v>503950.32872589555</v>
      </c>
      <c r="F71" s="167">
        <f t="shared" si="4"/>
        <v>497577.85584807041</v>
      </c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0"/>
      <c r="BU71" s="164">
        <v>60</v>
      </c>
      <c r="BV71" s="166">
        <f t="shared" si="13"/>
        <v>0</v>
      </c>
      <c r="BW71" s="166">
        <f t="shared" si="6"/>
        <v>0</v>
      </c>
      <c r="BX71" s="166">
        <f t="shared" si="7"/>
        <v>0</v>
      </c>
      <c r="BY71" s="167">
        <f t="shared" si="14"/>
        <v>0</v>
      </c>
      <c r="BZ71" s="167">
        <f t="shared" si="8"/>
        <v>0</v>
      </c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</row>
    <row r="72" spans="1:151" ht="15.75" customHeight="1">
      <c r="A72" s="164">
        <v>61</v>
      </c>
      <c r="B72" s="166">
        <f t="shared" si="10"/>
        <v>-10572.058950540932</v>
      </c>
      <c r="C72" s="166">
        <f t="shared" si="2"/>
        <v>-6425.576818473678</v>
      </c>
      <c r="D72" s="166">
        <f t="shared" si="3"/>
        <v>-4146.4821320672536</v>
      </c>
      <c r="E72" s="167">
        <f t="shared" si="11"/>
        <v>497577.85584807041</v>
      </c>
      <c r="F72" s="167">
        <f t="shared" si="4"/>
        <v>491152.27902959671</v>
      </c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0"/>
      <c r="BU72" s="164">
        <v>61</v>
      </c>
      <c r="BV72" s="166">
        <f t="shared" si="13"/>
        <v>0</v>
      </c>
      <c r="BW72" s="166">
        <f t="shared" si="6"/>
        <v>0</v>
      </c>
      <c r="BX72" s="166">
        <f t="shared" si="7"/>
        <v>0</v>
      </c>
      <c r="BY72" s="167">
        <f t="shared" si="14"/>
        <v>0</v>
      </c>
      <c r="BZ72" s="167">
        <f t="shared" si="8"/>
        <v>0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</row>
    <row r="73" spans="1:151" ht="15.75" customHeight="1">
      <c r="A73" s="164">
        <v>62</v>
      </c>
      <c r="B73" s="166">
        <f t="shared" si="10"/>
        <v>-10572.058950540932</v>
      </c>
      <c r="C73" s="166">
        <f t="shared" si="2"/>
        <v>-6479.1232919609592</v>
      </c>
      <c r="D73" s="166">
        <f t="shared" si="3"/>
        <v>-4092.9356585799724</v>
      </c>
      <c r="E73" s="167">
        <f t="shared" si="11"/>
        <v>491152.27902959671</v>
      </c>
      <c r="F73" s="167">
        <f t="shared" si="4"/>
        <v>484673.15573763574</v>
      </c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0"/>
      <c r="BU73" s="164">
        <v>62</v>
      </c>
      <c r="BV73" s="166">
        <f t="shared" si="13"/>
        <v>0</v>
      </c>
      <c r="BW73" s="166">
        <f t="shared" si="6"/>
        <v>0</v>
      </c>
      <c r="BX73" s="166">
        <f t="shared" si="7"/>
        <v>0</v>
      </c>
      <c r="BY73" s="167">
        <f t="shared" si="14"/>
        <v>0</v>
      </c>
      <c r="BZ73" s="167">
        <f t="shared" si="8"/>
        <v>0</v>
      </c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</row>
    <row r="74" spans="1:151" ht="15.75" customHeight="1">
      <c r="A74" s="164">
        <v>63</v>
      </c>
      <c r="B74" s="166">
        <f t="shared" si="10"/>
        <v>-10572.058950540932</v>
      </c>
      <c r="C74" s="166">
        <f t="shared" si="2"/>
        <v>-6533.115986060634</v>
      </c>
      <c r="D74" s="166">
        <f t="shared" si="3"/>
        <v>-4038.9429644802976</v>
      </c>
      <c r="E74" s="167">
        <f t="shared" si="11"/>
        <v>484673.15573763574</v>
      </c>
      <c r="F74" s="167">
        <f t="shared" si="4"/>
        <v>478140.0397515751</v>
      </c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0"/>
      <c r="BU74" s="164">
        <v>63</v>
      </c>
      <c r="BV74" s="166">
        <f t="shared" si="13"/>
        <v>0</v>
      </c>
      <c r="BW74" s="166">
        <f t="shared" si="6"/>
        <v>0</v>
      </c>
      <c r="BX74" s="166">
        <f t="shared" si="7"/>
        <v>0</v>
      </c>
      <c r="BY74" s="167">
        <f t="shared" si="14"/>
        <v>0</v>
      </c>
      <c r="BZ74" s="167">
        <f t="shared" si="8"/>
        <v>0</v>
      </c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</row>
    <row r="75" spans="1:151" ht="15.75" customHeight="1">
      <c r="A75" s="164">
        <v>64</v>
      </c>
      <c r="B75" s="166">
        <f t="shared" si="10"/>
        <v>-10572.058950540932</v>
      </c>
      <c r="C75" s="166">
        <f t="shared" si="2"/>
        <v>-6587.5586192778064</v>
      </c>
      <c r="D75" s="166">
        <f t="shared" si="3"/>
        <v>-3984.5003312631256</v>
      </c>
      <c r="E75" s="167">
        <f t="shared" si="11"/>
        <v>478140.0397515751</v>
      </c>
      <c r="F75" s="167">
        <f t="shared" si="4"/>
        <v>471552.48113229731</v>
      </c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0"/>
      <c r="BU75" s="164">
        <v>64</v>
      </c>
      <c r="BV75" s="166">
        <f t="shared" si="13"/>
        <v>0</v>
      </c>
      <c r="BW75" s="166">
        <f t="shared" si="6"/>
        <v>0</v>
      </c>
      <c r="BX75" s="166">
        <f t="shared" si="7"/>
        <v>0</v>
      </c>
      <c r="BY75" s="167">
        <f t="shared" si="14"/>
        <v>0</v>
      </c>
      <c r="BZ75" s="167">
        <f t="shared" si="8"/>
        <v>0</v>
      </c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</row>
    <row r="76" spans="1:151" ht="15.75" customHeight="1">
      <c r="A76" s="164">
        <v>65</v>
      </c>
      <c r="B76" s="166">
        <f t="shared" si="10"/>
        <v>-10572.058950540932</v>
      </c>
      <c r="C76" s="166">
        <f t="shared" si="2"/>
        <v>-6642.4549411051212</v>
      </c>
      <c r="D76" s="166">
        <f t="shared" si="3"/>
        <v>-3929.6040094358109</v>
      </c>
      <c r="E76" s="167">
        <f t="shared" si="11"/>
        <v>471552.48113229731</v>
      </c>
      <c r="F76" s="167">
        <f t="shared" si="4"/>
        <v>464910.02619119221</v>
      </c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0"/>
      <c r="BU76" s="164">
        <v>65</v>
      </c>
      <c r="BV76" s="166">
        <f t="shared" si="13"/>
        <v>0</v>
      </c>
      <c r="BW76" s="166">
        <f t="shared" si="6"/>
        <v>0</v>
      </c>
      <c r="BX76" s="166">
        <f t="shared" si="7"/>
        <v>0</v>
      </c>
      <c r="BY76" s="167">
        <f t="shared" si="14"/>
        <v>0</v>
      </c>
      <c r="BZ76" s="167">
        <f t="shared" si="8"/>
        <v>0</v>
      </c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</row>
    <row r="77" spans="1:151" ht="15.75" customHeight="1">
      <c r="A77" s="164">
        <v>66</v>
      </c>
      <c r="B77" s="166">
        <f t="shared" si="10"/>
        <v>-10572.058950540932</v>
      </c>
      <c r="C77" s="166">
        <f t="shared" si="2"/>
        <v>-6697.808732280997</v>
      </c>
      <c r="D77" s="166">
        <f t="shared" si="3"/>
        <v>-3874.2502182599351</v>
      </c>
      <c r="E77" s="167">
        <f t="shared" si="11"/>
        <v>464910.02619119221</v>
      </c>
      <c r="F77" s="167">
        <f t="shared" si="4"/>
        <v>458212.21745891124</v>
      </c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0"/>
      <c r="BU77" s="164">
        <v>66</v>
      </c>
      <c r="BV77" s="166">
        <f t="shared" si="13"/>
        <v>0</v>
      </c>
      <c r="BW77" s="166">
        <f t="shared" si="6"/>
        <v>0</v>
      </c>
      <c r="BX77" s="166">
        <f t="shared" si="7"/>
        <v>0</v>
      </c>
      <c r="BY77" s="167">
        <f t="shared" si="14"/>
        <v>0</v>
      </c>
      <c r="BZ77" s="167">
        <f t="shared" si="8"/>
        <v>0</v>
      </c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</row>
    <row r="78" spans="1:151" ht="15.75" customHeight="1">
      <c r="A78" s="164">
        <v>67</v>
      </c>
      <c r="B78" s="166">
        <f t="shared" si="10"/>
        <v>-10572.058950540932</v>
      </c>
      <c r="C78" s="166">
        <f t="shared" si="2"/>
        <v>-6753.6238050500051</v>
      </c>
      <c r="D78" s="166">
        <f t="shared" si="3"/>
        <v>-3818.435145490927</v>
      </c>
      <c r="E78" s="167">
        <f t="shared" si="11"/>
        <v>458212.21745891124</v>
      </c>
      <c r="F78" s="167">
        <f t="shared" si="4"/>
        <v>451458.59365386126</v>
      </c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0"/>
      <c r="BU78" s="164">
        <v>67</v>
      </c>
      <c r="BV78" s="166">
        <f t="shared" si="13"/>
        <v>0</v>
      </c>
      <c r="BW78" s="166">
        <f t="shared" si="6"/>
        <v>0</v>
      </c>
      <c r="BX78" s="166">
        <f t="shared" si="7"/>
        <v>0</v>
      </c>
      <c r="BY78" s="167">
        <f t="shared" si="14"/>
        <v>0</v>
      </c>
      <c r="BZ78" s="167">
        <f t="shared" si="8"/>
        <v>0</v>
      </c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</row>
    <row r="79" spans="1:151" ht="15.75" customHeight="1">
      <c r="A79" s="164">
        <v>68</v>
      </c>
      <c r="B79" s="166">
        <f t="shared" si="10"/>
        <v>-10572.058950540932</v>
      </c>
      <c r="C79" s="166">
        <f t="shared" si="2"/>
        <v>-6809.9040034254213</v>
      </c>
      <c r="D79" s="166">
        <f t="shared" si="3"/>
        <v>-3762.1549471155104</v>
      </c>
      <c r="E79" s="167">
        <f t="shared" si="11"/>
        <v>451458.59365386126</v>
      </c>
      <c r="F79" s="167">
        <f t="shared" si="4"/>
        <v>444648.68965043582</v>
      </c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0"/>
      <c r="BU79" s="164">
        <v>68</v>
      </c>
      <c r="BV79" s="166">
        <f t="shared" si="13"/>
        <v>0</v>
      </c>
      <c r="BW79" s="166">
        <f t="shared" si="6"/>
        <v>0</v>
      </c>
      <c r="BX79" s="166">
        <f t="shared" si="7"/>
        <v>0</v>
      </c>
      <c r="BY79" s="167">
        <f t="shared" si="14"/>
        <v>0</v>
      </c>
      <c r="BZ79" s="167">
        <f t="shared" si="8"/>
        <v>0</v>
      </c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</row>
    <row r="80" spans="1:151" ht="15.75" customHeight="1">
      <c r="A80" s="164">
        <v>69</v>
      </c>
      <c r="B80" s="166">
        <f t="shared" si="10"/>
        <v>-10572.058950540932</v>
      </c>
      <c r="C80" s="166">
        <f t="shared" si="2"/>
        <v>-6866.6532034539669</v>
      </c>
      <c r="D80" s="166">
        <f t="shared" si="3"/>
        <v>-3705.4057470869652</v>
      </c>
      <c r="E80" s="167">
        <f t="shared" si="11"/>
        <v>444648.68965043582</v>
      </c>
      <c r="F80" s="167">
        <f t="shared" si="4"/>
        <v>437782.03644698183</v>
      </c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0"/>
      <c r="BU80" s="164">
        <v>69</v>
      </c>
      <c r="BV80" s="166">
        <f t="shared" si="13"/>
        <v>0</v>
      </c>
      <c r="BW80" s="166">
        <f t="shared" si="6"/>
        <v>0</v>
      </c>
      <c r="BX80" s="166">
        <f t="shared" si="7"/>
        <v>0</v>
      </c>
      <c r="BY80" s="167">
        <f t="shared" si="14"/>
        <v>0</v>
      </c>
      <c r="BZ80" s="167">
        <f t="shared" si="8"/>
        <v>0</v>
      </c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</row>
    <row r="81" spans="1:151" ht="15.75" customHeight="1">
      <c r="A81" s="164">
        <v>70</v>
      </c>
      <c r="B81" s="166">
        <f t="shared" si="10"/>
        <v>-10572.058950540932</v>
      </c>
      <c r="C81" s="166">
        <f t="shared" si="2"/>
        <v>-6923.8753134827493</v>
      </c>
      <c r="D81" s="166">
        <f t="shared" si="3"/>
        <v>-3648.1836370581818</v>
      </c>
      <c r="E81" s="167">
        <f t="shared" si="11"/>
        <v>437782.03644698183</v>
      </c>
      <c r="F81" s="167">
        <f t="shared" si="4"/>
        <v>430858.16113349906</v>
      </c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0"/>
      <c r="BU81" s="164">
        <v>70</v>
      </c>
      <c r="BV81" s="166">
        <f t="shared" si="13"/>
        <v>0</v>
      </c>
      <c r="BW81" s="166">
        <f t="shared" si="6"/>
        <v>0</v>
      </c>
      <c r="BX81" s="166">
        <f t="shared" si="7"/>
        <v>0</v>
      </c>
      <c r="BY81" s="167">
        <f t="shared" si="14"/>
        <v>0</v>
      </c>
      <c r="BZ81" s="167">
        <f t="shared" si="8"/>
        <v>0</v>
      </c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</row>
    <row r="82" spans="1:151" ht="15.75" customHeight="1">
      <c r="A82" s="164">
        <v>71</v>
      </c>
      <c r="B82" s="166">
        <f t="shared" si="10"/>
        <v>-10572.058950540932</v>
      </c>
      <c r="C82" s="166">
        <f t="shared" si="2"/>
        <v>-6981.5742744284398</v>
      </c>
      <c r="D82" s="166">
        <f t="shared" si="3"/>
        <v>-3590.4846761124923</v>
      </c>
      <c r="E82" s="167">
        <f t="shared" si="11"/>
        <v>430858.16113349906</v>
      </c>
      <c r="F82" s="167">
        <f t="shared" si="4"/>
        <v>423876.58685907064</v>
      </c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0"/>
      <c r="BU82" s="164">
        <v>71</v>
      </c>
      <c r="BV82" s="166">
        <f t="shared" si="13"/>
        <v>0</v>
      </c>
      <c r="BW82" s="166">
        <f t="shared" si="6"/>
        <v>0</v>
      </c>
      <c r="BX82" s="166">
        <f t="shared" si="7"/>
        <v>0</v>
      </c>
      <c r="BY82" s="167">
        <f t="shared" si="14"/>
        <v>0</v>
      </c>
      <c r="BZ82" s="167">
        <f t="shared" si="8"/>
        <v>0</v>
      </c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</row>
    <row r="83" spans="1:151" ht="15.75" customHeight="1">
      <c r="A83" s="164">
        <v>72</v>
      </c>
      <c r="B83" s="166">
        <f t="shared" si="10"/>
        <v>-10572.058950540932</v>
      </c>
      <c r="C83" s="166">
        <f t="shared" si="2"/>
        <v>-7039.7540600486764</v>
      </c>
      <c r="D83" s="166">
        <f t="shared" si="3"/>
        <v>-3532.3048904922553</v>
      </c>
      <c r="E83" s="167">
        <f t="shared" si="11"/>
        <v>423876.58685907064</v>
      </c>
      <c r="F83" s="167">
        <f t="shared" si="4"/>
        <v>416836.83279902197</v>
      </c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0"/>
      <c r="BU83" s="164">
        <v>72</v>
      </c>
      <c r="BV83" s="166">
        <f t="shared" si="13"/>
        <v>0</v>
      </c>
      <c r="BW83" s="166">
        <f t="shared" si="6"/>
        <v>0</v>
      </c>
      <c r="BX83" s="166">
        <f t="shared" si="7"/>
        <v>0</v>
      </c>
      <c r="BY83" s="167">
        <f t="shared" si="14"/>
        <v>0</v>
      </c>
      <c r="BZ83" s="167">
        <f t="shared" si="8"/>
        <v>0</v>
      </c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</row>
    <row r="84" spans="1:151" ht="15.75" customHeight="1">
      <c r="A84" s="164">
        <v>73</v>
      </c>
      <c r="B84" s="166">
        <f t="shared" si="10"/>
        <v>-10572.058950540932</v>
      </c>
      <c r="C84" s="166">
        <f t="shared" si="2"/>
        <v>-7098.4186772157482</v>
      </c>
      <c r="D84" s="166">
        <f t="shared" si="3"/>
        <v>-3473.640273325183</v>
      </c>
      <c r="E84" s="167">
        <f t="shared" si="11"/>
        <v>416836.83279902197</v>
      </c>
      <c r="F84" s="167">
        <f t="shared" si="4"/>
        <v>409738.41412180621</v>
      </c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0"/>
      <c r="BU84" s="164">
        <v>73</v>
      </c>
      <c r="BV84" s="166">
        <f t="shared" si="13"/>
        <v>0</v>
      </c>
      <c r="BW84" s="166">
        <f t="shared" si="6"/>
        <v>0</v>
      </c>
      <c r="BX84" s="166">
        <f t="shared" si="7"/>
        <v>0</v>
      </c>
      <c r="BY84" s="167">
        <f t="shared" si="14"/>
        <v>0</v>
      </c>
      <c r="BZ84" s="167">
        <f t="shared" si="8"/>
        <v>0</v>
      </c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</row>
    <row r="85" spans="1:151" ht="15.75" customHeight="1">
      <c r="A85" s="164">
        <v>74</v>
      </c>
      <c r="B85" s="166">
        <f t="shared" si="10"/>
        <v>-10572.058950540932</v>
      </c>
      <c r="C85" s="166">
        <f t="shared" si="2"/>
        <v>-7157.5721661925472</v>
      </c>
      <c r="D85" s="166">
        <f t="shared" si="3"/>
        <v>-3414.4867843483848</v>
      </c>
      <c r="E85" s="167">
        <f t="shared" si="11"/>
        <v>409738.41412180621</v>
      </c>
      <c r="F85" s="167">
        <f t="shared" si="4"/>
        <v>402580.84195561369</v>
      </c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0"/>
      <c r="BU85" s="164">
        <v>74</v>
      </c>
      <c r="BV85" s="166">
        <f t="shared" si="13"/>
        <v>0</v>
      </c>
      <c r="BW85" s="166">
        <f t="shared" si="6"/>
        <v>0</v>
      </c>
      <c r="BX85" s="166">
        <f t="shared" si="7"/>
        <v>0</v>
      </c>
      <c r="BY85" s="167">
        <f t="shared" si="14"/>
        <v>0</v>
      </c>
      <c r="BZ85" s="167">
        <f t="shared" si="8"/>
        <v>0</v>
      </c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</row>
    <row r="86" spans="1:151" ht="15.75" customHeight="1">
      <c r="A86" s="164">
        <v>75</v>
      </c>
      <c r="B86" s="166">
        <f t="shared" si="10"/>
        <v>-10572.058950540932</v>
      </c>
      <c r="C86" s="166">
        <f t="shared" si="2"/>
        <v>-7217.2186009108173</v>
      </c>
      <c r="D86" s="166">
        <f t="shared" si="3"/>
        <v>-3354.8403496301139</v>
      </c>
      <c r="E86" s="167">
        <f t="shared" si="11"/>
        <v>402580.84195561369</v>
      </c>
      <c r="F86" s="167">
        <f t="shared" si="4"/>
        <v>395363.6233547029</v>
      </c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0"/>
      <c r="BU86" s="164">
        <v>75</v>
      </c>
      <c r="BV86" s="166">
        <f t="shared" si="13"/>
        <v>0</v>
      </c>
      <c r="BW86" s="166">
        <f t="shared" si="6"/>
        <v>0</v>
      </c>
      <c r="BX86" s="166">
        <f t="shared" si="7"/>
        <v>0</v>
      </c>
      <c r="BY86" s="167">
        <f t="shared" si="14"/>
        <v>0</v>
      </c>
      <c r="BZ86" s="167">
        <f t="shared" si="8"/>
        <v>0</v>
      </c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</row>
    <row r="87" spans="1:151" ht="15.75" customHeight="1">
      <c r="A87" s="164">
        <v>76</v>
      </c>
      <c r="B87" s="166">
        <f t="shared" si="10"/>
        <v>-10572.058950540932</v>
      </c>
      <c r="C87" s="166">
        <f t="shared" si="2"/>
        <v>-7277.3620892517411</v>
      </c>
      <c r="D87" s="166">
        <f t="shared" si="3"/>
        <v>-3294.6968612891906</v>
      </c>
      <c r="E87" s="167">
        <f t="shared" si="11"/>
        <v>395363.6233547029</v>
      </c>
      <c r="F87" s="167">
        <f t="shared" si="4"/>
        <v>388086.26126545115</v>
      </c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0"/>
      <c r="BU87" s="164">
        <v>76</v>
      </c>
      <c r="BV87" s="166">
        <f t="shared" si="13"/>
        <v>0</v>
      </c>
      <c r="BW87" s="166">
        <f t="shared" si="6"/>
        <v>0</v>
      </c>
      <c r="BX87" s="166">
        <f t="shared" si="7"/>
        <v>0</v>
      </c>
      <c r="BY87" s="167">
        <f t="shared" si="14"/>
        <v>0</v>
      </c>
      <c r="BZ87" s="167">
        <f t="shared" si="8"/>
        <v>0</v>
      </c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</row>
    <row r="88" spans="1:151" ht="15.75" customHeight="1">
      <c r="A88" s="164">
        <v>77</v>
      </c>
      <c r="B88" s="166">
        <f t="shared" si="10"/>
        <v>-10572.058950540932</v>
      </c>
      <c r="C88" s="166">
        <f t="shared" si="2"/>
        <v>-7338.0067733288388</v>
      </c>
      <c r="D88" s="166">
        <f t="shared" si="3"/>
        <v>-3234.0521772120928</v>
      </c>
      <c r="E88" s="167">
        <f t="shared" si="11"/>
        <v>388086.26126545115</v>
      </c>
      <c r="F88" s="167">
        <f t="shared" si="4"/>
        <v>380748.25449212233</v>
      </c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0"/>
      <c r="BU88" s="164">
        <v>77</v>
      </c>
      <c r="BV88" s="166">
        <f t="shared" si="13"/>
        <v>0</v>
      </c>
      <c r="BW88" s="166">
        <f t="shared" si="6"/>
        <v>0</v>
      </c>
      <c r="BX88" s="166">
        <f t="shared" si="7"/>
        <v>0</v>
      </c>
      <c r="BY88" s="167">
        <f t="shared" si="14"/>
        <v>0</v>
      </c>
      <c r="BZ88" s="167">
        <f t="shared" si="8"/>
        <v>0</v>
      </c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</row>
    <row r="89" spans="1:151" ht="15.75" customHeight="1">
      <c r="A89" s="164">
        <v>78</v>
      </c>
      <c r="B89" s="166">
        <f t="shared" si="10"/>
        <v>-10572.058950540932</v>
      </c>
      <c r="C89" s="166">
        <f t="shared" si="2"/>
        <v>-7399.1568297732456</v>
      </c>
      <c r="D89" s="166">
        <f t="shared" si="3"/>
        <v>-3172.902120767686</v>
      </c>
      <c r="E89" s="167">
        <f t="shared" si="11"/>
        <v>380748.25449212233</v>
      </c>
      <c r="F89" s="167">
        <f t="shared" si="4"/>
        <v>373349.09766234906</v>
      </c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0"/>
      <c r="BU89" s="164">
        <v>78</v>
      </c>
      <c r="BV89" s="166">
        <f t="shared" si="13"/>
        <v>0</v>
      </c>
      <c r="BW89" s="166">
        <f t="shared" si="6"/>
        <v>0</v>
      </c>
      <c r="BX89" s="166">
        <f t="shared" si="7"/>
        <v>0</v>
      </c>
      <c r="BY89" s="167">
        <f t="shared" si="14"/>
        <v>0</v>
      </c>
      <c r="BZ89" s="167">
        <f t="shared" si="8"/>
        <v>0</v>
      </c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</row>
    <row r="90" spans="1:151" ht="15.75" customHeight="1">
      <c r="A90" s="164">
        <v>79</v>
      </c>
      <c r="B90" s="166">
        <f t="shared" si="10"/>
        <v>-10572.058950540932</v>
      </c>
      <c r="C90" s="166">
        <f t="shared" si="2"/>
        <v>-7460.8164700213565</v>
      </c>
      <c r="D90" s="166">
        <f t="shared" si="3"/>
        <v>-3111.2424805195756</v>
      </c>
      <c r="E90" s="167">
        <f t="shared" si="11"/>
        <v>373349.09766234906</v>
      </c>
      <c r="F90" s="167">
        <f t="shared" si="4"/>
        <v>365888.28119232767</v>
      </c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0"/>
      <c r="BU90" s="164">
        <v>79</v>
      </c>
      <c r="BV90" s="166">
        <f t="shared" si="13"/>
        <v>0</v>
      </c>
      <c r="BW90" s="166">
        <f t="shared" si="6"/>
        <v>0</v>
      </c>
      <c r="BX90" s="166">
        <f t="shared" si="7"/>
        <v>0</v>
      </c>
      <c r="BY90" s="167">
        <f t="shared" si="14"/>
        <v>0</v>
      </c>
      <c r="BZ90" s="167">
        <f t="shared" si="8"/>
        <v>0</v>
      </c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</row>
    <row r="91" spans="1:151" ht="15.75" customHeight="1">
      <c r="A91" s="164">
        <v>80</v>
      </c>
      <c r="B91" s="166">
        <f t="shared" si="10"/>
        <v>-10572.058950540932</v>
      </c>
      <c r="C91" s="166">
        <f t="shared" si="2"/>
        <v>-7522.989940604868</v>
      </c>
      <c r="D91" s="166">
        <f t="shared" si="3"/>
        <v>-3049.069009936064</v>
      </c>
      <c r="E91" s="167">
        <f t="shared" si="11"/>
        <v>365888.28119232767</v>
      </c>
      <c r="F91" s="167">
        <f t="shared" si="4"/>
        <v>358365.29125172278</v>
      </c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0"/>
      <c r="BU91" s="164">
        <v>80</v>
      </c>
      <c r="BV91" s="166">
        <f t="shared" si="13"/>
        <v>0</v>
      </c>
      <c r="BW91" s="166">
        <f t="shared" si="6"/>
        <v>0</v>
      </c>
      <c r="BX91" s="166">
        <f t="shared" si="7"/>
        <v>0</v>
      </c>
      <c r="BY91" s="167">
        <f t="shared" si="14"/>
        <v>0</v>
      </c>
      <c r="BZ91" s="167">
        <f t="shared" si="8"/>
        <v>0</v>
      </c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</row>
    <row r="92" spans="1:151" ht="15.75" customHeight="1">
      <c r="A92" s="164">
        <v>81</v>
      </c>
      <c r="B92" s="166">
        <f t="shared" si="10"/>
        <v>-10572.058950540932</v>
      </c>
      <c r="C92" s="166">
        <f t="shared" si="2"/>
        <v>-7585.6815234432415</v>
      </c>
      <c r="D92" s="166">
        <f t="shared" si="3"/>
        <v>-2986.3774270976896</v>
      </c>
      <c r="E92" s="167">
        <f t="shared" si="11"/>
        <v>358365.29125172278</v>
      </c>
      <c r="F92" s="167">
        <f t="shared" si="4"/>
        <v>350779.60972827952</v>
      </c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0"/>
      <c r="BU92" s="164">
        <v>81</v>
      </c>
      <c r="BV92" s="166">
        <f t="shared" si="13"/>
        <v>0</v>
      </c>
      <c r="BW92" s="166">
        <f t="shared" si="6"/>
        <v>0</v>
      </c>
      <c r="BX92" s="166">
        <f t="shared" si="7"/>
        <v>0</v>
      </c>
      <c r="BY92" s="167">
        <f t="shared" si="14"/>
        <v>0</v>
      </c>
      <c r="BZ92" s="167">
        <f t="shared" si="8"/>
        <v>0</v>
      </c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</row>
    <row r="93" spans="1:151" ht="15.75" customHeight="1">
      <c r="A93" s="164">
        <v>82</v>
      </c>
      <c r="B93" s="166">
        <f t="shared" si="10"/>
        <v>-10572.058950540932</v>
      </c>
      <c r="C93" s="166">
        <f t="shared" si="2"/>
        <v>-7648.8955361386024</v>
      </c>
      <c r="D93" s="166">
        <f t="shared" si="3"/>
        <v>-2923.1634144023292</v>
      </c>
      <c r="E93" s="167">
        <f t="shared" si="11"/>
        <v>350779.60972827952</v>
      </c>
      <c r="F93" s="167">
        <f t="shared" si="4"/>
        <v>343130.71419214091</v>
      </c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0"/>
      <c r="BU93" s="164">
        <v>82</v>
      </c>
      <c r="BV93" s="166">
        <f t="shared" si="13"/>
        <v>0</v>
      </c>
      <c r="BW93" s="166">
        <f t="shared" si="6"/>
        <v>0</v>
      </c>
      <c r="BX93" s="166">
        <f t="shared" si="7"/>
        <v>0</v>
      </c>
      <c r="BY93" s="167">
        <f t="shared" si="14"/>
        <v>0</v>
      </c>
      <c r="BZ93" s="167">
        <f t="shared" si="8"/>
        <v>0</v>
      </c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</row>
    <row r="94" spans="1:151" ht="15.75" customHeight="1">
      <c r="A94" s="164">
        <v>83</v>
      </c>
      <c r="B94" s="166">
        <f t="shared" si="10"/>
        <v>-10572.058950540932</v>
      </c>
      <c r="C94" s="166">
        <f t="shared" si="2"/>
        <v>-7712.6363322730904</v>
      </c>
      <c r="D94" s="166">
        <f t="shared" si="3"/>
        <v>-2859.4226182678408</v>
      </c>
      <c r="E94" s="167">
        <f t="shared" si="11"/>
        <v>343130.71419214091</v>
      </c>
      <c r="F94" s="167">
        <f t="shared" si="4"/>
        <v>335418.07785986783</v>
      </c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0"/>
      <c r="BU94" s="164">
        <v>83</v>
      </c>
      <c r="BV94" s="166">
        <f t="shared" si="13"/>
        <v>0</v>
      </c>
      <c r="BW94" s="166">
        <f t="shared" si="6"/>
        <v>0</v>
      </c>
      <c r="BX94" s="166">
        <f t="shared" si="7"/>
        <v>0</v>
      </c>
      <c r="BY94" s="167">
        <f t="shared" si="14"/>
        <v>0</v>
      </c>
      <c r="BZ94" s="167">
        <f t="shared" si="8"/>
        <v>0</v>
      </c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</row>
    <row r="95" spans="1:151" ht="15.75" customHeight="1">
      <c r="A95" s="164">
        <v>84</v>
      </c>
      <c r="B95" s="166">
        <f t="shared" si="10"/>
        <v>-10572.058950540932</v>
      </c>
      <c r="C95" s="166">
        <f t="shared" si="2"/>
        <v>-7776.9083017086996</v>
      </c>
      <c r="D95" s="166">
        <f t="shared" si="3"/>
        <v>-2795.150648832232</v>
      </c>
      <c r="E95" s="167">
        <f t="shared" si="11"/>
        <v>335418.07785986783</v>
      </c>
      <c r="F95" s="167">
        <f t="shared" si="4"/>
        <v>327641.16955815913</v>
      </c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0"/>
      <c r="BU95" s="164">
        <v>84</v>
      </c>
      <c r="BV95" s="166">
        <f t="shared" si="13"/>
        <v>0</v>
      </c>
      <c r="BW95" s="166">
        <f t="shared" si="6"/>
        <v>0</v>
      </c>
      <c r="BX95" s="166">
        <f t="shared" si="7"/>
        <v>0</v>
      </c>
      <c r="BY95" s="167">
        <f t="shared" si="14"/>
        <v>0</v>
      </c>
      <c r="BZ95" s="167">
        <f t="shared" si="8"/>
        <v>0</v>
      </c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</row>
    <row r="96" spans="1:151" ht="15.75" customHeight="1">
      <c r="A96" s="164">
        <v>85</v>
      </c>
      <c r="B96" s="166">
        <f t="shared" si="10"/>
        <v>-10572.058950540932</v>
      </c>
      <c r="C96" s="166">
        <f t="shared" si="2"/>
        <v>-7841.7158708896059</v>
      </c>
      <c r="D96" s="166">
        <f t="shared" si="3"/>
        <v>-2730.3430796513262</v>
      </c>
      <c r="E96" s="167">
        <f t="shared" si="11"/>
        <v>327641.16955815913</v>
      </c>
      <c r="F96" s="167">
        <f t="shared" si="4"/>
        <v>319799.45368726953</v>
      </c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0"/>
      <c r="BU96" s="164">
        <v>85</v>
      </c>
      <c r="BV96" s="166">
        <f t="shared" si="13"/>
        <v>0</v>
      </c>
      <c r="BW96" s="166">
        <f t="shared" si="6"/>
        <v>0</v>
      </c>
      <c r="BX96" s="166">
        <f t="shared" si="7"/>
        <v>0</v>
      </c>
      <c r="BY96" s="167">
        <f t="shared" si="14"/>
        <v>0</v>
      </c>
      <c r="BZ96" s="167">
        <f t="shared" si="8"/>
        <v>0</v>
      </c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</row>
    <row r="97" spans="1:151" ht="15.75" customHeight="1">
      <c r="A97" s="164">
        <v>86</v>
      </c>
      <c r="B97" s="166">
        <f t="shared" si="10"/>
        <v>-10572.058950540932</v>
      </c>
      <c r="C97" s="166">
        <f t="shared" si="2"/>
        <v>-7907.0635031470192</v>
      </c>
      <c r="D97" s="166">
        <f t="shared" si="3"/>
        <v>-2664.9954473939129</v>
      </c>
      <c r="E97" s="167">
        <f t="shared" si="11"/>
        <v>319799.45368726953</v>
      </c>
      <c r="F97" s="167">
        <f t="shared" si="4"/>
        <v>311892.39018412249</v>
      </c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0"/>
      <c r="BU97" s="164">
        <v>86</v>
      </c>
      <c r="BV97" s="166">
        <f t="shared" si="13"/>
        <v>0</v>
      </c>
      <c r="BW97" s="166">
        <f t="shared" si="6"/>
        <v>0</v>
      </c>
      <c r="BX97" s="166">
        <f t="shared" si="7"/>
        <v>0</v>
      </c>
      <c r="BY97" s="167">
        <f t="shared" si="14"/>
        <v>0</v>
      </c>
      <c r="BZ97" s="167">
        <f t="shared" si="8"/>
        <v>0</v>
      </c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</row>
    <row r="98" spans="1:151" ht="15.75" customHeight="1">
      <c r="A98" s="164">
        <v>87</v>
      </c>
      <c r="B98" s="166">
        <f t="shared" si="10"/>
        <v>-10572.058950540932</v>
      </c>
      <c r="C98" s="166">
        <f t="shared" si="2"/>
        <v>-7972.9556990065776</v>
      </c>
      <c r="D98" s="166">
        <f t="shared" si="3"/>
        <v>-2599.1032515343541</v>
      </c>
      <c r="E98" s="167">
        <f t="shared" si="11"/>
        <v>311892.39018412249</v>
      </c>
      <c r="F98" s="167">
        <f t="shared" si="4"/>
        <v>303919.43448511593</v>
      </c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0"/>
      <c r="BU98" s="164">
        <v>87</v>
      </c>
      <c r="BV98" s="166">
        <f t="shared" si="13"/>
        <v>0</v>
      </c>
      <c r="BW98" s="166">
        <f t="shared" si="6"/>
        <v>0</v>
      </c>
      <c r="BX98" s="166">
        <f t="shared" si="7"/>
        <v>0</v>
      </c>
      <c r="BY98" s="167">
        <f t="shared" si="14"/>
        <v>0</v>
      </c>
      <c r="BZ98" s="167">
        <f t="shared" si="8"/>
        <v>0</v>
      </c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</row>
    <row r="99" spans="1:151" ht="15.75" customHeight="1">
      <c r="A99" s="164">
        <v>88</v>
      </c>
      <c r="B99" s="166">
        <f t="shared" si="10"/>
        <v>-10572.058950540932</v>
      </c>
      <c r="C99" s="166">
        <f t="shared" si="2"/>
        <v>-8039.3969964982989</v>
      </c>
      <c r="D99" s="166">
        <f t="shared" si="3"/>
        <v>-2532.6619540426327</v>
      </c>
      <c r="E99" s="167">
        <f t="shared" si="11"/>
        <v>303919.43448511593</v>
      </c>
      <c r="F99" s="167">
        <f t="shared" si="4"/>
        <v>295880.03748861764</v>
      </c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0"/>
      <c r="BU99" s="164">
        <v>88</v>
      </c>
      <c r="BV99" s="166">
        <f t="shared" si="13"/>
        <v>0</v>
      </c>
      <c r="BW99" s="166">
        <f t="shared" si="6"/>
        <v>0</v>
      </c>
      <c r="BX99" s="166">
        <f t="shared" si="7"/>
        <v>0</v>
      </c>
      <c r="BY99" s="167">
        <f t="shared" si="14"/>
        <v>0</v>
      </c>
      <c r="BZ99" s="167">
        <f t="shared" si="8"/>
        <v>0</v>
      </c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</row>
    <row r="100" spans="1:151" ht="15.75" customHeight="1">
      <c r="A100" s="164">
        <v>89</v>
      </c>
      <c r="B100" s="166">
        <f t="shared" si="10"/>
        <v>-10572.058950540932</v>
      </c>
      <c r="C100" s="166">
        <f t="shared" si="2"/>
        <v>-8106.3919714691183</v>
      </c>
      <c r="D100" s="166">
        <f t="shared" si="3"/>
        <v>-2465.6669790718138</v>
      </c>
      <c r="E100" s="167">
        <f t="shared" si="11"/>
        <v>295880.03748861764</v>
      </c>
      <c r="F100" s="167">
        <f t="shared" si="4"/>
        <v>287773.64551714854</v>
      </c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0"/>
      <c r="BU100" s="164">
        <v>89</v>
      </c>
      <c r="BV100" s="166">
        <f t="shared" si="13"/>
        <v>0</v>
      </c>
      <c r="BW100" s="166">
        <f t="shared" si="6"/>
        <v>0</v>
      </c>
      <c r="BX100" s="166">
        <f t="shared" si="7"/>
        <v>0</v>
      </c>
      <c r="BY100" s="167">
        <f t="shared" si="14"/>
        <v>0</v>
      </c>
      <c r="BZ100" s="167">
        <f t="shared" si="8"/>
        <v>0</v>
      </c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</row>
    <row r="101" spans="1:151" ht="15.75" customHeight="1">
      <c r="A101" s="164">
        <v>90</v>
      </c>
      <c r="B101" s="166">
        <f t="shared" si="10"/>
        <v>-10572.058950540932</v>
      </c>
      <c r="C101" s="166">
        <f t="shared" si="2"/>
        <v>-8173.9452378980277</v>
      </c>
      <c r="D101" s="166">
        <f t="shared" si="3"/>
        <v>-2398.1137126429044</v>
      </c>
      <c r="E101" s="167">
        <f t="shared" si="11"/>
        <v>287773.64551714854</v>
      </c>
      <c r="F101" s="167">
        <f t="shared" si="4"/>
        <v>279599.70027925051</v>
      </c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0"/>
      <c r="BU101" s="164">
        <v>90</v>
      </c>
      <c r="BV101" s="166">
        <f t="shared" si="13"/>
        <v>0</v>
      </c>
      <c r="BW101" s="166">
        <f t="shared" si="6"/>
        <v>0</v>
      </c>
      <c r="BX101" s="166">
        <f t="shared" si="7"/>
        <v>0</v>
      </c>
      <c r="BY101" s="167">
        <f t="shared" si="14"/>
        <v>0</v>
      </c>
      <c r="BZ101" s="167">
        <f t="shared" si="8"/>
        <v>0</v>
      </c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</row>
    <row r="102" spans="1:151" ht="15.75" customHeight="1">
      <c r="A102" s="164">
        <v>91</v>
      </c>
      <c r="B102" s="166">
        <f t="shared" si="10"/>
        <v>-10572.058950540932</v>
      </c>
      <c r="C102" s="166">
        <f t="shared" si="2"/>
        <v>-8242.0614482138444</v>
      </c>
      <c r="D102" s="166">
        <f t="shared" si="3"/>
        <v>-2329.9975023270877</v>
      </c>
      <c r="E102" s="167">
        <f t="shared" si="11"/>
        <v>279599.70027925051</v>
      </c>
      <c r="F102" s="167">
        <f t="shared" si="4"/>
        <v>271357.63883103669</v>
      </c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0"/>
      <c r="BU102" s="164">
        <v>91</v>
      </c>
      <c r="BV102" s="166">
        <f t="shared" si="13"/>
        <v>0</v>
      </c>
      <c r="BW102" s="166">
        <f t="shared" si="6"/>
        <v>0</v>
      </c>
      <c r="BX102" s="166">
        <f t="shared" si="7"/>
        <v>0</v>
      </c>
      <c r="BY102" s="167">
        <f t="shared" si="14"/>
        <v>0</v>
      </c>
      <c r="BZ102" s="167">
        <f t="shared" si="8"/>
        <v>0</v>
      </c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</row>
    <row r="103" spans="1:151" ht="15.75" customHeight="1">
      <c r="A103" s="164">
        <v>92</v>
      </c>
      <c r="B103" s="166">
        <f t="shared" si="10"/>
        <v>-10572.058950540932</v>
      </c>
      <c r="C103" s="166">
        <f t="shared" si="2"/>
        <v>-8310.745293615626</v>
      </c>
      <c r="D103" s="166">
        <f t="shared" si="3"/>
        <v>-2261.3136569253056</v>
      </c>
      <c r="E103" s="167">
        <f t="shared" si="11"/>
        <v>271357.63883103669</v>
      </c>
      <c r="F103" s="167">
        <f t="shared" si="4"/>
        <v>263046.89353742107</v>
      </c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0"/>
      <c r="BU103" s="164">
        <v>92</v>
      </c>
      <c r="BV103" s="166">
        <f t="shared" si="13"/>
        <v>0</v>
      </c>
      <c r="BW103" s="166">
        <f t="shared" si="6"/>
        <v>0</v>
      </c>
      <c r="BX103" s="166">
        <f t="shared" si="7"/>
        <v>0</v>
      </c>
      <c r="BY103" s="167">
        <f t="shared" si="14"/>
        <v>0</v>
      </c>
      <c r="BZ103" s="167">
        <f t="shared" si="8"/>
        <v>0</v>
      </c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</row>
    <row r="104" spans="1:151" ht="15.75" customHeight="1">
      <c r="A104" s="164">
        <v>93</v>
      </c>
      <c r="B104" s="166">
        <f t="shared" si="10"/>
        <v>-10572.058950540932</v>
      </c>
      <c r="C104" s="166">
        <f t="shared" si="2"/>
        <v>-8380.0015043957555</v>
      </c>
      <c r="D104" s="166">
        <f t="shared" si="3"/>
        <v>-2192.0574461451756</v>
      </c>
      <c r="E104" s="167">
        <f t="shared" si="11"/>
        <v>263046.89353742107</v>
      </c>
      <c r="F104" s="167">
        <f t="shared" si="4"/>
        <v>254666.8920330253</v>
      </c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0"/>
      <c r="BU104" s="164">
        <v>93</v>
      </c>
      <c r="BV104" s="166">
        <f t="shared" si="13"/>
        <v>0</v>
      </c>
      <c r="BW104" s="166">
        <f t="shared" si="6"/>
        <v>0</v>
      </c>
      <c r="BX104" s="166">
        <f t="shared" si="7"/>
        <v>0</v>
      </c>
      <c r="BY104" s="167">
        <f t="shared" si="14"/>
        <v>0</v>
      </c>
      <c r="BZ104" s="167">
        <f t="shared" si="8"/>
        <v>0</v>
      </c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</row>
    <row r="105" spans="1:151" ht="15.75" customHeight="1">
      <c r="A105" s="164">
        <v>94</v>
      </c>
      <c r="B105" s="166">
        <f t="shared" si="10"/>
        <v>-10572.058950540932</v>
      </c>
      <c r="C105" s="166">
        <f t="shared" si="2"/>
        <v>-8449.8348502657209</v>
      </c>
      <c r="D105" s="166">
        <f t="shared" si="3"/>
        <v>-2122.2241002752107</v>
      </c>
      <c r="E105" s="167">
        <f t="shared" si="11"/>
        <v>254666.8920330253</v>
      </c>
      <c r="F105" s="167">
        <f t="shared" si="4"/>
        <v>246217.05718275957</v>
      </c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0"/>
      <c r="BU105" s="164">
        <v>94</v>
      </c>
      <c r="BV105" s="166">
        <f t="shared" si="13"/>
        <v>0</v>
      </c>
      <c r="BW105" s="166">
        <f t="shared" si="6"/>
        <v>0</v>
      </c>
      <c r="BX105" s="166">
        <f t="shared" si="7"/>
        <v>0</v>
      </c>
      <c r="BY105" s="167">
        <f t="shared" si="14"/>
        <v>0</v>
      </c>
      <c r="BZ105" s="167">
        <f t="shared" si="8"/>
        <v>0</v>
      </c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</row>
    <row r="106" spans="1:151" ht="15.75" customHeight="1">
      <c r="A106" s="164">
        <v>95</v>
      </c>
      <c r="B106" s="166">
        <f t="shared" si="10"/>
        <v>-10572.058950540932</v>
      </c>
      <c r="C106" s="166">
        <f t="shared" si="2"/>
        <v>-8520.2501406846022</v>
      </c>
      <c r="D106" s="166">
        <f t="shared" si="3"/>
        <v>-2051.8088098563298</v>
      </c>
      <c r="E106" s="167">
        <f t="shared" si="11"/>
        <v>246217.05718275957</v>
      </c>
      <c r="F106" s="167">
        <f t="shared" si="4"/>
        <v>237696.80704207497</v>
      </c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0"/>
      <c r="BU106" s="164">
        <v>95</v>
      </c>
      <c r="BV106" s="166">
        <f t="shared" si="13"/>
        <v>0</v>
      </c>
      <c r="BW106" s="166">
        <f t="shared" si="6"/>
        <v>0</v>
      </c>
      <c r="BX106" s="166">
        <f t="shared" si="7"/>
        <v>0</v>
      </c>
      <c r="BY106" s="167">
        <f t="shared" si="14"/>
        <v>0</v>
      </c>
      <c r="BZ106" s="167">
        <f t="shared" si="8"/>
        <v>0</v>
      </c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</row>
    <row r="107" spans="1:151" ht="15.75" customHeight="1">
      <c r="A107" s="164">
        <v>96</v>
      </c>
      <c r="B107" s="166">
        <f t="shared" si="10"/>
        <v>-10572.058950540932</v>
      </c>
      <c r="C107" s="166">
        <f t="shared" si="2"/>
        <v>-8591.2522251903065</v>
      </c>
      <c r="D107" s="166">
        <f t="shared" si="3"/>
        <v>-1980.8067253506247</v>
      </c>
      <c r="E107" s="167">
        <f t="shared" si="11"/>
        <v>237696.80704207497</v>
      </c>
      <c r="F107" s="167">
        <f t="shared" si="4"/>
        <v>229105.55481688466</v>
      </c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0"/>
      <c r="BU107" s="164">
        <v>96</v>
      </c>
      <c r="BV107" s="166">
        <f t="shared" si="13"/>
        <v>0</v>
      </c>
      <c r="BW107" s="166">
        <f t="shared" si="6"/>
        <v>0</v>
      </c>
      <c r="BX107" s="166">
        <f t="shared" si="7"/>
        <v>0</v>
      </c>
      <c r="BY107" s="167">
        <f t="shared" si="14"/>
        <v>0</v>
      </c>
      <c r="BZ107" s="167">
        <f t="shared" si="8"/>
        <v>0</v>
      </c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</row>
    <row r="108" spans="1:151" ht="15.75" customHeight="1">
      <c r="A108" s="164">
        <v>97</v>
      </c>
      <c r="B108" s="166">
        <f t="shared" si="10"/>
        <v>-10572.058950540932</v>
      </c>
      <c r="C108" s="166">
        <f t="shared" si="2"/>
        <v>-8662.8459937335592</v>
      </c>
      <c r="D108" s="166">
        <f t="shared" si="3"/>
        <v>-1909.2129568073722</v>
      </c>
      <c r="E108" s="167">
        <f t="shared" si="11"/>
        <v>229105.55481688466</v>
      </c>
      <c r="F108" s="167">
        <f t="shared" si="4"/>
        <v>220442.7088231511</v>
      </c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0"/>
      <c r="BU108" s="164">
        <v>97</v>
      </c>
      <c r="BV108" s="166">
        <f t="shared" si="13"/>
        <v>0</v>
      </c>
      <c r="BW108" s="166">
        <f t="shared" si="6"/>
        <v>0</v>
      </c>
      <c r="BX108" s="166">
        <f t="shared" si="7"/>
        <v>0</v>
      </c>
      <c r="BY108" s="167">
        <f t="shared" si="14"/>
        <v>0</v>
      </c>
      <c r="BZ108" s="167">
        <f t="shared" si="8"/>
        <v>0</v>
      </c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</row>
    <row r="109" spans="1:151" ht="15.75" customHeight="1">
      <c r="A109" s="164">
        <v>98</v>
      </c>
      <c r="B109" s="166">
        <f t="shared" si="10"/>
        <v>-10572.058950540932</v>
      </c>
      <c r="C109" s="166">
        <f t="shared" si="2"/>
        <v>-8735.0363770146723</v>
      </c>
      <c r="D109" s="166">
        <f t="shared" si="3"/>
        <v>-1837.0225735262591</v>
      </c>
      <c r="E109" s="167">
        <f t="shared" si="11"/>
        <v>220442.7088231511</v>
      </c>
      <c r="F109" s="167">
        <f t="shared" si="4"/>
        <v>211707.67244613642</v>
      </c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0"/>
      <c r="BU109" s="164">
        <v>98</v>
      </c>
      <c r="BV109" s="166">
        <f t="shared" si="13"/>
        <v>0</v>
      </c>
      <c r="BW109" s="166">
        <f t="shared" si="6"/>
        <v>0</v>
      </c>
      <c r="BX109" s="166">
        <f t="shared" si="7"/>
        <v>0</v>
      </c>
      <c r="BY109" s="167">
        <f t="shared" si="14"/>
        <v>0</v>
      </c>
      <c r="BZ109" s="167">
        <f t="shared" si="8"/>
        <v>0</v>
      </c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</row>
    <row r="110" spans="1:151" ht="15.75" customHeight="1">
      <c r="A110" s="164">
        <v>99</v>
      </c>
      <c r="B110" s="166">
        <f t="shared" si="10"/>
        <v>-10572.058950540932</v>
      </c>
      <c r="C110" s="166">
        <f t="shared" si="2"/>
        <v>-8807.8283468231275</v>
      </c>
      <c r="D110" s="166">
        <f t="shared" si="3"/>
        <v>-1764.2306037178034</v>
      </c>
      <c r="E110" s="167">
        <f t="shared" si="11"/>
        <v>211707.67244613642</v>
      </c>
      <c r="F110" s="167">
        <f t="shared" si="4"/>
        <v>202899.84409931328</v>
      </c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0"/>
      <c r="BU110" s="164">
        <v>99</v>
      </c>
      <c r="BV110" s="166">
        <f t="shared" si="13"/>
        <v>0</v>
      </c>
      <c r="BW110" s="166">
        <f t="shared" si="6"/>
        <v>0</v>
      </c>
      <c r="BX110" s="166">
        <f t="shared" si="7"/>
        <v>0</v>
      </c>
      <c r="BY110" s="167">
        <f t="shared" si="14"/>
        <v>0</v>
      </c>
      <c r="BZ110" s="167">
        <f t="shared" si="8"/>
        <v>0</v>
      </c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</row>
    <row r="111" spans="1:151" ht="15.75" customHeight="1">
      <c r="A111" s="164">
        <v>100</v>
      </c>
      <c r="B111" s="166">
        <f t="shared" si="10"/>
        <v>-10572.058950540932</v>
      </c>
      <c r="C111" s="166">
        <f t="shared" si="2"/>
        <v>-8881.2269163799883</v>
      </c>
      <c r="D111" s="166">
        <f t="shared" si="3"/>
        <v>-1690.832034160944</v>
      </c>
      <c r="E111" s="167">
        <f t="shared" si="11"/>
        <v>202899.84409931328</v>
      </c>
      <c r="F111" s="167">
        <f t="shared" si="4"/>
        <v>194018.61718293329</v>
      </c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0"/>
      <c r="BU111" s="164">
        <v>100</v>
      </c>
      <c r="BV111" s="166">
        <f t="shared" si="13"/>
        <v>0</v>
      </c>
      <c r="BW111" s="166">
        <f t="shared" si="6"/>
        <v>0</v>
      </c>
      <c r="BX111" s="166">
        <f t="shared" si="7"/>
        <v>0</v>
      </c>
      <c r="BY111" s="167">
        <f t="shared" si="14"/>
        <v>0</v>
      </c>
      <c r="BZ111" s="167">
        <f t="shared" si="8"/>
        <v>0</v>
      </c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</row>
    <row r="112" spans="1:151" ht="15.75" customHeight="1">
      <c r="A112" s="164">
        <v>101</v>
      </c>
      <c r="B112" s="166">
        <f t="shared" si="10"/>
        <v>-10572.058950540932</v>
      </c>
      <c r="C112" s="166">
        <f t="shared" si="2"/>
        <v>-8955.2371406831535</v>
      </c>
      <c r="D112" s="166">
        <f t="shared" si="3"/>
        <v>-1616.8218098577775</v>
      </c>
      <c r="E112" s="167">
        <f t="shared" si="11"/>
        <v>194018.61718293329</v>
      </c>
      <c r="F112" s="167">
        <f t="shared" si="4"/>
        <v>185063.38004225012</v>
      </c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0"/>
      <c r="BU112" s="164">
        <v>101</v>
      </c>
      <c r="BV112" s="166">
        <f t="shared" si="13"/>
        <v>0</v>
      </c>
      <c r="BW112" s="166">
        <f t="shared" si="6"/>
        <v>0</v>
      </c>
      <c r="BX112" s="166">
        <f t="shared" si="7"/>
        <v>0</v>
      </c>
      <c r="BY112" s="167">
        <f t="shared" si="14"/>
        <v>0</v>
      </c>
      <c r="BZ112" s="167">
        <f t="shared" si="8"/>
        <v>0</v>
      </c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</row>
    <row r="113" spans="1:151" ht="15.75" customHeight="1">
      <c r="A113" s="164">
        <v>102</v>
      </c>
      <c r="B113" s="166">
        <f t="shared" si="10"/>
        <v>-10572.058950540932</v>
      </c>
      <c r="C113" s="166">
        <f t="shared" si="2"/>
        <v>-9029.8641168555132</v>
      </c>
      <c r="D113" s="166">
        <f t="shared" si="3"/>
        <v>-1542.1948336854177</v>
      </c>
      <c r="E113" s="167">
        <f t="shared" si="11"/>
        <v>185063.38004225012</v>
      </c>
      <c r="F113" s="167">
        <f t="shared" si="4"/>
        <v>176033.5159253946</v>
      </c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0"/>
      <c r="BU113" s="164">
        <v>102</v>
      </c>
      <c r="BV113" s="166">
        <f t="shared" si="13"/>
        <v>0</v>
      </c>
      <c r="BW113" s="166">
        <f t="shared" si="6"/>
        <v>0</v>
      </c>
      <c r="BX113" s="166">
        <f t="shared" si="7"/>
        <v>0</v>
      </c>
      <c r="BY113" s="167">
        <f t="shared" si="14"/>
        <v>0</v>
      </c>
      <c r="BZ113" s="167">
        <f t="shared" si="8"/>
        <v>0</v>
      </c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</row>
    <row r="114" spans="1:151" ht="15.75" customHeight="1">
      <c r="A114" s="164">
        <v>103</v>
      </c>
      <c r="B114" s="166">
        <f t="shared" si="10"/>
        <v>-10572.058950540932</v>
      </c>
      <c r="C114" s="166">
        <f t="shared" si="2"/>
        <v>-9105.112984495976</v>
      </c>
      <c r="D114" s="166">
        <f t="shared" si="3"/>
        <v>-1466.945966044955</v>
      </c>
      <c r="E114" s="167">
        <f t="shared" si="11"/>
        <v>176033.5159253946</v>
      </c>
      <c r="F114" s="167">
        <f t="shared" si="4"/>
        <v>166928.40294089864</v>
      </c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0"/>
      <c r="BU114" s="164">
        <v>103</v>
      </c>
      <c r="BV114" s="166">
        <f t="shared" si="13"/>
        <v>0</v>
      </c>
      <c r="BW114" s="166">
        <f t="shared" si="6"/>
        <v>0</v>
      </c>
      <c r="BX114" s="166">
        <f t="shared" si="7"/>
        <v>0</v>
      </c>
      <c r="BY114" s="167">
        <f t="shared" si="14"/>
        <v>0</v>
      </c>
      <c r="BZ114" s="167">
        <f t="shared" si="8"/>
        <v>0</v>
      </c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</row>
    <row r="115" spans="1:151" ht="15.75" customHeight="1">
      <c r="A115" s="164">
        <v>104</v>
      </c>
      <c r="B115" s="166">
        <f t="shared" si="10"/>
        <v>-10572.058950540932</v>
      </c>
      <c r="C115" s="166">
        <f t="shared" si="2"/>
        <v>-9180.9889260334421</v>
      </c>
      <c r="D115" s="166">
        <f t="shared" si="3"/>
        <v>-1391.0700245074886</v>
      </c>
      <c r="E115" s="167">
        <f t="shared" si="11"/>
        <v>166928.40294089864</v>
      </c>
      <c r="F115" s="167">
        <f t="shared" si="4"/>
        <v>157747.41401486521</v>
      </c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0"/>
      <c r="BU115" s="164">
        <v>104</v>
      </c>
      <c r="BV115" s="166">
        <f t="shared" si="13"/>
        <v>0</v>
      </c>
      <c r="BW115" s="166">
        <f t="shared" si="6"/>
        <v>0</v>
      </c>
      <c r="BX115" s="166">
        <f t="shared" si="7"/>
        <v>0</v>
      </c>
      <c r="BY115" s="167">
        <f t="shared" si="14"/>
        <v>0</v>
      </c>
      <c r="BZ115" s="167">
        <f t="shared" si="8"/>
        <v>0</v>
      </c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</row>
    <row r="116" spans="1:151" ht="15.75" customHeight="1">
      <c r="A116" s="164">
        <v>105</v>
      </c>
      <c r="B116" s="166">
        <f t="shared" si="10"/>
        <v>-10572.058950540932</v>
      </c>
      <c r="C116" s="166">
        <f t="shared" si="2"/>
        <v>-9257.4971670837222</v>
      </c>
      <c r="D116" s="166">
        <f t="shared" si="3"/>
        <v>-1314.5617834572101</v>
      </c>
      <c r="E116" s="167">
        <f t="shared" si="11"/>
        <v>157747.41401486521</v>
      </c>
      <c r="F116" s="167">
        <f t="shared" si="4"/>
        <v>148489.91684778148</v>
      </c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0"/>
      <c r="BU116" s="164">
        <v>105</v>
      </c>
      <c r="BV116" s="166">
        <f t="shared" si="13"/>
        <v>0</v>
      </c>
      <c r="BW116" s="166">
        <f t="shared" si="6"/>
        <v>0</v>
      </c>
      <c r="BX116" s="166">
        <f t="shared" si="7"/>
        <v>0</v>
      </c>
      <c r="BY116" s="167">
        <f t="shared" si="14"/>
        <v>0</v>
      </c>
      <c r="BZ116" s="167">
        <f t="shared" si="8"/>
        <v>0</v>
      </c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</row>
    <row r="117" spans="1:151" ht="15.75" customHeight="1">
      <c r="A117" s="164">
        <v>106</v>
      </c>
      <c r="B117" s="166">
        <f t="shared" si="10"/>
        <v>-10572.058950540932</v>
      </c>
      <c r="C117" s="166">
        <f t="shared" si="2"/>
        <v>-9334.6429768094185</v>
      </c>
      <c r="D117" s="166">
        <f t="shared" si="3"/>
        <v>-1237.4159737315124</v>
      </c>
      <c r="E117" s="167">
        <f t="shared" si="11"/>
        <v>148489.91684778148</v>
      </c>
      <c r="F117" s="167">
        <f t="shared" si="4"/>
        <v>139155.27387097207</v>
      </c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0"/>
      <c r="BU117" s="164">
        <v>106</v>
      </c>
      <c r="BV117" s="166">
        <f t="shared" si="13"/>
        <v>0</v>
      </c>
      <c r="BW117" s="166">
        <f t="shared" si="6"/>
        <v>0</v>
      </c>
      <c r="BX117" s="166">
        <f t="shared" si="7"/>
        <v>0</v>
      </c>
      <c r="BY117" s="167">
        <f t="shared" si="14"/>
        <v>0</v>
      </c>
      <c r="BZ117" s="167">
        <f t="shared" si="8"/>
        <v>0</v>
      </c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</row>
    <row r="118" spans="1:151" ht="15.75" customHeight="1">
      <c r="A118" s="164">
        <v>107</v>
      </c>
      <c r="B118" s="166">
        <f t="shared" si="10"/>
        <v>-10572.058950540932</v>
      </c>
      <c r="C118" s="166">
        <f t="shared" si="2"/>
        <v>-9412.4316682828303</v>
      </c>
      <c r="D118" s="166">
        <f t="shared" si="3"/>
        <v>-1159.6272822581006</v>
      </c>
      <c r="E118" s="167">
        <f t="shared" si="11"/>
        <v>139155.27387097207</v>
      </c>
      <c r="F118" s="167">
        <f t="shared" si="4"/>
        <v>129742.84220268924</v>
      </c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0"/>
      <c r="BU118" s="164">
        <v>107</v>
      </c>
      <c r="BV118" s="166">
        <f t="shared" si="13"/>
        <v>0</v>
      </c>
      <c r="BW118" s="166">
        <f t="shared" si="6"/>
        <v>0</v>
      </c>
      <c r="BX118" s="166">
        <f t="shared" si="7"/>
        <v>0</v>
      </c>
      <c r="BY118" s="167">
        <f t="shared" si="14"/>
        <v>0</v>
      </c>
      <c r="BZ118" s="167">
        <f t="shared" si="8"/>
        <v>0</v>
      </c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</row>
    <row r="119" spans="1:151" ht="15.75" customHeight="1">
      <c r="A119" s="164">
        <v>108</v>
      </c>
      <c r="B119" s="166">
        <f t="shared" si="10"/>
        <v>-10572.058950540932</v>
      </c>
      <c r="C119" s="166">
        <f t="shared" si="2"/>
        <v>-9490.8685988518555</v>
      </c>
      <c r="D119" s="166">
        <f t="shared" si="3"/>
        <v>-1081.190351689077</v>
      </c>
      <c r="E119" s="167">
        <f t="shared" si="11"/>
        <v>129742.84220268924</v>
      </c>
      <c r="F119" s="167">
        <f t="shared" si="4"/>
        <v>120251.97360383738</v>
      </c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0"/>
      <c r="BU119" s="164">
        <v>108</v>
      </c>
      <c r="BV119" s="166">
        <f t="shared" si="13"/>
        <v>0</v>
      </c>
      <c r="BW119" s="166">
        <f t="shared" si="6"/>
        <v>0</v>
      </c>
      <c r="BX119" s="166">
        <f t="shared" si="7"/>
        <v>0</v>
      </c>
      <c r="BY119" s="167">
        <f t="shared" si="14"/>
        <v>0</v>
      </c>
      <c r="BZ119" s="167">
        <f t="shared" si="8"/>
        <v>0</v>
      </c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</row>
    <row r="120" spans="1:151" ht="15.75" customHeight="1">
      <c r="A120" s="164">
        <v>109</v>
      </c>
      <c r="B120" s="166">
        <f t="shared" si="10"/>
        <v>-10572.058950540932</v>
      </c>
      <c r="C120" s="166">
        <f t="shared" si="2"/>
        <v>-9569.9591705089533</v>
      </c>
      <c r="D120" s="166">
        <f t="shared" si="3"/>
        <v>-1002.0997800319782</v>
      </c>
      <c r="E120" s="167">
        <f t="shared" si="11"/>
        <v>120251.97360383738</v>
      </c>
      <c r="F120" s="167">
        <f t="shared" si="4"/>
        <v>110682.01443332843</v>
      </c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0"/>
      <c r="BU120" s="164">
        <v>109</v>
      </c>
      <c r="BV120" s="166">
        <f t="shared" si="13"/>
        <v>0</v>
      </c>
      <c r="BW120" s="166">
        <f t="shared" si="6"/>
        <v>0</v>
      </c>
      <c r="BX120" s="166">
        <f t="shared" si="7"/>
        <v>0</v>
      </c>
      <c r="BY120" s="167">
        <f t="shared" si="14"/>
        <v>0</v>
      </c>
      <c r="BZ120" s="167">
        <f t="shared" si="8"/>
        <v>0</v>
      </c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</row>
    <row r="121" spans="1:151" ht="15.75" customHeight="1">
      <c r="A121" s="164">
        <v>110</v>
      </c>
      <c r="B121" s="166">
        <f t="shared" si="10"/>
        <v>-10572.058950540932</v>
      </c>
      <c r="C121" s="166">
        <f t="shared" si="2"/>
        <v>-9649.7088302631946</v>
      </c>
      <c r="D121" s="166">
        <f t="shared" si="3"/>
        <v>-922.35012027773689</v>
      </c>
      <c r="E121" s="167">
        <f t="shared" si="11"/>
        <v>110682.01443332843</v>
      </c>
      <c r="F121" s="167">
        <f t="shared" si="4"/>
        <v>101032.30560306524</v>
      </c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0"/>
      <c r="BU121" s="164">
        <v>110</v>
      </c>
      <c r="BV121" s="166">
        <f t="shared" si="13"/>
        <v>0</v>
      </c>
      <c r="BW121" s="166">
        <f t="shared" si="6"/>
        <v>0</v>
      </c>
      <c r="BX121" s="166">
        <f t="shared" si="7"/>
        <v>0</v>
      </c>
      <c r="BY121" s="167">
        <f t="shared" si="14"/>
        <v>0</v>
      </c>
      <c r="BZ121" s="167">
        <f t="shared" si="8"/>
        <v>0</v>
      </c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</row>
    <row r="122" spans="1:151" ht="15.75" customHeight="1">
      <c r="A122" s="164">
        <v>111</v>
      </c>
      <c r="B122" s="166">
        <f t="shared" si="10"/>
        <v>-10572.058950540932</v>
      </c>
      <c r="C122" s="166">
        <f t="shared" si="2"/>
        <v>-9730.1230705153885</v>
      </c>
      <c r="D122" s="166">
        <f t="shared" si="3"/>
        <v>-841.93588002554361</v>
      </c>
      <c r="E122" s="167">
        <f t="shared" si="11"/>
        <v>101032.30560306524</v>
      </c>
      <c r="F122" s="167">
        <f t="shared" si="4"/>
        <v>91302.18253254985</v>
      </c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0"/>
      <c r="BU122" s="164">
        <v>111</v>
      </c>
      <c r="BV122" s="166">
        <f t="shared" si="13"/>
        <v>0</v>
      </c>
      <c r="BW122" s="166">
        <f t="shared" si="6"/>
        <v>0</v>
      </c>
      <c r="BX122" s="166">
        <f t="shared" si="7"/>
        <v>0</v>
      </c>
      <c r="BY122" s="167">
        <f t="shared" si="14"/>
        <v>0</v>
      </c>
      <c r="BZ122" s="167">
        <f t="shared" si="8"/>
        <v>0</v>
      </c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</row>
    <row r="123" spans="1:151" ht="15.75" customHeight="1">
      <c r="A123" s="164">
        <v>112</v>
      </c>
      <c r="B123" s="166">
        <f t="shared" si="10"/>
        <v>-10572.058950540932</v>
      </c>
      <c r="C123" s="166">
        <f t="shared" si="2"/>
        <v>-9811.2074294363501</v>
      </c>
      <c r="D123" s="166">
        <f t="shared" si="3"/>
        <v>-760.85152110458205</v>
      </c>
      <c r="E123" s="167">
        <f t="shared" si="11"/>
        <v>91302.18253254985</v>
      </c>
      <c r="F123" s="167">
        <f t="shared" si="4"/>
        <v>81490.975103113495</v>
      </c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0"/>
      <c r="BU123" s="164">
        <v>112</v>
      </c>
      <c r="BV123" s="166">
        <f t="shared" si="13"/>
        <v>0</v>
      </c>
      <c r="BW123" s="166">
        <f t="shared" si="6"/>
        <v>0</v>
      </c>
      <c r="BX123" s="166">
        <f t="shared" si="7"/>
        <v>0</v>
      </c>
      <c r="BY123" s="167">
        <f t="shared" si="14"/>
        <v>0</v>
      </c>
      <c r="BZ123" s="167">
        <f t="shared" si="8"/>
        <v>0</v>
      </c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</row>
    <row r="124" spans="1:151" ht="15.75" customHeight="1">
      <c r="A124" s="164">
        <v>113</v>
      </c>
      <c r="B124" s="166">
        <f t="shared" si="10"/>
        <v>-10572.058950540932</v>
      </c>
      <c r="C124" s="166">
        <f t="shared" si="2"/>
        <v>-9892.9674913483195</v>
      </c>
      <c r="D124" s="166">
        <f t="shared" si="3"/>
        <v>-679.09145919261243</v>
      </c>
      <c r="E124" s="167">
        <f t="shared" si="11"/>
        <v>81490.975103113495</v>
      </c>
      <c r="F124" s="167">
        <f t="shared" si="4"/>
        <v>71598.007611765177</v>
      </c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0"/>
      <c r="BU124" s="164">
        <v>113</v>
      </c>
      <c r="BV124" s="166">
        <f t="shared" si="13"/>
        <v>0</v>
      </c>
      <c r="BW124" s="166">
        <f t="shared" si="6"/>
        <v>0</v>
      </c>
      <c r="BX124" s="166">
        <f t="shared" si="7"/>
        <v>0</v>
      </c>
      <c r="BY124" s="167">
        <f t="shared" si="14"/>
        <v>0</v>
      </c>
      <c r="BZ124" s="167">
        <f t="shared" si="8"/>
        <v>0</v>
      </c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</row>
    <row r="125" spans="1:151" ht="15.75" customHeight="1">
      <c r="A125" s="164">
        <v>114</v>
      </c>
      <c r="B125" s="166">
        <f t="shared" si="10"/>
        <v>-10572.058950540932</v>
      </c>
      <c r="C125" s="166">
        <f t="shared" si="2"/>
        <v>-9975.4088871095555</v>
      </c>
      <c r="D125" s="166">
        <f t="shared" si="3"/>
        <v>-596.65006343137645</v>
      </c>
      <c r="E125" s="167">
        <f t="shared" si="11"/>
        <v>71598.007611765177</v>
      </c>
      <c r="F125" s="167">
        <f t="shared" si="4"/>
        <v>61622.598724655618</v>
      </c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0"/>
      <c r="BU125" s="164">
        <v>114</v>
      </c>
      <c r="BV125" s="166">
        <f t="shared" si="13"/>
        <v>0</v>
      </c>
      <c r="BW125" s="166">
        <f t="shared" si="6"/>
        <v>0</v>
      </c>
      <c r="BX125" s="166">
        <f t="shared" si="7"/>
        <v>0</v>
      </c>
      <c r="BY125" s="167">
        <f t="shared" si="14"/>
        <v>0</v>
      </c>
      <c r="BZ125" s="167">
        <f t="shared" si="8"/>
        <v>0</v>
      </c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</row>
    <row r="126" spans="1:151" ht="15.75" customHeight="1">
      <c r="A126" s="164">
        <v>115</v>
      </c>
      <c r="B126" s="166">
        <f t="shared" si="10"/>
        <v>-10572.058950540932</v>
      </c>
      <c r="C126" s="166">
        <f t="shared" si="2"/>
        <v>-10058.537294502135</v>
      </c>
      <c r="D126" s="166">
        <f t="shared" si="3"/>
        <v>-513.52165603879678</v>
      </c>
      <c r="E126" s="167">
        <f t="shared" si="11"/>
        <v>61622.598724655618</v>
      </c>
      <c r="F126" s="167">
        <f t="shared" si="4"/>
        <v>51564.061430153481</v>
      </c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0"/>
      <c r="BU126" s="164">
        <v>115</v>
      </c>
      <c r="BV126" s="166">
        <f t="shared" si="13"/>
        <v>0</v>
      </c>
      <c r="BW126" s="166">
        <f t="shared" si="6"/>
        <v>0</v>
      </c>
      <c r="BX126" s="166">
        <f t="shared" si="7"/>
        <v>0</v>
      </c>
      <c r="BY126" s="167">
        <f t="shared" si="14"/>
        <v>0</v>
      </c>
      <c r="BZ126" s="167">
        <f t="shared" si="8"/>
        <v>0</v>
      </c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</row>
    <row r="127" spans="1:151" ht="15.75" customHeight="1">
      <c r="A127" s="164">
        <v>116</v>
      </c>
      <c r="B127" s="166">
        <f t="shared" si="10"/>
        <v>-10572.058950540932</v>
      </c>
      <c r="C127" s="166">
        <f t="shared" si="2"/>
        <v>-10142.358438622987</v>
      </c>
      <c r="D127" s="166">
        <f t="shared" si="3"/>
        <v>-429.70051191794568</v>
      </c>
      <c r="E127" s="167">
        <f t="shared" si="11"/>
        <v>51564.061430153481</v>
      </c>
      <c r="F127" s="167">
        <f t="shared" si="4"/>
        <v>41421.702991530496</v>
      </c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0"/>
      <c r="BU127" s="164">
        <v>116</v>
      </c>
      <c r="BV127" s="166">
        <f t="shared" si="13"/>
        <v>0</v>
      </c>
      <c r="BW127" s="166">
        <f t="shared" si="6"/>
        <v>0</v>
      </c>
      <c r="BX127" s="166">
        <f t="shared" si="7"/>
        <v>0</v>
      </c>
      <c r="BY127" s="167">
        <f t="shared" si="14"/>
        <v>0</v>
      </c>
      <c r="BZ127" s="167">
        <f t="shared" si="8"/>
        <v>0</v>
      </c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</row>
    <row r="128" spans="1:151" ht="15.75" customHeight="1">
      <c r="A128" s="164">
        <v>117</v>
      </c>
      <c r="B128" s="166">
        <f t="shared" si="10"/>
        <v>-10572.058950540932</v>
      </c>
      <c r="C128" s="166">
        <f t="shared" si="2"/>
        <v>-10226.878092278177</v>
      </c>
      <c r="D128" s="166">
        <f t="shared" si="3"/>
        <v>-345.1808582627541</v>
      </c>
      <c r="E128" s="167">
        <f t="shared" si="11"/>
        <v>41421.702991530496</v>
      </c>
      <c r="F128" s="167">
        <f t="shared" si="4"/>
        <v>31194.824899252319</v>
      </c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0"/>
      <c r="BU128" s="164">
        <v>117</v>
      </c>
      <c r="BV128" s="166">
        <f t="shared" si="13"/>
        <v>0</v>
      </c>
      <c r="BW128" s="166">
        <f t="shared" si="6"/>
        <v>0</v>
      </c>
      <c r="BX128" s="166">
        <f t="shared" si="7"/>
        <v>0</v>
      </c>
      <c r="BY128" s="167">
        <f t="shared" si="14"/>
        <v>0</v>
      </c>
      <c r="BZ128" s="167">
        <f t="shared" si="8"/>
        <v>0</v>
      </c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</row>
    <row r="129" spans="1:151" ht="15.75" customHeight="1">
      <c r="A129" s="164">
        <v>118</v>
      </c>
      <c r="B129" s="166">
        <f t="shared" si="10"/>
        <v>-10572.058950540932</v>
      </c>
      <c r="C129" s="166">
        <f t="shared" si="2"/>
        <v>-10312.102076380495</v>
      </c>
      <c r="D129" s="166">
        <f t="shared" si="3"/>
        <v>-259.95687416043597</v>
      </c>
      <c r="E129" s="167">
        <f t="shared" si="11"/>
        <v>31194.824899252319</v>
      </c>
      <c r="F129" s="167">
        <f t="shared" si="4"/>
        <v>20882.722822871823</v>
      </c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0"/>
      <c r="BU129" s="164">
        <v>118</v>
      </c>
      <c r="BV129" s="166">
        <f t="shared" si="13"/>
        <v>0</v>
      </c>
      <c r="BW129" s="166">
        <f t="shared" si="6"/>
        <v>0</v>
      </c>
      <c r="BX129" s="166">
        <f t="shared" si="7"/>
        <v>0</v>
      </c>
      <c r="BY129" s="167">
        <f t="shared" si="14"/>
        <v>0</v>
      </c>
      <c r="BZ129" s="167">
        <f t="shared" si="8"/>
        <v>0</v>
      </c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</row>
    <row r="130" spans="1:151" ht="15.75" customHeight="1">
      <c r="A130" s="164">
        <v>119</v>
      </c>
      <c r="B130" s="166">
        <f t="shared" si="10"/>
        <v>-10572.058950540932</v>
      </c>
      <c r="C130" s="166">
        <f t="shared" si="2"/>
        <v>-10398.036260350333</v>
      </c>
      <c r="D130" s="166">
        <f t="shared" si="3"/>
        <v>-174.02269019059852</v>
      </c>
      <c r="E130" s="167">
        <f t="shared" si="11"/>
        <v>20882.722822871823</v>
      </c>
      <c r="F130" s="167">
        <f t="shared" si="4"/>
        <v>10484.68656252149</v>
      </c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0"/>
      <c r="BU130" s="164">
        <v>119</v>
      </c>
      <c r="BV130" s="166">
        <f t="shared" si="13"/>
        <v>0</v>
      </c>
      <c r="BW130" s="166">
        <f t="shared" si="6"/>
        <v>0</v>
      </c>
      <c r="BX130" s="166">
        <f t="shared" si="7"/>
        <v>0</v>
      </c>
      <c r="BY130" s="167">
        <f t="shared" si="14"/>
        <v>0</v>
      </c>
      <c r="BZ130" s="167">
        <f t="shared" si="8"/>
        <v>0</v>
      </c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</row>
    <row r="131" spans="1:151" ht="15.75" customHeight="1">
      <c r="A131" s="164">
        <v>120</v>
      </c>
      <c r="B131" s="166">
        <f t="shared" si="10"/>
        <v>-10572.058950540932</v>
      </c>
      <c r="C131" s="166">
        <f t="shared" si="2"/>
        <v>-10484.686562519919</v>
      </c>
      <c r="D131" s="166">
        <f t="shared" si="3"/>
        <v>-87.372388021012426</v>
      </c>
      <c r="E131" s="167">
        <f t="shared" si="11"/>
        <v>10484.68656252149</v>
      </c>
      <c r="F131" s="167">
        <f t="shared" si="4"/>
        <v>1.57160684466362E-9</v>
      </c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0"/>
      <c r="BU131" s="164">
        <v>120</v>
      </c>
      <c r="BV131" s="166">
        <f t="shared" si="13"/>
        <v>0</v>
      </c>
      <c r="BW131" s="166">
        <f t="shared" si="6"/>
        <v>0</v>
      </c>
      <c r="BX131" s="166">
        <f t="shared" si="7"/>
        <v>0</v>
      </c>
      <c r="BY131" s="167">
        <f t="shared" si="14"/>
        <v>0</v>
      </c>
      <c r="BZ131" s="167">
        <f t="shared" si="8"/>
        <v>0</v>
      </c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</row>
    <row r="132" spans="1:151" ht="15.75" customHeight="1">
      <c r="A132" s="164"/>
      <c r="B132" s="164"/>
      <c r="C132" s="164"/>
      <c r="D132" s="166">
        <f>SUM(D12:D131)</f>
        <v>-468647.07406491257</v>
      </c>
      <c r="E132" s="164"/>
      <c r="F132" s="164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64"/>
      <c r="BU132" s="164"/>
      <c r="BV132" s="164"/>
      <c r="BW132" s="164"/>
      <c r="BX132" s="166">
        <f>SUM(BX12:BX131)</f>
        <v>0</v>
      </c>
      <c r="BY132" s="164"/>
      <c r="BZ132" s="164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</row>
    <row r="133" spans="1:151" ht="15.75" customHeight="1"/>
    <row r="134" spans="1:151" ht="15.75" customHeight="1"/>
    <row r="135" spans="1:151" ht="15.75" customHeight="1"/>
    <row r="136" spans="1:151" ht="15.75" customHeight="1"/>
    <row r="137" spans="1:151" ht="15.75" customHeight="1"/>
    <row r="138" spans="1:151" ht="15.75" customHeight="1"/>
    <row r="139" spans="1:151" ht="15.75" customHeight="1"/>
    <row r="140" spans="1:151" ht="15.75" customHeight="1"/>
    <row r="141" spans="1:151" ht="15.75" customHeight="1"/>
    <row r="142" spans="1:151" ht="15.75" customHeight="1"/>
    <row r="143" spans="1:151" ht="15.75" customHeight="1"/>
    <row r="144" spans="1:151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mergeCells count="2">
    <mergeCell ref="E10:F10"/>
    <mergeCell ref="BY10:BZ10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Q1000"/>
  <sheetViews>
    <sheetView workbookViewId="0">
      <pane xSplit="5" ySplit="6" topLeftCell="F24" activePane="bottomRight" state="frozen"/>
      <selection pane="topRight" activeCell="F1" sqref="F1"/>
      <selection pane="bottomLeft" activeCell="A7" sqref="A7"/>
      <selection pane="bottomRight" activeCell="T36" sqref="T36"/>
    </sheetView>
  </sheetViews>
  <sheetFormatPr defaultColWidth="14.42578125" defaultRowHeight="15" customHeight="1"/>
  <cols>
    <col min="1" max="4" width="3.7109375" customWidth="1"/>
    <col min="5" max="5" width="31.7109375" customWidth="1"/>
    <col min="6" max="6" width="10.5703125" bestFit="1" customWidth="1"/>
    <col min="7" max="8" width="11.28515625" bestFit="1" customWidth="1"/>
    <col min="9" max="17" width="12.28515625" bestFit="1" customWidth="1"/>
    <col min="18" max="43" width="11.7109375" customWidth="1"/>
    <col min="44" max="44" width="8.7109375" customWidth="1"/>
    <col min="45" max="56" width="11.7109375" customWidth="1"/>
    <col min="57" max="57" width="9.140625" customWidth="1"/>
    <col min="58" max="69" width="11.7109375" customWidth="1"/>
  </cols>
  <sheetData>
    <row r="1" spans="1:69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>
      <c r="A2" s="1" t="s">
        <v>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</row>
    <row r="4" spans="1:69">
      <c r="A4" s="11"/>
      <c r="B4" s="11"/>
      <c r="C4" s="11"/>
      <c r="D4" s="11"/>
      <c r="E4" s="11"/>
      <c r="F4" s="31"/>
      <c r="G4" s="32"/>
      <c r="H4" s="32"/>
      <c r="I4" s="32"/>
      <c r="J4" s="32"/>
      <c r="K4" s="32"/>
      <c r="L4" s="33" t="s">
        <v>98</v>
      </c>
      <c r="M4" s="32"/>
      <c r="N4" s="32"/>
      <c r="O4" s="32"/>
      <c r="P4" s="32"/>
      <c r="Q4" s="34"/>
      <c r="R4" s="2"/>
      <c r="S4" s="31"/>
      <c r="T4" s="32"/>
      <c r="U4" s="32"/>
      <c r="V4" s="32"/>
      <c r="W4" s="32"/>
      <c r="X4" s="32"/>
      <c r="Y4" s="33" t="s">
        <v>99</v>
      </c>
      <c r="Z4" s="32"/>
      <c r="AA4" s="32"/>
      <c r="AB4" s="32"/>
      <c r="AC4" s="32"/>
      <c r="AD4" s="34"/>
      <c r="AE4" s="2"/>
      <c r="AF4" s="31"/>
      <c r="AG4" s="32"/>
      <c r="AH4" s="32"/>
      <c r="AI4" s="32"/>
      <c r="AJ4" s="32"/>
      <c r="AK4" s="32"/>
      <c r="AL4" s="33" t="s">
        <v>100</v>
      </c>
      <c r="AM4" s="32"/>
      <c r="AN4" s="32"/>
      <c r="AO4" s="32"/>
      <c r="AP4" s="32"/>
      <c r="AQ4" s="34"/>
      <c r="AS4" s="31"/>
      <c r="AT4" s="32"/>
      <c r="AU4" s="32"/>
      <c r="AV4" s="32"/>
      <c r="AW4" s="32"/>
      <c r="AX4" s="32"/>
      <c r="AY4" s="33" t="s">
        <v>101</v>
      </c>
      <c r="AZ4" s="32"/>
      <c r="BA4" s="32"/>
      <c r="BB4" s="32"/>
      <c r="BC4" s="32"/>
      <c r="BD4" s="34"/>
      <c r="BE4" s="2"/>
      <c r="BF4" s="31"/>
      <c r="BG4" s="32"/>
      <c r="BH4" s="32"/>
      <c r="BI4" s="32"/>
      <c r="BJ4" s="32"/>
      <c r="BK4" s="32"/>
      <c r="BL4" s="33" t="s">
        <v>102</v>
      </c>
      <c r="BM4" s="32"/>
      <c r="BN4" s="32"/>
      <c r="BO4" s="32"/>
      <c r="BP4" s="32"/>
      <c r="BQ4" s="34"/>
    </row>
    <row r="5" spans="1:69">
      <c r="A5" s="1"/>
      <c r="B5" s="1"/>
      <c r="C5" s="1"/>
      <c r="D5" s="1"/>
      <c r="E5" s="1"/>
      <c r="F5" s="35" t="s">
        <v>103</v>
      </c>
      <c r="G5" s="36" t="s">
        <v>104</v>
      </c>
      <c r="H5" s="36" t="s">
        <v>105</v>
      </c>
      <c r="I5" s="35" t="s">
        <v>106</v>
      </c>
      <c r="J5" s="36" t="s">
        <v>107</v>
      </c>
      <c r="K5" s="36" t="s">
        <v>108</v>
      </c>
      <c r="L5" s="35" t="s">
        <v>109</v>
      </c>
      <c r="M5" s="36" t="s">
        <v>110</v>
      </c>
      <c r="N5" s="36" t="s">
        <v>111</v>
      </c>
      <c r="O5" s="35" t="s">
        <v>112</v>
      </c>
      <c r="P5" s="36" t="s">
        <v>113</v>
      </c>
      <c r="Q5" s="36" t="s">
        <v>114</v>
      </c>
      <c r="R5" s="2"/>
      <c r="S5" s="35" t="s">
        <v>103</v>
      </c>
      <c r="T5" s="36" t="s">
        <v>104</v>
      </c>
      <c r="U5" s="36" t="s">
        <v>105</v>
      </c>
      <c r="V5" s="35" t="s">
        <v>106</v>
      </c>
      <c r="W5" s="36" t="s">
        <v>107</v>
      </c>
      <c r="X5" s="36" t="s">
        <v>108</v>
      </c>
      <c r="Y5" s="35" t="s">
        <v>109</v>
      </c>
      <c r="Z5" s="36" t="s">
        <v>110</v>
      </c>
      <c r="AA5" s="36" t="s">
        <v>111</v>
      </c>
      <c r="AB5" s="35" t="s">
        <v>112</v>
      </c>
      <c r="AC5" s="36" t="s">
        <v>113</v>
      </c>
      <c r="AD5" s="36" t="s">
        <v>114</v>
      </c>
      <c r="AE5" s="2"/>
      <c r="AF5" s="35" t="s">
        <v>103</v>
      </c>
      <c r="AG5" s="36" t="s">
        <v>104</v>
      </c>
      <c r="AH5" s="36" t="s">
        <v>105</v>
      </c>
      <c r="AI5" s="35" t="s">
        <v>106</v>
      </c>
      <c r="AJ5" s="36" t="s">
        <v>107</v>
      </c>
      <c r="AK5" s="36" t="s">
        <v>108</v>
      </c>
      <c r="AL5" s="35" t="s">
        <v>109</v>
      </c>
      <c r="AM5" s="36" t="s">
        <v>110</v>
      </c>
      <c r="AN5" s="36" t="s">
        <v>111</v>
      </c>
      <c r="AO5" s="35" t="s">
        <v>112</v>
      </c>
      <c r="AP5" s="36" t="s">
        <v>113</v>
      </c>
      <c r="AQ5" s="36" t="s">
        <v>114</v>
      </c>
      <c r="AS5" s="35" t="s">
        <v>103</v>
      </c>
      <c r="AT5" s="36" t="s">
        <v>104</v>
      </c>
      <c r="AU5" s="36" t="s">
        <v>105</v>
      </c>
      <c r="AV5" s="35" t="s">
        <v>106</v>
      </c>
      <c r="AW5" s="36" t="s">
        <v>107</v>
      </c>
      <c r="AX5" s="36" t="s">
        <v>108</v>
      </c>
      <c r="AY5" s="35" t="s">
        <v>109</v>
      </c>
      <c r="AZ5" s="36" t="s">
        <v>110</v>
      </c>
      <c r="BA5" s="36" t="s">
        <v>111</v>
      </c>
      <c r="BB5" s="35" t="s">
        <v>112</v>
      </c>
      <c r="BC5" s="36" t="s">
        <v>113</v>
      </c>
      <c r="BD5" s="36" t="s">
        <v>114</v>
      </c>
      <c r="BE5" s="2"/>
      <c r="BF5" s="35" t="s">
        <v>103</v>
      </c>
      <c r="BG5" s="36" t="s">
        <v>104</v>
      </c>
      <c r="BH5" s="36" t="s">
        <v>105</v>
      </c>
      <c r="BI5" s="35" t="s">
        <v>106</v>
      </c>
      <c r="BJ5" s="36" t="s">
        <v>107</v>
      </c>
      <c r="BK5" s="36" t="s">
        <v>108</v>
      </c>
      <c r="BL5" s="35" t="s">
        <v>109</v>
      </c>
      <c r="BM5" s="36" t="s">
        <v>110</v>
      </c>
      <c r="BN5" s="36" t="s">
        <v>111</v>
      </c>
      <c r="BO5" s="35" t="s">
        <v>112</v>
      </c>
      <c r="BP5" s="36" t="s">
        <v>113</v>
      </c>
      <c r="BQ5" s="36" t="s">
        <v>114</v>
      </c>
    </row>
    <row r="6" spans="1:69">
      <c r="A6" s="1" t="s">
        <v>7</v>
      </c>
      <c r="B6" s="2"/>
      <c r="C6" s="2"/>
      <c r="D6" s="2"/>
      <c r="E6" s="2"/>
      <c r="F6" s="3">
        <v>1</v>
      </c>
      <c r="G6" s="3">
        <v>2</v>
      </c>
      <c r="H6" s="3">
        <v>3</v>
      </c>
      <c r="I6" s="3">
        <v>4</v>
      </c>
      <c r="J6" s="3">
        <v>5</v>
      </c>
      <c r="K6" s="3">
        <v>6</v>
      </c>
      <c r="L6" s="3">
        <v>7</v>
      </c>
      <c r="M6" s="3">
        <v>8</v>
      </c>
      <c r="N6" s="3">
        <v>9</v>
      </c>
      <c r="O6" s="3">
        <v>10</v>
      </c>
      <c r="P6" s="3">
        <v>11</v>
      </c>
      <c r="Q6" s="3">
        <v>12</v>
      </c>
      <c r="R6" s="37"/>
      <c r="S6" s="3">
        <v>13</v>
      </c>
      <c r="T6" s="3">
        <v>14</v>
      </c>
      <c r="U6" s="3">
        <v>15</v>
      </c>
      <c r="V6" s="3">
        <v>16</v>
      </c>
      <c r="W6" s="3">
        <v>17</v>
      </c>
      <c r="X6" s="3">
        <v>18</v>
      </c>
      <c r="Y6" s="3">
        <v>19</v>
      </c>
      <c r="Z6" s="3">
        <v>20</v>
      </c>
      <c r="AA6" s="3">
        <v>21</v>
      </c>
      <c r="AB6" s="3">
        <v>22</v>
      </c>
      <c r="AC6" s="3">
        <v>23</v>
      </c>
      <c r="AD6" s="3">
        <v>24</v>
      </c>
      <c r="AE6" s="37"/>
      <c r="AF6" s="3">
        <v>25</v>
      </c>
      <c r="AG6" s="3">
        <v>26</v>
      </c>
      <c r="AH6" s="3">
        <v>27</v>
      </c>
      <c r="AI6" s="3">
        <v>28</v>
      </c>
      <c r="AJ6" s="3">
        <v>29</v>
      </c>
      <c r="AK6" s="3">
        <v>30</v>
      </c>
      <c r="AL6" s="3">
        <v>31</v>
      </c>
      <c r="AM6" s="3">
        <v>32</v>
      </c>
      <c r="AN6" s="3">
        <v>33</v>
      </c>
      <c r="AO6" s="3">
        <v>34</v>
      </c>
      <c r="AP6" s="3">
        <v>35</v>
      </c>
      <c r="AQ6" s="3">
        <v>36</v>
      </c>
      <c r="AS6" s="3">
        <v>37</v>
      </c>
      <c r="AT6" s="3">
        <v>38</v>
      </c>
      <c r="AU6" s="3">
        <v>39</v>
      </c>
      <c r="AV6" s="3">
        <v>40</v>
      </c>
      <c r="AW6" s="3">
        <v>41</v>
      </c>
      <c r="AX6" s="3">
        <v>42</v>
      </c>
      <c r="AY6" s="3">
        <v>43</v>
      </c>
      <c r="AZ6" s="3">
        <v>44</v>
      </c>
      <c r="BA6" s="3">
        <v>45</v>
      </c>
      <c r="BB6" s="3">
        <v>46</v>
      </c>
      <c r="BC6" s="3">
        <v>47</v>
      </c>
      <c r="BD6" s="3">
        <v>48</v>
      </c>
      <c r="BE6" s="2"/>
      <c r="BF6" s="3">
        <v>49</v>
      </c>
      <c r="BG6" s="3">
        <v>50</v>
      </c>
      <c r="BH6" s="3">
        <v>51</v>
      </c>
      <c r="BI6" s="3">
        <v>52</v>
      </c>
      <c r="BJ6" s="3">
        <v>53</v>
      </c>
      <c r="BK6" s="3">
        <v>54</v>
      </c>
      <c r="BL6" s="3">
        <v>55</v>
      </c>
      <c r="BM6" s="3">
        <v>56</v>
      </c>
      <c r="BN6" s="3">
        <v>57</v>
      </c>
      <c r="BO6" s="3">
        <v>58</v>
      </c>
      <c r="BP6" s="3">
        <v>59</v>
      </c>
      <c r="BQ6" s="3">
        <v>60</v>
      </c>
    </row>
    <row r="7" spans="1:69">
      <c r="A7" s="2"/>
      <c r="B7" s="1" t="s">
        <v>8</v>
      </c>
      <c r="C7" s="16"/>
      <c r="D7" s="16"/>
      <c r="E7" s="1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2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</row>
    <row r="8" spans="1:69">
      <c r="A8" s="2"/>
      <c r="B8" s="2"/>
      <c r="C8" s="2" t="s">
        <v>9</v>
      </c>
      <c r="D8" s="2"/>
      <c r="E8" s="2"/>
      <c r="F8" s="3">
        <f>SOCF!G43</f>
        <v>70462.030292810756</v>
      </c>
      <c r="G8" s="3">
        <f>SOCF!H43</f>
        <v>111065.54749818114</v>
      </c>
      <c r="H8" s="3">
        <f>SOCF!I43</f>
        <v>108444.40059978102</v>
      </c>
      <c r="I8" s="3">
        <f>SOCF!J43</f>
        <v>120176.30332999889</v>
      </c>
      <c r="J8" s="3">
        <f>SOCF!K43</f>
        <v>151680.22555604758</v>
      </c>
      <c r="K8" s="3">
        <f>SOCF!L43</f>
        <v>182436.72327557331</v>
      </c>
      <c r="L8" s="3">
        <f>SOCF!M43</f>
        <v>185860.27753174744</v>
      </c>
      <c r="M8" s="3">
        <f>SOCF!N43</f>
        <v>212778.83005735622</v>
      </c>
      <c r="N8" s="3">
        <f>SOCF!O43</f>
        <v>230484.16657797081</v>
      </c>
      <c r="O8" s="3">
        <f>SOCF!P43</f>
        <v>216596.01210417753</v>
      </c>
      <c r="P8" s="3">
        <f>SOCF!Q43</f>
        <v>224170.20038525914</v>
      </c>
      <c r="Q8" s="3">
        <f>SOCF!R43</f>
        <v>127028.72899517168</v>
      </c>
      <c r="R8" s="3"/>
      <c r="S8" s="3">
        <f>SOCF!T43</f>
        <v>109396.79036875576</v>
      </c>
      <c r="T8" s="3">
        <f>SOCF!U43</f>
        <v>116613.59091478877</v>
      </c>
      <c r="U8" s="3">
        <f>SOCF!V43</f>
        <v>143163.74824478145</v>
      </c>
      <c r="V8" s="3">
        <f>SOCF!W43</f>
        <v>166672.66441700706</v>
      </c>
      <c r="W8" s="3">
        <f>SOCF!X43</f>
        <v>216116.68032794105</v>
      </c>
      <c r="X8" s="3">
        <f>SOCF!Y43</f>
        <v>264631.3967886623</v>
      </c>
      <c r="Y8" s="3">
        <f>SOCF!Z43</f>
        <v>277230.8268658811</v>
      </c>
      <c r="Z8" s="3">
        <f>SOCF!AA43</f>
        <v>320809.9317998921</v>
      </c>
      <c r="AA8" s="3">
        <f>SOCF!AB43</f>
        <v>352192.37262689514</v>
      </c>
      <c r="AB8" s="3">
        <f>SOCF!AC43</f>
        <v>342017.52533706924</v>
      </c>
      <c r="AC8" s="3">
        <f>SOCF!AD43</f>
        <v>360087.40057162457</v>
      </c>
      <c r="AD8" s="3">
        <f>SOCF!AE43</f>
        <v>71365.665462587727</v>
      </c>
      <c r="AE8" s="3"/>
      <c r="AF8" s="3">
        <f>SOCF!AG43</f>
        <v>43367.313552970991</v>
      </c>
      <c r="AG8" s="3">
        <f>SOCF!AH43</f>
        <v>45460.608735616566</v>
      </c>
      <c r="AH8" s="3">
        <f>SOCF!AI43</f>
        <v>72443.535608269391</v>
      </c>
      <c r="AI8" s="3">
        <f>SOCF!AJ43</f>
        <v>96034.338358202265</v>
      </c>
      <c r="AJ8" s="3">
        <f>SOCF!AK43</f>
        <v>149529.15737624539</v>
      </c>
      <c r="AK8" s="3">
        <f>SOCF!AL43</f>
        <v>201907.15107730476</v>
      </c>
      <c r="AL8" s="3">
        <f>SOCF!AM43</f>
        <v>212614.38121702991</v>
      </c>
      <c r="AM8" s="3">
        <f>SOCF!AN43</f>
        <v>259219.5097645311</v>
      </c>
      <c r="AN8" s="3">
        <f>SOCF!AO43</f>
        <v>291661.82024086517</v>
      </c>
      <c r="AO8" s="3">
        <f>SOCF!AP43</f>
        <v>275971.26234146266</v>
      </c>
      <c r="AP8" s="3">
        <f>SOCF!AQ43</f>
        <v>293058.26712019474</v>
      </c>
      <c r="AQ8" s="3">
        <f>SOCF!AR43</f>
        <v>102137.35348095003</v>
      </c>
      <c r="AS8" s="3">
        <f>SOCF!AT43</f>
        <v>72774.219174233949</v>
      </c>
      <c r="AT8" s="3">
        <f>SOCF!AU43</f>
        <v>76944.648380517639</v>
      </c>
      <c r="AU8" s="3">
        <f>SOCF!AV43</f>
        <v>110312.38742836154</v>
      </c>
      <c r="AV8" s="3">
        <f>SOCF!AW43</f>
        <v>140018.63063942053</v>
      </c>
      <c r="AW8" s="3">
        <f>SOCF!AX43</f>
        <v>202940.45251757739</v>
      </c>
      <c r="AX8" s="3">
        <f>SOCF!AY43</f>
        <v>264581.22742283589</v>
      </c>
      <c r="AY8" s="3">
        <f>SOCF!AZ43</f>
        <v>279740.74512023316</v>
      </c>
      <c r="AZ8" s="3">
        <f>SOCF!BA43</f>
        <v>334910.59343488311</v>
      </c>
      <c r="BA8" s="3">
        <f>SOCF!BB43</f>
        <v>374259.07794163685</v>
      </c>
      <c r="BB8" s="3">
        <f>SOCF!BC43</f>
        <v>359982.358290851</v>
      </c>
      <c r="BC8" s="3">
        <f>SOCF!BD43</f>
        <v>382268.03059737408</v>
      </c>
      <c r="BD8" s="3">
        <f>SOCF!BE43</f>
        <v>95682.808042634162</v>
      </c>
      <c r="BE8" s="2"/>
      <c r="BF8" s="3">
        <f>SOCF!BG43</f>
        <v>65732.388073009526</v>
      </c>
      <c r="BG8" s="3">
        <f>SOCF!BH43</f>
        <v>73076.06224402193</v>
      </c>
      <c r="BH8" s="3">
        <f>SOCF!BI43</f>
        <v>112931.47131294454</v>
      </c>
      <c r="BI8" s="3">
        <f>SOCF!BJ43</f>
        <v>148822.87743930586</v>
      </c>
      <c r="BJ8" s="3">
        <f>SOCF!BK43</f>
        <v>221592.18696649943</v>
      </c>
      <c r="BK8" s="3">
        <f>SOCF!BL43</f>
        <v>292895.19588799198</v>
      </c>
      <c r="BL8" s="3">
        <f>SOCF!BM43</f>
        <v>312327.58008086437</v>
      </c>
      <c r="BM8" s="3">
        <f>SOCF!BN43</f>
        <v>376358.60717660689</v>
      </c>
      <c r="BN8" s="3">
        <f>SOCF!BO43</f>
        <v>422729.18756084034</v>
      </c>
      <c r="BO8" s="3">
        <f>SOCF!BP43</f>
        <v>409341.04335069068</v>
      </c>
      <c r="BP8" s="3">
        <f>SOCF!BQ43</f>
        <v>436761.77966825443</v>
      </c>
      <c r="BQ8" s="3">
        <f>SOCF!BR43</f>
        <v>55003.628733279009</v>
      </c>
    </row>
    <row r="9" spans="1:69">
      <c r="A9" s="2"/>
      <c r="B9" s="2"/>
      <c r="C9" s="2" t="s">
        <v>10</v>
      </c>
      <c r="D9" s="2"/>
      <c r="E9" s="2"/>
      <c r="F9" s="3">
        <v>0</v>
      </c>
      <c r="G9" s="3">
        <f>SOO!F8</f>
        <v>853.38164229910717</v>
      </c>
      <c r="H9" s="3">
        <f>SOO!G8</f>
        <v>907.29150411101284</v>
      </c>
      <c r="I9" s="3">
        <f>SOO!H8</f>
        <v>1280.0724634486608</v>
      </c>
      <c r="J9" s="3">
        <f>SOO!I8</f>
        <v>1514.0642040790613</v>
      </c>
      <c r="K9" s="3">
        <f>SOO!J8</f>
        <v>1706.7632845982143</v>
      </c>
      <c r="L9" s="3">
        <f>SOO!K8</f>
        <v>1720.5275046352965</v>
      </c>
      <c r="M9" s="3">
        <f>SOO!L8</f>
        <v>1777.8784214564728</v>
      </c>
      <c r="N9" s="3">
        <f>SOO!M8</f>
        <v>1706.7632845982143</v>
      </c>
      <c r="O9" s="3">
        <f>SOO!N8</f>
        <v>1514.0642040790613</v>
      </c>
      <c r="P9" s="3">
        <f>SOO!O8</f>
        <v>1422.3027371651788</v>
      </c>
      <c r="Q9" s="3">
        <f>SOO!P8</f>
        <v>1238.7798033374136</v>
      </c>
      <c r="R9" s="3"/>
      <c r="S9" s="3">
        <f>SOO!S8</f>
        <v>1066.7270528738838</v>
      </c>
      <c r="T9" s="3">
        <f>SOO!T8</f>
        <v>1134.1143801387661</v>
      </c>
      <c r="U9" s="3">
        <f>SOO!U8</f>
        <v>1600.0905793108261</v>
      </c>
      <c r="V9" s="3">
        <f>SOO!V8</f>
        <v>1892.5802550988262</v>
      </c>
      <c r="W9" s="3">
        <f>SOO!W8</f>
        <v>2133.4541057477677</v>
      </c>
      <c r="X9" s="3">
        <f>SOO!X8</f>
        <v>2150.6593807941204</v>
      </c>
      <c r="Y9" s="3">
        <f>SOO!Y8</f>
        <v>2222.3480268205913</v>
      </c>
      <c r="Z9" s="3">
        <f>SOO!Z8</f>
        <v>2133.4541057477677</v>
      </c>
      <c r="AA9" s="3">
        <f>SOO!AA8</f>
        <v>1892.5802550988262</v>
      </c>
      <c r="AB9" s="3">
        <f>SOO!AB8</f>
        <v>1777.8784214564732</v>
      </c>
      <c r="AC9" s="3">
        <f>SOO!AC8</f>
        <v>1548.474754171767</v>
      </c>
      <c r="AD9" s="3">
        <f>SOO!AD8</f>
        <v>1422.3027371651788</v>
      </c>
      <c r="AE9" s="3"/>
      <c r="AF9" s="3">
        <f>SOO!AF8</f>
        <v>1226.7361108049665</v>
      </c>
      <c r="AG9" s="3">
        <f>SOO!AG8</f>
        <v>1304.2315371595812</v>
      </c>
      <c r="AH9" s="3">
        <f>SOO!AH8</f>
        <v>1840.1041662074497</v>
      </c>
      <c r="AI9" s="3">
        <f>SOO!AI8</f>
        <v>2176.4672933636498</v>
      </c>
      <c r="AJ9" s="3">
        <f>SOO!AJ8</f>
        <v>2453.4722216099331</v>
      </c>
      <c r="AK9" s="3">
        <f>SOO!AK8</f>
        <v>2473.2582879132383</v>
      </c>
      <c r="AL9" s="3">
        <f>SOO!AL8</f>
        <v>2555.7002308436799</v>
      </c>
      <c r="AM9" s="3">
        <f>SOO!AM8</f>
        <v>2453.4722216099331</v>
      </c>
      <c r="AN9" s="3">
        <f>SOO!AN8</f>
        <v>2176.4672933636498</v>
      </c>
      <c r="AO9" s="3">
        <f>SOO!AO8</f>
        <v>2044.5601846749441</v>
      </c>
      <c r="AP9" s="3">
        <f>SOO!AP8</f>
        <v>1780.7459672975319</v>
      </c>
      <c r="AQ9" s="3">
        <f>SOO!AQ8</f>
        <v>1635.6481477399552</v>
      </c>
      <c r="AS9" s="3">
        <f>SOO!AS8</f>
        <v>1349.4097218854633</v>
      </c>
      <c r="AT9" s="3">
        <f>SOO!AT8</f>
        <v>1434.6546908755395</v>
      </c>
      <c r="AU9" s="3">
        <f>SOO!AU8</f>
        <v>2024.1145828281949</v>
      </c>
      <c r="AV9" s="3">
        <f>SOO!AV8</f>
        <v>2394.1140227000155</v>
      </c>
      <c r="AW9" s="3">
        <f>SOO!AW8</f>
        <v>2698.8194437709267</v>
      </c>
      <c r="AX9" s="3">
        <f>SOO!AX8</f>
        <v>2720.5841167045619</v>
      </c>
      <c r="AY9" s="3">
        <f>SOO!AY8</f>
        <v>2811.2702539280481</v>
      </c>
      <c r="AZ9" s="3">
        <f>SOO!AZ8</f>
        <v>2698.8194437709267</v>
      </c>
      <c r="BA9" s="3">
        <f>SOO!BA8</f>
        <v>2394.1140227000155</v>
      </c>
      <c r="BB9" s="3">
        <f>SOO!BB8</f>
        <v>2249.0162031424388</v>
      </c>
      <c r="BC9" s="3">
        <f>SOO!BC8</f>
        <v>1958.8205640272856</v>
      </c>
      <c r="BD9" s="3">
        <f>SOO!BD8</f>
        <v>1799.2129625139507</v>
      </c>
      <c r="BE9" s="2"/>
      <c r="BF9" s="3">
        <f>SOO!BF8</f>
        <v>1484.3506940740097</v>
      </c>
      <c r="BG9" s="3">
        <f>SOO!BG8</f>
        <v>1578.1201599630933</v>
      </c>
      <c r="BH9" s="3">
        <f>SOO!BH8</f>
        <v>2226.5260411110139</v>
      </c>
      <c r="BI9" s="3">
        <f>SOO!BI8</f>
        <v>2633.525424970017</v>
      </c>
      <c r="BJ9" s="3">
        <f>SOO!BJ8</f>
        <v>2968.7013881480193</v>
      </c>
      <c r="BK9" s="3">
        <f>SOO!BK8</f>
        <v>2992.6425283750186</v>
      </c>
      <c r="BL9" s="3">
        <f>SOO!BL8</f>
        <v>3092.3972793208522</v>
      </c>
      <c r="BM9" s="3">
        <f>SOO!BM8</f>
        <v>2968.7013881480193</v>
      </c>
      <c r="BN9" s="3">
        <f>SOO!BN8</f>
        <v>2633.525424970017</v>
      </c>
      <c r="BO9" s="3">
        <f>SOO!BO8</f>
        <v>2473.9178234566825</v>
      </c>
      <c r="BP9" s="3">
        <f>SOO!BP8</f>
        <v>2154.7026204300141</v>
      </c>
      <c r="BQ9" s="3">
        <f>SOO!BQ8</f>
        <v>1979.1342587653462</v>
      </c>
    </row>
    <row r="10" spans="1:69">
      <c r="A10" s="2"/>
      <c r="B10" s="2"/>
      <c r="C10" s="2" t="s">
        <v>11</v>
      </c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2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</row>
    <row r="11" spans="1:69">
      <c r="A11" s="2"/>
      <c r="B11" s="2"/>
      <c r="C11" s="2"/>
      <c r="D11" s="283" t="s">
        <v>574</v>
      </c>
      <c r="E11" s="2"/>
      <c r="F11" s="3">
        <f>SOO!F20+SOO!F21+SOO!G20+SOO!G21+SOO!H20+SOO!H21</f>
        <v>6063.0821032876056</v>
      </c>
      <c r="G11" s="3">
        <f>SOO!I20+SOO!I21</f>
        <v>3018.9620431307585</v>
      </c>
      <c r="H11" s="3">
        <f>SOO!J20+SOO!J21</f>
        <v>3403.1935758928548</v>
      </c>
      <c r="I11" s="3">
        <f>SOO!K20+SOO!K21</f>
        <v>3430.6386853758604</v>
      </c>
      <c r="J11" s="3">
        <f>SOO!L20+SOO!L21</f>
        <v>3544.9933082217231</v>
      </c>
      <c r="K11" s="3">
        <f>SOO!M20+SOO!M21</f>
        <v>3403.1935758928548</v>
      </c>
      <c r="L11" s="3">
        <f>SOO!N20+SOO!N21</f>
        <v>3018.9620431307585</v>
      </c>
      <c r="M11" s="3">
        <f>SOO!O20+SOO!O21</f>
        <v>2835.9946465773783</v>
      </c>
      <c r="N11" s="3">
        <f>SOO!P20+SOO!P21</f>
        <v>2470.0598534706196</v>
      </c>
      <c r="O11" s="3">
        <f>SOO!Q20+SOO!Q21</f>
        <v>2268.7957172619031</v>
      </c>
      <c r="P11" s="3">
        <f>SOO!S20+SOO!S21</f>
        <v>2297.1556637276772</v>
      </c>
      <c r="Q11" s="3">
        <f>SOO!T20+SOO!T21</f>
        <v>2442.2716801190754</v>
      </c>
      <c r="R11" s="3"/>
      <c r="S11" s="3">
        <f>SOO!U20+SOO!U21</f>
        <v>3445.7334955915153</v>
      </c>
      <c r="T11" s="3">
        <f>SOO!V20+SOO!V21</f>
        <v>4075.5987582265229</v>
      </c>
      <c r="U11" s="3">
        <f>SOO!W20+SOO!W21</f>
        <v>4594.3113274553543</v>
      </c>
      <c r="V11" s="3">
        <f>SOO!X20+SOO!X21</f>
        <v>4631.3622252574123</v>
      </c>
      <c r="W11" s="3">
        <f>SOO!Y20+SOO!Y21</f>
        <v>4785.7409660993271</v>
      </c>
      <c r="X11" s="3">
        <f>SOO!Z20+SOO!Z21</f>
        <v>4594.3113274553543</v>
      </c>
      <c r="Y11" s="3">
        <f>SOO!AA20+SOO!AA21</f>
        <v>4075.5987582265229</v>
      </c>
      <c r="Z11" s="3">
        <f>SOO!AB20+SOO!AB21</f>
        <v>3828.5927728794622</v>
      </c>
      <c r="AA11" s="3">
        <f>SOO!AC20+SOO!AC21</f>
        <v>3334.5808021853377</v>
      </c>
      <c r="AB11" s="3">
        <f>SOO!AD20+SOO!AD21</f>
        <v>3062.8742183035693</v>
      </c>
      <c r="AC11" s="3">
        <f>SOO!AF20+SOO!AF21</f>
        <v>2592.8081056333685</v>
      </c>
      <c r="AD11" s="3">
        <f>SOO!AG20+SOO!AG21</f>
        <v>2756.6010908010676</v>
      </c>
      <c r="AE11" s="3"/>
      <c r="AF11" s="3">
        <f>SOO!AH20+SOO!AH21</f>
        <v>3889.2121584500528</v>
      </c>
      <c r="AG11" s="3">
        <f>SOO!AI20+SOO!AI21</f>
        <v>4600.1434132204913</v>
      </c>
      <c r="AH11" s="3">
        <f>SOO!AJ20+SOO!AJ21</f>
        <v>5185.6162112667371</v>
      </c>
      <c r="AI11" s="3">
        <f>SOO!AK20+SOO!AK21</f>
        <v>5227.4356968414668</v>
      </c>
      <c r="AJ11" s="3">
        <f>SOO!AL20+SOO!AL21</f>
        <v>5401.6835534028496</v>
      </c>
      <c r="AK11" s="3">
        <f>SOO!AM20+SOO!AM21</f>
        <v>5185.6162112667371</v>
      </c>
      <c r="AL11" s="3">
        <f>SOO!AN20+SOO!AN21</f>
        <v>4600.1434132204913</v>
      </c>
      <c r="AM11" s="3">
        <f>SOO!AO20+SOO!AO21</f>
        <v>4321.3468427222797</v>
      </c>
      <c r="AN11" s="3">
        <f>SOO!AP20+SOO!AP21</f>
        <v>3763.7537017258574</v>
      </c>
      <c r="AO11" s="3">
        <f>SOO!AQ20+SOO!AQ21</f>
        <v>3457.0774741778241</v>
      </c>
      <c r="AP11" s="3">
        <f>SOO!AS20+SOO!AS21</f>
        <v>2798.2759177778998</v>
      </c>
      <c r="AQ11" s="3">
        <f>SOO!AT20+SOO!AT21</f>
        <v>2975.0487244117189</v>
      </c>
      <c r="AS11" s="3">
        <f>SOO!AU20+SOO!AU21</f>
        <v>4197.4138766668493</v>
      </c>
      <c r="AT11" s="3">
        <f>SOO!AV20+SOO!AV21</f>
        <v>4964.6830799285317</v>
      </c>
      <c r="AU11" s="3">
        <f>SOO!AW20+SOO!AW21</f>
        <v>5596.5518355557997</v>
      </c>
      <c r="AV11" s="3">
        <f>SOO!AX20+SOO!AX21</f>
        <v>5641.6853181006018</v>
      </c>
      <c r="AW11" s="3">
        <f>SOO!AY20+SOO!AY21</f>
        <v>5829.7414953706248</v>
      </c>
      <c r="AX11" s="3">
        <f>SOO!AZ20+SOO!AZ21</f>
        <v>5596.5518355557997</v>
      </c>
      <c r="AY11" s="3">
        <f>SOO!BA20+SOO!BA21</f>
        <v>4964.6830799285317</v>
      </c>
      <c r="AZ11" s="3">
        <f>SOO!BB20+SOO!BB21</f>
        <v>4663.7931962965004</v>
      </c>
      <c r="BA11" s="3">
        <f>SOO!BC20+SOO!BC21</f>
        <v>4062.0134290324354</v>
      </c>
      <c r="BB11" s="3">
        <f>SOO!BD20+SOO!BD21</f>
        <v>3731.0345570371992</v>
      </c>
      <c r="BC11" s="3">
        <f>SOO!BF20+SOO!BF21</f>
        <v>3078.1035095556904</v>
      </c>
      <c r="BD11" s="3">
        <f>SOO!BG20+SOO!BG21</f>
        <v>3272.5535968528902</v>
      </c>
      <c r="BE11" s="2"/>
      <c r="BF11" s="3">
        <f>SOO!BH20+SOO!BH21</f>
        <v>4617.1552643335335</v>
      </c>
      <c r="BG11" s="3">
        <f>SOO!BI20+SOO!BI21</f>
        <v>5461.1513879213853</v>
      </c>
      <c r="BH11" s="3">
        <f>SOO!BJ20+SOO!BJ21</f>
        <v>6156.2070191113808</v>
      </c>
      <c r="BI11" s="3">
        <f>SOO!BK20+SOO!BK21</f>
        <v>6205.8538499106635</v>
      </c>
      <c r="BJ11" s="3">
        <f>SOO!BL20+SOO!BL21</f>
        <v>6412.7156449076865</v>
      </c>
      <c r="BK11" s="3">
        <f>SOO!BM20+SOO!BM21</f>
        <v>6156.2070191113808</v>
      </c>
      <c r="BL11" s="3">
        <f>SOO!BN20+SOO!BN21</f>
        <v>5461.1513879213853</v>
      </c>
      <c r="BM11" s="3">
        <f>SOO!BO20+SOO!BO21</f>
        <v>5130.1725159261505</v>
      </c>
      <c r="BN11" s="3">
        <f>SOO!BP20+SOO!BP21</f>
        <v>4468.2147719356799</v>
      </c>
      <c r="BO11" s="3">
        <f>SOO!BQ20+SOO!BQ21</f>
        <v>4104.1380127409193</v>
      </c>
      <c r="BP11" s="3">
        <f>BO11</f>
        <v>4104.1380127409193</v>
      </c>
      <c r="BQ11" s="3">
        <f>BP11</f>
        <v>4104.1380127409193</v>
      </c>
    </row>
    <row r="12" spans="1:69">
      <c r="A12" s="2"/>
      <c r="B12" s="2"/>
      <c r="C12" s="2"/>
      <c r="D12" s="283" t="s">
        <v>552</v>
      </c>
      <c r="E12" s="2"/>
      <c r="F12" s="3">
        <f>SOO!F11*1.5</f>
        <v>21204</v>
      </c>
      <c r="G12" s="3">
        <f>SOO!G11</f>
        <v>15028.999999999998</v>
      </c>
      <c r="H12" s="3">
        <f>SOO!H11</f>
        <v>21204</v>
      </c>
      <c r="I12" s="3">
        <f>SOO!I11</f>
        <v>25080.000000000004</v>
      </c>
      <c r="J12" s="3">
        <f>SOO!J11</f>
        <v>28272</v>
      </c>
      <c r="K12" s="3">
        <f>SOO!K11</f>
        <v>28500</v>
      </c>
      <c r="L12" s="3">
        <f>SOO!L11</f>
        <v>29450</v>
      </c>
      <c r="M12" s="3">
        <f>SOO!M11</f>
        <v>28272</v>
      </c>
      <c r="N12" s="3">
        <f>SOO!N11</f>
        <v>25080.000000000004</v>
      </c>
      <c r="O12" s="3">
        <f>SOO!O11</f>
        <v>23560</v>
      </c>
      <c r="P12" s="3">
        <f>SOO!P11</f>
        <v>20520</v>
      </c>
      <c r="Q12" s="3">
        <f>SOO!Q11</f>
        <v>18848</v>
      </c>
      <c r="R12" s="3"/>
      <c r="S12" s="3">
        <f>SOO!S11</f>
        <v>18376.8</v>
      </c>
      <c r="T12" s="3">
        <f>SOO!T11</f>
        <v>19537.699999999997</v>
      </c>
      <c r="U12" s="3">
        <f>SOO!U11</f>
        <v>27565.200000000001</v>
      </c>
      <c r="V12" s="3">
        <f>SOO!V11</f>
        <v>32604.000000000004</v>
      </c>
      <c r="W12" s="3">
        <f>SOO!W11</f>
        <v>36753.599999999999</v>
      </c>
      <c r="X12" s="3">
        <f>SOO!X11</f>
        <v>37050</v>
      </c>
      <c r="Y12" s="3">
        <f>SOO!Y11</f>
        <v>38285</v>
      </c>
      <c r="Z12" s="3">
        <f>SOO!Z11</f>
        <v>36753.599999999999</v>
      </c>
      <c r="AA12" s="3">
        <f>SOO!AA11</f>
        <v>32604.000000000004</v>
      </c>
      <c r="AB12" s="3">
        <f>SOO!AB11</f>
        <v>30628</v>
      </c>
      <c r="AC12" s="3">
        <f>SOO!AC11</f>
        <v>26676</v>
      </c>
      <c r="AD12" s="3">
        <f>SOO!AD11</f>
        <v>24502.400000000001</v>
      </c>
      <c r="AE12" s="3"/>
      <c r="AF12" s="3">
        <f>SOO!AF11</f>
        <v>21767.319599999995</v>
      </c>
      <c r="AG12" s="3">
        <f>SOO!AG11</f>
        <v>23142.405649999997</v>
      </c>
      <c r="AH12" s="3">
        <f>SOO!AH11</f>
        <v>32650.9794</v>
      </c>
      <c r="AI12" s="3">
        <f>SOO!AI11</f>
        <v>38619.438000000002</v>
      </c>
      <c r="AJ12" s="3">
        <f>SOO!AJ11</f>
        <v>43534.639199999991</v>
      </c>
      <c r="AK12" s="3">
        <f>SOO!AK11</f>
        <v>43885.724999999999</v>
      </c>
      <c r="AL12" s="3">
        <f>SOO!AL11</f>
        <v>45348.582500000004</v>
      </c>
      <c r="AM12" s="3">
        <f>SOO!AM11</f>
        <v>43534.639199999991</v>
      </c>
      <c r="AN12" s="3">
        <f>SOO!AN11</f>
        <v>38619.438000000002</v>
      </c>
      <c r="AO12" s="3">
        <f>SOO!AO11</f>
        <v>36278.865999999995</v>
      </c>
      <c r="AP12" s="3">
        <f>SOO!AP11</f>
        <v>31597.721999999998</v>
      </c>
      <c r="AQ12" s="3">
        <f>SOO!AQ11</f>
        <v>29023.092799999999</v>
      </c>
      <c r="AS12" s="3">
        <f>SOO!AS11</f>
        <v>24662.373106799998</v>
      </c>
      <c r="AT12" s="3">
        <f>SOO!AT11</f>
        <v>26220.345601449997</v>
      </c>
      <c r="AU12" s="3">
        <f>SOO!AU11</f>
        <v>36993.559660200008</v>
      </c>
      <c r="AV12" s="3">
        <f>SOO!AV11</f>
        <v>43755.823254000003</v>
      </c>
      <c r="AW12" s="3">
        <f>SOO!AW11</f>
        <v>49324.746213599996</v>
      </c>
      <c r="AX12" s="3">
        <f>SOO!AX11</f>
        <v>49722.526425000004</v>
      </c>
      <c r="AY12" s="3">
        <f>SOO!AY11</f>
        <v>51379.943972500012</v>
      </c>
      <c r="AZ12" s="3">
        <f>SOO!AZ11</f>
        <v>49324.746213599996</v>
      </c>
      <c r="BA12" s="3">
        <f>SOO!BA11</f>
        <v>43755.823254000003</v>
      </c>
      <c r="BB12" s="3">
        <f>SOO!BB11</f>
        <v>41103.955178000004</v>
      </c>
      <c r="BC12" s="3">
        <f>SOO!BC11</f>
        <v>35800.219025999999</v>
      </c>
      <c r="BD12" s="3">
        <f>SOO!BD11</f>
        <v>32883.164142399997</v>
      </c>
      <c r="BE12" s="2"/>
      <c r="BF12" s="3">
        <f>SOO!BF11</f>
        <v>27942.468730004399</v>
      </c>
      <c r="BG12" s="3">
        <f>SOO!BG11</f>
        <v>29707.651566442852</v>
      </c>
      <c r="BH12" s="3">
        <f>SOO!BH11</f>
        <v>41913.703095006611</v>
      </c>
      <c r="BI12" s="3">
        <f>SOO!BI11</f>
        <v>49575.347746782012</v>
      </c>
      <c r="BJ12" s="3">
        <f>SOO!BJ11</f>
        <v>55884.937460008798</v>
      </c>
      <c r="BK12" s="3">
        <f>SOO!BK11</f>
        <v>56335.62243952501</v>
      </c>
      <c r="BL12" s="3">
        <f>SOO!BL11</f>
        <v>58213.476520842516</v>
      </c>
      <c r="BM12" s="3">
        <f>SOO!BM11</f>
        <v>55884.937460008798</v>
      </c>
      <c r="BN12" s="3">
        <f>SOO!BN11</f>
        <v>49575.347746782012</v>
      </c>
      <c r="BO12" s="3">
        <f>SOO!BO11</f>
        <v>46570.781216674011</v>
      </c>
      <c r="BP12" s="3">
        <f>SOO!BP11</f>
        <v>40561.648156458003</v>
      </c>
      <c r="BQ12" s="3">
        <f>SOO!BQ11</f>
        <v>37256.624973339203</v>
      </c>
    </row>
    <row r="13" spans="1:69">
      <c r="A13" s="2"/>
      <c r="B13" s="2"/>
      <c r="C13" s="2"/>
      <c r="D13" s="283" t="s">
        <v>554</v>
      </c>
      <c r="E13" s="2"/>
      <c r="F13" s="3">
        <f>SOO!F23+SOO!G23</f>
        <v>2952.2161607142853</v>
      </c>
      <c r="G13" s="3">
        <f>SOO!H23</f>
        <v>2146.3669285714286</v>
      </c>
      <c r="H13" s="3">
        <f>SOO!I23</f>
        <v>2538.7135714285714</v>
      </c>
      <c r="I13" s="3">
        <f>SOO!J23</f>
        <v>2861.8225714285713</v>
      </c>
      <c r="J13" s="3">
        <f>SOO!K23</f>
        <v>2884.9017857142853</v>
      </c>
      <c r="K13" s="3">
        <f>SOO!L23</f>
        <v>2981.0651785714281</v>
      </c>
      <c r="L13" s="3">
        <f>SOO!M23</f>
        <v>2861.8225714285713</v>
      </c>
      <c r="M13" s="3">
        <f>SOO!N23</f>
        <v>2538.7135714285714</v>
      </c>
      <c r="N13" s="3">
        <f>SOO!O23</f>
        <v>2384.8521428571426</v>
      </c>
      <c r="O13" s="3">
        <f>SOO!P23</f>
        <v>2077.1292857142857</v>
      </c>
      <c r="P13" s="3">
        <f>SOO!Q23</f>
        <v>1907.8817142857145</v>
      </c>
      <c r="Q13" s="3">
        <f>SOO!S23</f>
        <v>1860.1846714285716</v>
      </c>
      <c r="R13" s="3"/>
      <c r="S13" s="3">
        <f>SOO!T23</f>
        <v>1977.6963375</v>
      </c>
      <c r="T13" s="3">
        <f>SOO!U23</f>
        <v>2790.2770071428577</v>
      </c>
      <c r="U13" s="3">
        <f>SOO!V23</f>
        <v>3300.3276428571426</v>
      </c>
      <c r="V13" s="3">
        <f>SOO!W23</f>
        <v>3720.3693428571432</v>
      </c>
      <c r="W13" s="3">
        <f>SOO!X23</f>
        <v>3750.3723214285706</v>
      </c>
      <c r="X13" s="3">
        <f>SOO!Y23</f>
        <v>3875.3847321428566</v>
      </c>
      <c r="Y13" s="3">
        <f>SOO!Z23</f>
        <v>3720.3693428571432</v>
      </c>
      <c r="Z13" s="3">
        <f>SOO!AA23</f>
        <v>3300.3276428571426</v>
      </c>
      <c r="AA13" s="3">
        <f>SOO!AB23</f>
        <v>3100.3077857142853</v>
      </c>
      <c r="AB13" s="3">
        <f>SOO!AC23</f>
        <v>2700.2680714285711</v>
      </c>
      <c r="AC13" s="3">
        <f>SOO!AD23</f>
        <v>2480.2462285714291</v>
      </c>
      <c r="AD13" s="3">
        <f>SOO!AF23</f>
        <v>2203.3887433071432</v>
      </c>
      <c r="AE13" s="3"/>
      <c r="AF13" s="3">
        <f>SOO!AG23</f>
        <v>2342.5813117687499</v>
      </c>
      <c r="AG13" s="3">
        <f>SOO!AH23</f>
        <v>3305.0831149607152</v>
      </c>
      <c r="AH13" s="3">
        <f>SOO!AI23</f>
        <v>3909.238092964285</v>
      </c>
      <c r="AI13" s="3">
        <f>SOO!AJ23</f>
        <v>4406.7774866142863</v>
      </c>
      <c r="AJ13" s="3">
        <f>SOO!AK23</f>
        <v>4442.3160147321414</v>
      </c>
      <c r="AK13" s="3">
        <f>SOO!AL23</f>
        <v>4590.3932152232137</v>
      </c>
      <c r="AL13" s="3">
        <f>SOO!AM23</f>
        <v>4406.7774866142863</v>
      </c>
      <c r="AM13" s="3">
        <f>SOO!AN23</f>
        <v>3909.238092964285</v>
      </c>
      <c r="AN13" s="3">
        <f>SOO!AO23</f>
        <v>3672.3145721785709</v>
      </c>
      <c r="AO13" s="3">
        <f>SOO!AP23</f>
        <v>3198.4675306071422</v>
      </c>
      <c r="AP13" s="3">
        <f>SOO!AQ23</f>
        <v>2937.8516577428577</v>
      </c>
      <c r="AQ13" s="3">
        <f>SOO!AS23</f>
        <v>2496.4394461669931</v>
      </c>
      <c r="AS13" s="3">
        <f>SOO!AT23</f>
        <v>2654.1446262339941</v>
      </c>
      <c r="AT13" s="3">
        <f>SOO!AU23</f>
        <v>3744.6591692504908</v>
      </c>
      <c r="AU13" s="3">
        <f>SOO!AV23</f>
        <v>4429.1667593285347</v>
      </c>
      <c r="AV13" s="3">
        <f>SOO!AW23</f>
        <v>4992.8788923339862</v>
      </c>
      <c r="AW13" s="3">
        <f>SOO!AX23</f>
        <v>5033.1440446915167</v>
      </c>
      <c r="AX13" s="3">
        <f>SOO!AY23</f>
        <v>5200.9155128479024</v>
      </c>
      <c r="AY13" s="3">
        <f>SOO!AZ23</f>
        <v>4992.8788923339862</v>
      </c>
      <c r="AZ13" s="3">
        <f>SOO!BA23</f>
        <v>4429.1667593285347</v>
      </c>
      <c r="BA13" s="3">
        <f>SOO!BB23</f>
        <v>4160.7324102783214</v>
      </c>
      <c r="BB13" s="3">
        <f>SOO!BC23</f>
        <v>3623.8637121778925</v>
      </c>
      <c r="BC13" s="3">
        <f>SOO!BD23</f>
        <v>3328.5859282226579</v>
      </c>
      <c r="BD13" s="3">
        <f>SOO!BF23</f>
        <v>2828.4658925072035</v>
      </c>
      <c r="BE13" s="2"/>
      <c r="BF13" s="3">
        <f>SOO!BG23</f>
        <v>3007.1458615231154</v>
      </c>
      <c r="BG13" s="3">
        <f>SOO!BH23</f>
        <v>4242.6988387608071</v>
      </c>
      <c r="BH13" s="3">
        <f>SOO!BI23</f>
        <v>5018.2459383192318</v>
      </c>
      <c r="BI13" s="3">
        <f>SOO!BJ23</f>
        <v>5656.9317850144071</v>
      </c>
      <c r="BJ13" s="3">
        <f>SOO!BK23</f>
        <v>5702.5522026354893</v>
      </c>
      <c r="BK13" s="3">
        <f>SOO!BL23</f>
        <v>5892.6372760566746</v>
      </c>
      <c r="BL13" s="3">
        <f>SOO!BM23</f>
        <v>5656.9317850144071</v>
      </c>
      <c r="BM13" s="3">
        <f>SOO!BN23</f>
        <v>5018.2459383192318</v>
      </c>
      <c r="BN13" s="3">
        <f>SOO!BO23</f>
        <v>4714.1098208453377</v>
      </c>
      <c r="BO13" s="3">
        <f>SOO!BP23</f>
        <v>4105.8375858975523</v>
      </c>
      <c r="BP13" s="3">
        <f>SOO!BQ23</f>
        <v>3771.2878566762715</v>
      </c>
      <c r="BQ13" s="3">
        <f>BP13</f>
        <v>3771.2878566762715</v>
      </c>
    </row>
    <row r="14" spans="1:69">
      <c r="A14" s="17"/>
      <c r="B14" s="17"/>
      <c r="C14" s="17" t="s">
        <v>12</v>
      </c>
      <c r="D14" s="17"/>
      <c r="E14" s="17"/>
      <c r="F14" s="38">
        <v>0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9"/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17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17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</row>
    <row r="15" spans="1:69">
      <c r="A15" s="2"/>
      <c r="B15" s="2"/>
      <c r="C15" s="2"/>
      <c r="D15" s="2" t="s">
        <v>13</v>
      </c>
      <c r="E15" s="2"/>
      <c r="F15" s="18">
        <f t="shared" ref="F15:Q15" si="0">SUM(F8:F14)</f>
        <v>100681.32855681266</v>
      </c>
      <c r="G15" s="18">
        <f t="shared" si="0"/>
        <v>132113.25811218243</v>
      </c>
      <c r="H15" s="18">
        <f t="shared" si="0"/>
        <v>136497.59925121345</v>
      </c>
      <c r="I15" s="18">
        <f t="shared" si="0"/>
        <v>152828.83705025198</v>
      </c>
      <c r="J15" s="18">
        <f t="shared" si="0"/>
        <v>187896.18485406265</v>
      </c>
      <c r="K15" s="18">
        <f t="shared" si="0"/>
        <v>219027.7453146358</v>
      </c>
      <c r="L15" s="18">
        <f t="shared" si="0"/>
        <v>222911.5896509421</v>
      </c>
      <c r="M15" s="18">
        <f t="shared" si="0"/>
        <v>248203.41669681863</v>
      </c>
      <c r="N15" s="18">
        <f t="shared" si="0"/>
        <v>262125.84185889681</v>
      </c>
      <c r="O15" s="18">
        <f t="shared" si="0"/>
        <v>246016.0013112328</v>
      </c>
      <c r="P15" s="18">
        <f t="shared" si="0"/>
        <v>250317.5405004377</v>
      </c>
      <c r="Q15" s="18">
        <f t="shared" si="0"/>
        <v>151417.96515005676</v>
      </c>
      <c r="R15" s="3"/>
      <c r="S15" s="18">
        <f t="shared" ref="S15:AD15" si="1">SUM(S8:S14)</f>
        <v>134263.74725472115</v>
      </c>
      <c r="T15" s="18">
        <f t="shared" si="1"/>
        <v>144151.28106029693</v>
      </c>
      <c r="U15" s="18">
        <f t="shared" si="1"/>
        <v>180223.67779440482</v>
      </c>
      <c r="V15" s="18">
        <f t="shared" si="1"/>
        <v>209520.97624022045</v>
      </c>
      <c r="W15" s="18">
        <f t="shared" si="1"/>
        <v>263539.84772121673</v>
      </c>
      <c r="X15" s="18">
        <f t="shared" si="1"/>
        <v>312301.75222905457</v>
      </c>
      <c r="Y15" s="18">
        <f t="shared" si="1"/>
        <v>325534.14299378538</v>
      </c>
      <c r="Z15" s="18">
        <f t="shared" si="1"/>
        <v>366825.90632137645</v>
      </c>
      <c r="AA15" s="18">
        <f t="shared" si="1"/>
        <v>393123.84146989358</v>
      </c>
      <c r="AB15" s="18">
        <f t="shared" si="1"/>
        <v>380186.54604825791</v>
      </c>
      <c r="AC15" s="18">
        <f t="shared" si="1"/>
        <v>393384.92966000119</v>
      </c>
      <c r="AD15" s="18">
        <f t="shared" si="1"/>
        <v>102250.35803386112</v>
      </c>
      <c r="AE15" s="3"/>
      <c r="AF15" s="18">
        <f t="shared" ref="AF15:AQ15" si="2">SUM(AF8:AF14)</f>
        <v>72593.162733994759</v>
      </c>
      <c r="AG15" s="18">
        <f t="shared" si="2"/>
        <v>77812.472450957343</v>
      </c>
      <c r="AH15" s="18">
        <f t="shared" si="2"/>
        <v>116029.47347870786</v>
      </c>
      <c r="AI15" s="18">
        <f t="shared" si="2"/>
        <v>146464.45683502167</v>
      </c>
      <c r="AJ15" s="18">
        <f t="shared" si="2"/>
        <v>205361.26836599028</v>
      </c>
      <c r="AK15" s="18">
        <f t="shared" si="2"/>
        <v>258042.14379170796</v>
      </c>
      <c r="AL15" s="18">
        <f t="shared" si="2"/>
        <v>269525.58484770841</v>
      </c>
      <c r="AM15" s="18">
        <f t="shared" si="2"/>
        <v>313438.20612182759</v>
      </c>
      <c r="AN15" s="18">
        <f t="shared" si="2"/>
        <v>339893.79380813328</v>
      </c>
      <c r="AO15" s="18">
        <f t="shared" si="2"/>
        <v>320950.2335309225</v>
      </c>
      <c r="AP15" s="18">
        <f t="shared" si="2"/>
        <v>332172.86266301305</v>
      </c>
      <c r="AQ15" s="18">
        <f t="shared" si="2"/>
        <v>138267.5825992687</v>
      </c>
      <c r="AS15" s="18">
        <f t="shared" ref="AS15:BD15" si="3">SUM(AS8:AS14)</f>
        <v>105637.56050582023</v>
      </c>
      <c r="AT15" s="18">
        <f t="shared" si="3"/>
        <v>113308.9909220222</v>
      </c>
      <c r="AU15" s="18">
        <f t="shared" si="3"/>
        <v>159355.78026627409</v>
      </c>
      <c r="AV15" s="18">
        <f t="shared" si="3"/>
        <v>196803.13212655517</v>
      </c>
      <c r="AW15" s="18">
        <f t="shared" si="3"/>
        <v>265826.90371501044</v>
      </c>
      <c r="AX15" s="18">
        <f t="shared" si="3"/>
        <v>327821.80531294417</v>
      </c>
      <c r="AY15" s="18">
        <f t="shared" si="3"/>
        <v>343889.52131892374</v>
      </c>
      <c r="AZ15" s="18">
        <f t="shared" si="3"/>
        <v>396027.11904787901</v>
      </c>
      <c r="BA15" s="18">
        <f t="shared" si="3"/>
        <v>428631.76105764764</v>
      </c>
      <c r="BB15" s="18">
        <f t="shared" si="3"/>
        <v>410690.22794120846</v>
      </c>
      <c r="BC15" s="18">
        <f t="shared" si="3"/>
        <v>426433.75962517969</v>
      </c>
      <c r="BD15" s="18">
        <f t="shared" si="3"/>
        <v>136466.20463690819</v>
      </c>
      <c r="BE15" s="2"/>
      <c r="BF15" s="18">
        <f t="shared" ref="BF15:BQ15" si="4">SUM(BF8:BF14)</f>
        <v>102783.50862294457</v>
      </c>
      <c r="BG15" s="18">
        <f t="shared" si="4"/>
        <v>114065.68419711007</v>
      </c>
      <c r="BH15" s="18">
        <f t="shared" si="4"/>
        <v>168246.15340649275</v>
      </c>
      <c r="BI15" s="18">
        <f t="shared" si="4"/>
        <v>212894.53624598295</v>
      </c>
      <c r="BJ15" s="18">
        <f t="shared" si="4"/>
        <v>292561.09366219939</v>
      </c>
      <c r="BK15" s="18">
        <f t="shared" si="4"/>
        <v>364272.30515106011</v>
      </c>
      <c r="BL15" s="18">
        <f t="shared" si="4"/>
        <v>384751.53705396352</v>
      </c>
      <c r="BM15" s="18">
        <f t="shared" si="4"/>
        <v>445360.66447900905</v>
      </c>
      <c r="BN15" s="18">
        <f t="shared" si="4"/>
        <v>484120.38532537338</v>
      </c>
      <c r="BO15" s="18">
        <f t="shared" si="4"/>
        <v>466595.71798945987</v>
      </c>
      <c r="BP15" s="18">
        <f t="shared" si="4"/>
        <v>487353.55631455965</v>
      </c>
      <c r="BQ15" s="18">
        <f t="shared" si="4"/>
        <v>102114.81383480075</v>
      </c>
    </row>
    <row r="16" spans="1:69">
      <c r="A16" s="2"/>
      <c r="B16" s="2"/>
      <c r="C16" s="2"/>
      <c r="D16" s="2"/>
      <c r="E16" s="2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</row>
    <row r="17" spans="1:69">
      <c r="A17" s="2"/>
      <c r="B17" s="2" t="s">
        <v>14</v>
      </c>
      <c r="C17" s="2"/>
      <c r="D17" s="2"/>
      <c r="E17" s="2"/>
      <c r="F17" s="3">
        <f>-SOCF!G29+Assumptions!B14-SOCF!G10</f>
        <v>737013.5</v>
      </c>
      <c r="G17" s="3">
        <f>-SOCF!H29+F17-SOO!G62</f>
        <v>734194.5</v>
      </c>
      <c r="H17" s="3">
        <f>-SOCF!I29+G17-SOO!H62</f>
        <v>731375.5</v>
      </c>
      <c r="I17" s="3">
        <f>-SOCF!J29+H17-SOO!I62</f>
        <v>728556.5</v>
      </c>
      <c r="J17" s="3">
        <f>-SOCF!K29+I17-SOO!J62</f>
        <v>725737.5</v>
      </c>
      <c r="K17" s="3">
        <f>-SOCF!L29+J17-SOO!K62</f>
        <v>722918.5</v>
      </c>
      <c r="L17" s="3">
        <f>-SOCF!M29+K17-SOO!L62</f>
        <v>720099.5</v>
      </c>
      <c r="M17" s="3">
        <f>-SOCF!N29+L17-SOO!M62</f>
        <v>717280.5</v>
      </c>
      <c r="N17" s="3">
        <f>-SOCF!O29+M17-SOO!N62</f>
        <v>714461.5</v>
      </c>
      <c r="O17" s="3">
        <f>-SOCF!P29+N17-SOO!O62</f>
        <v>711642.5</v>
      </c>
      <c r="P17" s="3">
        <f>-SOCF!Q29+O17-SOO!P62</f>
        <v>708823.5</v>
      </c>
      <c r="Q17" s="3">
        <f>-SOCF!R29+P17-SOO!Q62</f>
        <v>706004.5</v>
      </c>
      <c r="R17" s="3"/>
      <c r="S17" s="3">
        <f>-SOCF!T29+Q17-SOO!S62</f>
        <v>703185.5</v>
      </c>
      <c r="T17" s="3">
        <f>-SOCF!U29+S17-SOO!T62</f>
        <v>700366.5</v>
      </c>
      <c r="U17" s="3">
        <f>-SOCF!V29+T17-SOO!U62</f>
        <v>697547.5</v>
      </c>
      <c r="V17" s="3">
        <f>-SOCF!W29+U17-SOO!V62</f>
        <v>694728.5</v>
      </c>
      <c r="W17" s="3">
        <f>-SOCF!X29+V17-SOO!W62</f>
        <v>691909.5</v>
      </c>
      <c r="X17" s="3">
        <f>-SOCF!Y29+W17-SOO!X62</f>
        <v>689090.5</v>
      </c>
      <c r="Y17" s="3">
        <f>-SOCF!Z29+X17-SOO!Y62</f>
        <v>686271.5</v>
      </c>
      <c r="Z17" s="3">
        <f>-SOCF!AA29+Y17-SOO!Z62</f>
        <v>683452.5</v>
      </c>
      <c r="AA17" s="3">
        <f>-SOCF!AB29+Z17-SOO!AA62</f>
        <v>680633.5</v>
      </c>
      <c r="AB17" s="3">
        <f>-SOCF!AC29+AA17-SOO!AB62</f>
        <v>677814.5</v>
      </c>
      <c r="AC17" s="3">
        <f>-SOCF!AD29+AB17-SOO!AC62</f>
        <v>674995.5</v>
      </c>
      <c r="AD17" s="3">
        <f>-SOCF!AE29+AC17-SOO!AD62</f>
        <v>672176.5</v>
      </c>
      <c r="AE17" s="3"/>
      <c r="AF17" s="3">
        <f>-SOCF!AG29+AD17-SOO!AF62</f>
        <v>669357.5</v>
      </c>
      <c r="AG17" s="3">
        <f>-SOCF!AH29+AF17-SOO!AG62</f>
        <v>666538.5</v>
      </c>
      <c r="AH17" s="3">
        <f>-SOCF!AI29+AG17-SOO!AH62</f>
        <v>663719.5</v>
      </c>
      <c r="AI17" s="3">
        <f>-SOCF!AJ29+AH17-SOO!AI62</f>
        <v>660900.5</v>
      </c>
      <c r="AJ17" s="3">
        <f>-SOCF!AK29+AI17-SOO!AJ62</f>
        <v>658081.5</v>
      </c>
      <c r="AK17" s="3">
        <f>-SOCF!AL29+AJ17-SOO!AK62</f>
        <v>655262.5</v>
      </c>
      <c r="AL17" s="3">
        <f>-SOCF!AM29+AK17-SOO!AL62</f>
        <v>652443.5</v>
      </c>
      <c r="AM17" s="3">
        <f>-SOCF!AN29+AL17-SOO!AM62</f>
        <v>649624.5</v>
      </c>
      <c r="AN17" s="3">
        <f>-SOCF!AO29+AM17-SOO!AN62</f>
        <v>646805.5</v>
      </c>
      <c r="AO17" s="3">
        <f>-SOCF!AP29+AN17-SOO!AO62</f>
        <v>643986.5</v>
      </c>
      <c r="AP17" s="3">
        <f>-SOCF!AQ29+AO17-SOO!AP62</f>
        <v>641167.5</v>
      </c>
      <c r="AQ17" s="3">
        <f>-SOCF!AR29+AP17-SOO!AQ62</f>
        <v>638348.5</v>
      </c>
      <c r="AS17" s="3">
        <f>-SOCF!AT29+AQ17-SOO!AS62</f>
        <v>635529.5</v>
      </c>
      <c r="AT17" s="3">
        <f>-SOCF!AU29+AS17-SOO!AT62</f>
        <v>632710.5</v>
      </c>
      <c r="AU17" s="3">
        <f>-SOCF!AV29+AT17-SOO!AU62</f>
        <v>629891.5</v>
      </c>
      <c r="AV17" s="3">
        <f>-SOCF!AW29+AU17-SOO!AV62</f>
        <v>627072.5</v>
      </c>
      <c r="AW17" s="3">
        <f>-SOCF!AX29+AV17-SOO!AW62</f>
        <v>624253.5</v>
      </c>
      <c r="AX17" s="3">
        <f>-SOCF!AY29+AW17-SOO!AX62</f>
        <v>621434.5</v>
      </c>
      <c r="AY17" s="3">
        <f>-SOCF!AZ29+AX17-SOO!AY62</f>
        <v>618615.5</v>
      </c>
      <c r="AZ17" s="3">
        <f>-SOCF!BA29+AY17-SOO!AZ62</f>
        <v>615796.5</v>
      </c>
      <c r="BA17" s="3">
        <f>-SOCF!BB29+AZ17-SOO!BA62</f>
        <v>612977.5</v>
      </c>
      <c r="BB17" s="3">
        <f>-SOCF!BC29+BA17-SOO!BB62</f>
        <v>610158.5</v>
      </c>
      <c r="BC17" s="3">
        <f>-SOCF!BD29+BB17-SOO!BC62</f>
        <v>607339.5</v>
      </c>
      <c r="BD17" s="3">
        <f>-SOCF!BE29+BC17-SOO!BD62</f>
        <v>604520.5</v>
      </c>
      <c r="BE17" s="2"/>
      <c r="BF17" s="3">
        <f>-SOCF!BG29+BD17-SOO!BF62</f>
        <v>601701.5</v>
      </c>
      <c r="BG17" s="3">
        <f>-SOCF!BH29+BF17-SOO!BG62</f>
        <v>598882.5</v>
      </c>
      <c r="BH17" s="3">
        <f>-SOCF!BI29+BG17-SOO!BH62</f>
        <v>596063.5</v>
      </c>
      <c r="BI17" s="3">
        <f>-SOCF!BJ29+BH17-SOO!BI62</f>
        <v>593244.5</v>
      </c>
      <c r="BJ17" s="3">
        <f>-SOCF!BK29+BI17-SOO!BJ62</f>
        <v>590425.5</v>
      </c>
      <c r="BK17" s="3">
        <f>-SOCF!BL29+BJ17-SOO!BK62</f>
        <v>587606.5</v>
      </c>
      <c r="BL17" s="3">
        <f>-SOCF!BM29+BK17-SOO!BL62</f>
        <v>584787.5</v>
      </c>
      <c r="BM17" s="3">
        <f>-SOCF!BN29+BL17-SOO!BM62</f>
        <v>581968.5</v>
      </c>
      <c r="BN17" s="3">
        <f>-SOCF!BO29+BM17-SOO!BN62</f>
        <v>579149.5</v>
      </c>
      <c r="BO17" s="3">
        <f>-SOCF!BP29+BN17-SOO!BO62</f>
        <v>576330.5</v>
      </c>
      <c r="BP17" s="3">
        <f>-SOCF!BQ29+BO17-SOO!BP62</f>
        <v>573511.5</v>
      </c>
      <c r="BQ17" s="3">
        <f>-SOCF!BR29+BP17-SOO!BQ62</f>
        <v>570692.5</v>
      </c>
    </row>
    <row r="18" spans="1:69">
      <c r="A18" s="2"/>
      <c r="B18" s="2"/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2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</row>
    <row r="19" spans="1:69">
      <c r="A19" s="2"/>
      <c r="B19" s="2" t="s">
        <v>15</v>
      </c>
      <c r="C19" s="2"/>
      <c r="D19" s="2"/>
      <c r="E19" s="2"/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/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/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2"/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</row>
    <row r="20" spans="1:69">
      <c r="A20" s="2"/>
      <c r="B20" s="2"/>
      <c r="C20" s="2"/>
      <c r="D20" s="2"/>
      <c r="E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2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</row>
    <row r="21" spans="1:69" ht="15.75" customHeight="1">
      <c r="A21" s="1" t="s">
        <v>16</v>
      </c>
      <c r="B21" s="1"/>
      <c r="C21" s="1"/>
      <c r="D21" s="16"/>
      <c r="E21" s="16"/>
      <c r="F21" s="19">
        <f t="shared" ref="F21:Q21" si="5">F15+F17+F19</f>
        <v>837694.8285568126</v>
      </c>
      <c r="G21" s="19">
        <f t="shared" si="5"/>
        <v>866307.75811218238</v>
      </c>
      <c r="H21" s="19">
        <f t="shared" si="5"/>
        <v>867873.09925121348</v>
      </c>
      <c r="I21" s="19">
        <f t="shared" si="5"/>
        <v>881385.33705025201</v>
      </c>
      <c r="J21" s="19">
        <f t="shared" si="5"/>
        <v>913633.68485406262</v>
      </c>
      <c r="K21" s="19">
        <f t="shared" si="5"/>
        <v>941946.2453146358</v>
      </c>
      <c r="L21" s="19">
        <f t="shared" si="5"/>
        <v>943011.08965094213</v>
      </c>
      <c r="M21" s="19">
        <f t="shared" si="5"/>
        <v>965483.91669681866</v>
      </c>
      <c r="N21" s="19">
        <f t="shared" si="5"/>
        <v>976587.34185889678</v>
      </c>
      <c r="O21" s="19">
        <f t="shared" si="5"/>
        <v>957658.5013112328</v>
      </c>
      <c r="P21" s="19">
        <f t="shared" si="5"/>
        <v>959141.04050043772</v>
      </c>
      <c r="Q21" s="19">
        <f t="shared" si="5"/>
        <v>857422.46515005676</v>
      </c>
      <c r="R21" s="3"/>
      <c r="S21" s="19">
        <f t="shared" ref="S21:AD21" si="6">S15+S17+S19</f>
        <v>837449.24725472112</v>
      </c>
      <c r="T21" s="19">
        <f t="shared" si="6"/>
        <v>844517.78106029693</v>
      </c>
      <c r="U21" s="19">
        <f t="shared" si="6"/>
        <v>877771.17779440479</v>
      </c>
      <c r="V21" s="19">
        <f t="shared" si="6"/>
        <v>904249.47624022048</v>
      </c>
      <c r="W21" s="19">
        <f t="shared" si="6"/>
        <v>955449.34772121673</v>
      </c>
      <c r="X21" s="19">
        <f t="shared" si="6"/>
        <v>1001392.2522290546</v>
      </c>
      <c r="Y21" s="19">
        <f t="shared" si="6"/>
        <v>1011805.6429937854</v>
      </c>
      <c r="Z21" s="19">
        <f t="shared" si="6"/>
        <v>1050278.4063213766</v>
      </c>
      <c r="AA21" s="19">
        <f t="shared" si="6"/>
        <v>1073757.3414698937</v>
      </c>
      <c r="AB21" s="19">
        <f t="shared" si="6"/>
        <v>1058001.046048258</v>
      </c>
      <c r="AC21" s="19">
        <f t="shared" si="6"/>
        <v>1068380.4296600013</v>
      </c>
      <c r="AD21" s="19">
        <f t="shared" si="6"/>
        <v>774426.85803386115</v>
      </c>
      <c r="AE21" s="3"/>
      <c r="AF21" s="19">
        <f t="shared" ref="AF21:AQ21" si="7">AF15+AF17+AF19</f>
        <v>741950.66273399477</v>
      </c>
      <c r="AG21" s="19">
        <f t="shared" si="7"/>
        <v>744350.9724509574</v>
      </c>
      <c r="AH21" s="19">
        <f t="shared" si="7"/>
        <v>779748.97347870783</v>
      </c>
      <c r="AI21" s="19">
        <f t="shared" si="7"/>
        <v>807364.95683502173</v>
      </c>
      <c r="AJ21" s="19">
        <f t="shared" si="7"/>
        <v>863442.76836599025</v>
      </c>
      <c r="AK21" s="19">
        <f t="shared" si="7"/>
        <v>913304.64379170793</v>
      </c>
      <c r="AL21" s="19">
        <f t="shared" si="7"/>
        <v>921969.08484770847</v>
      </c>
      <c r="AM21" s="19">
        <f t="shared" si="7"/>
        <v>963062.70612182759</v>
      </c>
      <c r="AN21" s="19">
        <f t="shared" si="7"/>
        <v>986699.29380813334</v>
      </c>
      <c r="AO21" s="19">
        <f t="shared" si="7"/>
        <v>964936.73353092256</v>
      </c>
      <c r="AP21" s="19">
        <f t="shared" si="7"/>
        <v>973340.36266301305</v>
      </c>
      <c r="AQ21" s="19">
        <f t="shared" si="7"/>
        <v>776616.08259926876</v>
      </c>
      <c r="AS21" s="19">
        <f t="shared" ref="AS21:BD21" si="8">AS15+AS17+AS19</f>
        <v>741167.06050582021</v>
      </c>
      <c r="AT21" s="19">
        <f t="shared" si="8"/>
        <v>746019.49092202215</v>
      </c>
      <c r="AU21" s="19">
        <f t="shared" si="8"/>
        <v>789247.28026627412</v>
      </c>
      <c r="AV21" s="19">
        <f t="shared" si="8"/>
        <v>823875.6321265552</v>
      </c>
      <c r="AW21" s="19">
        <f t="shared" si="8"/>
        <v>890080.4037150105</v>
      </c>
      <c r="AX21" s="19">
        <f t="shared" si="8"/>
        <v>949256.30531294411</v>
      </c>
      <c r="AY21" s="19">
        <f t="shared" si="8"/>
        <v>962505.02131892368</v>
      </c>
      <c r="AZ21" s="19">
        <f t="shared" si="8"/>
        <v>1011823.619047879</v>
      </c>
      <c r="BA21" s="19">
        <f t="shared" si="8"/>
        <v>1041609.2610576476</v>
      </c>
      <c r="BB21" s="19">
        <f t="shared" si="8"/>
        <v>1020848.7279412085</v>
      </c>
      <c r="BC21" s="19">
        <f t="shared" si="8"/>
        <v>1033773.2596251797</v>
      </c>
      <c r="BD21" s="19">
        <f t="shared" si="8"/>
        <v>740986.70463690814</v>
      </c>
      <c r="BE21" s="2"/>
      <c r="BF21" s="19">
        <f t="shared" ref="BF21:BQ21" si="9">BF15+BF17+BF19</f>
        <v>704485.00862294459</v>
      </c>
      <c r="BG21" s="19">
        <f t="shared" si="9"/>
        <v>712948.18419711012</v>
      </c>
      <c r="BH21" s="19">
        <f t="shared" si="9"/>
        <v>764309.65340649278</v>
      </c>
      <c r="BI21" s="19">
        <f t="shared" si="9"/>
        <v>806139.03624598298</v>
      </c>
      <c r="BJ21" s="19">
        <f t="shared" si="9"/>
        <v>882986.59366219933</v>
      </c>
      <c r="BK21" s="19">
        <f t="shared" si="9"/>
        <v>951878.80515106011</v>
      </c>
      <c r="BL21" s="19">
        <f t="shared" si="9"/>
        <v>969539.03705396352</v>
      </c>
      <c r="BM21" s="19">
        <f t="shared" si="9"/>
        <v>1027329.1644790091</v>
      </c>
      <c r="BN21" s="19">
        <f t="shared" si="9"/>
        <v>1063269.8853253734</v>
      </c>
      <c r="BO21" s="19">
        <f t="shared" si="9"/>
        <v>1042926.2179894599</v>
      </c>
      <c r="BP21" s="19">
        <f t="shared" si="9"/>
        <v>1060865.0563145597</v>
      </c>
      <c r="BQ21" s="19">
        <f t="shared" si="9"/>
        <v>672807.31383480073</v>
      </c>
    </row>
    <row r="22" spans="1:69" ht="15.75" customHeight="1">
      <c r="A22" s="2"/>
      <c r="B22" s="2"/>
      <c r="C22" s="2"/>
      <c r="D22" s="2"/>
      <c r="E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2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</row>
    <row r="23" spans="1:69" ht="15.75" customHeight="1">
      <c r="A23" s="16" t="s">
        <v>17</v>
      </c>
      <c r="B23" s="2"/>
      <c r="C23" s="2"/>
      <c r="D23" s="2"/>
      <c r="E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2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</row>
    <row r="24" spans="1:69" ht="15.75" customHeight="1">
      <c r="A24" s="20"/>
      <c r="B24" s="16" t="s">
        <v>18</v>
      </c>
      <c r="C24" s="2"/>
      <c r="D24" s="16"/>
      <c r="E24" s="16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2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</row>
    <row r="25" spans="1:69" ht="15.75" customHeight="1">
      <c r="A25" s="2"/>
      <c r="B25" s="2"/>
      <c r="C25" s="2" t="s">
        <v>19</v>
      </c>
      <c r="D25" s="2"/>
      <c r="E25" s="2"/>
      <c r="F25" s="3">
        <f>(F11+F12+F13+SOO!F57-SOO!F33)</f>
        <v>47760.863152978083</v>
      </c>
      <c r="G25" s="3">
        <f>(F11+F12+F13+SOO!F57-SOO!F33)+(G11+G12+G13+SOO!G57-SOO!G33)</f>
        <v>80651.5599479511</v>
      </c>
      <c r="H25" s="3">
        <f>(G11+G12+G13+SOO!G57-SOO!G33)+(H11+H12+H13+SOO!H57-SOO!H33)</f>
        <v>73479.034609092065</v>
      </c>
      <c r="I25" s="3">
        <f>(H11+H12+H13+SOO!H57-SOO!H33)+(I11+I12+I13+SOO!I57-SOO!I33)</f>
        <v>85920.672261042535</v>
      </c>
      <c r="J25" s="3">
        <f>(I11+I12+I13+SOO!I57-SOO!I33)+(J11+J12+J13+SOO!J57-SOO!J33)</f>
        <v>94377.52598547854</v>
      </c>
      <c r="K25" s="3">
        <f>(J11+J12+J13+SOO!J57-SOO!J33)+(K11+K12+K13+SOO!K57-SOO!K33)</f>
        <v>98328.419827245525</v>
      </c>
      <c r="L25" s="3">
        <f>(K11+K12+K13+SOO!K57-SOO!K33)+(L11+L12+L13+SOO!L57-SOO!L33)</f>
        <v>99107.453644172419</v>
      </c>
      <c r="M25" s="3">
        <f>(L11+L12+L13+SOO!L57-SOO!L33)+(M11+M12+M13+SOO!M57-SOO!M33)</f>
        <v>97814.230018106944</v>
      </c>
      <c r="N25" s="3">
        <f>(M11+M12+M13+SOO!M57-SOO!M33)+(N11+N12+N13+SOO!N57-SOO!N33)</f>
        <v>91884.789849071807</v>
      </c>
      <c r="O25" s="3">
        <f>(N11+N12+N13+SOO!N57-SOO!N33)+(O11+O12+O13+SOO!O57-SOO!O33)</f>
        <v>85543.429448827766</v>
      </c>
      <c r="P25" s="3">
        <f>(O11+O12+O13+SOO!O57-SOO!O33)+(P11+P12+P13+SOO!P57-SOO!P33)</f>
        <v>79748.093038370542</v>
      </c>
      <c r="Q25" s="3">
        <f>(P11+P12+P13+SOO!P57-SOO!P33)+(Q11+Q12+Q13+SOO!Q57-SOO!Q33)</f>
        <v>74392.047201727706</v>
      </c>
      <c r="R25" s="3"/>
      <c r="S25" s="3">
        <f>(Q11+Q12+Q13+SOO!Q57-SOO!Q33)+(S11+S12+S13+SOO!S57-SOO!S33)</f>
        <v>73742.875114498689</v>
      </c>
      <c r="T25" s="3">
        <f>(S11+S12+S13+SOO!S57-SOO!S33)+(T11+T12+T13+SOO!T57-SOO!T33)</f>
        <v>77701.843124382023</v>
      </c>
      <c r="U25" s="3">
        <f>(T11+T12+T13+SOO!T57-SOO!T33)+(U11+U12+U13+SOO!U57-SOO!U33)</f>
        <v>90522.677772770869</v>
      </c>
      <c r="V25" s="3">
        <f>(U11+U12+U13+SOO!U57-SOO!U33)+(V11+V12+V13+SOO!V57-SOO!V33)</f>
        <v>106704.19055241873</v>
      </c>
      <c r="W25" s="3">
        <f>(V11+V12+V13+SOO!V57-SOO!V33)+(W11+W12+W13+SOO!W57-SOO!W33)</f>
        <v>117695.29038080198</v>
      </c>
      <c r="X25" s="3">
        <f>(W11+W12+W13+SOO!W57-SOO!W33)+(X11+X12+X13+SOO!X57-SOO!X33)</f>
        <v>122825.13011962491</v>
      </c>
      <c r="Y25" s="3">
        <f>(X11+X12+X13+SOO!X57-SOO!X33)+(Y11+Y12+Y13+SOO!Y57-SOO!Y33)</f>
        <v>123809.92251837533</v>
      </c>
      <c r="Z25" s="3">
        <f>(Y11+Y12+Y13+SOO!Y57-SOO!Y33)+(Z11+Z12+Z13+SOO!Z57-SOO!Z33)</f>
        <v>122102.02185802444</v>
      </c>
      <c r="AA25" s="3">
        <f>(Z11+Z12+Z13+SOO!Z57-SOO!Z33)+(AA11+AA12+AA13+SOO!AA57-SOO!AA33)</f>
        <v>114371.25452879575</v>
      </c>
      <c r="AB25" s="3">
        <f>(AA11+AA12+AA13+SOO!AA57-SOO!AA33)+(AB11+AB12+AB13+SOO!AB57-SOO!AB33)</f>
        <v>106105.72606201272</v>
      </c>
      <c r="AC25" s="3">
        <f>(AB11+AB12+AB13+SOO!AB57-SOO!AB33)+(AC11+AC12+AC13+SOO!AC57-SOO!AC33)</f>
        <v>98061.391478532183</v>
      </c>
      <c r="AD25" s="3">
        <f>(AC11+AC12+AC13+SOO!AC57-SOO!AC33)+(AD11+AD12+AD13+SOO!AD57-SOO!AD33)</f>
        <v>90358.488682129682</v>
      </c>
      <c r="AE25" s="3"/>
      <c r="AF25" s="3">
        <f>(AD11+AD12+AD13+SOO!AD57-SOO!AD33)+(AF11+AF12+AF13+SOO!AF57-SOO!AF33)</f>
        <v>86553.211960872213</v>
      </c>
      <c r="AG25" s="3">
        <f>(AF11+AF12+AF13+SOO!AF57-SOO!AF33)+(AG11+AG12+AG13+SOO!AG57-SOO!AG33)</f>
        <v>88610.271026905539</v>
      </c>
      <c r="AH25" s="3">
        <f>(AG11+AG12+AG13+SOO!AG57-SOO!AG33)+(AH11+AH12+AH13+SOO!AH57-SOO!AH33)</f>
        <v>103699.26061179988</v>
      </c>
      <c r="AI25" s="3">
        <f>(AH11+AH12+AH13+SOO!AH57-SOO!AH33)+(AI11+AI12+AI13+SOO!AI57-SOO!AI33)</f>
        <v>122788.79480529121</v>
      </c>
      <c r="AJ25" s="3">
        <f>(AI11+AI12+AI13+SOO!AI57-SOO!AI33)+(AJ11+AJ12+AJ13+SOO!AJ57-SOO!AJ33)</f>
        <v>135763.86882007727</v>
      </c>
      <c r="AK25" s="3">
        <f>(AJ11+AJ12+AJ13+SOO!AJ57-SOO!AJ33)+(AK11+AK12+AK13+SOO!AK57-SOO!AK33)</f>
        <v>141826.02776515123</v>
      </c>
      <c r="AL25" s="3">
        <f>(AK11+AK12+AK13+SOO!AK57-SOO!AK33)+(AL11+AL12+AL13+SOO!AL57-SOO!AL33)</f>
        <v>143026.60388866469</v>
      </c>
      <c r="AM25" s="3">
        <f>(AL11+AL12+AL13+SOO!AL57-SOO!AL33)+(AM11+AM12+AM13+SOO!AM57-SOO!AM33)</f>
        <v>141048.53855105868</v>
      </c>
      <c r="AN25" s="3">
        <f>(AM11+AM12+AM13+SOO!AM57-SOO!AM33)+(AN11+AN12+AN13+SOO!AN57-SOO!AN33)</f>
        <v>131952.30927807756</v>
      </c>
      <c r="AO25" s="3">
        <f>(AN11+AN12+AN13+SOO!AN57-SOO!AN33)+(AO11+AO12+AO13+SOO!AO57-SOO!AO33)</f>
        <v>122226.6501799212</v>
      </c>
      <c r="AP25" s="3">
        <f>(AO11+AO12+AO13+SOO!AO57-SOO!AO33)+(AP11+AP12+AP13+SOO!AP57-SOO!AP33)</f>
        <v>112632.89254548453</v>
      </c>
      <c r="AQ25" s="3">
        <f>(AP11+AP12+AP13+SOO!AP57-SOO!AP33)+(AQ11+AQ12+AQ13+SOO!AQ57-SOO!AQ33)</f>
        <v>103298.21654402354</v>
      </c>
      <c r="AS25" s="3">
        <f>(AQ11+AQ12+AQ13+SOO!AQ57-SOO!AQ33)+(AS11+AS12+AS13+SOO!AS57-SOO!AS33)</f>
        <v>97238.784826705378</v>
      </c>
      <c r="AT25" s="3">
        <f>(AS11+AS12+AS13+SOO!AS57-SOO!AS33)+(AT11+AT12+AT13+SOO!AT57-SOO!AT33)</f>
        <v>98032.639439990337</v>
      </c>
      <c r="AU25" s="3">
        <f>(AT11+AT12+AT13+SOO!AT57-SOO!AT33)+(AU11+AU12+AU13+SOO!AU57-SOO!AU33)</f>
        <v>115029.0364501189</v>
      </c>
      <c r="AV25" s="3">
        <f>(AU11+AU12+AU13+SOO!AU57-SOO!AU33)+(AV11+AV12+AV13+SOO!AV57-SOO!AV33)</f>
        <v>136582.29992266142</v>
      </c>
      <c r="AW25" s="3">
        <f>(AV11+AV12+AV13+SOO!AV57-SOO!AV33)+(AW11+AW12+AW13+SOO!AW57-SOO!AW33)</f>
        <v>151241.70378598431</v>
      </c>
      <c r="AX25" s="3">
        <f>(AW11+AW12+AW13+SOO!AW57-SOO!AW33)+(AX11+AX12+AX13+SOO!AX57-SOO!AX33)</f>
        <v>158097.83587628166</v>
      </c>
      <c r="AY25" s="3">
        <f>(AX11+AX12+AX13+SOO!AX57-SOO!AX33)+(AY11+AY12+AY13+SOO!AY57-SOO!AY33)</f>
        <v>159496.21846150624</v>
      </c>
      <c r="AZ25" s="3">
        <f>(AY11+AY12+AY13+SOO!AY57-SOO!AY33)+(AZ11+AZ12+AZ13+SOO!AZ57-SOO!AZ33)</f>
        <v>157303.75080523902</v>
      </c>
      <c r="BA25" s="3">
        <f>(AZ11+AZ12+AZ13+SOO!AZ57-SOO!AZ33)+(BA11+BA12+BA13+SOO!BA57-SOO!BA33)</f>
        <v>147059.95983042335</v>
      </c>
      <c r="BB25" s="3">
        <f>(BA11+BA12+BA13+SOO!BA57-SOO!BA33)+(BB11+BB12+BB13+SOO!BB57-SOO!BB33)</f>
        <v>136107.07353191671</v>
      </c>
      <c r="BC25" s="3">
        <f>(BB11+BB12+BB13+SOO!BB57-SOO!BB33)+(BC11+BC12+BC13+SOO!BC57-SOO!BC33)</f>
        <v>125366.71186061327</v>
      </c>
      <c r="BD25" s="3">
        <f>(BC11+BC12+BC13+SOO!BC57-SOO!BC33)+(BD11+BD12+BD13+SOO!BD57-SOO!BD33)</f>
        <v>114898.00846866154</v>
      </c>
      <c r="BE25" s="2"/>
      <c r="BF25" s="3">
        <f>(BD11+BD12+BD13+SOO!BD57-SOO!BD33)+(BF11+BF12+BF13+SOO!BF57-SOO!BF33)</f>
        <v>108055.27372794491</v>
      </c>
      <c r="BG25" s="3">
        <f>(BF11+BF12+BF13+SOO!BF57-SOO!BF33)+(BG11+BG12+BG13+SOO!BG57-SOO!BG33)</f>
        <v>108943.60984222061</v>
      </c>
      <c r="BH25" s="3">
        <f>(BG11+BG12+BG13+SOO!BG57-SOO!BG33)+(BH11+BH12+BH13+SOO!BH57-SOO!BH33)</f>
        <v>128121.64170978815</v>
      </c>
      <c r="BI25" s="3">
        <f>(BH11+BH12+BH13+SOO!BH57-SOO!BH33)+(BI11+BI12+BI13+SOO!BI57-SOO!BI33)</f>
        <v>152473.54341585524</v>
      </c>
      <c r="BJ25" s="3">
        <f>(BI11+BI12+BI13+SOO!BI57-SOO!BI33)+(BJ11+BJ12+BJ13+SOO!BJ57-SOO!BJ33)</f>
        <v>169042.23834196135</v>
      </c>
      <c r="BK25" s="3">
        <f>(BJ11+BJ12+BJ13+SOO!BJ57-SOO!BJ33)+(BK11+BK12+BK13+SOO!BK57-SOO!BK33)</f>
        <v>176795.72921720124</v>
      </c>
      <c r="BL25" s="3">
        <f>(BK11+BK12+BK13+SOO!BK57-SOO!BK33)+(BL11+BL12+BL13+SOO!BL57-SOO!BL33)</f>
        <v>178403.19121525946</v>
      </c>
      <c r="BM25" s="3">
        <f>(BL11+BL12+BL13+SOO!BL57-SOO!BL33)+(BM11+BM12+BM13+SOO!BM57-SOO!BM33)</f>
        <v>175952.35039333696</v>
      </c>
      <c r="BN25" s="3">
        <f>(BM11+BM12+BM13+SOO!BM57-SOO!BM33)+(BN11+BN12+BN13+SOO!BN57-SOO!BN33)</f>
        <v>164394.9279065195</v>
      </c>
      <c r="BO25" s="3">
        <f>(BN11+BN12+BN13+SOO!BN57-SOO!BN33)+(BO11+BO12+BO13+SOO!BO57-SOO!BO33)</f>
        <v>152037.89836025023</v>
      </c>
      <c r="BP25" s="3">
        <f>(BO11+BO12+BO13+SOO!BO57-SOO!BO33)+(BP11+BP12+BP13+SOO!BP57-SOO!BP33)</f>
        <v>140641.09001689055</v>
      </c>
      <c r="BQ25" s="3">
        <f>(BP11+BP12+BP13+SOO!BP57-SOO!BP33)+(BQ11+BQ12+BQ13+SOO!BQ57-SOO!BQ33)</f>
        <v>129887.95359700687</v>
      </c>
    </row>
    <row r="26" spans="1:69" ht="15.75" customHeight="1">
      <c r="A26" s="2"/>
      <c r="B26" s="2"/>
      <c r="C26" s="2" t="s">
        <v>20</v>
      </c>
      <c r="D26" s="2"/>
      <c r="E26" s="2"/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9"/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"/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2"/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</row>
    <row r="27" spans="1:69" ht="15.75" hidden="1" customHeight="1">
      <c r="A27" s="2"/>
      <c r="B27" s="2"/>
      <c r="C27" s="2" t="s">
        <v>21</v>
      </c>
      <c r="D27" s="2"/>
      <c r="E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2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</row>
    <row r="28" spans="1:69" ht="15.75" customHeight="1">
      <c r="A28" s="2"/>
      <c r="B28" s="2"/>
      <c r="C28" s="2" t="s">
        <v>22</v>
      </c>
      <c r="D28" s="2"/>
      <c r="E28" s="2"/>
      <c r="F28" s="3">
        <f>Assumptions!$C$48*(SOO!F16-SOO!F15)</f>
        <v>4486.2432990179295</v>
      </c>
      <c r="G28" s="3">
        <f>(Assumptions!$C$48*(SOO!G16-SOO!G15))+F28</f>
        <v>9275.3078615490886</v>
      </c>
      <c r="H28" s="3">
        <f>(Assumptions!$C$48*(SOO!H16-SOO!H15))+G28</f>
        <v>16004.672810075983</v>
      </c>
      <c r="I28" s="3">
        <f>(Assumptions!$C$48*(SOO!I16-SOO!I15))</f>
        <v>7970.5588369672969</v>
      </c>
      <c r="J28" s="3">
        <f>(Assumptions!$C$48*(SOO!J16-SOO!J15))+I28</f>
        <v>16943.045435003158</v>
      </c>
      <c r="K28" s="3">
        <f>(Assumptions!$C$48*(SOO!K16-SOO!K15))+J28</f>
        <v>26000.498658829631</v>
      </c>
      <c r="L28" s="3">
        <f>(Assumptions!$C$48*(SOO!L16-SOO!L15))</f>
        <v>9346.3402062873538</v>
      </c>
      <c r="M28" s="3">
        <f>(Assumptions!$C$48*(SOO!M16-SOO!M15))+L28</f>
        <v>18318.826804323213</v>
      </c>
      <c r="N28" s="3">
        <f>(Assumptions!$C$48*(SOO!N16-SOO!N15))+M28</f>
        <v>26289.385641290508</v>
      </c>
      <c r="O28" s="3">
        <f>(Assumptions!$C$48*(SOO!O16-SOO!O15))</f>
        <v>7477.072165029881</v>
      </c>
      <c r="P28" s="3">
        <f>(Assumptions!$C$48*(SOO!P16-SOO!P15))+O28</f>
        <v>13998.438486184939</v>
      </c>
      <c r="Q28" s="3">
        <f>(Assumptions!$C$48*(SOO!Q16-SOO!Q15))+P28</f>
        <v>19980.096218208848</v>
      </c>
      <c r="R28" s="3"/>
      <c r="S28" s="3">
        <f>Assumptions!$C$48*(SOO!S16-SOO!S15)</f>
        <v>5882.3331619219734</v>
      </c>
      <c r="T28" s="3">
        <f>(Assumptions!$C$48*(SOO!T16-SOO!T15))+S28</f>
        <v>12136.265327352457</v>
      </c>
      <c r="U28" s="3">
        <f>(Assumptions!$C$48*(SOO!U16-SOO!U15))+T28</f>
        <v>20959.765070235422</v>
      </c>
      <c r="V28" s="3">
        <f>(Assumptions!$C$48*(SOO!V16-SOO!V15))</f>
        <v>10436.397545345435</v>
      </c>
      <c r="W28" s="3">
        <f>(Assumptions!$C$48*(SOO!W16-SOO!W15))+V28</f>
        <v>22201.063869189384</v>
      </c>
      <c r="X28" s="3">
        <f>(Assumptions!$C$48*(SOO!X16-SOO!X15))+W28</f>
        <v>34060.606534354651</v>
      </c>
      <c r="Y28" s="3">
        <f>(Assumptions!$C$48*(SOO!Y16-SOO!Y15))</f>
        <v>12254.86075400411</v>
      </c>
      <c r="Z28" s="3">
        <f>(Assumptions!$C$48*(SOO!Z16-SOO!Z15))+Y28</f>
        <v>24019.527077848055</v>
      </c>
      <c r="AA28" s="3">
        <f>(Assumptions!$C$48*(SOO!AA16-SOO!AA15))+Z28</f>
        <v>34455.924623193489</v>
      </c>
      <c r="AB28" s="3">
        <f>(Assumptions!$C$48*(SOO!AB16-SOO!AB15))</f>
        <v>9803.8886032032897</v>
      </c>
      <c r="AC28" s="3">
        <f>(Assumptions!$C$48*(SOO!AC16-SOO!AC15))+AB28</f>
        <v>18342.759322122285</v>
      </c>
      <c r="AD28" s="3">
        <f>(Assumptions!$C$48*(SOO!AD16-SOO!AD15))+AC28</f>
        <v>26185.870204684918</v>
      </c>
      <c r="AE28" s="3"/>
      <c r="AF28" s="3">
        <f>Assumptions!$C$48*(SOO!AF16-SOO!AF15)</f>
        <v>6808.0130252405006</v>
      </c>
      <c r="AG28" s="3">
        <f>(Assumptions!$C$48*(SOO!AG16-SOO!AG15))+AF28</f>
        <v>14046.102142129257</v>
      </c>
      <c r="AH28" s="3">
        <f>(Assumptions!$C$48*(SOO!AH16-SOO!AH15))+AG28</f>
        <v>24258.121679990007</v>
      </c>
      <c r="AI28" s="3">
        <f>(Assumptions!$C$48*(SOO!AI16-SOO!AI15))</f>
        <v>12078.732786717013</v>
      </c>
      <c r="AJ28" s="3">
        <f>(Assumptions!$C$48*(SOO!AJ16-SOO!AJ15))+AI28</f>
        <v>25694.758837198016</v>
      </c>
      <c r="AK28" s="3">
        <f>(Assumptions!$C$48*(SOO!AK16-SOO!AK15))+AJ28</f>
        <v>39420.591549376433</v>
      </c>
      <c r="AL28" s="3">
        <f>(Assumptions!$C$48*(SOO!AL16-SOO!AL15))</f>
        <v>14183.360469251038</v>
      </c>
      <c r="AM28" s="3">
        <f>(Assumptions!$C$48*(SOO!AM16-SOO!AM15))+AL28</f>
        <v>27799.386519732041</v>
      </c>
      <c r="AN28" s="3">
        <f>(Assumptions!$C$48*(SOO!AN16-SOO!AN15))+AM28</f>
        <v>39878.119306449051</v>
      </c>
      <c r="AO28" s="3">
        <f>(Assumptions!$C$48*(SOO!AO16-SOO!AO15))</f>
        <v>11346.688375400832</v>
      </c>
      <c r="AP28" s="3">
        <f>(Assumptions!$C$48*(SOO!AP16-SOO!AP15))+AO28</f>
        <v>21229.287928169299</v>
      </c>
      <c r="AQ28" s="3">
        <f>(Assumptions!$C$48*(SOO!AQ16-SOO!AQ15))+AP28</f>
        <v>30306.638628489964</v>
      </c>
      <c r="AS28" s="3">
        <f>Assumptions!$C$48*(SOO!AS16-SOO!AS15)</f>
        <v>7580.7503713583337</v>
      </c>
      <c r="AT28" s="3">
        <f>(Assumptions!$C$48*(SOO!AT16-SOO!AT15))+AS28</f>
        <v>15640.392231229893</v>
      </c>
      <c r="AU28" s="3">
        <f>(Assumptions!$C$48*(SOO!AU16-SOO!AU15))+AT28</f>
        <v>27011.517788267389</v>
      </c>
      <c r="AV28" s="3">
        <f>(Assumptions!$C$48*(SOO!AV16-SOO!AV15))</f>
        <v>13449.718400797041</v>
      </c>
      <c r="AW28" s="3">
        <f>(Assumptions!$C$48*(SOO!AW16-SOO!AW15))+AV28</f>
        <v>28611.219143513707</v>
      </c>
      <c r="AX28" s="3">
        <f>(Assumptions!$C$48*(SOO!AX16-SOO!AX15))+AW28</f>
        <v>43894.990053510337</v>
      </c>
      <c r="AY28" s="3">
        <f>(Assumptions!$C$48*(SOO!AY16-SOO!AY15))</f>
        <v>15793.229940329858</v>
      </c>
      <c r="AZ28" s="3">
        <f>(Assumptions!$C$48*(SOO!AZ16-SOO!AZ15))+AY28</f>
        <v>30954.730683046524</v>
      </c>
      <c r="BA28" s="3">
        <f>(Assumptions!$C$48*(SOO!BA16-SOO!BA15))+AZ28</f>
        <v>44404.449083843567</v>
      </c>
      <c r="BB28" s="3">
        <f>(Assumptions!$C$48*(SOO!BB16-SOO!BB15))</f>
        <v>12634.583952263891</v>
      </c>
      <c r="BC28" s="3">
        <f>(Assumptions!$C$48*(SOO!BC16-SOO!BC15))+BB28</f>
        <v>23638.89900746147</v>
      </c>
      <c r="BD28" s="3">
        <f>(Assumptions!$C$48*(SOO!BD16-SOO!BD15))+BC28</f>
        <v>33746.566169272584</v>
      </c>
      <c r="BE28" s="2"/>
      <c r="BF28" s="3">
        <f>Assumptions!$C$48*(SOO!BF16-SOO!BF15)</f>
        <v>8442.9889458859216</v>
      </c>
      <c r="BG28" s="3">
        <f>(Assumptions!$C$48*(SOO!BG16-SOO!BG15))+BF28</f>
        <v>17419.338752600655</v>
      </c>
      <c r="BH28" s="3">
        <f>(Assumptions!$C$48*(SOO!BH16-SOO!BH15))+BG28</f>
        <v>30083.82217142954</v>
      </c>
      <c r="BI28" s="3">
        <f>(Assumptions!$C$48*(SOO!BI16-SOO!BI15))</f>
        <v>14979.49651689438</v>
      </c>
      <c r="BJ28" s="3">
        <f>(Assumptions!$C$48*(SOO!BJ16-SOO!BJ15))+BI28</f>
        <v>31865.474408666225</v>
      </c>
      <c r="BK28" s="3">
        <f>(Assumptions!$C$48*(SOO!BK16-SOO!BK15))+BJ28</f>
        <v>48887.629541500748</v>
      </c>
      <c r="BL28" s="3">
        <f>(Assumptions!$C$48*(SOO!BL16-SOO!BL15))</f>
        <v>17589.560303929007</v>
      </c>
      <c r="BM28" s="3">
        <f>(Assumptions!$C$48*(SOO!BM16-SOO!BM15))+BL28</f>
        <v>34475.53819570085</v>
      </c>
      <c r="BN28" s="3">
        <f>(Assumptions!$C$48*(SOO!BN16-SOO!BN15))+BM28</f>
        <v>49455.034712595232</v>
      </c>
      <c r="BO28" s="3">
        <f>(Assumptions!$C$48*(SOO!BO16-SOO!BO15))</f>
        <v>14071.648243143201</v>
      </c>
      <c r="BP28" s="3">
        <f>(Assumptions!$C$48*(SOO!BP16-SOO!BP15))+BO28</f>
        <v>26327.599938784057</v>
      </c>
      <c r="BQ28" s="3">
        <f>(Assumptions!$C$48*(SOO!BQ16-SOO!BQ15))+BP28</f>
        <v>37584.918533298624</v>
      </c>
    </row>
    <row r="29" spans="1:69" ht="15.75" customHeight="1">
      <c r="A29" s="2"/>
      <c r="B29" s="2"/>
      <c r="C29" s="2"/>
      <c r="D29" s="2"/>
      <c r="E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2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</row>
    <row r="30" spans="1:69" ht="15.75" customHeight="1">
      <c r="A30" s="2"/>
      <c r="B30" s="2"/>
      <c r="C30" s="2"/>
      <c r="D30" s="2" t="s">
        <v>24</v>
      </c>
      <c r="E30" s="2"/>
      <c r="F30" s="18">
        <f t="shared" ref="F30:Q30" si="10">SUM(F25:F29)</f>
        <v>52247.106451996013</v>
      </c>
      <c r="G30" s="18">
        <f t="shared" si="10"/>
        <v>89926.867809500196</v>
      </c>
      <c r="H30" s="18">
        <f t="shared" si="10"/>
        <v>89483.707419168044</v>
      </c>
      <c r="I30" s="18">
        <f t="shared" si="10"/>
        <v>93891.231098009826</v>
      </c>
      <c r="J30" s="18">
        <f t="shared" si="10"/>
        <v>111320.57142048169</v>
      </c>
      <c r="K30" s="18">
        <f t="shared" si="10"/>
        <v>124328.91848607516</v>
      </c>
      <c r="L30" s="18">
        <f t="shared" si="10"/>
        <v>108453.79385045977</v>
      </c>
      <c r="M30" s="18">
        <f t="shared" si="10"/>
        <v>116133.05682243015</v>
      </c>
      <c r="N30" s="18">
        <f t="shared" si="10"/>
        <v>118174.17549036231</v>
      </c>
      <c r="O30" s="18">
        <f t="shared" si="10"/>
        <v>93020.501613857647</v>
      </c>
      <c r="P30" s="18">
        <f t="shared" si="10"/>
        <v>93746.531524555481</v>
      </c>
      <c r="Q30" s="18">
        <f t="shared" si="10"/>
        <v>94372.143419936561</v>
      </c>
      <c r="R30" s="3"/>
      <c r="S30" s="18">
        <f t="shared" ref="S30:AD30" si="11">SUM(S25:S29)</f>
        <v>79625.208276420657</v>
      </c>
      <c r="T30" s="18">
        <f t="shared" si="11"/>
        <v>89838.108451734486</v>
      </c>
      <c r="U30" s="18">
        <f t="shared" si="11"/>
        <v>111482.44284300628</v>
      </c>
      <c r="V30" s="18">
        <f t="shared" si="11"/>
        <v>117140.58809776416</v>
      </c>
      <c r="W30" s="18">
        <f t="shared" si="11"/>
        <v>139896.35424999136</v>
      </c>
      <c r="X30" s="18">
        <f t="shared" si="11"/>
        <v>156885.73665397958</v>
      </c>
      <c r="Y30" s="18">
        <f t="shared" si="11"/>
        <v>136064.78327237943</v>
      </c>
      <c r="Z30" s="18">
        <f t="shared" si="11"/>
        <v>146121.5489358725</v>
      </c>
      <c r="AA30" s="18">
        <f t="shared" si="11"/>
        <v>148827.17915198923</v>
      </c>
      <c r="AB30" s="18">
        <f t="shared" si="11"/>
        <v>115909.61466521601</v>
      </c>
      <c r="AC30" s="18">
        <f t="shared" si="11"/>
        <v>116404.15080065446</v>
      </c>
      <c r="AD30" s="18">
        <f t="shared" si="11"/>
        <v>116544.3588868146</v>
      </c>
      <c r="AE30" s="3"/>
      <c r="AF30" s="18">
        <f t="shared" ref="AF30:AQ30" si="12">SUM(AF25:AF29)</f>
        <v>93361.22498611272</v>
      </c>
      <c r="AG30" s="18">
        <f t="shared" si="12"/>
        <v>102656.37316903479</v>
      </c>
      <c r="AH30" s="18">
        <f t="shared" si="12"/>
        <v>127957.38229178989</v>
      </c>
      <c r="AI30" s="18">
        <f t="shared" si="12"/>
        <v>134867.52759200823</v>
      </c>
      <c r="AJ30" s="18">
        <f t="shared" si="12"/>
        <v>161458.6276572753</v>
      </c>
      <c r="AK30" s="18">
        <f t="shared" si="12"/>
        <v>181246.61931452766</v>
      </c>
      <c r="AL30" s="18">
        <f t="shared" si="12"/>
        <v>157209.96435791571</v>
      </c>
      <c r="AM30" s="18">
        <f t="shared" si="12"/>
        <v>168847.92507079072</v>
      </c>
      <c r="AN30" s="18">
        <f t="shared" si="12"/>
        <v>171830.42858452661</v>
      </c>
      <c r="AO30" s="18">
        <f t="shared" si="12"/>
        <v>133573.33855532203</v>
      </c>
      <c r="AP30" s="18">
        <f t="shared" si="12"/>
        <v>133862.18047365383</v>
      </c>
      <c r="AQ30" s="18">
        <f t="shared" si="12"/>
        <v>133604.85517251352</v>
      </c>
      <c r="AS30" s="18">
        <f t="shared" ref="AS30:BD30" si="13">SUM(AS25:AS29)</f>
        <v>104819.53519806371</v>
      </c>
      <c r="AT30" s="18">
        <f t="shared" si="13"/>
        <v>113673.03167122023</v>
      </c>
      <c r="AU30" s="18">
        <f t="shared" si="13"/>
        <v>142040.55423838628</v>
      </c>
      <c r="AV30" s="18">
        <f t="shared" si="13"/>
        <v>150032.01832345847</v>
      </c>
      <c r="AW30" s="18">
        <f t="shared" si="13"/>
        <v>179852.92292949802</v>
      </c>
      <c r="AX30" s="18">
        <f t="shared" si="13"/>
        <v>201992.82592979202</v>
      </c>
      <c r="AY30" s="18">
        <f t="shared" si="13"/>
        <v>175289.4484018361</v>
      </c>
      <c r="AZ30" s="18">
        <f t="shared" si="13"/>
        <v>188258.48148828553</v>
      </c>
      <c r="BA30" s="18">
        <f t="shared" si="13"/>
        <v>191464.40891426691</v>
      </c>
      <c r="BB30" s="18">
        <f t="shared" si="13"/>
        <v>148741.65748418061</v>
      </c>
      <c r="BC30" s="18">
        <f t="shared" si="13"/>
        <v>149005.61086807476</v>
      </c>
      <c r="BD30" s="18">
        <f t="shared" si="13"/>
        <v>148644.57463793413</v>
      </c>
      <c r="BE30" s="2"/>
      <c r="BF30" s="18">
        <f t="shared" ref="BF30:BQ30" si="14">SUM(BF25:BF29)</f>
        <v>116498.26267383083</v>
      </c>
      <c r="BG30" s="18">
        <f t="shared" si="14"/>
        <v>126362.94859482127</v>
      </c>
      <c r="BH30" s="18">
        <f t="shared" si="14"/>
        <v>158205.4638812177</v>
      </c>
      <c r="BI30" s="18">
        <f t="shared" si="14"/>
        <v>167453.03993274961</v>
      </c>
      <c r="BJ30" s="18">
        <f t="shared" si="14"/>
        <v>200907.71275062757</v>
      </c>
      <c r="BK30" s="18">
        <f t="shared" si="14"/>
        <v>225683.358758702</v>
      </c>
      <c r="BL30" s="18">
        <f t="shared" si="14"/>
        <v>195992.75151918846</v>
      </c>
      <c r="BM30" s="18">
        <f t="shared" si="14"/>
        <v>210427.88858903782</v>
      </c>
      <c r="BN30" s="18">
        <f t="shared" si="14"/>
        <v>213849.96261911473</v>
      </c>
      <c r="BO30" s="18">
        <f t="shared" si="14"/>
        <v>166109.54660339342</v>
      </c>
      <c r="BP30" s="18">
        <f t="shared" si="14"/>
        <v>166968.68995567461</v>
      </c>
      <c r="BQ30" s="18">
        <f t="shared" si="14"/>
        <v>167472.87213030551</v>
      </c>
    </row>
    <row r="31" spans="1:69" ht="15.75" customHeight="1">
      <c r="A31" s="2"/>
      <c r="B31" s="2"/>
      <c r="C31" s="2"/>
      <c r="D31" s="2"/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</row>
    <row r="32" spans="1:69" ht="15.75" customHeight="1">
      <c r="A32" s="2"/>
      <c r="B32" s="1" t="s">
        <v>25</v>
      </c>
      <c r="C32" s="2"/>
      <c r="D32" s="2"/>
      <c r="E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</row>
    <row r="33" spans="1:69" ht="15.75" customHeight="1">
      <c r="A33" s="2"/>
      <c r="B33" s="1"/>
      <c r="C33" s="2" t="s">
        <v>26</v>
      </c>
      <c r="D33" s="2"/>
      <c r="E33" s="2"/>
      <c r="F33" s="3">
        <f>SOCF!G35+SOCF!G34</f>
        <v>796094.60771612579</v>
      </c>
      <c r="G33" s="3">
        <f>SOCF!H35+SOCF!H34+F33</f>
        <v>792156.6704965526</v>
      </c>
      <c r="H33" s="3">
        <f>SOCF!I35+SOCF!I34+G33</f>
        <v>788185.91713348299</v>
      </c>
      <c r="I33" s="3">
        <f>SOCF!J35+SOCF!J34+H33</f>
        <v>784182.07415905443</v>
      </c>
      <c r="J33" s="3">
        <f>SOCF!K35+SOCF!K34+I33</f>
        <v>780144.86582650559</v>
      </c>
      <c r="K33" s="3">
        <f>SOCF!L35+SOCF!L34+J33</f>
        <v>776074.01409118553</v>
      </c>
      <c r="L33" s="3">
        <f>SOCF!M35+SOCF!M34+K33</f>
        <v>771969.23859140452</v>
      </c>
      <c r="M33" s="3">
        <f>SOCF!N35+SOCF!N34+L33</f>
        <v>767830.25662912533</v>
      </c>
      <c r="N33" s="3">
        <f>SOCF!O35+SOCF!O34+M33</f>
        <v>763656.78315049375</v>
      </c>
      <c r="O33" s="3">
        <f>SOCF!P35+SOCF!P34+N33</f>
        <v>759448.53072620695</v>
      </c>
      <c r="P33" s="3">
        <f>SOCF!Q35+SOCF!Q34+O33</f>
        <v>755205.2095317177</v>
      </c>
      <c r="Q33" s="3">
        <f>SOCF!R35+SOCF!R34+P33</f>
        <v>750926.52732727444</v>
      </c>
      <c r="R33" s="3"/>
      <c r="S33" s="3">
        <f>SOCF!T35+SOCF!T34+Q33</f>
        <v>746612.18943779415</v>
      </c>
      <c r="T33" s="3">
        <f>SOCF!U35+SOCF!U34+S33</f>
        <v>742261.89873256814</v>
      </c>
      <c r="U33" s="3">
        <f>SOCF!V35+SOCF!V34+T33</f>
        <v>737875.35560479865</v>
      </c>
      <c r="V33" s="3">
        <f>SOCF!W35+SOCF!W34+U33</f>
        <v>733452.25795096438</v>
      </c>
      <c r="W33" s="3">
        <f>SOCF!X35+SOCF!X34+V33</f>
        <v>728992.30115001486</v>
      </c>
      <c r="X33" s="3">
        <f>SOCF!Y35+SOCF!Y34+W33</f>
        <v>724495.17804239073</v>
      </c>
      <c r="Y33" s="3">
        <f>SOCF!Z35+SOCF!Z34+X33</f>
        <v>719960.57890886976</v>
      </c>
      <c r="Z33" s="3">
        <f>SOCF!AA35+SOCF!AA34+Y33</f>
        <v>715388.19144923612</v>
      </c>
      <c r="AA33" s="3">
        <f>SOCF!AB35+SOCF!AB34+Z33</f>
        <v>710777.70076077222</v>
      </c>
      <c r="AB33" s="3">
        <f>SOCF!AC35+SOCF!AC34+AA33</f>
        <v>706128.78931657108</v>
      </c>
      <c r="AC33" s="3">
        <f>SOCF!AD35+SOCF!AD34+AB33</f>
        <v>701441.13694366824</v>
      </c>
      <c r="AD33" s="3">
        <f>SOCF!AE35+SOCF!AE34+AC33</f>
        <v>696714.42080099124</v>
      </c>
      <c r="AE33" s="3"/>
      <c r="AF33" s="3">
        <f>SOCF!AG35+SOCF!AG34+AD33</f>
        <v>691948.31535712525</v>
      </c>
      <c r="AG33" s="3">
        <f>SOCF!AH35+SOCF!AH34+AF33</f>
        <v>687142.49236789369</v>
      </c>
      <c r="AH33" s="3">
        <f>SOCF!AI35+SOCF!AI34+AG33</f>
        <v>682296.6208537519</v>
      </c>
      <c r="AI33" s="3">
        <f>SOCF!AJ35+SOCF!AJ34+AH33</f>
        <v>677410.36707699229</v>
      </c>
      <c r="AJ33" s="3">
        <f>SOCF!AK35+SOCF!AK34+AI33</f>
        <v>672483.39451875968</v>
      </c>
      <c r="AK33" s="3">
        <f>SOCF!AL35+SOCF!AL34+AJ33</f>
        <v>667515.3638558751</v>
      </c>
      <c r="AL33" s="3">
        <f>SOCF!AM35+SOCF!AM34+AK33</f>
        <v>662505.93293746642</v>
      </c>
      <c r="AM33" s="3">
        <f>SOCF!AN35+SOCF!AN34+AL33</f>
        <v>657454.75676140434</v>
      </c>
      <c r="AN33" s="3">
        <f>SOCF!AO35+SOCF!AO34+AM33</f>
        <v>652361.48745054181</v>
      </c>
      <c r="AO33" s="3">
        <f>SOCF!AP35+SOCF!AP34+AN33</f>
        <v>647225.77422875538</v>
      </c>
      <c r="AP33" s="3">
        <f>SOCF!AQ35+SOCF!AQ34+AO33</f>
        <v>642047.26339678746</v>
      </c>
      <c r="AQ33" s="3">
        <f>SOCF!AR35+SOCF!AR34+AP33</f>
        <v>636825.59830788639</v>
      </c>
      <c r="AS33" s="3">
        <f>SOCF!AT35+SOCF!AT34+AQ33</f>
        <v>631560.41934324452</v>
      </c>
      <c r="AT33" s="3">
        <f>SOCF!AU35+SOCF!AU34+AS33</f>
        <v>626251.36388723063</v>
      </c>
      <c r="AU33" s="3">
        <f>SOCF!AV35+SOCF!AV34+AT33</f>
        <v>620898.06630241661</v>
      </c>
      <c r="AV33" s="3">
        <f>SOCF!AW35+SOCF!AW34+AU33</f>
        <v>615500.15790439583</v>
      </c>
      <c r="AW33" s="3">
        <f>SOCF!AX35+SOCF!AX34+AV33</f>
        <v>610057.26693639159</v>
      </c>
      <c r="AX33" s="3">
        <f>SOCF!AY35+SOCF!AY34+AW33</f>
        <v>604569.01854365389</v>
      </c>
      <c r="AY33" s="3">
        <f>SOCF!AZ35+SOCF!AZ34+AX33</f>
        <v>599035.0347476434</v>
      </c>
      <c r="AZ33" s="3">
        <f>SOCF!BA35+SOCF!BA34+AY33</f>
        <v>593454.93441999948</v>
      </c>
      <c r="BA33" s="3">
        <f>SOCF!BB35+SOCF!BB34+AZ33</f>
        <v>587828.33325629192</v>
      </c>
      <c r="BB33" s="3">
        <f>SOCF!BC35+SOCF!BC34+BA33</f>
        <v>582154.84374955343</v>
      </c>
      <c r="BC33" s="3">
        <f>SOCF!BD35+SOCF!BD34+BB33</f>
        <v>576434.07516359212</v>
      </c>
      <c r="BD33" s="3">
        <f>SOCF!BE35+SOCF!BE34+BC33</f>
        <v>570665.63350608107</v>
      </c>
      <c r="BE33" s="2"/>
      <c r="BF33" s="3">
        <f>SOCF!BG35+SOCF!BG34+BD33</f>
        <v>564849.12150142412</v>
      </c>
      <c r="BG33" s="3">
        <f>SOCF!BH35+SOCF!BH34+BF33</f>
        <v>558984.13856339501</v>
      </c>
      <c r="BH33" s="3">
        <f>SOCF!BI35+SOCF!BI34+BG33</f>
        <v>553070.28076754906</v>
      </c>
      <c r="BI33" s="3">
        <f>SOCF!BJ35+SOCF!BJ34+BH33</f>
        <v>547107.14082340442</v>
      </c>
      <c r="BJ33" s="3">
        <f>SOCF!BK35+SOCF!BK34+BI33</f>
        <v>541094.30804639182</v>
      </c>
      <c r="BK33" s="3">
        <f>SOCF!BL35+SOCF!BL34+BJ33</f>
        <v>535031.36832957086</v>
      </c>
      <c r="BL33" s="3">
        <f>SOCF!BM35+SOCF!BM34+BK33</f>
        <v>528917.9041151097</v>
      </c>
      <c r="BM33" s="3">
        <f>SOCF!BN35+SOCF!BN34+BL33</f>
        <v>522753.49436552799</v>
      </c>
      <c r="BN33" s="3">
        <f>SOCF!BO35+SOCF!BO34+BM33</f>
        <v>516537.7145346998</v>
      </c>
      <c r="BO33" s="3">
        <f>SOCF!BP35+SOCF!BP34+BN33</f>
        <v>510270.13653861469</v>
      </c>
      <c r="BP33" s="3">
        <f>SOCF!BQ35+SOCF!BQ34+BO33</f>
        <v>503950.32872589555</v>
      </c>
      <c r="BQ33" s="3">
        <f>SOCF!BR35+SOCF!BR34+BP33</f>
        <v>497577.85584807041</v>
      </c>
    </row>
    <row r="34" spans="1:69" ht="15.75" customHeight="1">
      <c r="A34" s="2"/>
      <c r="B34" s="2"/>
      <c r="C34" s="2"/>
      <c r="D34" s="2" t="s">
        <v>27</v>
      </c>
      <c r="E34" s="2"/>
      <c r="F34" s="18">
        <f t="shared" ref="F34:Q34" si="15">SUM(F33)</f>
        <v>796094.60771612579</v>
      </c>
      <c r="G34" s="18">
        <f t="shared" si="15"/>
        <v>792156.6704965526</v>
      </c>
      <c r="H34" s="18">
        <f t="shared" si="15"/>
        <v>788185.91713348299</v>
      </c>
      <c r="I34" s="18">
        <f t="shared" si="15"/>
        <v>784182.07415905443</v>
      </c>
      <c r="J34" s="18">
        <f t="shared" si="15"/>
        <v>780144.86582650559</v>
      </c>
      <c r="K34" s="18">
        <f t="shared" si="15"/>
        <v>776074.01409118553</v>
      </c>
      <c r="L34" s="18">
        <f t="shared" si="15"/>
        <v>771969.23859140452</v>
      </c>
      <c r="M34" s="18">
        <f t="shared" si="15"/>
        <v>767830.25662912533</v>
      </c>
      <c r="N34" s="18">
        <f t="shared" si="15"/>
        <v>763656.78315049375</v>
      </c>
      <c r="O34" s="18">
        <f t="shared" si="15"/>
        <v>759448.53072620695</v>
      </c>
      <c r="P34" s="18">
        <f t="shared" si="15"/>
        <v>755205.2095317177</v>
      </c>
      <c r="Q34" s="18">
        <f t="shared" si="15"/>
        <v>750926.52732727444</v>
      </c>
      <c r="R34" s="3"/>
      <c r="S34" s="18">
        <f t="shared" ref="S34:AD34" si="16">SUM(S33)</f>
        <v>746612.18943779415</v>
      </c>
      <c r="T34" s="18">
        <f t="shared" si="16"/>
        <v>742261.89873256814</v>
      </c>
      <c r="U34" s="18">
        <f t="shared" si="16"/>
        <v>737875.35560479865</v>
      </c>
      <c r="V34" s="18">
        <f t="shared" si="16"/>
        <v>733452.25795096438</v>
      </c>
      <c r="W34" s="18">
        <f t="shared" si="16"/>
        <v>728992.30115001486</v>
      </c>
      <c r="X34" s="18">
        <f t="shared" si="16"/>
        <v>724495.17804239073</v>
      </c>
      <c r="Y34" s="18">
        <f t="shared" si="16"/>
        <v>719960.57890886976</v>
      </c>
      <c r="Z34" s="18">
        <f t="shared" si="16"/>
        <v>715388.19144923612</v>
      </c>
      <c r="AA34" s="18">
        <f t="shared" si="16"/>
        <v>710777.70076077222</v>
      </c>
      <c r="AB34" s="18">
        <f t="shared" si="16"/>
        <v>706128.78931657108</v>
      </c>
      <c r="AC34" s="18">
        <f t="shared" si="16"/>
        <v>701441.13694366824</v>
      </c>
      <c r="AD34" s="18">
        <f t="shared" si="16"/>
        <v>696714.42080099124</v>
      </c>
      <c r="AE34" s="3"/>
      <c r="AF34" s="18">
        <f t="shared" ref="AF34:AQ34" si="17">SUM(AF33)</f>
        <v>691948.31535712525</v>
      </c>
      <c r="AG34" s="18">
        <f t="shared" si="17"/>
        <v>687142.49236789369</v>
      </c>
      <c r="AH34" s="18">
        <f t="shared" si="17"/>
        <v>682296.6208537519</v>
      </c>
      <c r="AI34" s="18">
        <f t="shared" si="17"/>
        <v>677410.36707699229</v>
      </c>
      <c r="AJ34" s="18">
        <f t="shared" si="17"/>
        <v>672483.39451875968</v>
      </c>
      <c r="AK34" s="18">
        <f t="shared" si="17"/>
        <v>667515.3638558751</v>
      </c>
      <c r="AL34" s="18">
        <f t="shared" si="17"/>
        <v>662505.93293746642</v>
      </c>
      <c r="AM34" s="18">
        <f t="shared" si="17"/>
        <v>657454.75676140434</v>
      </c>
      <c r="AN34" s="18">
        <f t="shared" si="17"/>
        <v>652361.48745054181</v>
      </c>
      <c r="AO34" s="18">
        <f t="shared" si="17"/>
        <v>647225.77422875538</v>
      </c>
      <c r="AP34" s="18">
        <f t="shared" si="17"/>
        <v>642047.26339678746</v>
      </c>
      <c r="AQ34" s="18">
        <f t="shared" si="17"/>
        <v>636825.59830788639</v>
      </c>
      <c r="AS34" s="18">
        <f t="shared" ref="AS34:BD34" si="18">SUM(AS33)</f>
        <v>631560.41934324452</v>
      </c>
      <c r="AT34" s="18">
        <f t="shared" si="18"/>
        <v>626251.36388723063</v>
      </c>
      <c r="AU34" s="18">
        <f t="shared" si="18"/>
        <v>620898.06630241661</v>
      </c>
      <c r="AV34" s="18">
        <f t="shared" si="18"/>
        <v>615500.15790439583</v>
      </c>
      <c r="AW34" s="18">
        <f t="shared" si="18"/>
        <v>610057.26693639159</v>
      </c>
      <c r="AX34" s="18">
        <f t="shared" si="18"/>
        <v>604569.01854365389</v>
      </c>
      <c r="AY34" s="18">
        <f t="shared" si="18"/>
        <v>599035.0347476434</v>
      </c>
      <c r="AZ34" s="18">
        <f t="shared" si="18"/>
        <v>593454.93441999948</v>
      </c>
      <c r="BA34" s="18">
        <f t="shared" si="18"/>
        <v>587828.33325629192</v>
      </c>
      <c r="BB34" s="18">
        <f t="shared" si="18"/>
        <v>582154.84374955343</v>
      </c>
      <c r="BC34" s="18">
        <f t="shared" si="18"/>
        <v>576434.07516359212</v>
      </c>
      <c r="BD34" s="18">
        <f t="shared" si="18"/>
        <v>570665.63350608107</v>
      </c>
      <c r="BE34" s="2"/>
      <c r="BF34" s="18">
        <f t="shared" ref="BF34:BQ34" si="19">SUM(BF33)</f>
        <v>564849.12150142412</v>
      </c>
      <c r="BG34" s="18">
        <f t="shared" si="19"/>
        <v>558984.13856339501</v>
      </c>
      <c r="BH34" s="18">
        <f t="shared" si="19"/>
        <v>553070.28076754906</v>
      </c>
      <c r="BI34" s="18">
        <f t="shared" si="19"/>
        <v>547107.14082340442</v>
      </c>
      <c r="BJ34" s="18">
        <f t="shared" si="19"/>
        <v>541094.30804639182</v>
      </c>
      <c r="BK34" s="18">
        <f t="shared" si="19"/>
        <v>535031.36832957086</v>
      </c>
      <c r="BL34" s="18">
        <f t="shared" si="19"/>
        <v>528917.9041151097</v>
      </c>
      <c r="BM34" s="18">
        <f t="shared" si="19"/>
        <v>522753.49436552799</v>
      </c>
      <c r="BN34" s="18">
        <f t="shared" si="19"/>
        <v>516537.7145346998</v>
      </c>
      <c r="BO34" s="18">
        <f t="shared" si="19"/>
        <v>510270.13653861469</v>
      </c>
      <c r="BP34" s="18">
        <f t="shared" si="19"/>
        <v>503950.32872589555</v>
      </c>
      <c r="BQ34" s="18">
        <f t="shared" si="19"/>
        <v>497577.85584807041</v>
      </c>
    </row>
    <row r="35" spans="1:69" ht="15.75" customHeight="1">
      <c r="A35" s="2"/>
      <c r="B35" s="2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2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</row>
    <row r="36" spans="1:69" ht="15.75" customHeight="1">
      <c r="A36" s="2"/>
      <c r="B36" s="2"/>
      <c r="C36" s="2"/>
      <c r="D36" s="16"/>
      <c r="E36" s="16" t="s">
        <v>28</v>
      </c>
      <c r="F36" s="3">
        <f t="shared" ref="F36:Q36" si="20">F30+F34</f>
        <v>848341.71416812181</v>
      </c>
      <c r="G36" s="3">
        <f t="shared" si="20"/>
        <v>882083.5383060528</v>
      </c>
      <c r="H36" s="3">
        <f t="shared" si="20"/>
        <v>877669.62455265108</v>
      </c>
      <c r="I36" s="3">
        <f t="shared" si="20"/>
        <v>878073.30525706429</v>
      </c>
      <c r="J36" s="3">
        <f t="shared" si="20"/>
        <v>891465.43724698725</v>
      </c>
      <c r="K36" s="3">
        <f t="shared" si="20"/>
        <v>900402.93257726065</v>
      </c>
      <c r="L36" s="3">
        <f t="shared" si="20"/>
        <v>880423.03244186426</v>
      </c>
      <c r="M36" s="3">
        <f t="shared" si="20"/>
        <v>883963.31345155544</v>
      </c>
      <c r="N36" s="3">
        <f t="shared" si="20"/>
        <v>881830.95864085609</v>
      </c>
      <c r="O36" s="3">
        <f t="shared" si="20"/>
        <v>852469.03234006464</v>
      </c>
      <c r="P36" s="3">
        <f t="shared" si="20"/>
        <v>848951.74105627323</v>
      </c>
      <c r="Q36" s="3">
        <f t="shared" si="20"/>
        <v>845298.67074721097</v>
      </c>
      <c r="R36" s="3"/>
      <c r="S36" s="3">
        <f t="shared" ref="S36:AD36" si="21">S30+S34</f>
        <v>826237.39771421487</v>
      </c>
      <c r="T36" s="3">
        <f t="shared" si="21"/>
        <v>832100.00718430267</v>
      </c>
      <c r="U36" s="3">
        <f t="shared" si="21"/>
        <v>849357.79844780499</v>
      </c>
      <c r="V36" s="3">
        <f t="shared" si="21"/>
        <v>850592.84604872856</v>
      </c>
      <c r="W36" s="3">
        <f t="shared" si="21"/>
        <v>868888.65540000622</v>
      </c>
      <c r="X36" s="3">
        <f t="shared" si="21"/>
        <v>881380.91469637025</v>
      </c>
      <c r="Y36" s="3">
        <f t="shared" si="21"/>
        <v>856025.36218124919</v>
      </c>
      <c r="Z36" s="3">
        <f t="shared" si="21"/>
        <v>861509.74038510863</v>
      </c>
      <c r="AA36" s="3">
        <f t="shared" si="21"/>
        <v>859604.87991276151</v>
      </c>
      <c r="AB36" s="3">
        <f t="shared" si="21"/>
        <v>822038.40398178715</v>
      </c>
      <c r="AC36" s="3">
        <f t="shared" si="21"/>
        <v>817845.28774432268</v>
      </c>
      <c r="AD36" s="3">
        <f t="shared" si="21"/>
        <v>813258.7796878058</v>
      </c>
      <c r="AE36" s="3"/>
      <c r="AF36" s="3">
        <f t="shared" ref="AF36:AQ36" si="22">AF30+AF34</f>
        <v>785309.54034323792</v>
      </c>
      <c r="AG36" s="3">
        <f t="shared" si="22"/>
        <v>789798.86553692853</v>
      </c>
      <c r="AH36" s="3">
        <f t="shared" si="22"/>
        <v>810254.00314554176</v>
      </c>
      <c r="AI36" s="3">
        <f t="shared" si="22"/>
        <v>812277.89466900053</v>
      </c>
      <c r="AJ36" s="3">
        <f t="shared" si="22"/>
        <v>833942.02217603498</v>
      </c>
      <c r="AK36" s="3">
        <f t="shared" si="22"/>
        <v>848761.9831704027</v>
      </c>
      <c r="AL36" s="3">
        <f t="shared" si="22"/>
        <v>819715.89729538211</v>
      </c>
      <c r="AM36" s="3">
        <f t="shared" si="22"/>
        <v>826302.68183219503</v>
      </c>
      <c r="AN36" s="3">
        <f t="shared" si="22"/>
        <v>824191.91603506845</v>
      </c>
      <c r="AO36" s="3">
        <f t="shared" si="22"/>
        <v>780799.11278407741</v>
      </c>
      <c r="AP36" s="3">
        <f t="shared" si="22"/>
        <v>775909.44387044129</v>
      </c>
      <c r="AQ36" s="3">
        <f t="shared" si="22"/>
        <v>770430.45348039991</v>
      </c>
      <c r="AS36" s="3">
        <f t="shared" ref="AS36:BD36" si="23">AS30+AS34</f>
        <v>736379.95454130822</v>
      </c>
      <c r="AT36" s="3">
        <f t="shared" si="23"/>
        <v>739924.39555845084</v>
      </c>
      <c r="AU36" s="3">
        <f t="shared" si="23"/>
        <v>762938.62054080283</v>
      </c>
      <c r="AV36" s="3">
        <f t="shared" si="23"/>
        <v>765532.17622785433</v>
      </c>
      <c r="AW36" s="3">
        <f t="shared" si="23"/>
        <v>789910.18986588961</v>
      </c>
      <c r="AX36" s="3">
        <f t="shared" si="23"/>
        <v>806561.8444734459</v>
      </c>
      <c r="AY36" s="3">
        <f t="shared" si="23"/>
        <v>774324.48314947949</v>
      </c>
      <c r="AZ36" s="3">
        <f t="shared" si="23"/>
        <v>781713.41590828495</v>
      </c>
      <c r="BA36" s="3">
        <f t="shared" si="23"/>
        <v>779292.74217055878</v>
      </c>
      <c r="BB36" s="3">
        <f t="shared" si="23"/>
        <v>730896.50123373407</v>
      </c>
      <c r="BC36" s="3">
        <f t="shared" si="23"/>
        <v>725439.68603166682</v>
      </c>
      <c r="BD36" s="3">
        <f t="shared" si="23"/>
        <v>719310.20814401517</v>
      </c>
      <c r="BE36" s="2"/>
      <c r="BF36" s="3">
        <f t="shared" ref="BF36:BQ36" si="24">BF30+BF34</f>
        <v>681347.38417525496</v>
      </c>
      <c r="BG36" s="3">
        <f t="shared" si="24"/>
        <v>685347.08715821628</v>
      </c>
      <c r="BH36" s="3">
        <f t="shared" si="24"/>
        <v>711275.7446487667</v>
      </c>
      <c r="BI36" s="3">
        <f t="shared" si="24"/>
        <v>714560.180756154</v>
      </c>
      <c r="BJ36" s="3">
        <f t="shared" si="24"/>
        <v>742002.02079701936</v>
      </c>
      <c r="BK36" s="3">
        <f t="shared" si="24"/>
        <v>760714.7270882728</v>
      </c>
      <c r="BL36" s="3">
        <f t="shared" si="24"/>
        <v>724910.65563429822</v>
      </c>
      <c r="BM36" s="3">
        <f t="shared" si="24"/>
        <v>733181.38295456581</v>
      </c>
      <c r="BN36" s="3">
        <f t="shared" si="24"/>
        <v>730387.67715381458</v>
      </c>
      <c r="BO36" s="3">
        <f t="shared" si="24"/>
        <v>676379.68314200814</v>
      </c>
      <c r="BP36" s="3">
        <f t="shared" si="24"/>
        <v>670919.01868157019</v>
      </c>
      <c r="BQ36" s="3">
        <f t="shared" si="24"/>
        <v>665050.72797837597</v>
      </c>
    </row>
    <row r="37" spans="1:69" ht="15.75" customHeight="1">
      <c r="A37" s="2"/>
      <c r="B37" s="2"/>
      <c r="C37" s="2"/>
      <c r="D37" s="2"/>
      <c r="E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2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</row>
    <row r="38" spans="1:69" ht="15.75" customHeight="1">
      <c r="A38" s="2"/>
      <c r="B38" s="16" t="s">
        <v>29</v>
      </c>
      <c r="C38" s="2"/>
      <c r="D38" s="16"/>
      <c r="E38" s="16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2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</row>
    <row r="39" spans="1:69" ht="15.75" customHeight="1">
      <c r="A39" s="2"/>
      <c r="B39" s="2"/>
      <c r="C39" s="17" t="s">
        <v>30</v>
      </c>
      <c r="D39" s="17"/>
      <c r="E39" s="17"/>
      <c r="F39" s="3">
        <f>SOCF!G36</f>
        <v>0</v>
      </c>
      <c r="G39" s="3">
        <f>SOCF!H36+F39</f>
        <v>0</v>
      </c>
      <c r="H39" s="3">
        <f>SOCF!I36+G39</f>
        <v>0</v>
      </c>
      <c r="I39" s="3">
        <f>SOCF!J36+H39</f>
        <v>0</v>
      </c>
      <c r="J39" s="3">
        <f>SOCF!K36+I39</f>
        <v>0</v>
      </c>
      <c r="K39" s="3">
        <f>SOCF!L36+J39</f>
        <v>0</v>
      </c>
      <c r="L39" s="3">
        <f>SOCF!M36+K39</f>
        <v>0</v>
      </c>
      <c r="M39" s="3">
        <f>SOCF!N36+L39</f>
        <v>0</v>
      </c>
      <c r="N39" s="3">
        <f>SOCF!O36+M39</f>
        <v>0</v>
      </c>
      <c r="O39" s="3">
        <f>SOCF!P36+N39</f>
        <v>0</v>
      </c>
      <c r="P39" s="3">
        <f>SOCF!Q36+O39</f>
        <v>0</v>
      </c>
      <c r="Q39" s="3">
        <f>SOCF!R36+P39</f>
        <v>0</v>
      </c>
      <c r="R39" s="3"/>
      <c r="S39" s="3">
        <f>SOCF!T36+Q39</f>
        <v>0</v>
      </c>
      <c r="T39" s="3">
        <f>SOCF!U36+S39</f>
        <v>0</v>
      </c>
      <c r="U39" s="3">
        <f>SOCF!V36+T39</f>
        <v>0</v>
      </c>
      <c r="V39" s="3">
        <f>SOCF!W36+U39</f>
        <v>0</v>
      </c>
      <c r="W39" s="3">
        <f>SOCF!X36+V39</f>
        <v>0</v>
      </c>
      <c r="X39" s="3">
        <f>SOCF!Y36+W39</f>
        <v>0</v>
      </c>
      <c r="Y39" s="3">
        <f>SOCF!Z36+X39</f>
        <v>0</v>
      </c>
      <c r="Z39" s="3">
        <f>SOCF!AA36+Y39</f>
        <v>0</v>
      </c>
      <c r="AA39" s="3">
        <f>SOCF!AB36+Z39</f>
        <v>0</v>
      </c>
      <c r="AB39" s="3">
        <f>SOCF!AC36+AA39</f>
        <v>0</v>
      </c>
      <c r="AC39" s="3">
        <f>SOCF!AD36+AB39</f>
        <v>0</v>
      </c>
      <c r="AD39" s="3">
        <f>SOCF!AE36+AC39</f>
        <v>0</v>
      </c>
      <c r="AE39" s="3"/>
      <c r="AF39" s="3">
        <f>SOCF!AG36+AD39</f>
        <v>0</v>
      </c>
      <c r="AG39" s="3">
        <f>SOCF!AH36+AF39</f>
        <v>0</v>
      </c>
      <c r="AH39" s="3">
        <f>SOCF!AI36+AG39</f>
        <v>0</v>
      </c>
      <c r="AI39" s="3">
        <f>SOCF!AJ36+AH39</f>
        <v>0</v>
      </c>
      <c r="AJ39" s="3">
        <f>SOCF!AK36+AI39</f>
        <v>0</v>
      </c>
      <c r="AK39" s="3">
        <f>SOCF!AL36+AJ39</f>
        <v>0</v>
      </c>
      <c r="AL39" s="3">
        <f>SOCF!AM36+AK39</f>
        <v>0</v>
      </c>
      <c r="AM39" s="3">
        <f>SOCF!AN36+AL39</f>
        <v>0</v>
      </c>
      <c r="AN39" s="3">
        <f>SOCF!AO36+AM39</f>
        <v>0</v>
      </c>
      <c r="AO39" s="3">
        <f>SOCF!AP36+AN39</f>
        <v>0</v>
      </c>
      <c r="AP39" s="3">
        <f>SOCF!AQ36+AO39</f>
        <v>0</v>
      </c>
      <c r="AQ39" s="3">
        <f>SOCF!AR36+AP39</f>
        <v>0</v>
      </c>
      <c r="AS39" s="3">
        <f>SOCF!AT36+AQ39</f>
        <v>0</v>
      </c>
      <c r="AT39" s="3">
        <f>SOCF!AU36+AS39</f>
        <v>0</v>
      </c>
      <c r="AU39" s="3">
        <f>SOCF!AV36+AT39</f>
        <v>0</v>
      </c>
      <c r="AV39" s="3">
        <f>SOCF!AW36+AU39</f>
        <v>0</v>
      </c>
      <c r="AW39" s="3">
        <f>SOCF!AX36+AV39</f>
        <v>0</v>
      </c>
      <c r="AX39" s="3">
        <f>SOCF!AY36+AW39</f>
        <v>0</v>
      </c>
      <c r="AY39" s="3">
        <f>SOCF!AZ36+AX39</f>
        <v>0</v>
      </c>
      <c r="AZ39" s="3">
        <f>SOCF!BA36+AY39</f>
        <v>0</v>
      </c>
      <c r="BA39" s="3">
        <f>SOCF!BB36+AZ39</f>
        <v>0</v>
      </c>
      <c r="BB39" s="3">
        <f>SOCF!BC36+BA39</f>
        <v>0</v>
      </c>
      <c r="BC39" s="3">
        <f>SOCF!BD36+BB39</f>
        <v>0</v>
      </c>
      <c r="BD39" s="3">
        <f>SOCF!BE36+BC39</f>
        <v>0</v>
      </c>
      <c r="BE39" s="2"/>
      <c r="BF39" s="3">
        <f>SOCF!BG36+BD39</f>
        <v>0</v>
      </c>
      <c r="BG39" s="3">
        <f>SOCF!BH36+BF39</f>
        <v>0</v>
      </c>
      <c r="BH39" s="3">
        <f>SOCF!BI36+BG39</f>
        <v>0</v>
      </c>
      <c r="BI39" s="3">
        <f>SOCF!BJ36+BH39</f>
        <v>0</v>
      </c>
      <c r="BJ39" s="3">
        <f>SOCF!BK36+BI39</f>
        <v>0</v>
      </c>
      <c r="BK39" s="3">
        <f>SOCF!BL36+BJ39</f>
        <v>0</v>
      </c>
      <c r="BL39" s="3">
        <f>SOCF!BM36+BK39</f>
        <v>0</v>
      </c>
      <c r="BM39" s="3">
        <f>SOCF!BN36+BL39</f>
        <v>0</v>
      </c>
      <c r="BN39" s="3">
        <f>SOCF!BO36+BM39</f>
        <v>0</v>
      </c>
      <c r="BO39" s="3">
        <f>SOCF!BP36+BN39</f>
        <v>0</v>
      </c>
      <c r="BP39" s="3">
        <f>SOCF!BQ36+BO39</f>
        <v>0</v>
      </c>
      <c r="BQ39" s="3">
        <f>SOCF!BR36+BP39</f>
        <v>0</v>
      </c>
    </row>
    <row r="40" spans="1:69" ht="15.75" customHeight="1">
      <c r="A40" s="2"/>
      <c r="B40" s="2"/>
      <c r="C40" s="2" t="s">
        <v>31</v>
      </c>
      <c r="D40" s="17"/>
      <c r="E40" s="17"/>
      <c r="F40" s="3">
        <f>Assumptions!B14</f>
        <v>0</v>
      </c>
      <c r="G40" s="3">
        <f t="shared" ref="G40:Q40" si="25">F40</f>
        <v>0</v>
      </c>
      <c r="H40" s="3">
        <f t="shared" si="25"/>
        <v>0</v>
      </c>
      <c r="I40" s="3">
        <f t="shared" si="25"/>
        <v>0</v>
      </c>
      <c r="J40" s="3">
        <f t="shared" si="25"/>
        <v>0</v>
      </c>
      <c r="K40" s="3">
        <f t="shared" si="25"/>
        <v>0</v>
      </c>
      <c r="L40" s="3">
        <f t="shared" si="25"/>
        <v>0</v>
      </c>
      <c r="M40" s="3">
        <f t="shared" si="25"/>
        <v>0</v>
      </c>
      <c r="N40" s="3">
        <f t="shared" si="25"/>
        <v>0</v>
      </c>
      <c r="O40" s="3">
        <f t="shared" si="25"/>
        <v>0</v>
      </c>
      <c r="P40" s="3">
        <f t="shared" si="25"/>
        <v>0</v>
      </c>
      <c r="Q40" s="3">
        <f t="shared" si="25"/>
        <v>0</v>
      </c>
      <c r="R40" s="3"/>
      <c r="S40" s="3">
        <f>Q40</f>
        <v>0</v>
      </c>
      <c r="T40" s="3">
        <f t="shared" ref="T40:AD40" si="26">S40</f>
        <v>0</v>
      </c>
      <c r="U40" s="3">
        <f t="shared" si="26"/>
        <v>0</v>
      </c>
      <c r="V40" s="3">
        <f t="shared" si="26"/>
        <v>0</v>
      </c>
      <c r="W40" s="3">
        <f t="shared" si="26"/>
        <v>0</v>
      </c>
      <c r="X40" s="3">
        <f t="shared" si="26"/>
        <v>0</v>
      </c>
      <c r="Y40" s="3">
        <f t="shared" si="26"/>
        <v>0</v>
      </c>
      <c r="Z40" s="3">
        <f t="shared" si="26"/>
        <v>0</v>
      </c>
      <c r="AA40" s="3">
        <f t="shared" si="26"/>
        <v>0</v>
      </c>
      <c r="AB40" s="3">
        <f t="shared" si="26"/>
        <v>0</v>
      </c>
      <c r="AC40" s="3">
        <f t="shared" si="26"/>
        <v>0</v>
      </c>
      <c r="AD40" s="3">
        <f t="shared" si="26"/>
        <v>0</v>
      </c>
      <c r="AE40" s="3"/>
      <c r="AF40" s="3">
        <f>AD40</f>
        <v>0</v>
      </c>
      <c r="AG40" s="3">
        <f t="shared" ref="AG40:AQ40" si="27">AF40</f>
        <v>0</v>
      </c>
      <c r="AH40" s="3">
        <f t="shared" si="27"/>
        <v>0</v>
      </c>
      <c r="AI40" s="3">
        <f t="shared" si="27"/>
        <v>0</v>
      </c>
      <c r="AJ40" s="3">
        <f t="shared" si="27"/>
        <v>0</v>
      </c>
      <c r="AK40" s="3">
        <f t="shared" si="27"/>
        <v>0</v>
      </c>
      <c r="AL40" s="3">
        <f t="shared" si="27"/>
        <v>0</v>
      </c>
      <c r="AM40" s="3">
        <f t="shared" si="27"/>
        <v>0</v>
      </c>
      <c r="AN40" s="3">
        <f t="shared" si="27"/>
        <v>0</v>
      </c>
      <c r="AO40" s="3">
        <f t="shared" si="27"/>
        <v>0</v>
      </c>
      <c r="AP40" s="3">
        <f t="shared" si="27"/>
        <v>0</v>
      </c>
      <c r="AQ40" s="3">
        <f t="shared" si="27"/>
        <v>0</v>
      </c>
      <c r="AS40" s="3">
        <f>AQ40</f>
        <v>0</v>
      </c>
      <c r="AT40" s="3">
        <f t="shared" ref="AT40:BD40" si="28">AS40</f>
        <v>0</v>
      </c>
      <c r="AU40" s="3">
        <f t="shared" si="28"/>
        <v>0</v>
      </c>
      <c r="AV40" s="3">
        <f t="shared" si="28"/>
        <v>0</v>
      </c>
      <c r="AW40" s="3">
        <f t="shared" si="28"/>
        <v>0</v>
      </c>
      <c r="AX40" s="3">
        <f t="shared" si="28"/>
        <v>0</v>
      </c>
      <c r="AY40" s="3">
        <f t="shared" si="28"/>
        <v>0</v>
      </c>
      <c r="AZ40" s="3">
        <f t="shared" si="28"/>
        <v>0</v>
      </c>
      <c r="BA40" s="3">
        <f t="shared" si="28"/>
        <v>0</v>
      </c>
      <c r="BB40" s="3">
        <f t="shared" si="28"/>
        <v>0</v>
      </c>
      <c r="BC40" s="3">
        <f t="shared" si="28"/>
        <v>0</v>
      </c>
      <c r="BD40" s="3">
        <f t="shared" si="28"/>
        <v>0</v>
      </c>
      <c r="BE40" s="2"/>
      <c r="BF40" s="3">
        <f>BD40</f>
        <v>0</v>
      </c>
      <c r="BG40" s="3">
        <f t="shared" ref="BG40:BQ40" si="29">BF40</f>
        <v>0</v>
      </c>
      <c r="BH40" s="3">
        <f t="shared" si="29"/>
        <v>0</v>
      </c>
      <c r="BI40" s="3">
        <f t="shared" si="29"/>
        <v>0</v>
      </c>
      <c r="BJ40" s="3">
        <f t="shared" si="29"/>
        <v>0</v>
      </c>
      <c r="BK40" s="3">
        <f t="shared" si="29"/>
        <v>0</v>
      </c>
      <c r="BL40" s="3">
        <f t="shared" si="29"/>
        <v>0</v>
      </c>
      <c r="BM40" s="3">
        <f t="shared" si="29"/>
        <v>0</v>
      </c>
      <c r="BN40" s="3">
        <f t="shared" si="29"/>
        <v>0</v>
      </c>
      <c r="BO40" s="3">
        <f t="shared" si="29"/>
        <v>0</v>
      </c>
      <c r="BP40" s="3">
        <f t="shared" si="29"/>
        <v>0</v>
      </c>
      <c r="BQ40" s="3">
        <f t="shared" si="29"/>
        <v>0</v>
      </c>
    </row>
    <row r="41" spans="1:69" ht="15.75" customHeight="1">
      <c r="A41" s="2"/>
      <c r="B41" s="2"/>
      <c r="C41" s="2" t="s">
        <v>32</v>
      </c>
      <c r="D41" s="2"/>
      <c r="E41" s="2"/>
      <c r="F41" s="3">
        <f>SOO!F76+SOCF!G37</f>
        <v>-10646.885611309153</v>
      </c>
      <c r="G41" s="3">
        <f>SOO!G76+F41-SOCF!G37+SOCF!H37</f>
        <v>-15775.780193870334</v>
      </c>
      <c r="H41" s="3">
        <f>SOO!H76+G41-SOCF!H37+SOCF!I37</f>
        <v>-9796.5253014375139</v>
      </c>
      <c r="I41" s="3">
        <f>SOO!I76+H41-SOCF!I37+SOCF!J37</f>
        <v>3312.0317931878035</v>
      </c>
      <c r="J41" s="3">
        <f>SOO!J76+I41-SOCF!J37+SOCF!K37</f>
        <v>22168.247607075406</v>
      </c>
      <c r="K41" s="3">
        <f>SOO!K76+J41-SOCF!K37+SOCF!L37</f>
        <v>41543.312737375163</v>
      </c>
      <c r="L41" s="3">
        <f>SOO!L76+K41-SOCF!L37+SOCF!M37</f>
        <v>62588.057209077859</v>
      </c>
      <c r="M41" s="3">
        <f>SOO!M76+L41-SOCF!M37+SOCF!N37</f>
        <v>81520.603245263279</v>
      </c>
      <c r="N41" s="3">
        <f>SOO!N76+M41-SOCF!N37+SOCF!O37</f>
        <v>94756.383218040835</v>
      </c>
      <c r="O41" s="3">
        <f>SOO!O76+N41-SOCF!O37+SOCF!P37</f>
        <v>105189.46897116832</v>
      </c>
      <c r="P41" s="3">
        <f>SOO!P76+O41-SOCF!P37+SOCF!Q37</f>
        <v>110189.29944416462</v>
      </c>
      <c r="Q41" s="3">
        <f>SOO!Q76+P41-SOCF!Q37+SOCF!R37</f>
        <v>12123.794402845844</v>
      </c>
      <c r="R41" s="3"/>
      <c r="S41" s="3">
        <f>SOO!S76+Q41+SOCF!T37</f>
        <v>11211.849540506462</v>
      </c>
      <c r="T41" s="3">
        <f>SOO!T76+S41+SOCF!U37</f>
        <v>12417.773875994388</v>
      </c>
      <c r="U41" s="3">
        <f>SOO!U76+T41+SOCF!V37</f>
        <v>28413.379346599977</v>
      </c>
      <c r="V41" s="3">
        <f>SOO!V76+U41+SOCF!W37</f>
        <v>53656.630191492062</v>
      </c>
      <c r="W41" s="3">
        <f>SOO!W76+V41+SOCF!X37</f>
        <v>86560.692321210707</v>
      </c>
      <c r="X41" s="3">
        <f>SOO!X76+W41+SOCF!Y37</f>
        <v>120011.33753268456</v>
      </c>
      <c r="Y41" s="3">
        <f>SOO!Y76+X41+SOCF!Z37</f>
        <v>155780.28081253642</v>
      </c>
      <c r="Z41" s="3">
        <f>SOO!Z76+Y41+SOCF!AA37</f>
        <v>188768.66593626817</v>
      </c>
      <c r="AA41" s="3">
        <f>SOO!AA76+Z41+SOCF!AB37</f>
        <v>214152.46155713251</v>
      </c>
      <c r="AB41" s="3">
        <f>SOO!AB76+AA41+SOCF!AC37</f>
        <v>235962.64206647116</v>
      </c>
      <c r="AC41" s="3">
        <f>SOO!AC76+AB41+SOCF!AD37</f>
        <v>250535.14191567883</v>
      </c>
      <c r="AD41" s="3">
        <f>SOO!AD76+AC41+SOCF!AE37</f>
        <v>-38831.9216539443</v>
      </c>
      <c r="AE41" s="3"/>
      <c r="AF41" s="3">
        <f>SOO!AF76+AD41+SOCF!AG37</f>
        <v>-43358.877609242772</v>
      </c>
      <c r="AG41" s="3">
        <f>SOO!AG76+AF41+SOCF!AH37</f>
        <v>-45447.893085970703</v>
      </c>
      <c r="AH41" s="3">
        <f>SOO!AH76+AG41+SOCF!AI37</f>
        <v>-30505.029666833467</v>
      </c>
      <c r="AI41" s="3">
        <f>SOO!AI76+AH41+SOCF!AJ37</f>
        <v>-4912.9378339783289</v>
      </c>
      <c r="AJ41" s="3">
        <f>SOO!AJ76+AI41+SOCF!AK37</f>
        <v>29500.746189955913</v>
      </c>
      <c r="AK41" s="3">
        <f>SOO!AK76+AJ41+SOCF!AL37</f>
        <v>64542.660621305797</v>
      </c>
      <c r="AL41" s="3">
        <f>SOO!AL76+AK41+SOCF!AM37</f>
        <v>102253.18755232677</v>
      </c>
      <c r="AM41" s="3">
        <f>SOO!AM76+AL41+SOCF!AN37</f>
        <v>136760.02428963303</v>
      </c>
      <c r="AN41" s="3">
        <f>SOO!AN76+AM41+SOCF!AO37</f>
        <v>162507.37777306535</v>
      </c>
      <c r="AO41" s="3">
        <f>SOO!AO76+AN41+SOCF!AP37</f>
        <v>184137.62074684564</v>
      </c>
      <c r="AP41" s="3">
        <f>SOO!AP76+AO41+SOCF!AQ37</f>
        <v>197430.91879257228</v>
      </c>
      <c r="AQ41" s="3">
        <f>SOO!AQ76+AP41+SOCF!AR37</f>
        <v>6185.629118869314</v>
      </c>
      <c r="AS41" s="3">
        <f>SOO!AS76+AQ41+SOCF!AT37</f>
        <v>4787.1059645125451</v>
      </c>
      <c r="AT41" s="3">
        <f>SOO!AT76+AS41+SOCF!AU37</f>
        <v>6095.0953635718679</v>
      </c>
      <c r="AU41" s="3">
        <f>SOO!AU76+AT41+SOCF!AV37</f>
        <v>26308.659725471705</v>
      </c>
      <c r="AV41" s="3">
        <f>SOO!AV76+AU41+SOCF!AW37</f>
        <v>58343.455898701388</v>
      </c>
      <c r="AW41" s="3">
        <f>SOO!AW76+AV41+SOCF!AX37</f>
        <v>100170.21384912146</v>
      </c>
      <c r="AX41" s="3">
        <f>SOO!AX76+AW41+SOCF!AY37</f>
        <v>142694.46083949885</v>
      </c>
      <c r="AY41" s="3">
        <f>SOO!AY76+AX41+SOCF!AZ37</f>
        <v>188180.53816944477</v>
      </c>
      <c r="AZ41" s="3">
        <f>SOO!AZ76+AY41+SOCF!BA37</f>
        <v>230110.20313959455</v>
      </c>
      <c r="BA41" s="3">
        <f>SOO!BA76+AZ41+SOCF!BB37</f>
        <v>262316.51888708933</v>
      </c>
      <c r="BB41" s="3">
        <f>SOO!BB76+BA41+SOCF!BC37</f>
        <v>289952.22670747503</v>
      </c>
      <c r="BC41" s="3">
        <f>SOO!BC76+BB41+SOCF!BD37</f>
        <v>308333.57359351334</v>
      </c>
      <c r="BD41" s="3">
        <f>SOO!BD76+BC41+SOCF!BE37</f>
        <v>21676.496492893435</v>
      </c>
      <c r="BE41" s="2"/>
      <c r="BF41" s="3">
        <f>SOO!BF76+BD41+SOCF!BG37</f>
        <v>23137.624447690039</v>
      </c>
      <c r="BG41" s="3">
        <f>SOO!BG76+BF41+SOCF!BH37</f>
        <v>27601.097038894139</v>
      </c>
      <c r="BH41" s="3">
        <f>SOO!BH76+BG41+SOCF!BI37</f>
        <v>53033.9087577264</v>
      </c>
      <c r="BI41" s="3">
        <f>SOO!BI76+BH41+SOCF!BJ37</f>
        <v>91578.855489829337</v>
      </c>
      <c r="BJ41" s="3">
        <f>SOO!BJ76+BI41+SOCF!BK37</f>
        <v>140984.57286518041</v>
      </c>
      <c r="BK41" s="3">
        <f>SOO!BK76+BJ41+SOCF!BL37</f>
        <v>191164.07806278762</v>
      </c>
      <c r="BL41" s="3">
        <f>SOO!BL76+BK41+SOCF!BM37</f>
        <v>244628.38141966579</v>
      </c>
      <c r="BM41" s="3">
        <f>SOO!BM76+BL41+SOCF!BN37</f>
        <v>294147.78152444371</v>
      </c>
      <c r="BN41" s="3">
        <f>SOO!BN76+BM41+SOCF!BO37</f>
        <v>332882.20817155926</v>
      </c>
      <c r="BO41" s="3">
        <f>SOO!BO76+BN41+SOCF!BP37</f>
        <v>366546.53484745219</v>
      </c>
      <c r="BP41" s="3">
        <f>SOO!BP76+BO41+SOCF!BQ37</f>
        <v>389946.03763298993</v>
      </c>
      <c r="BQ41" s="3">
        <f>SOO!BQ76+BP41+SOCF!BR37</f>
        <v>7756.5858564252849</v>
      </c>
    </row>
    <row r="42" spans="1:69" ht="15.75" customHeight="1">
      <c r="A42" s="2"/>
      <c r="B42" s="2"/>
      <c r="C42" s="2"/>
      <c r="D42" s="16"/>
      <c r="E42" s="16" t="str">
        <f>CONCATENATE("Total ",B38)</f>
        <v>Total Shareholders's equity</v>
      </c>
      <c r="F42" s="18">
        <f>SUM(F39:F41)</f>
        <v>-10646.885611309153</v>
      </c>
      <c r="G42" s="18">
        <f t="shared" ref="G42:Q42" si="30">SUM(G39:G41)</f>
        <v>-15775.780193870334</v>
      </c>
      <c r="H42" s="18">
        <f t="shared" si="30"/>
        <v>-9796.5253014375139</v>
      </c>
      <c r="I42" s="18">
        <f t="shared" si="30"/>
        <v>3312.0317931878035</v>
      </c>
      <c r="J42" s="18">
        <f t="shared" si="30"/>
        <v>22168.247607075406</v>
      </c>
      <c r="K42" s="18">
        <f t="shared" si="30"/>
        <v>41543.312737375163</v>
      </c>
      <c r="L42" s="18">
        <f t="shared" si="30"/>
        <v>62588.057209077859</v>
      </c>
      <c r="M42" s="18">
        <f t="shared" si="30"/>
        <v>81520.603245263279</v>
      </c>
      <c r="N42" s="18">
        <f t="shared" si="30"/>
        <v>94756.383218040835</v>
      </c>
      <c r="O42" s="18">
        <f t="shared" si="30"/>
        <v>105189.46897116832</v>
      </c>
      <c r="P42" s="18">
        <f t="shared" si="30"/>
        <v>110189.29944416462</v>
      </c>
      <c r="Q42" s="18">
        <f t="shared" si="30"/>
        <v>12123.794402845844</v>
      </c>
      <c r="R42" s="3"/>
      <c r="S42" s="18">
        <f t="shared" ref="S42:AD42" si="31">SUM(S39:S41)</f>
        <v>11211.849540506462</v>
      </c>
      <c r="T42" s="18">
        <f t="shared" si="31"/>
        <v>12417.773875994388</v>
      </c>
      <c r="U42" s="18">
        <f t="shared" si="31"/>
        <v>28413.379346599977</v>
      </c>
      <c r="V42" s="18">
        <f t="shared" si="31"/>
        <v>53656.630191492062</v>
      </c>
      <c r="W42" s="18">
        <f t="shared" si="31"/>
        <v>86560.692321210707</v>
      </c>
      <c r="X42" s="18">
        <f t="shared" si="31"/>
        <v>120011.33753268456</v>
      </c>
      <c r="Y42" s="18">
        <f t="shared" si="31"/>
        <v>155780.28081253642</v>
      </c>
      <c r="Z42" s="18">
        <f t="shared" si="31"/>
        <v>188768.66593626817</v>
      </c>
      <c r="AA42" s="18">
        <f t="shared" si="31"/>
        <v>214152.46155713251</v>
      </c>
      <c r="AB42" s="18">
        <f t="shared" si="31"/>
        <v>235962.64206647116</v>
      </c>
      <c r="AC42" s="18">
        <f t="shared" si="31"/>
        <v>250535.14191567883</v>
      </c>
      <c r="AD42" s="18">
        <f t="shared" si="31"/>
        <v>-38831.9216539443</v>
      </c>
      <c r="AE42" s="3"/>
      <c r="AF42" s="18">
        <f t="shared" ref="AF42:AQ42" si="32">SUM(AF39:AF41)</f>
        <v>-43358.877609242772</v>
      </c>
      <c r="AG42" s="18">
        <f t="shared" si="32"/>
        <v>-45447.893085970703</v>
      </c>
      <c r="AH42" s="18">
        <f t="shared" si="32"/>
        <v>-30505.029666833467</v>
      </c>
      <c r="AI42" s="18">
        <f t="shared" si="32"/>
        <v>-4912.9378339783289</v>
      </c>
      <c r="AJ42" s="18">
        <f t="shared" si="32"/>
        <v>29500.746189955913</v>
      </c>
      <c r="AK42" s="18">
        <f t="shared" si="32"/>
        <v>64542.660621305797</v>
      </c>
      <c r="AL42" s="18">
        <f t="shared" si="32"/>
        <v>102253.18755232677</v>
      </c>
      <c r="AM42" s="18">
        <f t="shared" si="32"/>
        <v>136760.02428963303</v>
      </c>
      <c r="AN42" s="18">
        <f t="shared" si="32"/>
        <v>162507.37777306535</v>
      </c>
      <c r="AO42" s="18">
        <f t="shared" si="32"/>
        <v>184137.62074684564</v>
      </c>
      <c r="AP42" s="18">
        <f t="shared" si="32"/>
        <v>197430.91879257228</v>
      </c>
      <c r="AQ42" s="18">
        <f t="shared" si="32"/>
        <v>6185.629118869314</v>
      </c>
      <c r="AS42" s="18">
        <f t="shared" ref="AS42:BD42" si="33">SUM(AS39:AS41)</f>
        <v>4787.1059645125451</v>
      </c>
      <c r="AT42" s="18">
        <f t="shared" si="33"/>
        <v>6095.0953635718679</v>
      </c>
      <c r="AU42" s="18">
        <f t="shared" si="33"/>
        <v>26308.659725471705</v>
      </c>
      <c r="AV42" s="18">
        <f t="shared" si="33"/>
        <v>58343.455898701388</v>
      </c>
      <c r="AW42" s="18">
        <f t="shared" si="33"/>
        <v>100170.21384912146</v>
      </c>
      <c r="AX42" s="18">
        <f t="shared" si="33"/>
        <v>142694.46083949885</v>
      </c>
      <c r="AY42" s="18">
        <f t="shared" si="33"/>
        <v>188180.53816944477</v>
      </c>
      <c r="AZ42" s="18">
        <f t="shared" si="33"/>
        <v>230110.20313959455</v>
      </c>
      <c r="BA42" s="18">
        <f t="shared" si="33"/>
        <v>262316.51888708933</v>
      </c>
      <c r="BB42" s="18">
        <f t="shared" si="33"/>
        <v>289952.22670747503</v>
      </c>
      <c r="BC42" s="18">
        <f t="shared" si="33"/>
        <v>308333.57359351334</v>
      </c>
      <c r="BD42" s="18">
        <f t="shared" si="33"/>
        <v>21676.496492893435</v>
      </c>
      <c r="BE42" s="2"/>
      <c r="BF42" s="18">
        <f t="shared" ref="BF42:BQ42" si="34">SUM(BF39:BF41)</f>
        <v>23137.624447690039</v>
      </c>
      <c r="BG42" s="18">
        <f t="shared" si="34"/>
        <v>27601.097038894139</v>
      </c>
      <c r="BH42" s="18">
        <f t="shared" si="34"/>
        <v>53033.9087577264</v>
      </c>
      <c r="BI42" s="18">
        <f t="shared" si="34"/>
        <v>91578.855489829337</v>
      </c>
      <c r="BJ42" s="18">
        <f t="shared" si="34"/>
        <v>140984.57286518041</v>
      </c>
      <c r="BK42" s="18">
        <f t="shared" si="34"/>
        <v>191164.07806278762</v>
      </c>
      <c r="BL42" s="18">
        <f t="shared" si="34"/>
        <v>244628.38141966579</v>
      </c>
      <c r="BM42" s="18">
        <f t="shared" si="34"/>
        <v>294147.78152444371</v>
      </c>
      <c r="BN42" s="18">
        <f t="shared" si="34"/>
        <v>332882.20817155926</v>
      </c>
      <c r="BO42" s="18">
        <f t="shared" si="34"/>
        <v>366546.53484745219</v>
      </c>
      <c r="BP42" s="18">
        <f t="shared" si="34"/>
        <v>389946.03763298993</v>
      </c>
      <c r="BQ42" s="18">
        <f t="shared" si="34"/>
        <v>7756.5858564252849</v>
      </c>
    </row>
    <row r="43" spans="1:69" ht="15.75" customHeight="1">
      <c r="A43" s="2"/>
      <c r="B43" s="2"/>
      <c r="C43" s="2"/>
      <c r="D43" s="2"/>
      <c r="E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2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</row>
    <row r="44" spans="1:69" ht="15.75" customHeight="1">
      <c r="A44" s="1" t="s">
        <v>33</v>
      </c>
      <c r="B44" s="1"/>
      <c r="C44" s="1"/>
      <c r="D44" s="1"/>
      <c r="E44" s="1"/>
      <c r="F44" s="19">
        <f t="shared" ref="F44:Q44" si="35">F36+F42</f>
        <v>837694.8285568126</v>
      </c>
      <c r="G44" s="19">
        <f t="shared" si="35"/>
        <v>866307.75811218249</v>
      </c>
      <c r="H44" s="19">
        <f t="shared" si="35"/>
        <v>867873.0992512136</v>
      </c>
      <c r="I44" s="19">
        <f t="shared" si="35"/>
        <v>881385.33705025213</v>
      </c>
      <c r="J44" s="19">
        <f t="shared" si="35"/>
        <v>913633.68485406262</v>
      </c>
      <c r="K44" s="19">
        <f t="shared" si="35"/>
        <v>941946.2453146358</v>
      </c>
      <c r="L44" s="19">
        <f t="shared" si="35"/>
        <v>943011.08965094213</v>
      </c>
      <c r="M44" s="19">
        <f t="shared" si="35"/>
        <v>965483.91669681878</v>
      </c>
      <c r="N44" s="19">
        <f t="shared" si="35"/>
        <v>976587.34185889689</v>
      </c>
      <c r="O44" s="19">
        <f t="shared" si="35"/>
        <v>957658.50131123292</v>
      </c>
      <c r="P44" s="19">
        <f t="shared" si="35"/>
        <v>959141.04050043784</v>
      </c>
      <c r="Q44" s="19">
        <f t="shared" si="35"/>
        <v>857422.46515005687</v>
      </c>
      <c r="R44" s="3"/>
      <c r="S44" s="19">
        <f t="shared" ref="S44:AD44" si="36">S36+S42</f>
        <v>837449.24725472135</v>
      </c>
      <c r="T44" s="19">
        <f t="shared" si="36"/>
        <v>844517.78106029704</v>
      </c>
      <c r="U44" s="19">
        <f t="shared" si="36"/>
        <v>877771.17779440503</v>
      </c>
      <c r="V44" s="19">
        <f t="shared" si="36"/>
        <v>904249.4762402206</v>
      </c>
      <c r="W44" s="19">
        <f t="shared" si="36"/>
        <v>955449.34772121697</v>
      </c>
      <c r="X44" s="19">
        <f t="shared" si="36"/>
        <v>1001392.2522290548</v>
      </c>
      <c r="Y44" s="19">
        <f t="shared" si="36"/>
        <v>1011805.6429937857</v>
      </c>
      <c r="Z44" s="19">
        <f t="shared" si="36"/>
        <v>1050278.4063213768</v>
      </c>
      <c r="AA44" s="19">
        <f t="shared" si="36"/>
        <v>1073757.3414698939</v>
      </c>
      <c r="AB44" s="19">
        <f t="shared" si="36"/>
        <v>1058001.0460482584</v>
      </c>
      <c r="AC44" s="19">
        <f t="shared" si="36"/>
        <v>1068380.4296600015</v>
      </c>
      <c r="AD44" s="19">
        <f t="shared" si="36"/>
        <v>774426.8580338615</v>
      </c>
      <c r="AE44" s="3"/>
      <c r="AF44" s="19">
        <f t="shared" ref="AF44:AQ44" si="37">AF36+AF42</f>
        <v>741950.66273399512</v>
      </c>
      <c r="AG44" s="19">
        <f t="shared" si="37"/>
        <v>744350.97245095787</v>
      </c>
      <c r="AH44" s="19">
        <f t="shared" si="37"/>
        <v>779748.9734787083</v>
      </c>
      <c r="AI44" s="19">
        <f t="shared" si="37"/>
        <v>807364.9568350222</v>
      </c>
      <c r="AJ44" s="19">
        <f t="shared" si="37"/>
        <v>863442.76836599084</v>
      </c>
      <c r="AK44" s="19">
        <f t="shared" si="37"/>
        <v>913304.64379170851</v>
      </c>
      <c r="AL44" s="19">
        <f t="shared" si="37"/>
        <v>921969.08484770893</v>
      </c>
      <c r="AM44" s="19">
        <f t="shared" si="37"/>
        <v>963062.70612182806</v>
      </c>
      <c r="AN44" s="19">
        <f t="shared" si="37"/>
        <v>986699.29380813381</v>
      </c>
      <c r="AO44" s="19">
        <f t="shared" si="37"/>
        <v>964936.73353092303</v>
      </c>
      <c r="AP44" s="19">
        <f t="shared" si="37"/>
        <v>973340.36266301363</v>
      </c>
      <c r="AQ44" s="19">
        <f t="shared" si="37"/>
        <v>776616.08259926923</v>
      </c>
      <c r="AS44" s="19">
        <f t="shared" ref="AS44:BD44" si="38">AS36+AS42</f>
        <v>741167.06050582079</v>
      </c>
      <c r="AT44" s="19">
        <f t="shared" si="38"/>
        <v>746019.49092202273</v>
      </c>
      <c r="AU44" s="19">
        <f t="shared" si="38"/>
        <v>789247.28026627458</v>
      </c>
      <c r="AV44" s="19">
        <f t="shared" si="38"/>
        <v>823875.63212655578</v>
      </c>
      <c r="AW44" s="19">
        <f t="shared" si="38"/>
        <v>890080.40371501108</v>
      </c>
      <c r="AX44" s="19">
        <f t="shared" si="38"/>
        <v>949256.30531294481</v>
      </c>
      <c r="AY44" s="19">
        <f t="shared" si="38"/>
        <v>962505.02131892426</v>
      </c>
      <c r="AZ44" s="19">
        <f t="shared" si="38"/>
        <v>1011823.6190478795</v>
      </c>
      <c r="BA44" s="19">
        <f t="shared" si="38"/>
        <v>1041609.2610576481</v>
      </c>
      <c r="BB44" s="19">
        <f t="shared" si="38"/>
        <v>1020848.7279412091</v>
      </c>
      <c r="BC44" s="19">
        <f t="shared" si="38"/>
        <v>1033773.2596251802</v>
      </c>
      <c r="BD44" s="19">
        <f t="shared" si="38"/>
        <v>740986.7046369086</v>
      </c>
      <c r="BE44" s="2"/>
      <c r="BF44" s="19">
        <f t="shared" ref="BF44:BQ44" si="39">BF36+BF42</f>
        <v>704485.00862294505</v>
      </c>
      <c r="BG44" s="19">
        <f t="shared" si="39"/>
        <v>712948.18419711047</v>
      </c>
      <c r="BH44" s="19">
        <f t="shared" si="39"/>
        <v>764309.65340649313</v>
      </c>
      <c r="BI44" s="19">
        <f t="shared" si="39"/>
        <v>806139.03624598333</v>
      </c>
      <c r="BJ44" s="19">
        <f t="shared" si="39"/>
        <v>882986.5936621998</v>
      </c>
      <c r="BK44" s="19">
        <f t="shared" si="39"/>
        <v>951878.80515106046</v>
      </c>
      <c r="BL44" s="19">
        <f t="shared" si="39"/>
        <v>969539.03705396398</v>
      </c>
      <c r="BM44" s="19">
        <f t="shared" si="39"/>
        <v>1027329.1644790096</v>
      </c>
      <c r="BN44" s="19">
        <f t="shared" si="39"/>
        <v>1063269.8853253738</v>
      </c>
      <c r="BO44" s="19">
        <f t="shared" si="39"/>
        <v>1042926.2179894603</v>
      </c>
      <c r="BP44" s="19">
        <f t="shared" si="39"/>
        <v>1060865.0563145601</v>
      </c>
      <c r="BQ44" s="19">
        <f t="shared" si="39"/>
        <v>672807.31383480132</v>
      </c>
    </row>
    <row r="45" spans="1:69" ht="15.75" customHeight="1">
      <c r="A45" s="2"/>
      <c r="B45" s="2"/>
      <c r="C45" s="2"/>
      <c r="D45" s="2"/>
      <c r="E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2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</row>
    <row r="46" spans="1:69" ht="15.75" customHeight="1">
      <c r="A46" s="2" t="s">
        <v>95</v>
      </c>
      <c r="B46" s="2"/>
      <c r="C46" s="2"/>
      <c r="D46" s="2"/>
      <c r="E46" s="2"/>
      <c r="F46" s="3">
        <f t="shared" ref="F46:Q46" si="40">F21-F44</f>
        <v>0</v>
      </c>
      <c r="G46" s="3">
        <f t="shared" si="40"/>
        <v>0</v>
      </c>
      <c r="H46" s="3">
        <f t="shared" si="40"/>
        <v>0</v>
      </c>
      <c r="I46" s="3">
        <f t="shared" si="40"/>
        <v>0</v>
      </c>
      <c r="J46" s="3">
        <f t="shared" si="40"/>
        <v>0</v>
      </c>
      <c r="K46" s="3">
        <f t="shared" si="40"/>
        <v>0</v>
      </c>
      <c r="L46" s="3">
        <f t="shared" si="40"/>
        <v>0</v>
      </c>
      <c r="M46" s="3">
        <f t="shared" si="40"/>
        <v>0</v>
      </c>
      <c r="N46" s="3">
        <f t="shared" si="40"/>
        <v>0</v>
      </c>
      <c r="O46" s="3">
        <f t="shared" si="40"/>
        <v>0</v>
      </c>
      <c r="P46" s="3">
        <f t="shared" si="40"/>
        <v>0</v>
      </c>
      <c r="Q46" s="3">
        <f t="shared" si="40"/>
        <v>0</v>
      </c>
      <c r="R46" s="3"/>
      <c r="S46" s="3">
        <f t="shared" ref="S46:AD46" si="41">S21-S44</f>
        <v>0</v>
      </c>
      <c r="T46" s="3">
        <f t="shared" si="41"/>
        <v>0</v>
      </c>
      <c r="U46" s="3">
        <f t="shared" si="41"/>
        <v>0</v>
      </c>
      <c r="V46" s="3">
        <f t="shared" si="41"/>
        <v>0</v>
      </c>
      <c r="W46" s="3">
        <f t="shared" si="41"/>
        <v>0</v>
      </c>
      <c r="X46" s="3">
        <f t="shared" si="41"/>
        <v>0</v>
      </c>
      <c r="Y46" s="3">
        <f t="shared" si="41"/>
        <v>0</v>
      </c>
      <c r="Z46" s="3">
        <f t="shared" si="41"/>
        <v>0</v>
      </c>
      <c r="AA46" s="3">
        <f t="shared" si="41"/>
        <v>0</v>
      </c>
      <c r="AB46" s="3">
        <f t="shared" si="41"/>
        <v>0</v>
      </c>
      <c r="AC46" s="3">
        <f t="shared" si="41"/>
        <v>0</v>
      </c>
      <c r="AD46" s="3">
        <f t="shared" si="41"/>
        <v>0</v>
      </c>
      <c r="AE46" s="3"/>
      <c r="AF46" s="3">
        <f t="shared" ref="AF46:AQ46" si="42">AF21-AF44</f>
        <v>0</v>
      </c>
      <c r="AG46" s="3">
        <f t="shared" si="42"/>
        <v>0</v>
      </c>
      <c r="AH46" s="3">
        <f t="shared" si="42"/>
        <v>0</v>
      </c>
      <c r="AI46" s="3">
        <f t="shared" si="42"/>
        <v>0</v>
      </c>
      <c r="AJ46" s="3">
        <f t="shared" si="42"/>
        <v>0</v>
      </c>
      <c r="AK46" s="3">
        <f t="shared" si="42"/>
        <v>0</v>
      </c>
      <c r="AL46" s="3">
        <f t="shared" si="42"/>
        <v>0</v>
      </c>
      <c r="AM46" s="3">
        <f t="shared" si="42"/>
        <v>0</v>
      </c>
      <c r="AN46" s="3">
        <f t="shared" si="42"/>
        <v>0</v>
      </c>
      <c r="AO46" s="3">
        <f t="shared" si="42"/>
        <v>0</v>
      </c>
      <c r="AP46" s="3">
        <f t="shared" si="42"/>
        <v>0</v>
      </c>
      <c r="AQ46" s="3">
        <f t="shared" si="42"/>
        <v>0</v>
      </c>
      <c r="AS46" s="3">
        <f t="shared" ref="AS46:BD46" si="43">AS21-AS44</f>
        <v>0</v>
      </c>
      <c r="AT46" s="3">
        <f t="shared" si="43"/>
        <v>0</v>
      </c>
      <c r="AU46" s="3">
        <f t="shared" si="43"/>
        <v>0</v>
      </c>
      <c r="AV46" s="3">
        <f t="shared" si="43"/>
        <v>0</v>
      </c>
      <c r="AW46" s="3">
        <f t="shared" si="43"/>
        <v>0</v>
      </c>
      <c r="AX46" s="3">
        <f t="shared" si="43"/>
        <v>0</v>
      </c>
      <c r="AY46" s="3">
        <f t="shared" si="43"/>
        <v>0</v>
      </c>
      <c r="AZ46" s="3">
        <f t="shared" si="43"/>
        <v>0</v>
      </c>
      <c r="BA46" s="3">
        <f t="shared" si="43"/>
        <v>0</v>
      </c>
      <c r="BB46" s="3">
        <f t="shared" si="43"/>
        <v>0</v>
      </c>
      <c r="BC46" s="3">
        <f t="shared" si="43"/>
        <v>0</v>
      </c>
      <c r="BD46" s="3">
        <f t="shared" si="43"/>
        <v>0</v>
      </c>
      <c r="BE46" s="2"/>
      <c r="BF46" s="3">
        <f t="shared" ref="BF46:BQ46" si="44">BF21-BF44</f>
        <v>0</v>
      </c>
      <c r="BG46" s="3">
        <f t="shared" si="44"/>
        <v>0</v>
      </c>
      <c r="BH46" s="3">
        <f t="shared" si="44"/>
        <v>0</v>
      </c>
      <c r="BI46" s="3">
        <f t="shared" si="44"/>
        <v>0</v>
      </c>
      <c r="BJ46" s="3">
        <f t="shared" si="44"/>
        <v>0</v>
      </c>
      <c r="BK46" s="3">
        <f t="shared" si="44"/>
        <v>0</v>
      </c>
      <c r="BL46" s="3">
        <f t="shared" si="44"/>
        <v>0</v>
      </c>
      <c r="BM46" s="3">
        <f t="shared" si="44"/>
        <v>0</v>
      </c>
      <c r="BN46" s="3">
        <f t="shared" si="44"/>
        <v>0</v>
      </c>
      <c r="BO46" s="3">
        <f t="shared" si="44"/>
        <v>0</v>
      </c>
      <c r="BP46" s="3">
        <f t="shared" si="44"/>
        <v>0</v>
      </c>
      <c r="BQ46" s="3">
        <f t="shared" si="44"/>
        <v>0</v>
      </c>
    </row>
    <row r="47" spans="1:69" ht="15.75" customHeight="1">
      <c r="A47" s="2" t="s">
        <v>115</v>
      </c>
      <c r="B47" s="2"/>
      <c r="C47" s="2"/>
      <c r="D47" s="2"/>
      <c r="E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2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</row>
    <row r="48" spans="1:69" ht="15.75" customHeight="1">
      <c r="A48" s="2"/>
      <c r="B48" s="2"/>
      <c r="C48" s="2"/>
      <c r="D48" s="2"/>
      <c r="E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2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</row>
    <row r="49" spans="1:69" ht="15.75" customHeight="1">
      <c r="A49" s="2"/>
      <c r="B49" s="2"/>
      <c r="C49" s="2"/>
      <c r="D49" s="2"/>
      <c r="E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2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</row>
    <row r="50" spans="1:69" ht="15.75" customHeight="1">
      <c r="A50" s="2"/>
      <c r="B50" s="2"/>
      <c r="C50" s="2"/>
      <c r="D50" s="2"/>
      <c r="E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</row>
    <row r="51" spans="1:69" ht="15.75" customHeight="1">
      <c r="A51" s="2"/>
      <c r="B51" s="2"/>
      <c r="C51" s="2"/>
      <c r="D51" s="2"/>
      <c r="E51" s="4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2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</row>
    <row r="52" spans="1:69" ht="15.75" customHeight="1">
      <c r="A52" s="2"/>
      <c r="B52" s="2"/>
      <c r="C52" s="2"/>
      <c r="D52" s="2"/>
      <c r="E52" s="4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2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</row>
    <row r="53" spans="1:69" ht="15.75" customHeight="1">
      <c r="A53" s="2"/>
      <c r="B53" s="2"/>
      <c r="C53" s="2"/>
      <c r="D53" s="2"/>
      <c r="E53" s="4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2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</row>
    <row r="54" spans="1:69" ht="15.75" customHeight="1">
      <c r="A54" s="2"/>
      <c r="B54" s="2"/>
      <c r="C54" s="2"/>
      <c r="D54" s="2"/>
      <c r="E54" s="4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2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</row>
    <row r="55" spans="1:69" ht="15.75" customHeight="1">
      <c r="A55" s="2"/>
      <c r="B55" s="2"/>
      <c r="C55" s="2"/>
      <c r="D55" s="2"/>
      <c r="E55" s="4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2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</row>
    <row r="56" spans="1:69" ht="15.75" customHeight="1">
      <c r="A56" s="2"/>
      <c r="B56" s="2"/>
      <c r="C56" s="2"/>
      <c r="D56" s="2"/>
      <c r="E56" s="40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2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</row>
    <row r="57" spans="1:69" ht="15.75" customHeight="1">
      <c r="A57" s="2"/>
      <c r="B57" s="2"/>
      <c r="C57" s="2"/>
      <c r="D57" s="2"/>
      <c r="E57" s="40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2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</row>
    <row r="58" spans="1:69" ht="15.75" customHeight="1">
      <c r="A58" s="2"/>
      <c r="B58" s="2"/>
      <c r="C58" s="2"/>
      <c r="D58" s="2"/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2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</row>
    <row r="59" spans="1:69" ht="15.75" customHeight="1"/>
    <row r="60" spans="1:69" ht="15.75" customHeight="1"/>
    <row r="61" spans="1:69" ht="15.75" customHeight="1"/>
    <row r="62" spans="1:69" ht="15.75" customHeight="1"/>
    <row r="63" spans="1:69" ht="15.75" customHeight="1"/>
    <row r="64" spans="1:6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T1003"/>
  <sheetViews>
    <sheetView workbookViewId="0">
      <pane xSplit="6" ySplit="6" topLeftCell="BC21" activePane="bottomRight" state="frozen"/>
      <selection pane="topRight" activeCell="G1" sqref="G1"/>
      <selection pane="bottomLeft" activeCell="A7" sqref="A7"/>
      <selection pane="bottomRight" activeCell="BR44" sqref="BR44"/>
    </sheetView>
  </sheetViews>
  <sheetFormatPr defaultColWidth="14.42578125" defaultRowHeight="15" customHeight="1"/>
  <cols>
    <col min="1" max="1" width="10.7109375" customWidth="1"/>
    <col min="2" max="5" width="3.7109375" customWidth="1"/>
    <col min="6" max="6" width="36.28515625" customWidth="1"/>
    <col min="7" max="14" width="11.28515625" bestFit="1" customWidth="1"/>
    <col min="15" max="18" width="12.28515625" bestFit="1" customWidth="1"/>
    <col min="19" max="44" width="10.7109375" customWidth="1"/>
    <col min="45" max="45" width="8.7109375" customWidth="1"/>
    <col min="46" max="57" width="10.7109375" customWidth="1"/>
    <col min="58" max="58" width="9.140625" customWidth="1"/>
    <col min="59" max="69" width="10.7109375" customWidth="1"/>
    <col min="70" max="70" width="11.28515625" customWidth="1"/>
    <col min="71" max="71" width="9.140625" customWidth="1"/>
    <col min="72" max="72" width="11.28515625" customWidth="1"/>
  </cols>
  <sheetData>
    <row r="1" spans="1:72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>
      <c r="A2" s="1" t="s">
        <v>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1:72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2"/>
    </row>
    <row r="4" spans="1:72">
      <c r="A4" s="2"/>
      <c r="B4" s="11"/>
      <c r="C4" s="11"/>
      <c r="D4" s="11"/>
      <c r="E4" s="11"/>
      <c r="F4" s="11"/>
      <c r="G4" s="31"/>
      <c r="H4" s="32"/>
      <c r="I4" s="32"/>
      <c r="J4" s="32"/>
      <c r="K4" s="32"/>
      <c r="L4" s="32"/>
      <c r="M4" s="33" t="s">
        <v>98</v>
      </c>
      <c r="N4" s="32"/>
      <c r="O4" s="32"/>
      <c r="P4" s="32"/>
      <c r="Q4" s="32"/>
      <c r="R4" s="34"/>
      <c r="S4" s="2"/>
      <c r="T4" s="31"/>
      <c r="U4" s="32"/>
      <c r="V4" s="32"/>
      <c r="W4" s="32"/>
      <c r="X4" s="32"/>
      <c r="Y4" s="32"/>
      <c r="Z4" s="33" t="s">
        <v>99</v>
      </c>
      <c r="AA4" s="32"/>
      <c r="AB4" s="32"/>
      <c r="AC4" s="32"/>
      <c r="AD4" s="32"/>
      <c r="AE4" s="34"/>
      <c r="AF4" s="2"/>
      <c r="AG4" s="31"/>
      <c r="AH4" s="32"/>
      <c r="AI4" s="32"/>
      <c r="AJ4" s="32"/>
      <c r="AK4" s="32"/>
      <c r="AL4" s="32"/>
      <c r="AM4" s="33" t="s">
        <v>100</v>
      </c>
      <c r="AN4" s="32"/>
      <c r="AO4" s="32"/>
      <c r="AP4" s="32"/>
      <c r="AQ4" s="32"/>
      <c r="AR4" s="34"/>
      <c r="AT4" s="31"/>
      <c r="AU4" s="32"/>
      <c r="AV4" s="32"/>
      <c r="AW4" s="32"/>
      <c r="AX4" s="32"/>
      <c r="AY4" s="32"/>
      <c r="AZ4" s="33" t="s">
        <v>101</v>
      </c>
      <c r="BA4" s="32"/>
      <c r="BB4" s="32"/>
      <c r="BC4" s="32"/>
      <c r="BD4" s="32"/>
      <c r="BE4" s="34"/>
      <c r="BF4" s="2"/>
      <c r="BG4" s="31"/>
      <c r="BH4" s="32"/>
      <c r="BI4" s="32"/>
      <c r="BJ4" s="32"/>
      <c r="BK4" s="32"/>
      <c r="BL4" s="32"/>
      <c r="BM4" s="33" t="s">
        <v>102</v>
      </c>
      <c r="BN4" s="32"/>
      <c r="BO4" s="32"/>
      <c r="BP4" s="32"/>
      <c r="BQ4" s="32"/>
      <c r="BR4" s="34"/>
      <c r="BS4" s="2"/>
      <c r="BT4" s="2"/>
    </row>
    <row r="5" spans="1:72">
      <c r="A5" s="2"/>
      <c r="B5" s="1"/>
      <c r="C5" s="1"/>
      <c r="D5" s="1"/>
      <c r="E5" s="1"/>
      <c r="F5" s="1"/>
      <c r="G5" s="35" t="str">
        <f>SOFP!F5</f>
        <v>Jan</v>
      </c>
      <c r="H5" s="35" t="str">
        <f>SOFP!G5</f>
        <v>Feb</v>
      </c>
      <c r="I5" s="35" t="str">
        <f>SOFP!H5</f>
        <v>Mar</v>
      </c>
      <c r="J5" s="35" t="str">
        <f>SOFP!I5</f>
        <v>Apr</v>
      </c>
      <c r="K5" s="35" t="str">
        <f>SOFP!J5</f>
        <v>May</v>
      </c>
      <c r="L5" s="35" t="str">
        <f>SOFP!K5</f>
        <v>Jun</v>
      </c>
      <c r="M5" s="35" t="str">
        <f>SOFP!L5</f>
        <v>Jul</v>
      </c>
      <c r="N5" s="35" t="str">
        <f>SOFP!M5</f>
        <v>Aug</v>
      </c>
      <c r="O5" s="35" t="str">
        <f>SOFP!N5</f>
        <v>Sep</v>
      </c>
      <c r="P5" s="35" t="str">
        <f>SOFP!O5</f>
        <v>Oct</v>
      </c>
      <c r="Q5" s="35" t="str">
        <f>SOFP!P5</f>
        <v>Nov</v>
      </c>
      <c r="R5" s="35" t="str">
        <f>SOFP!Q5</f>
        <v>Dec</v>
      </c>
      <c r="S5" s="2"/>
      <c r="T5" s="35" t="str">
        <f t="shared" ref="T5:AE5" si="0">G5</f>
        <v>Jan</v>
      </c>
      <c r="U5" s="35" t="str">
        <f t="shared" si="0"/>
        <v>Feb</v>
      </c>
      <c r="V5" s="35" t="str">
        <f t="shared" si="0"/>
        <v>Mar</v>
      </c>
      <c r="W5" s="35" t="str">
        <f t="shared" si="0"/>
        <v>Apr</v>
      </c>
      <c r="X5" s="35" t="str">
        <f t="shared" si="0"/>
        <v>May</v>
      </c>
      <c r="Y5" s="35" t="str">
        <f t="shared" si="0"/>
        <v>Jun</v>
      </c>
      <c r="Z5" s="35" t="str">
        <f t="shared" si="0"/>
        <v>Jul</v>
      </c>
      <c r="AA5" s="35" t="str">
        <f t="shared" si="0"/>
        <v>Aug</v>
      </c>
      <c r="AB5" s="35" t="str">
        <f t="shared" si="0"/>
        <v>Sep</v>
      </c>
      <c r="AC5" s="35" t="str">
        <f t="shared" si="0"/>
        <v>Oct</v>
      </c>
      <c r="AD5" s="35" t="str">
        <f t="shared" si="0"/>
        <v>Nov</v>
      </c>
      <c r="AE5" s="35" t="str">
        <f t="shared" si="0"/>
        <v>Dec</v>
      </c>
      <c r="AF5" s="2"/>
      <c r="AG5" s="35" t="str">
        <f t="shared" ref="AG5:AR5" si="1">T5</f>
        <v>Jan</v>
      </c>
      <c r="AH5" s="35" t="str">
        <f t="shared" si="1"/>
        <v>Feb</v>
      </c>
      <c r="AI5" s="35" t="str">
        <f t="shared" si="1"/>
        <v>Mar</v>
      </c>
      <c r="AJ5" s="35" t="str">
        <f t="shared" si="1"/>
        <v>Apr</v>
      </c>
      <c r="AK5" s="35" t="str">
        <f t="shared" si="1"/>
        <v>May</v>
      </c>
      <c r="AL5" s="35" t="str">
        <f t="shared" si="1"/>
        <v>Jun</v>
      </c>
      <c r="AM5" s="35" t="str">
        <f t="shared" si="1"/>
        <v>Jul</v>
      </c>
      <c r="AN5" s="35" t="str">
        <f t="shared" si="1"/>
        <v>Aug</v>
      </c>
      <c r="AO5" s="35" t="str">
        <f t="shared" si="1"/>
        <v>Sep</v>
      </c>
      <c r="AP5" s="35" t="str">
        <f t="shared" si="1"/>
        <v>Oct</v>
      </c>
      <c r="AQ5" s="35" t="str">
        <f t="shared" si="1"/>
        <v>Nov</v>
      </c>
      <c r="AR5" s="35" t="str">
        <f t="shared" si="1"/>
        <v>Dec</v>
      </c>
      <c r="AT5" s="35" t="str">
        <f t="shared" ref="AT5:BE5" si="2">AG5</f>
        <v>Jan</v>
      </c>
      <c r="AU5" s="35" t="str">
        <f t="shared" si="2"/>
        <v>Feb</v>
      </c>
      <c r="AV5" s="35" t="str">
        <f t="shared" si="2"/>
        <v>Mar</v>
      </c>
      <c r="AW5" s="35" t="str">
        <f t="shared" si="2"/>
        <v>Apr</v>
      </c>
      <c r="AX5" s="35" t="str">
        <f t="shared" si="2"/>
        <v>May</v>
      </c>
      <c r="AY5" s="35" t="str">
        <f t="shared" si="2"/>
        <v>Jun</v>
      </c>
      <c r="AZ5" s="35" t="str">
        <f t="shared" si="2"/>
        <v>Jul</v>
      </c>
      <c r="BA5" s="35" t="str">
        <f t="shared" si="2"/>
        <v>Aug</v>
      </c>
      <c r="BB5" s="35" t="str">
        <f t="shared" si="2"/>
        <v>Sep</v>
      </c>
      <c r="BC5" s="35" t="str">
        <f t="shared" si="2"/>
        <v>Oct</v>
      </c>
      <c r="BD5" s="35" t="str">
        <f t="shared" si="2"/>
        <v>Nov</v>
      </c>
      <c r="BE5" s="35" t="str">
        <f t="shared" si="2"/>
        <v>Dec</v>
      </c>
      <c r="BF5" s="2"/>
      <c r="BG5" s="35" t="str">
        <f t="shared" ref="BG5:BR5" si="3">AT5</f>
        <v>Jan</v>
      </c>
      <c r="BH5" s="35" t="str">
        <f t="shared" si="3"/>
        <v>Feb</v>
      </c>
      <c r="BI5" s="35" t="str">
        <f t="shared" si="3"/>
        <v>Mar</v>
      </c>
      <c r="BJ5" s="35" t="str">
        <f t="shared" si="3"/>
        <v>Apr</v>
      </c>
      <c r="BK5" s="35" t="str">
        <f t="shared" si="3"/>
        <v>May</v>
      </c>
      <c r="BL5" s="35" t="str">
        <f t="shared" si="3"/>
        <v>Jun</v>
      </c>
      <c r="BM5" s="35" t="str">
        <f t="shared" si="3"/>
        <v>Jul</v>
      </c>
      <c r="BN5" s="35" t="str">
        <f t="shared" si="3"/>
        <v>Aug</v>
      </c>
      <c r="BO5" s="35" t="str">
        <f t="shared" si="3"/>
        <v>Sep</v>
      </c>
      <c r="BP5" s="35" t="str">
        <f t="shared" si="3"/>
        <v>Oct</v>
      </c>
      <c r="BQ5" s="35" t="str">
        <f t="shared" si="3"/>
        <v>Nov</v>
      </c>
      <c r="BR5" s="35" t="str">
        <f t="shared" si="3"/>
        <v>Dec</v>
      </c>
      <c r="BS5" s="2"/>
      <c r="BT5" s="2"/>
    </row>
    <row r="6" spans="1:72">
      <c r="A6" s="1" t="s">
        <v>76</v>
      </c>
      <c r="B6" s="2"/>
      <c r="C6" s="2"/>
      <c r="D6" s="2"/>
      <c r="E6" s="2"/>
      <c r="F6" s="2"/>
      <c r="G6" s="3">
        <v>1</v>
      </c>
      <c r="H6" s="3">
        <v>2</v>
      </c>
      <c r="I6" s="3">
        <v>3</v>
      </c>
      <c r="J6" s="3">
        <v>4</v>
      </c>
      <c r="K6" s="3">
        <v>5</v>
      </c>
      <c r="L6" s="3">
        <v>6</v>
      </c>
      <c r="M6" s="3">
        <v>7</v>
      </c>
      <c r="N6" s="3">
        <v>8</v>
      </c>
      <c r="O6" s="3">
        <v>9</v>
      </c>
      <c r="P6" s="3">
        <v>10</v>
      </c>
      <c r="Q6" s="3">
        <v>11</v>
      </c>
      <c r="R6" s="3">
        <v>12</v>
      </c>
      <c r="S6" s="37"/>
      <c r="T6" s="3">
        <v>13</v>
      </c>
      <c r="U6" s="3">
        <v>14</v>
      </c>
      <c r="V6" s="3">
        <v>15</v>
      </c>
      <c r="W6" s="3">
        <v>16</v>
      </c>
      <c r="X6" s="3">
        <v>17</v>
      </c>
      <c r="Y6" s="3">
        <v>18</v>
      </c>
      <c r="Z6" s="3">
        <v>19</v>
      </c>
      <c r="AA6" s="3">
        <v>20</v>
      </c>
      <c r="AB6" s="3">
        <v>21</v>
      </c>
      <c r="AC6" s="3">
        <v>22</v>
      </c>
      <c r="AD6" s="3">
        <v>23</v>
      </c>
      <c r="AE6" s="3">
        <v>24</v>
      </c>
      <c r="AF6" s="37"/>
      <c r="AG6" s="3">
        <v>25</v>
      </c>
      <c r="AH6" s="3">
        <v>26</v>
      </c>
      <c r="AI6" s="3">
        <v>27</v>
      </c>
      <c r="AJ6" s="3">
        <v>28</v>
      </c>
      <c r="AK6" s="3">
        <v>29</v>
      </c>
      <c r="AL6" s="3">
        <v>30</v>
      </c>
      <c r="AM6" s="3">
        <v>31</v>
      </c>
      <c r="AN6" s="3">
        <v>32</v>
      </c>
      <c r="AO6" s="3">
        <v>33</v>
      </c>
      <c r="AP6" s="3">
        <v>34</v>
      </c>
      <c r="AQ6" s="3">
        <v>35</v>
      </c>
      <c r="AR6" s="3">
        <v>36</v>
      </c>
      <c r="AT6" s="3">
        <v>37</v>
      </c>
      <c r="AU6" s="3">
        <v>38</v>
      </c>
      <c r="AV6" s="3">
        <v>39</v>
      </c>
      <c r="AW6" s="3">
        <v>40</v>
      </c>
      <c r="AX6" s="3">
        <v>41</v>
      </c>
      <c r="AY6" s="3">
        <v>42</v>
      </c>
      <c r="AZ6" s="3">
        <v>43</v>
      </c>
      <c r="BA6" s="3">
        <v>44</v>
      </c>
      <c r="BB6" s="3">
        <v>45</v>
      </c>
      <c r="BC6" s="3">
        <v>46</v>
      </c>
      <c r="BD6" s="3">
        <v>47</v>
      </c>
      <c r="BE6" s="3">
        <v>48</v>
      </c>
      <c r="BF6" s="2"/>
      <c r="BG6" s="3">
        <v>49</v>
      </c>
      <c r="BH6" s="3">
        <v>50</v>
      </c>
      <c r="BI6" s="3">
        <v>51</v>
      </c>
      <c r="BJ6" s="3">
        <v>52</v>
      </c>
      <c r="BK6" s="3">
        <v>53</v>
      </c>
      <c r="BL6" s="3">
        <v>54</v>
      </c>
      <c r="BM6" s="3">
        <v>55</v>
      </c>
      <c r="BN6" s="3">
        <v>56</v>
      </c>
      <c r="BO6" s="3">
        <v>57</v>
      </c>
      <c r="BP6" s="3">
        <v>58</v>
      </c>
      <c r="BQ6" s="3">
        <v>59</v>
      </c>
      <c r="BR6" s="3">
        <v>60</v>
      </c>
      <c r="BS6" s="2"/>
      <c r="BT6" s="2"/>
    </row>
    <row r="7" spans="1:72">
      <c r="A7" s="1"/>
      <c r="B7" s="2" t="s">
        <v>77</v>
      </c>
      <c r="C7" s="2"/>
      <c r="D7" s="2"/>
      <c r="E7" s="2"/>
      <c r="F7" s="2"/>
      <c r="G7" s="3">
        <f>SOO!F76</f>
        <v>-10646.885611309153</v>
      </c>
      <c r="H7" s="3">
        <f>SOO!G76</f>
        <v>-5128.8945825611818</v>
      </c>
      <c r="I7" s="3">
        <f>SOO!H76</f>
        <v>5979.2548924328203</v>
      </c>
      <c r="J7" s="3">
        <f>SOO!I76</f>
        <v>13108.557094625317</v>
      </c>
      <c r="K7" s="3">
        <f>SOO!J76</f>
        <v>18856.215813887604</v>
      </c>
      <c r="L7" s="3">
        <f>SOO!K76</f>
        <v>19375.065130299761</v>
      </c>
      <c r="M7" s="3">
        <f>SOO!L76</f>
        <v>21044.744471702696</v>
      </c>
      <c r="N7" s="3">
        <f>SOO!M76</f>
        <v>18932.54603618542</v>
      </c>
      <c r="O7" s="3">
        <f>SOO!N76</f>
        <v>13235.779972777553</v>
      </c>
      <c r="P7" s="3">
        <f>SOO!O76</f>
        <v>10433.08575312748</v>
      </c>
      <c r="Q7" s="3">
        <f>SOO!P76</f>
        <v>4999.8304729963056</v>
      </c>
      <c r="R7" s="3">
        <f>SOO!Q76</f>
        <v>1934.4949586812297</v>
      </c>
      <c r="S7" s="3"/>
      <c r="T7" s="3">
        <f>SOO!S76</f>
        <v>-911.94486233938187</v>
      </c>
      <c r="U7" s="3">
        <f>SOO!T76</f>
        <v>1205.9243354879256</v>
      </c>
      <c r="V7" s="3">
        <f>SOO!U76</f>
        <v>15995.605470605587</v>
      </c>
      <c r="W7" s="3">
        <f>SOO!V76</f>
        <v>25243.250844892085</v>
      </c>
      <c r="X7" s="3">
        <f>SOO!W76</f>
        <v>32904.062129718644</v>
      </c>
      <c r="Y7" s="3">
        <f>SOO!X76</f>
        <v>33450.645211473842</v>
      </c>
      <c r="Z7" s="3">
        <f>SOO!Y76</f>
        <v>35768.943279851883</v>
      </c>
      <c r="AA7" s="3">
        <f>SOO!Z76</f>
        <v>32988.385123731729</v>
      </c>
      <c r="AB7" s="3">
        <f>SOO!AA76</f>
        <v>25383.795620864352</v>
      </c>
      <c r="AC7" s="3">
        <f>SOO!AB76</f>
        <v>21810.180509338639</v>
      </c>
      <c r="AD7" s="3">
        <f>SOO!AC76</f>
        <v>14572.499849207677</v>
      </c>
      <c r="AE7" s="3">
        <f>SOO!AD76</f>
        <v>10632.93643037686</v>
      </c>
      <c r="AF7" s="3"/>
      <c r="AG7" s="3">
        <f>SOO!AF76</f>
        <v>-4526.9559552984747</v>
      </c>
      <c r="AH7" s="3">
        <f>SOO!AG76</f>
        <v>-2089.0154767279328</v>
      </c>
      <c r="AI7" s="3">
        <f>SOO!AH76</f>
        <v>14942.863419137237</v>
      </c>
      <c r="AJ7" s="3">
        <f>SOO!AI76</f>
        <v>25592.091832855138</v>
      </c>
      <c r="AK7" s="3">
        <f>SOO!AJ76</f>
        <v>34413.684023934242</v>
      </c>
      <c r="AL7" s="3">
        <f>SOO!AK76</f>
        <v>35041.914431349884</v>
      </c>
      <c r="AM7" s="3">
        <f>SOO!AL76</f>
        <v>37710.526931020977</v>
      </c>
      <c r="AN7" s="3">
        <f>SOO!AM76</f>
        <v>34506.836737306272</v>
      </c>
      <c r="AO7" s="3">
        <f>SOO!AN76</f>
        <v>25747.353483432307</v>
      </c>
      <c r="AP7" s="3">
        <f>SOO!AO76</f>
        <v>21630.2429737803</v>
      </c>
      <c r="AQ7" s="3">
        <f>SOO!AP76</f>
        <v>13293.298045726635</v>
      </c>
      <c r="AR7" s="3">
        <f>SOO!AQ76</f>
        <v>8754.7103262970268</v>
      </c>
      <c r="AS7" s="3"/>
      <c r="AT7" s="3">
        <f>SOO!AS76</f>
        <v>-1398.5231543567688</v>
      </c>
      <c r="AU7" s="3">
        <f>SOO!AT76</f>
        <v>1307.9893990593225</v>
      </c>
      <c r="AV7" s="3">
        <f>SOO!AU76</f>
        <v>20213.564361899837</v>
      </c>
      <c r="AW7" s="3">
        <f>SOO!AV76</f>
        <v>32034.796173229683</v>
      </c>
      <c r="AX7" s="3">
        <f>SOO!AW76</f>
        <v>41826.757950420069</v>
      </c>
      <c r="AY7" s="3">
        <f>SOO!AX76</f>
        <v>42524.246990377404</v>
      </c>
      <c r="AZ7" s="3">
        <f>SOO!AY76</f>
        <v>45486.07732994594</v>
      </c>
      <c r="BA7" s="3">
        <f>SOO!AZ76</f>
        <v>41929.664970149774</v>
      </c>
      <c r="BB7" s="3">
        <f>SOO!BA76</f>
        <v>32206.315747494788</v>
      </c>
      <c r="BC7" s="3">
        <f>SOO!BB76</f>
        <v>27635.70782038572</v>
      </c>
      <c r="BD7" s="3">
        <f>SOO!BC76</f>
        <v>18381.346886038322</v>
      </c>
      <c r="BE7" s="3">
        <f>SOO!BD76</f>
        <v>13342.922899380081</v>
      </c>
      <c r="BF7" s="3"/>
      <c r="BG7" s="3">
        <f>SOO!BF76</f>
        <v>1461.1279547966051</v>
      </c>
      <c r="BH7" s="3">
        <f>SOO!BG76</f>
        <v>4463.4725912040994</v>
      </c>
      <c r="BI7" s="3">
        <f>SOO!BH76</f>
        <v>25432.811718832258</v>
      </c>
      <c r="BJ7" s="3">
        <f>SOO!BI76</f>
        <v>38544.946732102937</v>
      </c>
      <c r="BK7" s="3">
        <f>SOO!BJ76</f>
        <v>49405.717375351065</v>
      </c>
      <c r="BL7" s="3">
        <f>SOO!BK76</f>
        <v>50179.505197607214</v>
      </c>
      <c r="BM7" s="3">
        <f>SOO!BL76</f>
        <v>53464.303356878168</v>
      </c>
      <c r="BN7" s="3">
        <f>SOO!BM76</f>
        <v>49519.400104777902</v>
      </c>
      <c r="BO7" s="3">
        <f>SOO!BN76</f>
        <v>38734.426647115564</v>
      </c>
      <c r="BP7" s="3">
        <f>SOO!BO76</f>
        <v>33664.326675892895</v>
      </c>
      <c r="BQ7" s="3">
        <f>SOO!BP76</f>
        <v>23399.502785537741</v>
      </c>
      <c r="BR7" s="3">
        <f>SOO!BQ76</f>
        <v>17810.548223435351</v>
      </c>
      <c r="BS7" s="3"/>
      <c r="BT7" s="2"/>
    </row>
    <row r="8" spans="1:72">
      <c r="A8" s="1"/>
      <c r="B8" s="2" t="s">
        <v>78</v>
      </c>
      <c r="C8" s="2"/>
      <c r="D8" s="2"/>
      <c r="E8" s="2"/>
      <c r="F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2"/>
    </row>
    <row r="9" spans="1:72">
      <c r="A9" s="1"/>
      <c r="B9" s="2" t="s">
        <v>79</v>
      </c>
      <c r="C9" s="2"/>
      <c r="D9" s="2"/>
      <c r="E9" s="2"/>
      <c r="F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2"/>
    </row>
    <row r="10" spans="1:72">
      <c r="A10" s="1"/>
      <c r="B10" s="2"/>
      <c r="C10" s="2" t="s">
        <v>48</v>
      </c>
      <c r="D10" s="2"/>
      <c r="E10" s="2"/>
      <c r="F10" s="2"/>
      <c r="G10" s="3">
        <f>SOO!F62</f>
        <v>2819</v>
      </c>
      <c r="H10" s="3">
        <f>SOO!G62</f>
        <v>2819</v>
      </c>
      <c r="I10" s="3">
        <f>SOO!H62</f>
        <v>2819</v>
      </c>
      <c r="J10" s="3">
        <f>SOO!I62</f>
        <v>2819</v>
      </c>
      <c r="K10" s="3">
        <f>SOO!J62</f>
        <v>2819</v>
      </c>
      <c r="L10" s="3">
        <f>SOO!K62</f>
        <v>2819</v>
      </c>
      <c r="M10" s="3">
        <f>SOO!L62</f>
        <v>2819</v>
      </c>
      <c r="N10" s="3">
        <f>SOO!M62</f>
        <v>2819</v>
      </c>
      <c r="O10" s="3">
        <f>SOO!N62</f>
        <v>2819</v>
      </c>
      <c r="P10" s="3">
        <f>SOO!O62</f>
        <v>2819</v>
      </c>
      <c r="Q10" s="3">
        <f>SOO!P62</f>
        <v>2819</v>
      </c>
      <c r="R10" s="3">
        <f>SOO!Q62</f>
        <v>2819</v>
      </c>
      <c r="S10" s="3">
        <f>SOO!R62</f>
        <v>33828</v>
      </c>
      <c r="T10" s="3">
        <f>SOO!S62</f>
        <v>2819</v>
      </c>
      <c r="U10" s="3">
        <f>SOO!T62</f>
        <v>2819</v>
      </c>
      <c r="V10" s="3">
        <f>SOO!U62</f>
        <v>2819</v>
      </c>
      <c r="W10" s="3">
        <f>SOO!V62</f>
        <v>2819</v>
      </c>
      <c r="X10" s="3">
        <f>SOO!W62</f>
        <v>2819</v>
      </c>
      <c r="Y10" s="3">
        <f>SOO!X62</f>
        <v>2819</v>
      </c>
      <c r="Z10" s="3">
        <f>SOO!Y62</f>
        <v>2819</v>
      </c>
      <c r="AA10" s="3">
        <f>SOO!Z62</f>
        <v>2819</v>
      </c>
      <c r="AB10" s="3">
        <f>SOO!AA62</f>
        <v>2819</v>
      </c>
      <c r="AC10" s="3">
        <f>SOO!AB62</f>
        <v>2819</v>
      </c>
      <c r="AD10" s="3">
        <f>SOO!AC62</f>
        <v>2819</v>
      </c>
      <c r="AE10" s="3">
        <f>SOO!AD62</f>
        <v>2819</v>
      </c>
      <c r="AF10" s="3"/>
      <c r="AG10" s="3">
        <f>SOO!AF62</f>
        <v>2819</v>
      </c>
      <c r="AH10" s="3">
        <f>SOO!AG62</f>
        <v>2819</v>
      </c>
      <c r="AI10" s="3">
        <f>SOO!AH62</f>
        <v>2819</v>
      </c>
      <c r="AJ10" s="3">
        <f>SOO!AI62</f>
        <v>2819</v>
      </c>
      <c r="AK10" s="3">
        <f>SOO!AJ62</f>
        <v>2819</v>
      </c>
      <c r="AL10" s="3">
        <f>SOO!AK62</f>
        <v>2819</v>
      </c>
      <c r="AM10" s="3">
        <f>SOO!AL62</f>
        <v>2819</v>
      </c>
      <c r="AN10" s="3">
        <f>SOO!AM62</f>
        <v>2819</v>
      </c>
      <c r="AO10" s="3">
        <f>SOO!AN62</f>
        <v>2819</v>
      </c>
      <c r="AP10" s="3">
        <f>SOO!AO62</f>
        <v>2819</v>
      </c>
      <c r="AQ10" s="3">
        <f>SOO!AP62</f>
        <v>2819</v>
      </c>
      <c r="AR10" s="3">
        <f>SOO!AQ62</f>
        <v>2819</v>
      </c>
      <c r="AS10" s="3"/>
      <c r="AT10" s="3">
        <f>SOO!AS62</f>
        <v>2819</v>
      </c>
      <c r="AU10" s="3">
        <f>SOO!AT62</f>
        <v>2819</v>
      </c>
      <c r="AV10" s="3">
        <f>SOO!AU62</f>
        <v>2819</v>
      </c>
      <c r="AW10" s="3">
        <f>SOO!AV62</f>
        <v>2819</v>
      </c>
      <c r="AX10" s="3">
        <f>SOO!AW62</f>
        <v>2819</v>
      </c>
      <c r="AY10" s="3">
        <f>SOO!AX62</f>
        <v>2819</v>
      </c>
      <c r="AZ10" s="3">
        <f>SOO!AY62</f>
        <v>2819</v>
      </c>
      <c r="BA10" s="3">
        <f>SOO!AZ62</f>
        <v>2819</v>
      </c>
      <c r="BB10" s="3">
        <f>SOO!BA62</f>
        <v>2819</v>
      </c>
      <c r="BC10" s="3">
        <f>SOO!BB62</f>
        <v>2819</v>
      </c>
      <c r="BD10" s="3">
        <f>SOO!BC62</f>
        <v>2819</v>
      </c>
      <c r="BE10" s="3">
        <f>SOO!BD62</f>
        <v>2819</v>
      </c>
      <c r="BF10" s="3"/>
      <c r="BG10" s="3">
        <f>SOO!BF62</f>
        <v>2819</v>
      </c>
      <c r="BH10" s="3">
        <f>SOO!BG62</f>
        <v>2819</v>
      </c>
      <c r="BI10" s="3">
        <f>SOO!BH62</f>
        <v>2819</v>
      </c>
      <c r="BJ10" s="3">
        <f>SOO!BI62</f>
        <v>2819</v>
      </c>
      <c r="BK10" s="3">
        <f>SOO!BJ62</f>
        <v>2819</v>
      </c>
      <c r="BL10" s="3">
        <f>SOO!BK62</f>
        <v>2819</v>
      </c>
      <c r="BM10" s="3">
        <f>SOO!BL62</f>
        <v>2819</v>
      </c>
      <c r="BN10" s="3">
        <f>SOO!BM62</f>
        <v>2819</v>
      </c>
      <c r="BO10" s="3">
        <f>SOO!BN62</f>
        <v>2819</v>
      </c>
      <c r="BP10" s="3">
        <f>SOO!BO62</f>
        <v>2819</v>
      </c>
      <c r="BQ10" s="3">
        <f>SOO!BP62</f>
        <v>2819</v>
      </c>
      <c r="BR10" s="3">
        <f>SOO!BQ62</f>
        <v>2819</v>
      </c>
      <c r="BS10" s="3"/>
      <c r="BT10" s="2"/>
    </row>
    <row r="11" spans="1:72">
      <c r="A11" s="1"/>
      <c r="B11" s="2"/>
      <c r="C11" s="2"/>
      <c r="D11" s="2"/>
      <c r="E11" s="2"/>
      <c r="F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2"/>
    </row>
    <row r="12" spans="1:72">
      <c r="A12" s="1"/>
      <c r="B12" s="2"/>
      <c r="C12" s="2" t="s">
        <v>80</v>
      </c>
      <c r="D12" s="2"/>
      <c r="E12" s="2"/>
      <c r="F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2"/>
    </row>
    <row r="13" spans="1:72">
      <c r="A13" s="1"/>
      <c r="B13" s="2"/>
      <c r="C13" s="2"/>
      <c r="D13" s="2" t="s">
        <v>10</v>
      </c>
      <c r="E13" s="2"/>
      <c r="F13" s="2"/>
      <c r="G13" s="3">
        <f>0-SOFP!F9</f>
        <v>0</v>
      </c>
      <c r="H13" s="3">
        <f>SOFP!F9-SOFP!G9</f>
        <v>-853.38164229910717</v>
      </c>
      <c r="I13" s="3">
        <f>SOFP!G9-SOFP!H9</f>
        <v>-53.909861811905671</v>
      </c>
      <c r="J13" s="3">
        <f>SOFP!H9-SOFP!I9</f>
        <v>-372.78095933764791</v>
      </c>
      <c r="K13" s="3">
        <f>SOFP!I9-SOFP!J9</f>
        <v>-233.9917406304005</v>
      </c>
      <c r="L13" s="3">
        <f>SOFP!J9-SOFP!K9</f>
        <v>-192.69908051915309</v>
      </c>
      <c r="M13" s="3">
        <f>SOFP!K9-SOFP!L9</f>
        <v>-13.764220037082168</v>
      </c>
      <c r="N13" s="3">
        <f>SOFP!L9-SOFP!M9</f>
        <v>-57.35091682117627</v>
      </c>
      <c r="O13" s="3">
        <f>SOFP!M9-SOFP!N9</f>
        <v>71.115136858258438</v>
      </c>
      <c r="P13" s="3">
        <f>SOFP!N9-SOFP!O9</f>
        <v>192.69908051915309</v>
      </c>
      <c r="Q13" s="3">
        <f>SOFP!O9-SOFP!P9</f>
        <v>91.761466913882487</v>
      </c>
      <c r="R13" s="3">
        <f>SOFP!P9-SOFP!Q9</f>
        <v>183.5229338277652</v>
      </c>
      <c r="S13" s="3"/>
      <c r="T13" s="3">
        <f>SOFP!Q9-SOFP!S9</f>
        <v>172.05275046352972</v>
      </c>
      <c r="U13" s="3">
        <f>SOFP!S9-SOFP!T9</f>
        <v>-67.387327264882288</v>
      </c>
      <c r="V13" s="3">
        <f>SOFP!T9-SOFP!U9</f>
        <v>-465.97619917205998</v>
      </c>
      <c r="W13" s="3">
        <f>SOFP!U9-SOFP!V9</f>
        <v>-292.48967578800011</v>
      </c>
      <c r="X13" s="3">
        <f>SOFP!V9-SOFP!W9</f>
        <v>-240.87385064894147</v>
      </c>
      <c r="Y13" s="3">
        <f>SOFP!W9-SOFP!X9</f>
        <v>-17.205275046352654</v>
      </c>
      <c r="Z13" s="3">
        <f>SOFP!X9-SOFP!Y9</f>
        <v>-71.688646026470906</v>
      </c>
      <c r="AA13" s="3">
        <f>SOFP!Y9-SOFP!Z9</f>
        <v>88.893921072823559</v>
      </c>
      <c r="AB13" s="3">
        <f>SOFP!Z9-SOFP!AA9</f>
        <v>240.87385064894147</v>
      </c>
      <c r="AC13" s="3">
        <f>SOFP!AA9-SOFP!AB9</f>
        <v>114.70183364235299</v>
      </c>
      <c r="AD13" s="3">
        <f>SOFP!AB9-SOFP!AC9</f>
        <v>229.40366728470622</v>
      </c>
      <c r="AE13" s="3">
        <f>SOFP!AC9-SOFP!AD9</f>
        <v>126.17201700658825</v>
      </c>
      <c r="AF13" s="3"/>
      <c r="AG13" s="3">
        <f>SOFP!AD9-SOFP!AF9</f>
        <v>195.56662636021224</v>
      </c>
      <c r="AH13" s="3">
        <f>SOFP!AF9-SOFP!AG9</f>
        <v>-77.495426354614665</v>
      </c>
      <c r="AI13" s="3">
        <f>SOFP!AG9-SOFP!AH9</f>
        <v>-535.87262904786849</v>
      </c>
      <c r="AJ13" s="3">
        <f>SOFP!AH9-SOFP!AI9</f>
        <v>-336.36312715620011</v>
      </c>
      <c r="AK13" s="3">
        <f>SOFP!AI9-SOFP!AJ9</f>
        <v>-277.00492824628327</v>
      </c>
      <c r="AL13" s="3">
        <f>SOFP!AJ9-SOFP!AK9</f>
        <v>-19.786066303305233</v>
      </c>
      <c r="AM13" s="3">
        <f>SOFP!AK9-SOFP!AL9</f>
        <v>-82.441942930441655</v>
      </c>
      <c r="AN13" s="3">
        <f>SOFP!AL9-SOFP!AM9</f>
        <v>102.22800923374689</v>
      </c>
      <c r="AO13" s="3">
        <f>SOFP!AM9-SOFP!AN9</f>
        <v>277.00492824628327</v>
      </c>
      <c r="AP13" s="3">
        <f>SOFP!AN9-SOFP!AO9</f>
        <v>131.90710868870565</v>
      </c>
      <c r="AQ13" s="3">
        <f>SOFP!AO9-SOFP!AP9</f>
        <v>263.81421737741221</v>
      </c>
      <c r="AR13" s="3">
        <f>SOFP!AP9-SOFP!AQ9</f>
        <v>145.09781955757671</v>
      </c>
      <c r="AS13" s="3"/>
      <c r="AT13" s="3">
        <f>SOFP!AQ9-SOFP!AS9</f>
        <v>286.23842585449188</v>
      </c>
      <c r="AU13" s="3">
        <f>SOFP!AS9-SOFP!AT9</f>
        <v>-85.244968990076131</v>
      </c>
      <c r="AV13" s="3">
        <f>SOFP!AT9-SOFP!AU9</f>
        <v>-589.45989195265543</v>
      </c>
      <c r="AW13" s="3">
        <f>SOFP!AU9-SOFP!AV9</f>
        <v>-369.99943987182064</v>
      </c>
      <c r="AX13" s="3">
        <f>SOFP!AV9-SOFP!AW9</f>
        <v>-304.70542107091114</v>
      </c>
      <c r="AY13" s="3">
        <f>SOFP!AW9-SOFP!AX9</f>
        <v>-21.764672933635211</v>
      </c>
      <c r="AZ13" s="3">
        <f>SOFP!AX9-SOFP!AY9</f>
        <v>-90.686137223486185</v>
      </c>
      <c r="BA13" s="3">
        <f>SOFP!AY9-SOFP!AZ9</f>
        <v>112.4508101571214</v>
      </c>
      <c r="BB13" s="3">
        <f>SOFP!AZ9-SOFP!BA9</f>
        <v>304.70542107091114</v>
      </c>
      <c r="BC13" s="3">
        <f>SOFP!BA9-SOFP!BB9</f>
        <v>145.09781955757671</v>
      </c>
      <c r="BD13" s="3">
        <f>SOFP!BB9-SOFP!BC9</f>
        <v>290.1956391151532</v>
      </c>
      <c r="BE13" s="3">
        <f>SOFP!BC9-SOFP!BD9</f>
        <v>159.60760151333488</v>
      </c>
      <c r="BF13" s="3"/>
      <c r="BG13" s="3">
        <f>SOFP!BD9-SOFP!BF9</f>
        <v>314.86226843994109</v>
      </c>
      <c r="BH13" s="3">
        <f>SOFP!BF9-SOFP!BG9</f>
        <v>-93.769465889083676</v>
      </c>
      <c r="BI13" s="3">
        <f>SOFP!BG9-SOFP!BH9</f>
        <v>-648.40588114792058</v>
      </c>
      <c r="BJ13" s="3">
        <f>SOFP!BH9-SOFP!BI9</f>
        <v>-406.99938385900305</v>
      </c>
      <c r="BK13" s="3">
        <f>SOFP!BI9-SOFP!BJ9</f>
        <v>-335.17596317800235</v>
      </c>
      <c r="BL13" s="3">
        <f>SOFP!BJ9-SOFP!BK9</f>
        <v>-23.941140226999323</v>
      </c>
      <c r="BM13" s="3">
        <f>SOFP!BK9-SOFP!BL9</f>
        <v>-99.754750945833621</v>
      </c>
      <c r="BN13" s="3">
        <f>SOFP!BL9-SOFP!BM9</f>
        <v>123.69589117283294</v>
      </c>
      <c r="BO13" s="3">
        <f>SOFP!BM9-SOFP!BN9</f>
        <v>335.17596317800235</v>
      </c>
      <c r="BP13" s="3">
        <f>SOFP!BN9-SOFP!BO9</f>
        <v>159.60760151333443</v>
      </c>
      <c r="BQ13" s="3">
        <f>SOFP!BO9-SOFP!BP9</f>
        <v>319.21520302666841</v>
      </c>
      <c r="BR13" s="3">
        <f>SOFP!BP9-SOFP!BQ9</f>
        <v>175.56836166466792</v>
      </c>
      <c r="BS13" s="3"/>
      <c r="BT13" s="2"/>
    </row>
    <row r="14" spans="1:72">
      <c r="A14" s="1"/>
      <c r="B14" s="2"/>
      <c r="C14" s="2"/>
      <c r="D14" s="2" t="s">
        <v>11</v>
      </c>
      <c r="E14" s="2"/>
      <c r="F14" s="2"/>
      <c r="G14" s="3">
        <f>0-(SOFP!F11+SOFP!F12+SOFP!F13)</f>
        <v>-30219.298264001889</v>
      </c>
      <c r="H14" s="3">
        <f>(SOFP!F11+SOFP!F12+SOFP!F13)-(SOFP!G11+SOFP!G12+SOFP!G13)</f>
        <v>10024.969292299706</v>
      </c>
      <c r="I14" s="3">
        <f>(SOFP!G11+SOFP!G12+SOFP!G13)-(SOFP!H11+SOFP!H12+SOFP!H13)</f>
        <v>-6951.5781756192446</v>
      </c>
      <c r="J14" s="3">
        <f>(SOFP!H11+SOFP!H12+SOFP!H13)-(SOFP!I11+SOFP!I12+SOFP!I13)</f>
        <v>-4226.5541094830078</v>
      </c>
      <c r="K14" s="3">
        <f>(SOFP!I11+SOFP!I12+SOFP!I13)-(SOFP!J11+SOFP!J12+SOFP!J13)</f>
        <v>-3329.4338371315716</v>
      </c>
      <c r="L14" s="3">
        <f>(SOFP!J11+SOFP!J12+SOFP!J13)-(SOFP!K11+SOFP!K12+SOFP!K13)</f>
        <v>-182.36366052827361</v>
      </c>
      <c r="M14" s="3">
        <f>(SOFP!K11+SOFP!K12+SOFP!K13)-(SOFP!L11+SOFP!L12+SOFP!L13)</f>
        <v>-446.52586009504739</v>
      </c>
      <c r="N14" s="3">
        <f>(SOFP!L11+SOFP!L12+SOFP!L13)-(SOFP!M11+SOFP!M12+SOFP!M13)</f>
        <v>1684.076396553377</v>
      </c>
      <c r="O14" s="3">
        <f>(SOFP!M11+SOFP!M12+SOFP!M13)-(SOFP!N11+SOFP!N12+SOFP!N13)</f>
        <v>3711.7962216781852</v>
      </c>
      <c r="P14" s="3">
        <f>(SOFP!N11+SOFP!N12+SOFP!N13)-(SOFP!O11+SOFP!O12+SOFP!O13)</f>
        <v>2028.9869933515765</v>
      </c>
      <c r="Q14" s="3">
        <f>(SOFP!O11+SOFP!O12+SOFP!O13)-(SOFP!P11+SOFP!P12+SOFP!P13)</f>
        <v>3180.8876249627974</v>
      </c>
      <c r="R14" s="3">
        <f>(SOFP!P11+SOFP!P12+SOFP!P13)-(SOFP!Q11+SOFP!Q12+SOFP!Q13)</f>
        <v>1574.5810264657448</v>
      </c>
      <c r="S14" s="3"/>
      <c r="T14" s="3">
        <f>(SOFP!Q11+SOFP!Q12+SOFP!Q13)-(SOFP!S11+SOFP!S12+SOFP!S13)</f>
        <v>-649.77348154386709</v>
      </c>
      <c r="U14" s="3">
        <f>(SOFP!S11+SOFP!S12+SOFP!S13)-(SOFP!T11+SOFP!T12+SOFP!T13)</f>
        <v>-2603.3459322778617</v>
      </c>
      <c r="V14" s="3">
        <f>(SOFP!T11+SOFP!T12+SOFP!T13)-(SOFP!U11+SOFP!U12+SOFP!U13)</f>
        <v>-9056.2632049431231</v>
      </c>
      <c r="W14" s="3">
        <f>(SOFP!U11+SOFP!U12+SOFP!U13)-(SOFP!V11+SOFP!V12+SOFP!V13)</f>
        <v>-5495.8925978020561</v>
      </c>
      <c r="X14" s="3">
        <f>(SOFP!V11+SOFP!V12+SOFP!V13)-(SOFP!W11+SOFP!W12+SOFP!W13)</f>
        <v>-4333.9817194133429</v>
      </c>
      <c r="Y14" s="3">
        <f>(SOFP!W11+SOFP!W12+SOFP!W13)-(SOFP!X11+SOFP!X12+SOFP!X13)</f>
        <v>-229.9827720703106</v>
      </c>
      <c r="Z14" s="3">
        <f>(SOFP!X11+SOFP!X12+SOFP!X13)-(SOFP!Y11+SOFP!Y12+SOFP!Y13)</f>
        <v>-561.2720414854557</v>
      </c>
      <c r="AA14" s="3">
        <f>(SOFP!Y11+SOFP!Y12+SOFP!Y13)-(SOFP!Z11+SOFP!Z12+SOFP!Z13)</f>
        <v>2198.4476853470624</v>
      </c>
      <c r="AB14" s="3">
        <f>(SOFP!Z11+SOFP!Z12+SOFP!Z13)-(SOFP!AA11+SOFP!AA12+SOFP!AA13)</f>
        <v>4843.6318278369727</v>
      </c>
      <c r="AC14" s="3">
        <f>(SOFP!AA11+SOFP!AA12+SOFP!AA13)-(SOFP!AB11+SOFP!AB12+SOFP!AB13)</f>
        <v>2647.7462981674835</v>
      </c>
      <c r="AD14" s="3">
        <f>(SOFP!AB11+SOFP!AB12+SOFP!AB13)-(SOFP!AC11+SOFP!AC12+SOFP!AC13)</f>
        <v>4642.0879555273495</v>
      </c>
      <c r="AE14" s="3">
        <f>(SOFP!AC11+SOFP!AC12+SOFP!AC13)-(SOFP!AD11+SOFP!AD12+SOFP!AD13)</f>
        <v>2286.6645000965837</v>
      </c>
      <c r="AF14" s="3"/>
      <c r="AG14" s="3">
        <f>(SOFP!AD11+SOFP!AD12+SOFP!AD13)-(SOFP!AF11+SOFP!AF12+SOFP!AF13)</f>
        <v>1463.2767638894147</v>
      </c>
      <c r="AH14" s="3">
        <f>(SOFP!AF11+SOFP!AF12+SOFP!AF13)-(SOFP!AG11+SOFP!AG12+SOFP!AG13)</f>
        <v>-3048.5191079624055</v>
      </c>
      <c r="AI14" s="3">
        <f>(SOFP!AG11+SOFP!AG12+SOFP!AG13)-(SOFP!AH11+SOFP!AH12+SOFP!AH13)</f>
        <v>-10698.201526049812</v>
      </c>
      <c r="AJ14" s="3">
        <f>(SOFP!AH11+SOFP!AH12+SOFP!AH13)-(SOFP!AI11+SOFP!AI12+SOFP!AI13)</f>
        <v>-6507.8174792247373</v>
      </c>
      <c r="AK14" s="3">
        <f>(SOFP!AI11+SOFP!AI12+SOFP!AI13)-(SOFP!AJ11+SOFP!AJ12+SOFP!AJ13)</f>
        <v>-5124.9875846792274</v>
      </c>
      <c r="AL14" s="3">
        <f>(SOFP!AJ11+SOFP!AJ12+SOFP!AJ13)-(SOFP!AK11+SOFP!AK12+SOFP!AK13)</f>
        <v>-283.09565835497051</v>
      </c>
      <c r="AM14" s="3">
        <f>(SOFP!AK11+SOFP!AK12+SOFP!AK13)-(SOFP!AL11+SOFP!AL12+SOFP!AL13)</f>
        <v>-693.76897334482783</v>
      </c>
      <c r="AN14" s="3">
        <f>(SOFP!AL11+SOFP!AL12+SOFP!AL13)-(SOFP!AM11+SOFP!AM12+SOFP!AM13)</f>
        <v>2590.2792641482229</v>
      </c>
      <c r="AO14" s="3">
        <f>(SOFP!AM11+SOFP!AM12+SOFP!AM13)-(SOFP!AN11+SOFP!AN12+SOFP!AN13)</f>
        <v>5709.7178617821264</v>
      </c>
      <c r="AP14" s="3">
        <f>(SOFP!AN11+SOFP!AN12+SOFP!AN13)-(SOFP!AO11+SOFP!AO12+SOFP!AO13)</f>
        <v>3121.0952691194689</v>
      </c>
      <c r="AQ14" s="3">
        <f>(SOFP!AO11+SOFP!AO12+SOFP!AO13)-(SOFP!AP11+SOFP!AP12+SOFP!AP13)</f>
        <v>5600.5614292642058</v>
      </c>
      <c r="AR14" s="3">
        <f>(SOFP!AP11+SOFP!AP12+SOFP!AP13)-(SOFP!AQ11+SOFP!AQ12+SOFP!AQ13)</f>
        <v>2839.2686049420445</v>
      </c>
      <c r="AS14" s="3"/>
      <c r="AT14" s="3">
        <f>(SOFP!AQ11+SOFP!AQ12+SOFP!AQ13)-(SOFP!AS11+SOFP!AS12+SOFP!AS13)</f>
        <v>2980.6493608778692</v>
      </c>
      <c r="AU14" s="3">
        <f>(SOFP!AS11+SOFP!AS12+SOFP!AS13)-(SOFP!AT11+SOFP!AT12+SOFP!AT13)</f>
        <v>-3415.7562409281745</v>
      </c>
      <c r="AV14" s="3">
        <f>(SOFP!AT11+SOFP!AT12+SOFP!AT13)-(SOFP!AU11+SOFP!AU12+SOFP!AU13)</f>
        <v>-12089.590404455324</v>
      </c>
      <c r="AW14" s="3">
        <f>(SOFP!AU11+SOFP!AU12+SOFP!AU13)-(SOFP!AV11+SOFP!AV12+SOFP!AV13)</f>
        <v>-7371.1092093502521</v>
      </c>
      <c r="AX14" s="3">
        <f>(SOFP!AV11+SOFP!AV12+SOFP!AV13)-(SOFP!AW11+SOFP!AW12+SOFP!AW13)</f>
        <v>-5797.244289227543</v>
      </c>
      <c r="AY14" s="3">
        <f>(SOFP!AW11+SOFP!AW12+SOFP!AW13)-(SOFP!AX11+SOFP!AX12+SOFP!AX13)</f>
        <v>-332.36201974157302</v>
      </c>
      <c r="AZ14" s="3">
        <f>(SOFP!AX11+SOFP!AX12+SOFP!AX13)-(SOFP!AY11+SOFP!AY12+SOFP!AY13)</f>
        <v>-817.51217135882325</v>
      </c>
      <c r="BA14" s="3">
        <f>(SOFP!AY11+SOFP!AY12+SOFP!AY13)-(SOFP!AZ11+SOFP!AZ12+SOFP!AZ13)</f>
        <v>2919.7997755375036</v>
      </c>
      <c r="BB14" s="3">
        <f>(SOFP!AZ11+SOFP!AZ12+SOFP!AZ13)-(SOFP!BA11+SOFP!BA12+SOFP!BA13)</f>
        <v>6439.1370759142665</v>
      </c>
      <c r="BC14" s="3">
        <f>(SOFP!BA11+SOFP!BA12+SOFP!BA13)-(SOFP!BB11+SOFP!BB12+SOFP!BB13)</f>
        <v>3519.7156460956612</v>
      </c>
      <c r="BD14" s="3">
        <f>(SOFP!BB11+SOFP!BB12+SOFP!BB13)-(SOFP!BC11+SOFP!BC12+SOFP!BC13)</f>
        <v>6251.9449834367551</v>
      </c>
      <c r="BE14" s="3">
        <f>(SOFP!BC11+SOFP!BC12+SOFP!BC13)-(SOFP!BD11+SOFP!BD12+SOFP!BD13)</f>
        <v>3222.724832018248</v>
      </c>
      <c r="BF14" s="3"/>
      <c r="BG14" s="3">
        <f>(SOFP!BD11+SOFP!BD12+SOFP!BD13)-(SOFP!BF11+SOFP!BF12+SOFP!BF13)</f>
        <v>3417.4137758990473</v>
      </c>
      <c r="BH14" s="3">
        <f>(SOFP!BF11+SOFP!BF12+SOFP!BF13)-(SOFP!BG11+SOFP!BG12+SOFP!BG13)</f>
        <v>-3844.7319372639904</v>
      </c>
      <c r="BI14" s="3">
        <f>(SOFP!BG11+SOFP!BG12+SOFP!BG13)-(SOFP!BH11+SOFP!BH12+SOFP!BH13)</f>
        <v>-13676.654259312185</v>
      </c>
      <c r="BJ14" s="3">
        <f>(SOFP!BH11+SOFP!BH12+SOFP!BH13)-(SOFP!BI11+SOFP!BI12+SOFP!BI13)</f>
        <v>-8349.9773292698592</v>
      </c>
      <c r="BK14" s="3">
        <f>(SOFP!BI11+SOFP!BI12+SOFP!BI13)-(SOFP!BJ11+SOFP!BJ12+SOFP!BJ13)</f>
        <v>-6562.0719258448953</v>
      </c>
      <c r="BL14" s="3">
        <f>(SOFP!BJ11+SOFP!BJ12+SOFP!BJ13)-(SOFP!BK11+SOFP!BK12+SOFP!BK13)</f>
        <v>-384.26142714108573</v>
      </c>
      <c r="BM14" s="3">
        <f>(SOFP!BK11+SOFP!BK12+SOFP!BK13)-(SOFP!BL11+SOFP!BL12+SOFP!BL13)</f>
        <v>-947.09295908524655</v>
      </c>
      <c r="BN14" s="3">
        <f>(SOFP!BL11+SOFP!BL12+SOFP!BL13)-(SOFP!BM11+SOFP!BM12+SOFP!BM13)</f>
        <v>3298.203779524134</v>
      </c>
      <c r="BO14" s="3">
        <f>(SOFP!BM11+SOFP!BM12+SOFP!BM13)-(SOFP!BN11+SOFP!BN12+SOFP!BN13)</f>
        <v>7275.6835746911456</v>
      </c>
      <c r="BP14" s="3">
        <f>(SOFP!BN11+SOFP!BN12+SOFP!BN13)-(SOFP!BO11+SOFP!BO12+SOFP!BO13)</f>
        <v>3976.915524250544</v>
      </c>
      <c r="BQ14" s="3">
        <f>(SOFP!BO11+SOFP!BO12+SOFP!BO13)-(SOFP!BP11+SOFP!BP12+SOFP!BP13)</f>
        <v>6343.6827894372909</v>
      </c>
      <c r="BR14" s="3">
        <f>(SOFP!BP11+SOFP!BP12+SOFP!BP13)-(SOFP!BQ11+SOFP!BQ12+SOFP!BQ13)</f>
        <v>3305.0231831187994</v>
      </c>
      <c r="BS14" s="3"/>
      <c r="BT14" s="2"/>
    </row>
    <row r="15" spans="1:72">
      <c r="A15" s="1"/>
      <c r="B15" s="2"/>
      <c r="C15" s="2"/>
      <c r="D15" s="2" t="s">
        <v>12</v>
      </c>
      <c r="E15" s="2"/>
      <c r="F15" s="2"/>
      <c r="G15" s="3">
        <f>0-SOFP!F14</f>
        <v>0</v>
      </c>
      <c r="H15" s="3">
        <f>SOFP!F14-SOFP!G14</f>
        <v>0</v>
      </c>
      <c r="I15" s="3">
        <f>SOFP!G14-SOFP!H14</f>
        <v>0</v>
      </c>
      <c r="J15" s="3">
        <f>SOFP!H14-SOFP!I14</f>
        <v>0</v>
      </c>
      <c r="K15" s="3">
        <f>SOFP!I14-SOFP!J14</f>
        <v>0</v>
      </c>
      <c r="L15" s="3">
        <f>SOFP!J14-SOFP!K14</f>
        <v>0</v>
      </c>
      <c r="M15" s="3">
        <f>SOFP!K14-SOFP!L14</f>
        <v>0</v>
      </c>
      <c r="N15" s="3">
        <f>SOFP!L14-SOFP!M14</f>
        <v>0</v>
      </c>
      <c r="O15" s="3">
        <f>SOFP!M14-SOFP!N14</f>
        <v>0</v>
      </c>
      <c r="P15" s="3">
        <f>SOFP!N14-SOFP!O14</f>
        <v>0</v>
      </c>
      <c r="Q15" s="3">
        <f>SOFP!O14-SOFP!P14</f>
        <v>0</v>
      </c>
      <c r="R15" s="3">
        <f>SOFP!P14-SOFP!Q14</f>
        <v>0</v>
      </c>
      <c r="S15" s="3"/>
      <c r="T15" s="3">
        <f>SOFP!Q14-SOFP!S14</f>
        <v>0</v>
      </c>
      <c r="U15" s="3">
        <f>SOFP!S14-SOFP!T14</f>
        <v>0</v>
      </c>
      <c r="V15" s="3">
        <f>SOFP!T14-SOFP!U14</f>
        <v>0</v>
      </c>
      <c r="W15" s="3">
        <f>SOFP!U14-SOFP!V14</f>
        <v>0</v>
      </c>
      <c r="X15" s="3">
        <f>SOFP!V14-SOFP!W14</f>
        <v>0</v>
      </c>
      <c r="Y15" s="3">
        <f>SOFP!W14-SOFP!X14</f>
        <v>0</v>
      </c>
      <c r="Z15" s="3">
        <f>SOFP!X14-SOFP!Y14</f>
        <v>0</v>
      </c>
      <c r="AA15" s="3">
        <f>SOFP!Y14-SOFP!Z14</f>
        <v>0</v>
      </c>
      <c r="AB15" s="3">
        <f>SOFP!Z14-SOFP!AA14</f>
        <v>0</v>
      </c>
      <c r="AC15" s="3">
        <f>SOFP!AA14-SOFP!AB14</f>
        <v>0</v>
      </c>
      <c r="AD15" s="3">
        <f>SOFP!AB14-SOFP!AC14</f>
        <v>0</v>
      </c>
      <c r="AE15" s="3">
        <f>SOFP!AC14-SOFP!AD14</f>
        <v>0</v>
      </c>
      <c r="AF15" s="3"/>
      <c r="AG15" s="3">
        <f>SOFP!AD14-SOFP!AF14</f>
        <v>0</v>
      </c>
      <c r="AH15" s="3">
        <f>SOFP!AF14-SOFP!AG14</f>
        <v>0</v>
      </c>
      <c r="AI15" s="3">
        <f>SOFP!AG14-SOFP!AH14</f>
        <v>0</v>
      </c>
      <c r="AJ15" s="3">
        <f>SOFP!AH14-SOFP!AI14</f>
        <v>0</v>
      </c>
      <c r="AK15" s="3">
        <f>SOFP!AI14-SOFP!AJ14</f>
        <v>0</v>
      </c>
      <c r="AL15" s="3">
        <f>SOFP!AJ14-SOFP!AK14</f>
        <v>0</v>
      </c>
      <c r="AM15" s="3">
        <f>SOFP!AK14-SOFP!AL14</f>
        <v>0</v>
      </c>
      <c r="AN15" s="3">
        <f>SOFP!AL14-SOFP!AM14</f>
        <v>0</v>
      </c>
      <c r="AO15" s="3">
        <f>SOFP!AM14-SOFP!AN14</f>
        <v>0</v>
      </c>
      <c r="AP15" s="3">
        <f>SOFP!AN14-SOFP!AO14</f>
        <v>0</v>
      </c>
      <c r="AQ15" s="3">
        <f>SOFP!AO14-SOFP!AP14</f>
        <v>0</v>
      </c>
      <c r="AR15" s="3">
        <f>SOFP!AP14-SOFP!AQ14</f>
        <v>0</v>
      </c>
      <c r="AS15" s="3"/>
      <c r="AT15" s="3">
        <f>SOFP!AQ14-SOFP!AS14</f>
        <v>0</v>
      </c>
      <c r="AU15" s="3">
        <f>SOFP!AS14-SOFP!AT14</f>
        <v>0</v>
      </c>
      <c r="AV15" s="3">
        <f>SOFP!AT14-SOFP!AU14</f>
        <v>0</v>
      </c>
      <c r="AW15" s="3">
        <f>SOFP!AU14-SOFP!AV14</f>
        <v>0</v>
      </c>
      <c r="AX15" s="3">
        <f>SOFP!AV14-SOFP!AW14</f>
        <v>0</v>
      </c>
      <c r="AY15" s="3">
        <f>SOFP!AW14-SOFP!AX14</f>
        <v>0</v>
      </c>
      <c r="AZ15" s="3">
        <f>SOFP!AX14-SOFP!AY14</f>
        <v>0</v>
      </c>
      <c r="BA15" s="3">
        <f>SOFP!AY14-SOFP!AZ14</f>
        <v>0</v>
      </c>
      <c r="BB15" s="3">
        <f>SOFP!AZ14-SOFP!BA14</f>
        <v>0</v>
      </c>
      <c r="BC15" s="3">
        <f>SOFP!BA14-SOFP!BB14</f>
        <v>0</v>
      </c>
      <c r="BD15" s="3">
        <f>SOFP!BB14-SOFP!BC14</f>
        <v>0</v>
      </c>
      <c r="BE15" s="3">
        <f>SOFP!BC14-SOFP!BD14</f>
        <v>0</v>
      </c>
      <c r="BF15" s="3"/>
      <c r="BG15" s="3">
        <f>SOFP!BD14-SOFP!BF14</f>
        <v>0</v>
      </c>
      <c r="BH15" s="3">
        <f>SOFP!BF14-SOFP!BG14</f>
        <v>0</v>
      </c>
      <c r="BI15" s="3">
        <f>SOFP!BG14-SOFP!BH14</f>
        <v>0</v>
      </c>
      <c r="BJ15" s="3">
        <f>SOFP!BH14-SOFP!BI14</f>
        <v>0</v>
      </c>
      <c r="BK15" s="3">
        <f>SOFP!BI14-SOFP!BJ14</f>
        <v>0</v>
      </c>
      <c r="BL15" s="3">
        <f>SOFP!BJ14-SOFP!BK14</f>
        <v>0</v>
      </c>
      <c r="BM15" s="3">
        <f>SOFP!BK14-SOFP!BL14</f>
        <v>0</v>
      </c>
      <c r="BN15" s="3">
        <f>SOFP!BL14-SOFP!BM14</f>
        <v>0</v>
      </c>
      <c r="BO15" s="3">
        <f>SOFP!BM14-SOFP!BN14</f>
        <v>0</v>
      </c>
      <c r="BP15" s="3">
        <f>SOFP!BN14-SOFP!BO14</f>
        <v>0</v>
      </c>
      <c r="BQ15" s="3">
        <f>SOFP!BO14-SOFP!BP14</f>
        <v>0</v>
      </c>
      <c r="BR15" s="3">
        <f>SOFP!BP14-SOFP!BQ14</f>
        <v>0</v>
      </c>
      <c r="BS15" s="3"/>
      <c r="BT15" s="2"/>
    </row>
    <row r="16" spans="1:72">
      <c r="A16" s="1"/>
      <c r="B16" s="2"/>
      <c r="C16" s="2"/>
      <c r="D16" s="2" t="s">
        <v>15</v>
      </c>
      <c r="E16" s="2"/>
      <c r="F16" s="2"/>
      <c r="G16" s="3">
        <f>0-SOFP!F19</f>
        <v>0</v>
      </c>
      <c r="H16" s="3">
        <f>SOFP!F19-SOFP!G19</f>
        <v>0</v>
      </c>
      <c r="I16" s="3">
        <f>SOFP!G19-SOFP!H19</f>
        <v>0</v>
      </c>
      <c r="J16" s="3">
        <f>SOFP!H19-SOFP!I19</f>
        <v>0</v>
      </c>
      <c r="K16" s="3">
        <f>SOFP!I19-SOFP!J19</f>
        <v>0</v>
      </c>
      <c r="L16" s="3">
        <f>SOFP!J19-SOFP!K19</f>
        <v>0</v>
      </c>
      <c r="M16" s="3">
        <f>SOFP!K19-SOFP!L19</f>
        <v>0</v>
      </c>
      <c r="N16" s="3">
        <f>SOFP!L19-SOFP!M19</f>
        <v>0</v>
      </c>
      <c r="O16" s="3">
        <f>SOFP!M19-SOFP!N19</f>
        <v>0</v>
      </c>
      <c r="P16" s="3">
        <f>SOFP!N19-SOFP!O19</f>
        <v>0</v>
      </c>
      <c r="Q16" s="3">
        <f>SOFP!O19-SOFP!P19</f>
        <v>0</v>
      </c>
      <c r="R16" s="3">
        <f>SOFP!P19-SOFP!Q19</f>
        <v>0</v>
      </c>
      <c r="S16" s="3"/>
      <c r="T16" s="3">
        <f>SOFP!Q19-SOFP!S19</f>
        <v>0</v>
      </c>
      <c r="U16" s="3">
        <f>SOFP!S19-SOFP!T19</f>
        <v>0</v>
      </c>
      <c r="V16" s="3">
        <f>SOFP!T19-SOFP!U19</f>
        <v>0</v>
      </c>
      <c r="W16" s="3">
        <f>SOFP!U19-SOFP!V19</f>
        <v>0</v>
      </c>
      <c r="X16" s="3">
        <f>SOFP!V19-SOFP!W19</f>
        <v>0</v>
      </c>
      <c r="Y16" s="3">
        <f>SOFP!W19-SOFP!X19</f>
        <v>0</v>
      </c>
      <c r="Z16" s="3">
        <f>SOFP!X19-SOFP!Y19</f>
        <v>0</v>
      </c>
      <c r="AA16" s="3">
        <f>SOFP!Y19-SOFP!Z19</f>
        <v>0</v>
      </c>
      <c r="AB16" s="3">
        <f>SOFP!Z19-SOFP!AA19</f>
        <v>0</v>
      </c>
      <c r="AC16" s="3">
        <f>SOFP!AA19-SOFP!AB19</f>
        <v>0</v>
      </c>
      <c r="AD16" s="3">
        <f>SOFP!AB19-SOFP!AC19</f>
        <v>0</v>
      </c>
      <c r="AE16" s="3">
        <f>SOFP!AC19-SOFP!AD19</f>
        <v>0</v>
      </c>
      <c r="AF16" s="3"/>
      <c r="AG16" s="3">
        <f>SOFP!AD19-SOFP!AF19</f>
        <v>0</v>
      </c>
      <c r="AH16" s="3">
        <f>SOFP!AF19-SOFP!AG19</f>
        <v>0</v>
      </c>
      <c r="AI16" s="3">
        <f>SOFP!AG19-SOFP!AH19</f>
        <v>0</v>
      </c>
      <c r="AJ16" s="3">
        <f>SOFP!AH19-SOFP!AI19</f>
        <v>0</v>
      </c>
      <c r="AK16" s="3">
        <f>SOFP!AI19-SOFP!AJ19</f>
        <v>0</v>
      </c>
      <c r="AL16" s="3">
        <f>SOFP!AJ19-SOFP!AK19</f>
        <v>0</v>
      </c>
      <c r="AM16" s="3">
        <f>SOFP!AK19-SOFP!AL19</f>
        <v>0</v>
      </c>
      <c r="AN16" s="3">
        <f>SOFP!AL19-SOFP!AM19</f>
        <v>0</v>
      </c>
      <c r="AO16" s="3">
        <f>SOFP!AM19-SOFP!AN19</f>
        <v>0</v>
      </c>
      <c r="AP16" s="3">
        <f>SOFP!AN19-SOFP!AO19</f>
        <v>0</v>
      </c>
      <c r="AQ16" s="3">
        <f>SOFP!AO19-SOFP!AP19</f>
        <v>0</v>
      </c>
      <c r="AR16" s="3">
        <f>SOFP!AP19-SOFP!AQ19</f>
        <v>0</v>
      </c>
      <c r="AS16" s="3"/>
      <c r="AT16" s="3">
        <f>SOFP!AQ19-SOFP!AS19</f>
        <v>0</v>
      </c>
      <c r="AU16" s="3">
        <f>SOFP!AS19-SOFP!AT19</f>
        <v>0</v>
      </c>
      <c r="AV16" s="3">
        <f>SOFP!AT19-SOFP!AU19</f>
        <v>0</v>
      </c>
      <c r="AW16" s="3">
        <f>SOFP!AU19-SOFP!AV19</f>
        <v>0</v>
      </c>
      <c r="AX16" s="3">
        <f>SOFP!AV19-SOFP!AW19</f>
        <v>0</v>
      </c>
      <c r="AY16" s="3">
        <f>SOFP!AW19-SOFP!AX19</f>
        <v>0</v>
      </c>
      <c r="AZ16" s="3">
        <f>SOFP!AX19-SOFP!AY19</f>
        <v>0</v>
      </c>
      <c r="BA16" s="3">
        <f>SOFP!AY19-SOFP!AZ19</f>
        <v>0</v>
      </c>
      <c r="BB16" s="3">
        <f>SOFP!AZ19-SOFP!BA19</f>
        <v>0</v>
      </c>
      <c r="BC16" s="3">
        <f>SOFP!BA19-SOFP!BB19</f>
        <v>0</v>
      </c>
      <c r="BD16" s="3">
        <f>SOFP!BB19-SOFP!BC19</f>
        <v>0</v>
      </c>
      <c r="BE16" s="3">
        <f>SOFP!BC19-SOFP!BD19</f>
        <v>0</v>
      </c>
      <c r="BF16" s="3"/>
      <c r="BG16" s="3">
        <f>SOFP!BD19-SOFP!BF19</f>
        <v>0</v>
      </c>
      <c r="BH16" s="3">
        <f>SOFP!BF19-SOFP!BG19</f>
        <v>0</v>
      </c>
      <c r="BI16" s="3">
        <f>SOFP!BG19-SOFP!BH19</f>
        <v>0</v>
      </c>
      <c r="BJ16" s="3">
        <f>SOFP!BH19-SOFP!BI19</f>
        <v>0</v>
      </c>
      <c r="BK16" s="3">
        <f>SOFP!BI19-SOFP!BJ19</f>
        <v>0</v>
      </c>
      <c r="BL16" s="3">
        <f>SOFP!BJ19-SOFP!BK19</f>
        <v>0</v>
      </c>
      <c r="BM16" s="3">
        <f>SOFP!BK19-SOFP!BL19</f>
        <v>0</v>
      </c>
      <c r="BN16" s="3">
        <f>SOFP!BL19-SOFP!BM19</f>
        <v>0</v>
      </c>
      <c r="BO16" s="3">
        <f>SOFP!BM19-SOFP!BN19</f>
        <v>0</v>
      </c>
      <c r="BP16" s="3">
        <f>SOFP!BN19-SOFP!BO19</f>
        <v>0</v>
      </c>
      <c r="BQ16" s="3">
        <f>SOFP!BO19-SOFP!BP19</f>
        <v>0</v>
      </c>
      <c r="BR16" s="3">
        <f>SOFP!BP19-SOFP!BQ19</f>
        <v>0</v>
      </c>
      <c r="BS16" s="3"/>
      <c r="BT16" s="2"/>
    </row>
    <row r="17" spans="1:72">
      <c r="A17" s="1"/>
      <c r="B17" s="2"/>
      <c r="C17" s="2"/>
      <c r="D17" s="2" t="s">
        <v>81</v>
      </c>
      <c r="E17" s="2"/>
      <c r="F17" s="2"/>
      <c r="G17" s="3">
        <f>SOFP!F25-0</f>
        <v>47760.863152978083</v>
      </c>
      <c r="H17" s="3">
        <f>SOFP!G25-SOFP!F25</f>
        <v>32890.696794973017</v>
      </c>
      <c r="I17" s="3">
        <f>SOFP!H25-SOFP!G25</f>
        <v>-7172.5253388590354</v>
      </c>
      <c r="J17" s="3">
        <f>SOFP!I25-SOFP!H25</f>
        <v>12441.63765195047</v>
      </c>
      <c r="K17" s="3">
        <f>SOFP!J25-SOFP!I25</f>
        <v>8456.853724436005</v>
      </c>
      <c r="L17" s="3">
        <f>SOFP!K25-SOFP!J25</f>
        <v>3950.8938417669851</v>
      </c>
      <c r="M17" s="3">
        <f>SOFP!L25-SOFP!K25</f>
        <v>779.03381692689436</v>
      </c>
      <c r="N17" s="3">
        <f>SOFP!M25-SOFP!L25</f>
        <v>-1293.2236260654754</v>
      </c>
      <c r="O17" s="3">
        <f>SOFP!N25-SOFP!M25</f>
        <v>-5929.4401690351369</v>
      </c>
      <c r="P17" s="3">
        <f>SOFP!O25-SOFP!N25</f>
        <v>-6341.3604002440406</v>
      </c>
      <c r="Q17" s="3">
        <f>SOFP!P25-SOFP!O25</f>
        <v>-5795.3364104572247</v>
      </c>
      <c r="R17" s="3">
        <f>SOFP!Q25-SOFP!P25</f>
        <v>-5356.0458366428356</v>
      </c>
      <c r="S17" s="3"/>
      <c r="T17" s="3">
        <f>SOFP!S25-SOFP!Q25</f>
        <v>-649.17208722901705</v>
      </c>
      <c r="U17" s="3">
        <f>SOFP!T25-SOFP!S25</f>
        <v>3958.9680098833342</v>
      </c>
      <c r="V17" s="3">
        <f>SOFP!U25-SOFP!T25</f>
        <v>12820.834648388845</v>
      </c>
      <c r="W17" s="3">
        <f>SOFP!V25-SOFP!U25</f>
        <v>16181.512779647863</v>
      </c>
      <c r="X17" s="3">
        <f>SOFP!W25-SOFP!V25</f>
        <v>10991.099828383245</v>
      </c>
      <c r="Y17" s="3">
        <f>SOFP!X25-SOFP!W25</f>
        <v>5129.839738822935</v>
      </c>
      <c r="Z17" s="3">
        <f>SOFP!Y25-SOFP!X25</f>
        <v>984.79239875041822</v>
      </c>
      <c r="AA17" s="3">
        <f>SOFP!Z25-SOFP!Y25</f>
        <v>-1707.9006603508897</v>
      </c>
      <c r="AB17" s="3">
        <f>SOFP!AA25-SOFP!Z25</f>
        <v>-7730.7673292286927</v>
      </c>
      <c r="AC17" s="3">
        <f>SOFP!AB25-SOFP!AA25</f>
        <v>-8265.5284667830274</v>
      </c>
      <c r="AD17" s="3">
        <f>SOFP!AC25-SOFP!AB25</f>
        <v>-8044.3345834805368</v>
      </c>
      <c r="AE17" s="3">
        <f>SOFP!AD25-SOFP!AC25</f>
        <v>-7702.9027964025008</v>
      </c>
      <c r="AF17" s="3"/>
      <c r="AG17" s="3">
        <f>SOFP!AF25-SOFP!AD25</f>
        <v>-3805.276721257469</v>
      </c>
      <c r="AH17" s="3">
        <f>SOFP!AG25-SOFP!AF25</f>
        <v>2057.0590660333255</v>
      </c>
      <c r="AI17" s="3">
        <f>SOFP!AH25-SOFP!AG25</f>
        <v>15088.989584894342</v>
      </c>
      <c r="AJ17" s="3">
        <f>SOFP!AI25-SOFP!AH25</f>
        <v>19089.53419349133</v>
      </c>
      <c r="AK17" s="3">
        <f>SOFP!AJ25-SOFP!AI25</f>
        <v>12975.074014786063</v>
      </c>
      <c r="AL17" s="3">
        <f>SOFP!AK25-SOFP!AJ25</f>
        <v>6062.1589450739557</v>
      </c>
      <c r="AM17" s="3">
        <f>SOFP!AL25-SOFP!AK25</f>
        <v>1200.576123513456</v>
      </c>
      <c r="AN17" s="3">
        <f>SOFP!AM25-SOFP!AL25</f>
        <v>-1978.0653376060072</v>
      </c>
      <c r="AO17" s="3">
        <f>SOFP!AN25-SOFP!AM25</f>
        <v>-9096.2292729811161</v>
      </c>
      <c r="AP17" s="3">
        <f>SOFP!AO25-SOFP!AN25</f>
        <v>-9725.6590981563641</v>
      </c>
      <c r="AQ17" s="3">
        <f>SOFP!AP25-SOFP!AO25</f>
        <v>-9593.757634436668</v>
      </c>
      <c r="AR17" s="3">
        <f>SOFP!AQ25-SOFP!AP25</f>
        <v>-9334.6760014609899</v>
      </c>
      <c r="AS17" s="3"/>
      <c r="AT17" s="3">
        <f>SOFP!AS25-SOFP!AQ25</f>
        <v>-6059.4317173181626</v>
      </c>
      <c r="AU17" s="3">
        <f>SOFP!AT25-SOFP!AS25</f>
        <v>793.85461328495876</v>
      </c>
      <c r="AV17" s="3">
        <f>SOFP!AU25-SOFP!AT25</f>
        <v>16996.397010128567</v>
      </c>
      <c r="AW17" s="3">
        <f>SOFP!AV25-SOFP!AU25</f>
        <v>21553.263472542516</v>
      </c>
      <c r="AX17" s="3">
        <f>SOFP!AW25-SOFP!AV25</f>
        <v>14659.403863322892</v>
      </c>
      <c r="AY17" s="3">
        <f>SOFP!AX25-SOFP!AW25</f>
        <v>6856.132090297353</v>
      </c>
      <c r="AZ17" s="3">
        <f>SOFP!AY25-SOFP!AX25</f>
        <v>1398.3825852245791</v>
      </c>
      <c r="BA17" s="3">
        <f>SOFP!AZ25-SOFP!AY25</f>
        <v>-2192.4676562672248</v>
      </c>
      <c r="BB17" s="3">
        <f>SOFP!BA25-SOFP!AZ25</f>
        <v>-10243.790974815667</v>
      </c>
      <c r="BC17" s="3">
        <f>SOFP!BB25-SOFP!BA25</f>
        <v>-10952.886298506637</v>
      </c>
      <c r="BD17" s="3">
        <f>SOFP!BC25-SOFP!BB25</f>
        <v>-10740.361671303443</v>
      </c>
      <c r="BE17" s="3">
        <f>SOFP!BD25-SOFP!BC25</f>
        <v>-10468.703391951727</v>
      </c>
      <c r="BF17" s="3"/>
      <c r="BG17" s="3">
        <f>SOFP!BF25-SOFP!BD25</f>
        <v>-6842.734740716638</v>
      </c>
      <c r="BH17" s="3">
        <f>SOFP!BG25-SOFP!BF25</f>
        <v>888.33611427570577</v>
      </c>
      <c r="BI17" s="3">
        <f>SOFP!BH25-SOFP!BG25</f>
        <v>19178.031867567537</v>
      </c>
      <c r="BJ17" s="3">
        <f>SOFP!BI25-SOFP!BH25</f>
        <v>24351.901706067089</v>
      </c>
      <c r="BK17" s="3">
        <f>SOFP!BJ25-SOFP!BI25</f>
        <v>16568.694926106109</v>
      </c>
      <c r="BL17" s="3">
        <f>SOFP!BK25-SOFP!BJ25</f>
        <v>7753.4908752398915</v>
      </c>
      <c r="BM17" s="3">
        <f>SOFP!BL25-SOFP!BK25</f>
        <v>1607.4619980582211</v>
      </c>
      <c r="BN17" s="3">
        <f>SOFP!BM25-SOFP!BL25</f>
        <v>-2450.8408219224948</v>
      </c>
      <c r="BO17" s="3">
        <f>SOFP!BN25-SOFP!BM25</f>
        <v>-11557.422486817464</v>
      </c>
      <c r="BP17" s="3">
        <f>SOFP!BO25-SOFP!BN25</f>
        <v>-12357.029546269274</v>
      </c>
      <c r="BQ17" s="3">
        <f>SOFP!BP25-SOFP!BO25</f>
        <v>-11396.808343359677</v>
      </c>
      <c r="BR17" s="3">
        <f>SOFP!BQ25-SOFP!BP25</f>
        <v>-10753.136419883682</v>
      </c>
      <c r="BS17" s="3"/>
      <c r="BT17" s="2"/>
    </row>
    <row r="18" spans="1:72">
      <c r="A18" s="1"/>
      <c r="B18" s="2"/>
      <c r="C18" s="2"/>
      <c r="D18" s="2" t="s">
        <v>20</v>
      </c>
      <c r="E18" s="2"/>
      <c r="F18" s="2"/>
      <c r="G18" s="3">
        <f>SOFP!F26-0</f>
        <v>0</v>
      </c>
      <c r="H18" s="3">
        <f>SOFP!G26-SOFP!F26</f>
        <v>0</v>
      </c>
      <c r="I18" s="3">
        <f>SOFP!H26-SOFP!G26</f>
        <v>0</v>
      </c>
      <c r="J18" s="3">
        <f>SOFP!I26-SOFP!H26</f>
        <v>0</v>
      </c>
      <c r="K18" s="3">
        <f>SOFP!J26-SOFP!I26</f>
        <v>0</v>
      </c>
      <c r="L18" s="3">
        <f>SOFP!K26-SOFP!J26</f>
        <v>0</v>
      </c>
      <c r="M18" s="3">
        <f>SOFP!L26-SOFP!K26</f>
        <v>0</v>
      </c>
      <c r="N18" s="3">
        <f>SOFP!M26-SOFP!L26</f>
        <v>0</v>
      </c>
      <c r="O18" s="3">
        <f>SOFP!N26-SOFP!M26</f>
        <v>0</v>
      </c>
      <c r="P18" s="3">
        <f>SOFP!O26-SOFP!N26</f>
        <v>0</v>
      </c>
      <c r="Q18" s="3">
        <f>SOFP!P26-SOFP!O26</f>
        <v>0</v>
      </c>
      <c r="R18" s="3">
        <f>SOFP!Q26-SOFP!P26</f>
        <v>0</v>
      </c>
      <c r="S18" s="3"/>
      <c r="T18" s="3">
        <f>SOFP!S26-SOFP!Q26</f>
        <v>0</v>
      </c>
      <c r="U18" s="3">
        <f>SOFP!T26-SOFP!S26</f>
        <v>0</v>
      </c>
      <c r="V18" s="3">
        <f>SOFP!U26-SOFP!T26</f>
        <v>0</v>
      </c>
      <c r="W18" s="3">
        <f>SOFP!V26-SOFP!U26</f>
        <v>0</v>
      </c>
      <c r="X18" s="3">
        <f>SOFP!W26-SOFP!V26</f>
        <v>0</v>
      </c>
      <c r="Y18" s="3">
        <f>SOFP!X26-SOFP!W26</f>
        <v>0</v>
      </c>
      <c r="Z18" s="3">
        <f>SOFP!Y26-SOFP!X26</f>
        <v>0</v>
      </c>
      <c r="AA18" s="3">
        <f>SOFP!Z26-SOFP!Y26</f>
        <v>0</v>
      </c>
      <c r="AB18" s="3">
        <f>SOFP!AA26-SOFP!Z26</f>
        <v>0</v>
      </c>
      <c r="AC18" s="3">
        <f>SOFP!AB26-SOFP!AA26</f>
        <v>0</v>
      </c>
      <c r="AD18" s="3">
        <f>SOFP!AC26-SOFP!AB26</f>
        <v>0</v>
      </c>
      <c r="AE18" s="3">
        <f>SOFP!AD26-SOFP!AC26</f>
        <v>0</v>
      </c>
      <c r="AF18" s="3"/>
      <c r="AG18" s="3">
        <f>SOFP!AF26-SOFP!AD26</f>
        <v>0</v>
      </c>
      <c r="AH18" s="3">
        <f>SOFP!AG26-SOFP!AF26</f>
        <v>0</v>
      </c>
      <c r="AI18" s="3">
        <f>SOFP!AH26-SOFP!AG26</f>
        <v>0</v>
      </c>
      <c r="AJ18" s="3">
        <f>SOFP!AI26-SOFP!AH26</f>
        <v>0</v>
      </c>
      <c r="AK18" s="3">
        <f>SOFP!AJ26-SOFP!AI26</f>
        <v>0</v>
      </c>
      <c r="AL18" s="3">
        <f>SOFP!AK26-SOFP!AJ26</f>
        <v>0</v>
      </c>
      <c r="AM18" s="3">
        <f>SOFP!AL26-SOFP!AK26</f>
        <v>0</v>
      </c>
      <c r="AN18" s="3">
        <f>SOFP!AM26-SOFP!AL26</f>
        <v>0</v>
      </c>
      <c r="AO18" s="3">
        <f>SOFP!AN26-SOFP!AM26</f>
        <v>0</v>
      </c>
      <c r="AP18" s="3">
        <f>SOFP!AO26-SOFP!AN26</f>
        <v>0</v>
      </c>
      <c r="AQ18" s="3">
        <f>SOFP!AP26-SOFP!AO26</f>
        <v>0</v>
      </c>
      <c r="AR18" s="3">
        <f>SOFP!AQ26-SOFP!AP26</f>
        <v>0</v>
      </c>
      <c r="AS18" s="3"/>
      <c r="AT18" s="3">
        <f>SOFP!AS26-SOFP!AQ26</f>
        <v>0</v>
      </c>
      <c r="AU18" s="3">
        <f>SOFP!AT26-SOFP!AS26</f>
        <v>0</v>
      </c>
      <c r="AV18" s="3">
        <f>SOFP!AU26-SOFP!AT26</f>
        <v>0</v>
      </c>
      <c r="AW18" s="3">
        <f>SOFP!AV26-SOFP!AU26</f>
        <v>0</v>
      </c>
      <c r="AX18" s="3">
        <f>SOFP!AW26-SOFP!AV26</f>
        <v>0</v>
      </c>
      <c r="AY18" s="3">
        <f>SOFP!AX26-SOFP!AW26</f>
        <v>0</v>
      </c>
      <c r="AZ18" s="3">
        <f>SOFP!AY26-SOFP!AX26</f>
        <v>0</v>
      </c>
      <c r="BA18" s="3">
        <f>SOFP!AZ26-SOFP!AY26</f>
        <v>0</v>
      </c>
      <c r="BB18" s="3">
        <f>SOFP!BA26-SOFP!AZ26</f>
        <v>0</v>
      </c>
      <c r="BC18" s="3">
        <f>SOFP!BB26-SOFP!BA26</f>
        <v>0</v>
      </c>
      <c r="BD18" s="3">
        <f>SOFP!BC26-SOFP!BB26</f>
        <v>0</v>
      </c>
      <c r="BE18" s="3">
        <f>SOFP!BD26-SOFP!BC26</f>
        <v>0</v>
      </c>
      <c r="BF18" s="3"/>
      <c r="BG18" s="3">
        <f>SOFP!BF26-SOFP!BD26</f>
        <v>0</v>
      </c>
      <c r="BH18" s="3">
        <f>SOFP!BG26-SOFP!BF26</f>
        <v>0</v>
      </c>
      <c r="BI18" s="3">
        <f>SOFP!BH26-SOFP!BG26</f>
        <v>0</v>
      </c>
      <c r="BJ18" s="3">
        <f>SOFP!BI26-SOFP!BH26</f>
        <v>0</v>
      </c>
      <c r="BK18" s="3">
        <f>SOFP!BJ26-SOFP!BI26</f>
        <v>0</v>
      </c>
      <c r="BL18" s="3">
        <f>SOFP!BK26-SOFP!BJ26</f>
        <v>0</v>
      </c>
      <c r="BM18" s="3">
        <f>SOFP!BL26-SOFP!BK26</f>
        <v>0</v>
      </c>
      <c r="BN18" s="3">
        <f>SOFP!BM26-SOFP!BL26</f>
        <v>0</v>
      </c>
      <c r="BO18" s="3">
        <f>SOFP!BN26-SOFP!BM26</f>
        <v>0</v>
      </c>
      <c r="BP18" s="3">
        <f>SOFP!BO26-SOFP!BN26</f>
        <v>0</v>
      </c>
      <c r="BQ18" s="3">
        <f>SOFP!BP26-SOFP!BO26</f>
        <v>0</v>
      </c>
      <c r="BR18" s="3">
        <f>SOFP!BQ26-SOFP!BP26</f>
        <v>0</v>
      </c>
      <c r="BS18" s="3"/>
      <c r="BT18" s="2"/>
    </row>
    <row r="19" spans="1:72">
      <c r="A19" s="1"/>
      <c r="B19" s="2"/>
      <c r="C19" s="2"/>
      <c r="D19" s="2" t="s">
        <v>21</v>
      </c>
      <c r="E19" s="2"/>
      <c r="F19" s="2"/>
      <c r="G19" s="3">
        <f>SOFP!F27-0</f>
        <v>0</v>
      </c>
      <c r="H19" s="3">
        <f>SOFP!G27-SOFP!F27</f>
        <v>0</v>
      </c>
      <c r="I19" s="3">
        <f>SOFP!H27-SOFP!G27</f>
        <v>0</v>
      </c>
      <c r="J19" s="3">
        <f>SOFP!I27-SOFP!H27</f>
        <v>0</v>
      </c>
      <c r="K19" s="3">
        <f>SOFP!J27-SOFP!I27</f>
        <v>0</v>
      </c>
      <c r="L19" s="3">
        <f>SOFP!K27-SOFP!J27</f>
        <v>0</v>
      </c>
      <c r="M19" s="3">
        <f>SOFP!L27-SOFP!K27</f>
        <v>0</v>
      </c>
      <c r="N19" s="3">
        <f>SOFP!M27-SOFP!L27</f>
        <v>0</v>
      </c>
      <c r="O19" s="3">
        <f>SOFP!N27-SOFP!M27</f>
        <v>0</v>
      </c>
      <c r="P19" s="3">
        <f>SOFP!O27-SOFP!N27</f>
        <v>0</v>
      </c>
      <c r="Q19" s="3">
        <f>SOFP!P27-SOFP!O27</f>
        <v>0</v>
      </c>
      <c r="R19" s="3">
        <f>SOFP!Q27-SOFP!P27</f>
        <v>0</v>
      </c>
      <c r="S19" s="3"/>
      <c r="T19" s="3">
        <f>SOFP!S27-SOFP!Q27</f>
        <v>0</v>
      </c>
      <c r="U19" s="3">
        <f>SOFP!T27-SOFP!S27</f>
        <v>0</v>
      </c>
      <c r="V19" s="3">
        <f>SOFP!U27-SOFP!T27</f>
        <v>0</v>
      </c>
      <c r="W19" s="3">
        <f>SOFP!V27-SOFP!U27</f>
        <v>0</v>
      </c>
      <c r="X19" s="3">
        <f>SOFP!W27-SOFP!V27</f>
        <v>0</v>
      </c>
      <c r="Y19" s="3">
        <f>SOFP!X27-SOFP!W27</f>
        <v>0</v>
      </c>
      <c r="Z19" s="3">
        <f>SOFP!Y27-SOFP!X27</f>
        <v>0</v>
      </c>
      <c r="AA19" s="3">
        <f>SOFP!Z27-SOFP!Y27</f>
        <v>0</v>
      </c>
      <c r="AB19" s="3">
        <f>SOFP!AA27-SOFP!Z27</f>
        <v>0</v>
      </c>
      <c r="AC19" s="3">
        <f>SOFP!AB27-SOFP!AA27</f>
        <v>0</v>
      </c>
      <c r="AD19" s="3">
        <f>SOFP!AC27-SOFP!AB27</f>
        <v>0</v>
      </c>
      <c r="AE19" s="3">
        <f>SOFP!AD27-SOFP!AC27</f>
        <v>0</v>
      </c>
      <c r="AF19" s="3"/>
      <c r="AG19" s="3">
        <f>SOFP!AF27-SOFP!AD27</f>
        <v>0</v>
      </c>
      <c r="AH19" s="3">
        <f>SOFP!AG27-SOFP!AF27</f>
        <v>0</v>
      </c>
      <c r="AI19" s="3">
        <f>SOFP!AH27-SOFP!AG27</f>
        <v>0</v>
      </c>
      <c r="AJ19" s="3">
        <f>SOFP!AI27-SOFP!AH27</f>
        <v>0</v>
      </c>
      <c r="AK19" s="3">
        <f>SOFP!AJ27-SOFP!AI27</f>
        <v>0</v>
      </c>
      <c r="AL19" s="3">
        <f>SOFP!AK27-SOFP!AJ27</f>
        <v>0</v>
      </c>
      <c r="AM19" s="3">
        <f>SOFP!AL27-SOFP!AK27</f>
        <v>0</v>
      </c>
      <c r="AN19" s="3">
        <f>SOFP!AM27-SOFP!AL27</f>
        <v>0</v>
      </c>
      <c r="AO19" s="3">
        <f>SOFP!AN27-SOFP!AM27</f>
        <v>0</v>
      </c>
      <c r="AP19" s="3">
        <f>SOFP!AO27-SOFP!AN27</f>
        <v>0</v>
      </c>
      <c r="AQ19" s="3">
        <f>SOFP!AP27-SOFP!AO27</f>
        <v>0</v>
      </c>
      <c r="AR19" s="3">
        <f>SOFP!AQ27-SOFP!AP27</f>
        <v>0</v>
      </c>
      <c r="AS19" s="3"/>
      <c r="AT19" s="3">
        <f>SOFP!AS27-SOFP!AQ27</f>
        <v>0</v>
      </c>
      <c r="AU19" s="3">
        <f>SOFP!AT27-SOFP!AS27</f>
        <v>0</v>
      </c>
      <c r="AV19" s="3">
        <f>SOFP!AU27-SOFP!AT27</f>
        <v>0</v>
      </c>
      <c r="AW19" s="3">
        <f>SOFP!AV27-SOFP!AU27</f>
        <v>0</v>
      </c>
      <c r="AX19" s="3">
        <f>SOFP!AW27-SOFP!AV27</f>
        <v>0</v>
      </c>
      <c r="AY19" s="3">
        <f>SOFP!AX27-SOFP!AW27</f>
        <v>0</v>
      </c>
      <c r="AZ19" s="3">
        <f>SOFP!AY27-SOFP!AX27</f>
        <v>0</v>
      </c>
      <c r="BA19" s="3">
        <f>SOFP!AZ27-SOFP!AY27</f>
        <v>0</v>
      </c>
      <c r="BB19" s="3">
        <f>SOFP!BA27-SOFP!AZ27</f>
        <v>0</v>
      </c>
      <c r="BC19" s="3">
        <f>SOFP!BB27-SOFP!BA27</f>
        <v>0</v>
      </c>
      <c r="BD19" s="3">
        <f>SOFP!BC27-SOFP!BB27</f>
        <v>0</v>
      </c>
      <c r="BE19" s="3">
        <f>SOFP!BD27-SOFP!BC27</f>
        <v>0</v>
      </c>
      <c r="BF19" s="3"/>
      <c r="BG19" s="3">
        <f>SOFP!BF27-SOFP!BD27</f>
        <v>0</v>
      </c>
      <c r="BH19" s="3">
        <f>SOFP!BG27-SOFP!BF27</f>
        <v>0</v>
      </c>
      <c r="BI19" s="3">
        <f>SOFP!BH27-SOFP!BG27</f>
        <v>0</v>
      </c>
      <c r="BJ19" s="3">
        <f>SOFP!BI27-SOFP!BH27</f>
        <v>0</v>
      </c>
      <c r="BK19" s="3">
        <f>SOFP!BJ27-SOFP!BI27</f>
        <v>0</v>
      </c>
      <c r="BL19" s="3">
        <f>SOFP!BK27-SOFP!BJ27</f>
        <v>0</v>
      </c>
      <c r="BM19" s="3">
        <f>SOFP!BL27-SOFP!BK27</f>
        <v>0</v>
      </c>
      <c r="BN19" s="3">
        <f>SOFP!BM27-SOFP!BL27</f>
        <v>0</v>
      </c>
      <c r="BO19" s="3">
        <f>SOFP!BN27-SOFP!BM27</f>
        <v>0</v>
      </c>
      <c r="BP19" s="3">
        <f>SOFP!BO27-SOFP!BN27</f>
        <v>0</v>
      </c>
      <c r="BQ19" s="3">
        <f>SOFP!BP27-SOFP!BO27</f>
        <v>0</v>
      </c>
      <c r="BR19" s="3">
        <f>SOFP!BQ27-SOFP!BP27</f>
        <v>0</v>
      </c>
      <c r="BS19" s="3"/>
      <c r="BT19" s="2"/>
    </row>
    <row r="20" spans="1:72">
      <c r="A20" s="1"/>
      <c r="B20" s="2"/>
      <c r="C20" s="2"/>
      <c r="D20" s="2" t="s">
        <v>22</v>
      </c>
      <c r="E20" s="2"/>
      <c r="F20" s="2"/>
      <c r="G20" s="3">
        <f>SOFP!F28-0</f>
        <v>4486.2432990179295</v>
      </c>
      <c r="H20" s="3">
        <f>SOFP!G28-SOFP!F28</f>
        <v>4789.064562531159</v>
      </c>
      <c r="I20" s="3">
        <f>SOFP!H28-SOFP!G28</f>
        <v>6729.3649485268943</v>
      </c>
      <c r="J20" s="3">
        <f>SOFP!I28-SOFP!H28</f>
        <v>-8034.113973108686</v>
      </c>
      <c r="K20" s="3">
        <f>SOFP!J28-SOFP!I28</f>
        <v>8972.4865980358609</v>
      </c>
      <c r="L20" s="3">
        <f>SOFP!K28-SOFP!J28</f>
        <v>9057.4532238264728</v>
      </c>
      <c r="M20" s="3">
        <f>SOFP!L28-SOFP!K28</f>
        <v>-16654.158452542277</v>
      </c>
      <c r="N20" s="3">
        <f>SOFP!M28-SOFP!L28</f>
        <v>8972.4865980358591</v>
      </c>
      <c r="O20" s="3">
        <f>SOFP!N28-SOFP!M28</f>
        <v>7970.5588369672951</v>
      </c>
      <c r="P20" s="3">
        <f>SOFP!O28-SOFP!N28</f>
        <v>-18812.313476260628</v>
      </c>
      <c r="Q20" s="3">
        <f>SOFP!P28-SOFP!O28</f>
        <v>6521.3663211550584</v>
      </c>
      <c r="R20" s="3">
        <f>SOFP!Q28-SOFP!P28</f>
        <v>5981.6577320239085</v>
      </c>
      <c r="S20" s="3"/>
      <c r="T20" s="3">
        <f>SOFP!S28-SOFP!Q28</f>
        <v>-14097.763056286874</v>
      </c>
      <c r="U20" s="3">
        <f>SOFP!T28-SOFP!S28</f>
        <v>6253.932165430484</v>
      </c>
      <c r="V20" s="3">
        <f>SOFP!U28-SOFP!T28</f>
        <v>8823.4997428829647</v>
      </c>
      <c r="W20" s="3">
        <f>SOFP!V28-SOFP!U28</f>
        <v>-10523.367524889987</v>
      </c>
      <c r="X20" s="3">
        <f>SOFP!W28-SOFP!V28</f>
        <v>11764.666323843949</v>
      </c>
      <c r="Y20" s="3">
        <f>SOFP!X28-SOFP!W28</f>
        <v>11859.542665165267</v>
      </c>
      <c r="Z20" s="3">
        <f>SOFP!Y28-SOFP!X28</f>
        <v>-21805.745780350539</v>
      </c>
      <c r="AA20" s="3">
        <f>SOFP!Z28-SOFP!Y28</f>
        <v>11764.666323843945</v>
      </c>
      <c r="AB20" s="3">
        <f>SOFP!AA28-SOFP!Z28</f>
        <v>10436.397545345433</v>
      </c>
      <c r="AC20" s="3">
        <f>SOFP!AB28-SOFP!AA28</f>
        <v>-24652.036019990199</v>
      </c>
      <c r="AD20" s="3">
        <f>SOFP!AC28-SOFP!AB28</f>
        <v>8538.8707189189954</v>
      </c>
      <c r="AE20" s="3">
        <f>SOFP!AD28-SOFP!AC28</f>
        <v>7843.1108825626325</v>
      </c>
      <c r="AF20" s="3"/>
      <c r="AG20" s="3">
        <f>SOFP!AF28-SOFP!AD28</f>
        <v>-19377.857179444418</v>
      </c>
      <c r="AH20" s="3">
        <f>SOFP!AG28-SOFP!AF28</f>
        <v>7238.0891168887565</v>
      </c>
      <c r="AI20" s="3">
        <f>SOFP!AH28-SOFP!AG28</f>
        <v>10212.01953786075</v>
      </c>
      <c r="AJ20" s="3">
        <f>SOFP!AI28-SOFP!AH28</f>
        <v>-12179.388893272993</v>
      </c>
      <c r="AK20" s="3">
        <f>SOFP!AJ28-SOFP!AI28</f>
        <v>13616.026050481003</v>
      </c>
      <c r="AL20" s="3">
        <f>SOFP!AK28-SOFP!AJ28</f>
        <v>13725.832712178417</v>
      </c>
      <c r="AM20" s="3">
        <f>SOFP!AL28-SOFP!AK28</f>
        <v>-25237.231080125395</v>
      </c>
      <c r="AN20" s="3">
        <f>SOFP!AM28-SOFP!AL28</f>
        <v>13616.026050481003</v>
      </c>
      <c r="AO20" s="3">
        <f>SOFP!AN28-SOFP!AM28</f>
        <v>12078.73278671701</v>
      </c>
      <c r="AP20" s="3">
        <f>SOFP!AO28-SOFP!AN28</f>
        <v>-28531.43093104822</v>
      </c>
      <c r="AQ20" s="3">
        <f>SOFP!AP28-SOFP!AO28</f>
        <v>9882.5995527684663</v>
      </c>
      <c r="AR20" s="3">
        <f>SOFP!AQ28-SOFP!AP28</f>
        <v>9077.3507003206651</v>
      </c>
      <c r="AS20" s="3"/>
      <c r="AT20" s="3">
        <f>SOFP!AS28-SOFP!AQ28</f>
        <v>-22725.888257131628</v>
      </c>
      <c r="AU20" s="3">
        <f>SOFP!AT28-SOFP!AS28</f>
        <v>8059.6418598715591</v>
      </c>
      <c r="AV20" s="3">
        <f>SOFP!AU28-SOFP!AT28</f>
        <v>11371.125557037496</v>
      </c>
      <c r="AW20" s="3">
        <f>SOFP!AV28-SOFP!AU28</f>
        <v>-13561.799387470348</v>
      </c>
      <c r="AX20" s="3">
        <f>SOFP!AW28-SOFP!AV28</f>
        <v>15161.500742716666</v>
      </c>
      <c r="AY20" s="3">
        <f>SOFP!AX28-SOFP!AW28</f>
        <v>15283.770909996631</v>
      </c>
      <c r="AZ20" s="3">
        <f>SOFP!AY28-SOFP!AX28</f>
        <v>-28101.760113180477</v>
      </c>
      <c r="BA20" s="3">
        <f>SOFP!AZ28-SOFP!AY28</f>
        <v>15161.500742716666</v>
      </c>
      <c r="BB20" s="3">
        <f>SOFP!BA28-SOFP!AZ28</f>
        <v>13449.718400797043</v>
      </c>
      <c r="BC20" s="3">
        <f>SOFP!BB28-SOFP!BA28</f>
        <v>-31769.865131579674</v>
      </c>
      <c r="BD20" s="3">
        <f>SOFP!BC28-SOFP!BB28</f>
        <v>11004.31505519758</v>
      </c>
      <c r="BE20" s="3">
        <f>SOFP!BD28-SOFP!BC28</f>
        <v>10107.667161811114</v>
      </c>
      <c r="BF20" s="3"/>
      <c r="BG20" s="3">
        <f>SOFP!BF28-SOFP!BD28</f>
        <v>-25303.577223386663</v>
      </c>
      <c r="BH20" s="3">
        <f>SOFP!BG28-SOFP!BF28</f>
        <v>8976.3498067147339</v>
      </c>
      <c r="BI20" s="3">
        <f>SOFP!BH28-SOFP!BG28</f>
        <v>12664.483418828884</v>
      </c>
      <c r="BJ20" s="3">
        <f>SOFP!BI28-SOFP!BH28</f>
        <v>-15104.32565453516</v>
      </c>
      <c r="BK20" s="3">
        <f>SOFP!BJ28-SOFP!BI28</f>
        <v>16885.977891771843</v>
      </c>
      <c r="BL20" s="3">
        <f>SOFP!BK28-SOFP!BJ28</f>
        <v>17022.155132834523</v>
      </c>
      <c r="BM20" s="3">
        <f>SOFP!BL28-SOFP!BK28</f>
        <v>-31298.069237571741</v>
      </c>
      <c r="BN20" s="3">
        <f>SOFP!BM28-SOFP!BL28</f>
        <v>16885.977891771843</v>
      </c>
      <c r="BO20" s="3">
        <f>SOFP!BN28-SOFP!BM28</f>
        <v>14979.496516894382</v>
      </c>
      <c r="BP20" s="3">
        <f>SOFP!BO28-SOFP!BN28</f>
        <v>-35383.386469452031</v>
      </c>
      <c r="BQ20" s="3">
        <f>SOFP!BP28-SOFP!BO28</f>
        <v>12255.951695640855</v>
      </c>
      <c r="BR20" s="3">
        <f>SOFP!BQ28-SOFP!BP28</f>
        <v>11257.318594514567</v>
      </c>
      <c r="BS20" s="3"/>
      <c r="BT20" s="2"/>
    </row>
    <row r="21" spans="1:72" ht="15.75" customHeight="1">
      <c r="A21" s="1"/>
      <c r="B21" s="2"/>
      <c r="C21" s="2"/>
      <c r="D21" s="2"/>
      <c r="E21" s="2"/>
      <c r="F21" s="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>
        <f>SOFP!BF29-SOFP!BD29</f>
        <v>0</v>
      </c>
      <c r="BH21" s="3">
        <f>SOFP!BG29-SOFP!BF29</f>
        <v>0</v>
      </c>
      <c r="BI21" s="3">
        <f>SOFP!BH29-SOFP!BG29</f>
        <v>0</v>
      </c>
      <c r="BJ21" s="3">
        <f>SOFP!BI29-SOFP!BH29</f>
        <v>0</v>
      </c>
      <c r="BK21" s="3">
        <f>SOFP!BJ29-SOFP!BI29</f>
        <v>0</v>
      </c>
      <c r="BL21" s="3">
        <f>SOFP!BK29-SOFP!BJ29</f>
        <v>0</v>
      </c>
      <c r="BM21" s="3">
        <f>SOFP!BL29-SOFP!BK29</f>
        <v>0</v>
      </c>
      <c r="BN21" s="3">
        <f>SOFP!BM29-SOFP!BL29</f>
        <v>0</v>
      </c>
      <c r="BO21" s="3">
        <f>SOFP!BN29-SOFP!BM29</f>
        <v>0</v>
      </c>
      <c r="BP21" s="3">
        <f>SOFP!BO29-SOFP!BN29</f>
        <v>0</v>
      </c>
      <c r="BQ21" s="3">
        <f>SOFP!BP29-SOFP!BO29</f>
        <v>0</v>
      </c>
      <c r="BR21" s="3">
        <f>SOFP!BQ29-SOFP!BP29</f>
        <v>0</v>
      </c>
      <c r="BS21" s="3"/>
      <c r="BT21" s="2"/>
    </row>
    <row r="22" spans="1:72" ht="15.75" customHeight="1">
      <c r="A22" s="1"/>
      <c r="B22" s="2"/>
      <c r="C22" s="2"/>
      <c r="D22" s="2"/>
      <c r="E22" s="2"/>
      <c r="F22" s="2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2"/>
    </row>
    <row r="23" spans="1:72" ht="15.75" customHeight="1">
      <c r="A23" s="1"/>
      <c r="B23" s="2"/>
      <c r="C23" s="2"/>
      <c r="D23" s="2"/>
      <c r="E23" s="2" t="s">
        <v>82</v>
      </c>
      <c r="F23" s="2"/>
      <c r="G23" s="18">
        <f>SUM(G7:G21)</f>
        <v>14199.92257668497</v>
      </c>
      <c r="H23" s="18">
        <f t="shared" ref="H23:R23" si="4">SUM(H7:H21)</f>
        <v>44541.454424943593</v>
      </c>
      <c r="I23" s="18">
        <f t="shared" si="4"/>
        <v>1349.6064646695286</v>
      </c>
      <c r="J23" s="18">
        <f t="shared" si="4"/>
        <v>15735.745704646446</v>
      </c>
      <c r="K23" s="18">
        <f t="shared" si="4"/>
        <v>35541.130558597499</v>
      </c>
      <c r="L23" s="18">
        <f t="shared" si="4"/>
        <v>34827.349454845797</v>
      </c>
      <c r="M23" s="18">
        <f t="shared" si="4"/>
        <v>7528.3297559551829</v>
      </c>
      <c r="N23" s="18">
        <f t="shared" si="4"/>
        <v>31057.534487888006</v>
      </c>
      <c r="O23" s="18">
        <f t="shared" si="4"/>
        <v>21878.809999246154</v>
      </c>
      <c r="P23" s="18">
        <f t="shared" si="4"/>
        <v>-9679.9020495064597</v>
      </c>
      <c r="Q23" s="18">
        <f t="shared" si="4"/>
        <v>11817.50947557082</v>
      </c>
      <c r="R23" s="18">
        <f t="shared" si="4"/>
        <v>7137.2108143558125</v>
      </c>
      <c r="S23" s="3"/>
      <c r="T23" s="18">
        <f t="shared" ref="T23:AE23" si="5">SUM(T7:T21)</f>
        <v>-13317.60073693561</v>
      </c>
      <c r="U23" s="18">
        <f t="shared" si="5"/>
        <v>11567.091251259</v>
      </c>
      <c r="V23" s="18">
        <f t="shared" si="5"/>
        <v>30936.700457762214</v>
      </c>
      <c r="W23" s="18">
        <f t="shared" si="5"/>
        <v>27932.013826059898</v>
      </c>
      <c r="X23" s="18">
        <f t="shared" si="5"/>
        <v>53903.972711883558</v>
      </c>
      <c r="Y23" s="18">
        <f t="shared" si="5"/>
        <v>53011.839568345378</v>
      </c>
      <c r="Z23" s="18">
        <f t="shared" si="5"/>
        <v>17134.029210739835</v>
      </c>
      <c r="AA23" s="18">
        <f t="shared" si="5"/>
        <v>48151.492393644665</v>
      </c>
      <c r="AB23" s="18">
        <f t="shared" si="5"/>
        <v>35992.931515467004</v>
      </c>
      <c r="AC23" s="18">
        <f t="shared" si="5"/>
        <v>-5525.9358456247501</v>
      </c>
      <c r="AD23" s="18">
        <f t="shared" si="5"/>
        <v>22757.527607458193</v>
      </c>
      <c r="AE23" s="18">
        <f t="shared" si="5"/>
        <v>16004.981033640164</v>
      </c>
      <c r="AF23" s="3"/>
      <c r="AG23" s="18">
        <f t="shared" ref="AG23:AR23" si="6">SUM(AG7:AG21)</f>
        <v>-23232.246465750733</v>
      </c>
      <c r="AH23" s="18">
        <f t="shared" si="6"/>
        <v>6899.1181718771295</v>
      </c>
      <c r="AI23" s="18">
        <f t="shared" si="6"/>
        <v>31828.798386794646</v>
      </c>
      <c r="AJ23" s="18">
        <f t="shared" si="6"/>
        <v>28477.056526692537</v>
      </c>
      <c r="AK23" s="18">
        <f t="shared" si="6"/>
        <v>58421.791576275791</v>
      </c>
      <c r="AL23" s="18">
        <f t="shared" si="6"/>
        <v>57346.02436394398</v>
      </c>
      <c r="AM23" s="18">
        <f t="shared" si="6"/>
        <v>15716.66105813377</v>
      </c>
      <c r="AN23" s="18">
        <f t="shared" si="6"/>
        <v>51656.30472356324</v>
      </c>
      <c r="AO23" s="18">
        <f t="shared" si="6"/>
        <v>37535.579787196606</v>
      </c>
      <c r="AP23" s="18">
        <f t="shared" si="6"/>
        <v>-10554.844677616111</v>
      </c>
      <c r="AQ23" s="18">
        <f t="shared" si="6"/>
        <v>22265.515610700051</v>
      </c>
      <c r="AR23" s="18">
        <f t="shared" si="6"/>
        <v>14300.751449656324</v>
      </c>
      <c r="AS23" s="3"/>
      <c r="AT23" s="18">
        <f t="shared" ref="AT23:BE23" si="7">SUM(AT7:AT21)</f>
        <v>-24097.955342074198</v>
      </c>
      <c r="AU23" s="18">
        <f t="shared" si="7"/>
        <v>9479.4846622975892</v>
      </c>
      <c r="AV23" s="18">
        <f t="shared" si="7"/>
        <v>38721.036632657924</v>
      </c>
      <c r="AW23" s="18">
        <f t="shared" si="7"/>
        <v>35104.151609079781</v>
      </c>
      <c r="AX23" s="18">
        <f t="shared" si="7"/>
        <v>68364.712846161172</v>
      </c>
      <c r="AY23" s="18">
        <f t="shared" si="7"/>
        <v>67129.023297996173</v>
      </c>
      <c r="AZ23" s="18">
        <f t="shared" si="7"/>
        <v>20693.501493407734</v>
      </c>
      <c r="BA23" s="18">
        <f t="shared" si="7"/>
        <v>60749.948642293835</v>
      </c>
      <c r="BB23" s="18">
        <f t="shared" si="7"/>
        <v>44975.08567046134</v>
      </c>
      <c r="BC23" s="18">
        <f t="shared" si="7"/>
        <v>-8603.230144047353</v>
      </c>
      <c r="BD23" s="18">
        <f t="shared" si="7"/>
        <v>28006.440892484366</v>
      </c>
      <c r="BE23" s="18">
        <f t="shared" si="7"/>
        <v>19183.219102771051</v>
      </c>
      <c r="BF23" s="3"/>
      <c r="BG23" s="18">
        <f t="shared" ref="BG23:BR23" si="8">SUM(BG7:BG21)</f>
        <v>-24133.907964967708</v>
      </c>
      <c r="BH23" s="18">
        <f t="shared" si="8"/>
        <v>13208.657109041465</v>
      </c>
      <c r="BI23" s="18">
        <f t="shared" si="8"/>
        <v>45769.266864768579</v>
      </c>
      <c r="BJ23" s="18">
        <f t="shared" si="8"/>
        <v>41854.546070506003</v>
      </c>
      <c r="BK23" s="18">
        <f t="shared" si="8"/>
        <v>78782.142304206121</v>
      </c>
      <c r="BL23" s="18">
        <f t="shared" si="8"/>
        <v>77365.948638313537</v>
      </c>
      <c r="BM23" s="18">
        <f t="shared" si="8"/>
        <v>25545.848407333571</v>
      </c>
      <c r="BN23" s="18">
        <f t="shared" si="8"/>
        <v>70195.43684532422</v>
      </c>
      <c r="BO23" s="18">
        <f t="shared" si="8"/>
        <v>52586.360215061628</v>
      </c>
      <c r="BP23" s="18">
        <f t="shared" si="8"/>
        <v>-7120.566214064529</v>
      </c>
      <c r="BQ23" s="18">
        <f t="shared" si="8"/>
        <v>33740.544130282877</v>
      </c>
      <c r="BR23" s="18">
        <f t="shared" si="8"/>
        <v>24614.321942849703</v>
      </c>
      <c r="BS23" s="3"/>
      <c r="BT23" s="2"/>
    </row>
    <row r="24" spans="1:72" ht="15.75" customHeight="1">
      <c r="A24" s="1"/>
      <c r="B24" s="2"/>
      <c r="C24" s="2"/>
      <c r="D24" s="2"/>
      <c r="E24" s="2"/>
      <c r="F24" s="2"/>
      <c r="G24" s="311"/>
      <c r="H24" s="311"/>
      <c r="I24" s="311"/>
      <c r="J24" s="311"/>
      <c r="K24" s="311"/>
      <c r="L24" s="311"/>
      <c r="M24" s="311"/>
      <c r="N24" s="311"/>
      <c r="O24" s="311"/>
      <c r="P24" s="311"/>
      <c r="Q24" s="311"/>
      <c r="R24" s="311"/>
      <c r="S24" s="3"/>
      <c r="T24" s="311"/>
      <c r="U24" s="311"/>
      <c r="V24" s="311"/>
      <c r="W24" s="311"/>
      <c r="X24" s="311"/>
      <c r="Y24" s="311"/>
      <c r="Z24" s="311"/>
      <c r="AA24" s="311"/>
      <c r="AB24" s="311"/>
      <c r="AC24" s="311"/>
      <c r="AD24" s="311"/>
      <c r="AE24" s="311"/>
      <c r="AF24" s="3"/>
      <c r="AG24" s="311"/>
      <c r="AH24" s="311"/>
      <c r="AI24" s="311"/>
      <c r="AJ24" s="311"/>
      <c r="AK24" s="311"/>
      <c r="AL24" s="311"/>
      <c r="AM24" s="311"/>
      <c r="AN24" s="311"/>
      <c r="AO24" s="311"/>
      <c r="AP24" s="311"/>
      <c r="AQ24" s="311"/>
      <c r="AR24" s="311"/>
      <c r="AS24" s="3"/>
      <c r="AT24" s="311"/>
      <c r="AU24" s="311"/>
      <c r="AV24" s="311"/>
      <c r="AW24" s="311"/>
      <c r="AX24" s="311"/>
      <c r="AY24" s="311"/>
      <c r="AZ24" s="311"/>
      <c r="BA24" s="311"/>
      <c r="BB24" s="311"/>
      <c r="BC24" s="311"/>
      <c r="BD24" s="311"/>
      <c r="BE24" s="311"/>
      <c r="BF24" s="3"/>
      <c r="BG24" s="311"/>
      <c r="BH24" s="311"/>
      <c r="BI24" s="311"/>
      <c r="BJ24" s="311"/>
      <c r="BK24" s="311"/>
      <c r="BL24" s="311"/>
      <c r="BM24" s="311"/>
      <c r="BN24" s="311"/>
      <c r="BO24" s="311"/>
      <c r="BP24" s="311"/>
      <c r="BQ24" s="311"/>
      <c r="BR24" s="311"/>
      <c r="BS24" s="3"/>
      <c r="BT24" s="2"/>
    </row>
    <row r="25" spans="1:72" ht="15.75" customHeight="1">
      <c r="A25" s="327" t="s">
        <v>622</v>
      </c>
      <c r="B25" s="2"/>
      <c r="C25" s="2"/>
      <c r="D25" s="2"/>
      <c r="E25" s="2"/>
      <c r="F25" s="2"/>
      <c r="G25" s="311"/>
      <c r="H25" s="311"/>
      <c r="I25" s="311"/>
      <c r="J25" s="311"/>
      <c r="K25" s="311"/>
      <c r="L25" s="311"/>
      <c r="M25" s="311"/>
      <c r="N25" s="311"/>
      <c r="O25" s="311"/>
      <c r="P25" s="311"/>
      <c r="Q25" s="311"/>
      <c r="R25" s="311"/>
      <c r="S25" s="3"/>
      <c r="T25" s="311"/>
      <c r="U25" s="311"/>
      <c r="V25" s="311"/>
      <c r="W25" s="311"/>
      <c r="X25" s="311"/>
      <c r="Y25" s="311"/>
      <c r="Z25" s="311"/>
      <c r="AA25" s="311"/>
      <c r="AB25" s="311"/>
      <c r="AC25" s="311"/>
      <c r="AD25" s="311"/>
      <c r="AE25" s="311"/>
      <c r="AF25" s="3"/>
      <c r="AG25" s="311"/>
      <c r="AH25" s="311"/>
      <c r="AI25" s="311"/>
      <c r="AJ25" s="311"/>
      <c r="AK25" s="311"/>
      <c r="AL25" s="311"/>
      <c r="AM25" s="311"/>
      <c r="AN25" s="311"/>
      <c r="AO25" s="311"/>
      <c r="AP25" s="311"/>
      <c r="AQ25" s="311"/>
      <c r="AR25" s="311"/>
      <c r="AS25" s="3"/>
      <c r="AT25" s="311"/>
      <c r="AU25" s="311"/>
      <c r="AV25" s="311"/>
      <c r="AW25" s="311"/>
      <c r="AX25" s="311"/>
      <c r="AY25" s="311"/>
      <c r="AZ25" s="311"/>
      <c r="BA25" s="311"/>
      <c r="BB25" s="311"/>
      <c r="BC25" s="311"/>
      <c r="BD25" s="311"/>
      <c r="BE25" s="311"/>
      <c r="BF25" s="3"/>
      <c r="BG25" s="311"/>
      <c r="BH25" s="311"/>
      <c r="BI25" s="311"/>
      <c r="BJ25" s="311"/>
      <c r="BK25" s="311"/>
      <c r="BL25" s="311"/>
      <c r="BM25" s="311"/>
      <c r="BN25" s="311"/>
      <c r="BO25" s="311"/>
      <c r="BP25" s="311"/>
      <c r="BQ25" s="311"/>
      <c r="BR25" s="311"/>
      <c r="BS25" s="3"/>
      <c r="BT25" s="2"/>
    </row>
    <row r="26" spans="1:72" ht="15.75" customHeight="1">
      <c r="A26" s="327"/>
      <c r="B26" s="283" t="s">
        <v>623</v>
      </c>
      <c r="C26" s="2"/>
      <c r="D26" s="2"/>
      <c r="E26" s="2"/>
      <c r="F26" s="2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3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311"/>
      <c r="AF26" s="3"/>
      <c r="AG26" s="311"/>
      <c r="AH26" s="311"/>
      <c r="AI26" s="311"/>
      <c r="AJ26" s="311"/>
      <c r="AK26" s="311"/>
      <c r="AL26" s="311"/>
      <c r="AM26" s="311"/>
      <c r="AN26" s="311"/>
      <c r="AO26" s="311"/>
      <c r="AP26" s="311"/>
      <c r="AQ26" s="311"/>
      <c r="AR26" s="311"/>
      <c r="AS26" s="3"/>
      <c r="AT26" s="311"/>
      <c r="AU26" s="311"/>
      <c r="AV26" s="311"/>
      <c r="AW26" s="311"/>
      <c r="AX26" s="311"/>
      <c r="AY26" s="311"/>
      <c r="AZ26" s="311"/>
      <c r="BA26" s="311"/>
      <c r="BB26" s="311"/>
      <c r="BC26" s="311"/>
      <c r="BD26" s="311"/>
      <c r="BE26" s="311"/>
      <c r="BF26" s="3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"/>
      <c r="BT26" s="2"/>
    </row>
    <row r="27" spans="1:72" ht="15.75" customHeight="1">
      <c r="A27" s="1"/>
      <c r="B27" s="2"/>
      <c r="C27" s="2"/>
      <c r="D27" s="2"/>
      <c r="E27" s="2"/>
      <c r="F27" s="2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2"/>
    </row>
    <row r="28" spans="1:72" ht="15.75" customHeight="1">
      <c r="A28" s="1" t="s">
        <v>83</v>
      </c>
      <c r="B28" s="2"/>
      <c r="C28" s="2"/>
      <c r="D28" s="2"/>
      <c r="E28" s="2"/>
      <c r="F28" s="2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2"/>
    </row>
    <row r="29" spans="1:72" ht="15.75" customHeight="1">
      <c r="A29" s="1"/>
      <c r="B29" s="2" t="s">
        <v>84</v>
      </c>
      <c r="C29" s="2"/>
      <c r="D29" s="2"/>
      <c r="E29" s="2"/>
      <c r="F29" s="2"/>
      <c r="G29" s="38">
        <f>-'Capital purchases'!$C115</f>
        <v>-739832.5</v>
      </c>
      <c r="H29" s="38">
        <f>-'Capital purchases'!$C116</f>
        <v>0</v>
      </c>
      <c r="I29" s="38">
        <f>-'Capital purchases'!$C117</f>
        <v>0</v>
      </c>
      <c r="J29" s="38">
        <f>-'Capital purchases'!$C118</f>
        <v>0</v>
      </c>
      <c r="K29" s="38">
        <f>-'Capital purchases'!$C119</f>
        <v>0</v>
      </c>
      <c r="L29" s="38">
        <f>-'Capital purchases'!$C120</f>
        <v>0</v>
      </c>
      <c r="M29" s="38">
        <f>-'Capital purchases'!$C121</f>
        <v>0</v>
      </c>
      <c r="N29" s="38">
        <f>-'Capital purchases'!$C122</f>
        <v>0</v>
      </c>
      <c r="O29" s="38">
        <f>-'Capital purchases'!$C123</f>
        <v>0</v>
      </c>
      <c r="P29" s="38">
        <f>-'Capital purchases'!$C124</f>
        <v>0</v>
      </c>
      <c r="Q29" s="38">
        <f>-'Capital purchases'!$C125</f>
        <v>0</v>
      </c>
      <c r="R29" s="38">
        <f>-'Capital purchases'!$C126</f>
        <v>0</v>
      </c>
      <c r="S29" s="38"/>
      <c r="T29" s="38">
        <f>-'Capital purchases'!$C129</f>
        <v>0</v>
      </c>
      <c r="U29" s="38">
        <f>-'Capital purchases'!$C130</f>
        <v>0</v>
      </c>
      <c r="V29" s="38">
        <f>-'Capital purchases'!$C131</f>
        <v>0</v>
      </c>
      <c r="W29" s="38">
        <f>-'Capital purchases'!$C132</f>
        <v>0</v>
      </c>
      <c r="X29" s="38">
        <f>-'Capital purchases'!$C133</f>
        <v>0</v>
      </c>
      <c r="Y29" s="38">
        <f>-'Capital purchases'!$C134</f>
        <v>0</v>
      </c>
      <c r="Z29" s="38">
        <f>-'Capital purchases'!$C135</f>
        <v>0</v>
      </c>
      <c r="AA29" s="38">
        <f>-'Capital purchases'!$C136</f>
        <v>0</v>
      </c>
      <c r="AB29" s="38">
        <f>-'Capital purchases'!$C137</f>
        <v>0</v>
      </c>
      <c r="AC29" s="38">
        <f>-'Capital purchases'!$C138</f>
        <v>0</v>
      </c>
      <c r="AD29" s="38">
        <f>-'Capital purchases'!$C139</f>
        <v>0</v>
      </c>
      <c r="AE29" s="38">
        <f>-'Capital purchases'!$C140</f>
        <v>0</v>
      </c>
      <c r="AF29" s="38"/>
      <c r="AG29" s="38">
        <f>-'Capital purchases'!$C143</f>
        <v>0</v>
      </c>
      <c r="AH29" s="38">
        <f>-'Capital purchases'!$C144</f>
        <v>0</v>
      </c>
      <c r="AI29" s="38">
        <f>-'Capital purchases'!$C145</f>
        <v>0</v>
      </c>
      <c r="AJ29" s="38">
        <f>-'Capital purchases'!$C146</f>
        <v>0</v>
      </c>
      <c r="AK29" s="38">
        <f>-'Capital purchases'!$C147</f>
        <v>0</v>
      </c>
      <c r="AL29" s="38">
        <f>-'Capital purchases'!$C148</f>
        <v>0</v>
      </c>
      <c r="AM29" s="38">
        <f>-'Capital purchases'!$C149</f>
        <v>0</v>
      </c>
      <c r="AN29" s="38">
        <f>-'Capital purchases'!$C150</f>
        <v>0</v>
      </c>
      <c r="AO29" s="38">
        <f>-'Capital purchases'!$C151</f>
        <v>0</v>
      </c>
      <c r="AP29" s="38">
        <f>-'Capital purchases'!$C152</f>
        <v>0</v>
      </c>
      <c r="AQ29" s="38">
        <f>-'Capital purchases'!$C153</f>
        <v>0</v>
      </c>
      <c r="AR29" s="38">
        <f>-'Capital purchases'!$C154</f>
        <v>0</v>
      </c>
      <c r="AS29" s="3"/>
      <c r="AT29" s="38">
        <f>-'Capital purchases'!$C157</f>
        <v>0</v>
      </c>
      <c r="AU29" s="38">
        <f>-'Capital purchases'!$C158</f>
        <v>0</v>
      </c>
      <c r="AV29" s="38">
        <f>-'Capital purchases'!$C159</f>
        <v>0</v>
      </c>
      <c r="AW29" s="38">
        <f>-'Capital purchases'!$C160</f>
        <v>0</v>
      </c>
      <c r="AX29" s="38">
        <f>-'Capital purchases'!$C161</f>
        <v>0</v>
      </c>
      <c r="AY29" s="38">
        <f>-'Capital purchases'!$C162</f>
        <v>0</v>
      </c>
      <c r="AZ29" s="38">
        <f>-'Capital purchases'!$C163</f>
        <v>0</v>
      </c>
      <c r="BA29" s="38">
        <f>-'Capital purchases'!$C164</f>
        <v>0</v>
      </c>
      <c r="BB29" s="38">
        <f>-'Capital purchases'!$C165</f>
        <v>0</v>
      </c>
      <c r="BC29" s="38">
        <f>-'Capital purchases'!$C166</f>
        <v>0</v>
      </c>
      <c r="BD29" s="38">
        <f>-'Capital purchases'!$C167</f>
        <v>0</v>
      </c>
      <c r="BE29" s="38">
        <f>-'Capital purchases'!$C168</f>
        <v>0</v>
      </c>
      <c r="BF29" s="3"/>
      <c r="BG29" s="38">
        <f>-'Capital purchases'!$C171</f>
        <v>0</v>
      </c>
      <c r="BH29" s="38">
        <f>-'Capital purchases'!$C172</f>
        <v>0</v>
      </c>
      <c r="BI29" s="38">
        <f>-'Capital purchases'!$C173</f>
        <v>0</v>
      </c>
      <c r="BJ29" s="38">
        <f>-'Capital purchases'!$C174</f>
        <v>0</v>
      </c>
      <c r="BK29" s="38">
        <f>-'Capital purchases'!$C175</f>
        <v>0</v>
      </c>
      <c r="BL29" s="38">
        <f>-'Capital purchases'!$C176</f>
        <v>0</v>
      </c>
      <c r="BM29" s="38">
        <f>-'Capital purchases'!$C177</f>
        <v>0</v>
      </c>
      <c r="BN29" s="38">
        <f>-'Capital purchases'!$C178</f>
        <v>0</v>
      </c>
      <c r="BO29" s="38">
        <f>-'Capital purchases'!$C179</f>
        <v>0</v>
      </c>
      <c r="BP29" s="38">
        <f>-'Capital purchases'!$C180</f>
        <v>0</v>
      </c>
      <c r="BQ29" s="38">
        <f>-'Capital purchases'!$C181</f>
        <v>0</v>
      </c>
      <c r="BR29" s="38">
        <f>-'Capital purchases'!$C182</f>
        <v>0</v>
      </c>
      <c r="BS29" s="3"/>
      <c r="BT29" s="2"/>
    </row>
    <row r="30" spans="1:72" ht="15.75" customHeight="1">
      <c r="A30" s="1"/>
      <c r="B30" s="283" t="s">
        <v>623</v>
      </c>
      <c r="C30" s="2"/>
      <c r="D30" s="2"/>
      <c r="E30" s="2"/>
      <c r="F30" s="2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2"/>
    </row>
    <row r="31" spans="1:72" ht="15.75" customHeight="1">
      <c r="A31" s="1"/>
      <c r="B31" s="2"/>
      <c r="C31" s="2"/>
      <c r="D31" s="2"/>
      <c r="E31" s="2" t="s">
        <v>85</v>
      </c>
      <c r="F31" s="2"/>
      <c r="G31" s="18">
        <f>SUM(G29:G30)</f>
        <v>-739832.5</v>
      </c>
      <c r="H31" s="18">
        <f t="shared" ref="H31:R31" si="9">SUM(H29:H30)</f>
        <v>0</v>
      </c>
      <c r="I31" s="18">
        <f t="shared" si="9"/>
        <v>0</v>
      </c>
      <c r="J31" s="18">
        <f t="shared" si="9"/>
        <v>0</v>
      </c>
      <c r="K31" s="18">
        <f t="shared" si="9"/>
        <v>0</v>
      </c>
      <c r="L31" s="18">
        <f t="shared" si="9"/>
        <v>0</v>
      </c>
      <c r="M31" s="18">
        <f t="shared" si="9"/>
        <v>0</v>
      </c>
      <c r="N31" s="18">
        <f t="shared" si="9"/>
        <v>0</v>
      </c>
      <c r="O31" s="18">
        <f t="shared" si="9"/>
        <v>0</v>
      </c>
      <c r="P31" s="18">
        <f t="shared" si="9"/>
        <v>0</v>
      </c>
      <c r="Q31" s="18">
        <f t="shared" si="9"/>
        <v>0</v>
      </c>
      <c r="R31" s="18">
        <f t="shared" si="9"/>
        <v>0</v>
      </c>
      <c r="S31" s="3"/>
      <c r="T31" s="18">
        <f t="shared" ref="T31:AE31" si="10">SUM(T29:T30)</f>
        <v>0</v>
      </c>
      <c r="U31" s="18">
        <f t="shared" si="10"/>
        <v>0</v>
      </c>
      <c r="V31" s="18">
        <f t="shared" si="10"/>
        <v>0</v>
      </c>
      <c r="W31" s="18">
        <f t="shared" si="10"/>
        <v>0</v>
      </c>
      <c r="X31" s="18">
        <f t="shared" si="10"/>
        <v>0</v>
      </c>
      <c r="Y31" s="18">
        <f t="shared" si="10"/>
        <v>0</v>
      </c>
      <c r="Z31" s="18">
        <f t="shared" si="10"/>
        <v>0</v>
      </c>
      <c r="AA31" s="18">
        <f t="shared" si="10"/>
        <v>0</v>
      </c>
      <c r="AB31" s="18">
        <f t="shared" si="10"/>
        <v>0</v>
      </c>
      <c r="AC31" s="18">
        <f t="shared" si="10"/>
        <v>0</v>
      </c>
      <c r="AD31" s="18">
        <f t="shared" si="10"/>
        <v>0</v>
      </c>
      <c r="AE31" s="18">
        <f t="shared" si="10"/>
        <v>0</v>
      </c>
      <c r="AF31" s="3"/>
      <c r="AG31" s="18">
        <f t="shared" ref="AG31:AR31" si="11">SUM(AG29:AG30)</f>
        <v>0</v>
      </c>
      <c r="AH31" s="18">
        <f t="shared" si="11"/>
        <v>0</v>
      </c>
      <c r="AI31" s="18">
        <f t="shared" si="11"/>
        <v>0</v>
      </c>
      <c r="AJ31" s="18">
        <f t="shared" si="11"/>
        <v>0</v>
      </c>
      <c r="AK31" s="18">
        <f t="shared" si="11"/>
        <v>0</v>
      </c>
      <c r="AL31" s="18">
        <f t="shared" si="11"/>
        <v>0</v>
      </c>
      <c r="AM31" s="18">
        <f t="shared" si="11"/>
        <v>0</v>
      </c>
      <c r="AN31" s="18">
        <f t="shared" si="11"/>
        <v>0</v>
      </c>
      <c r="AO31" s="18">
        <f t="shared" si="11"/>
        <v>0</v>
      </c>
      <c r="AP31" s="18">
        <f t="shared" si="11"/>
        <v>0</v>
      </c>
      <c r="AQ31" s="18">
        <f t="shared" si="11"/>
        <v>0</v>
      </c>
      <c r="AR31" s="18">
        <f t="shared" si="11"/>
        <v>0</v>
      </c>
      <c r="AS31" s="3"/>
      <c r="AT31" s="18">
        <f t="shared" ref="AT31:BE31" si="12">SUM(AT29:AT30)</f>
        <v>0</v>
      </c>
      <c r="AU31" s="18">
        <f t="shared" si="12"/>
        <v>0</v>
      </c>
      <c r="AV31" s="18">
        <f t="shared" si="12"/>
        <v>0</v>
      </c>
      <c r="AW31" s="18">
        <f t="shared" si="12"/>
        <v>0</v>
      </c>
      <c r="AX31" s="18">
        <f t="shared" si="12"/>
        <v>0</v>
      </c>
      <c r="AY31" s="18">
        <f t="shared" si="12"/>
        <v>0</v>
      </c>
      <c r="AZ31" s="18">
        <f t="shared" si="12"/>
        <v>0</v>
      </c>
      <c r="BA31" s="18">
        <f t="shared" si="12"/>
        <v>0</v>
      </c>
      <c r="BB31" s="18">
        <f t="shared" si="12"/>
        <v>0</v>
      </c>
      <c r="BC31" s="18">
        <f t="shared" si="12"/>
        <v>0</v>
      </c>
      <c r="BD31" s="18">
        <f t="shared" si="12"/>
        <v>0</v>
      </c>
      <c r="BE31" s="18">
        <f t="shared" si="12"/>
        <v>0</v>
      </c>
      <c r="BF31" s="3"/>
      <c r="BG31" s="18">
        <f t="shared" ref="BG31:BR31" si="13">SUM(BG29:BG30)</f>
        <v>0</v>
      </c>
      <c r="BH31" s="18">
        <f t="shared" si="13"/>
        <v>0</v>
      </c>
      <c r="BI31" s="18">
        <f t="shared" si="13"/>
        <v>0</v>
      </c>
      <c r="BJ31" s="18">
        <f t="shared" si="13"/>
        <v>0</v>
      </c>
      <c r="BK31" s="18">
        <f t="shared" si="13"/>
        <v>0</v>
      </c>
      <c r="BL31" s="18">
        <f t="shared" si="13"/>
        <v>0</v>
      </c>
      <c r="BM31" s="18">
        <f t="shared" si="13"/>
        <v>0</v>
      </c>
      <c r="BN31" s="18">
        <f t="shared" si="13"/>
        <v>0</v>
      </c>
      <c r="BO31" s="18">
        <f t="shared" si="13"/>
        <v>0</v>
      </c>
      <c r="BP31" s="18">
        <f t="shared" si="13"/>
        <v>0</v>
      </c>
      <c r="BQ31" s="18">
        <f t="shared" si="13"/>
        <v>0</v>
      </c>
      <c r="BR31" s="18">
        <f t="shared" si="13"/>
        <v>0</v>
      </c>
      <c r="BS31" s="3"/>
      <c r="BT31" s="2"/>
    </row>
    <row r="32" spans="1:72" ht="15.75" customHeight="1">
      <c r="A32" s="1"/>
      <c r="B32" s="2"/>
      <c r="C32" s="2"/>
      <c r="D32" s="2"/>
      <c r="E32" s="2"/>
      <c r="F32" s="2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2"/>
    </row>
    <row r="33" spans="1:72" ht="15.75" customHeight="1">
      <c r="A33" s="1" t="s">
        <v>86</v>
      </c>
      <c r="B33" s="2"/>
      <c r="C33" s="2"/>
      <c r="D33" s="2"/>
      <c r="E33" s="2"/>
      <c r="F33" s="2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2"/>
    </row>
    <row r="34" spans="1:72" ht="15.75" customHeight="1">
      <c r="A34" s="16"/>
      <c r="B34" s="17" t="s">
        <v>87</v>
      </c>
      <c r="C34" s="17"/>
      <c r="D34" s="17"/>
      <c r="E34" s="17"/>
      <c r="F34" s="17"/>
      <c r="G34" s="39">
        <f>-IF(Assumptions!$B$36&gt;G$6,0,HLOOKUP(G$6,LoanPayCalc!$I$10:$BQ$13,3,FALSE))-IF(Assumptions!$B$40&gt;G$6,0,HLOOKUP(G$6,LoanPayCalc!$CC$10:$EK$13,3,FALSE))</f>
        <v>-3905.3922838742646</v>
      </c>
      <c r="H34" s="39">
        <f>-IF(Assumptions!$B$36&gt;H$6,0,HLOOKUP(H$6,LoanPayCalc!$I$10:$BQ$13,3,FALSE))-IF(Assumptions!$B$40&gt;H$6,0,HLOOKUP(H$6,LoanPayCalc!$CC$10:$EK$13,3,FALSE))</f>
        <v>-3937.9372195732167</v>
      </c>
      <c r="I34" s="39">
        <f>-IF(Assumptions!$B$36&gt;I$6,0,HLOOKUP(I$6,LoanPayCalc!$I$10:$BQ$13,3,FALSE))-IF(Assumptions!$B$40&gt;I$6,0,HLOOKUP(I$6,LoanPayCalc!$CC$10:$EK$13,3,FALSE))</f>
        <v>-3970.7533630696598</v>
      </c>
      <c r="J34" s="39">
        <f>-IF(Assumptions!$B$36&gt;J$6,0,HLOOKUP(J$6,LoanPayCalc!$I$10:$BQ$13,3,FALSE))-IF(Assumptions!$B$40&gt;J$6,0,HLOOKUP(J$6,LoanPayCalc!$CC$10:$EK$13,3,FALSE))</f>
        <v>-4003.8429744285731</v>
      </c>
      <c r="K34" s="39">
        <f>-IF(Assumptions!$B$36&gt;K$6,0,HLOOKUP(K$6,LoanPayCalc!$I$10:$BQ$13,3,FALSE))-IF(Assumptions!$B$40&gt;K$6,0,HLOOKUP(K$6,LoanPayCalc!$CC$10:$EK$13,3,FALSE))</f>
        <v>-4037.2083325488111</v>
      </c>
      <c r="L34" s="39">
        <f>-IF(Assumptions!$B$36&gt;L$6,0,HLOOKUP(L$6,LoanPayCalc!$I$10:$BQ$13,3,FALSE))-IF(Assumptions!$B$40&gt;L$6,0,HLOOKUP(L$6,LoanPayCalc!$CC$10:$EK$13,3,FALSE))</f>
        <v>-4070.8517353200514</v>
      </c>
      <c r="M34" s="39">
        <f>-IF(Assumptions!$B$36&gt;M$6,0,HLOOKUP(M$6,LoanPayCalc!$I$10:$BQ$13,3,FALSE))-IF(Assumptions!$B$40&gt;M$6,0,HLOOKUP(M$6,LoanPayCalc!$CC$10:$EK$13,3,FALSE))</f>
        <v>-4104.7754997810525</v>
      </c>
      <c r="N34" s="39">
        <f>-IF(Assumptions!$B$36&gt;N$6,0,HLOOKUP(N$6,LoanPayCalc!$I$10:$BQ$13,3,FALSE))-IF(Assumptions!$B$40&gt;N$6,0,HLOOKUP(N$6,LoanPayCalc!$CC$10:$EK$13,3,FALSE))</f>
        <v>-4138.9819622792274</v>
      </c>
      <c r="O34" s="39">
        <f>-IF(Assumptions!$B$36&gt;O$6,0,HLOOKUP(O$6,LoanPayCalc!$I$10:$BQ$13,3,FALSE))-IF(Assumptions!$B$40&gt;O$6,0,HLOOKUP(O$6,LoanPayCalc!$CC$10:$EK$13,3,FALSE))</f>
        <v>-4173.4734786315539</v>
      </c>
      <c r="P34" s="39">
        <f>-IF(Assumptions!$B$36&gt;P$6,0,HLOOKUP(P$6,LoanPayCalc!$I$10:$BQ$13,3,FALSE))-IF(Assumptions!$B$40&gt;P$6,0,HLOOKUP(P$6,LoanPayCalc!$CC$10:$EK$13,3,FALSE))</f>
        <v>-4208.2524242868167</v>
      </c>
      <c r="Q34" s="39">
        <f>-IF(Assumptions!$B$36&gt;Q$6,0,HLOOKUP(Q$6,LoanPayCalc!$I$10:$BQ$13,3,FALSE))-IF(Assumptions!$B$40&gt;Q$6,0,HLOOKUP(Q$6,LoanPayCalc!$CC$10:$EK$13,3,FALSE))</f>
        <v>-4243.3211944892073</v>
      </c>
      <c r="R34" s="39">
        <f>-IF(Assumptions!$B$36&gt;R$6,0,HLOOKUP(R$6,LoanPayCalc!$I$10:$BQ$13,3,FALSE))-IF(Assumptions!$B$40&gt;R$6,0,HLOOKUP(R$6,LoanPayCalc!$CC$10:$EK$13,3,FALSE))</f>
        <v>-4278.6822044432838</v>
      </c>
      <c r="S34" s="39"/>
      <c r="T34" s="39">
        <f>-IF(Assumptions!$B$36&gt;T$6,0,HLOOKUP(T$6,LoanPayCalc!$I$10:$BQ$13,3,FALSE))-IF(Assumptions!$B$40&gt;T$6,0,HLOOKUP(T$6,LoanPayCalc!$CC$10:$EK$13,3,FALSE))</f>
        <v>-4314.3378894803118</v>
      </c>
      <c r="U34" s="39">
        <f>-IF(Assumptions!$B$36&gt;U$6,0,HLOOKUP(U$6,LoanPayCalc!$I$10:$BQ$13,3,FALSE))-IF(Assumptions!$B$40&gt;U$6,0,HLOOKUP(U$6,LoanPayCalc!$CC$10:$EK$13,3,FALSE))</f>
        <v>-4350.2907052259807</v>
      </c>
      <c r="V34" s="39">
        <f>-IF(Assumptions!$B$36&gt;V$6,0,HLOOKUP(V$6,LoanPayCalc!$I$10:$BQ$13,3,FALSE))-IF(Assumptions!$B$40&gt;V$6,0,HLOOKUP(V$6,LoanPayCalc!$CC$10:$EK$13,3,FALSE))</f>
        <v>-4386.5431277695307</v>
      </c>
      <c r="W34" s="39">
        <f>-IF(Assumptions!$B$36&gt;W$6,0,HLOOKUP(W$6,LoanPayCalc!$I$10:$BQ$13,3,FALSE))-IF(Assumptions!$B$40&gt;W$6,0,HLOOKUP(W$6,LoanPayCalc!$CC$10:$EK$13,3,FALSE))</f>
        <v>-4423.0976538342766</v>
      </c>
      <c r="X34" s="39">
        <f>-IF(Assumptions!$B$36&gt;X$6,0,HLOOKUP(X$6,LoanPayCalc!$I$10:$BQ$13,3,FALSE))-IF(Assumptions!$B$40&gt;X$6,0,HLOOKUP(X$6,LoanPayCalc!$CC$10:$EK$13,3,FALSE))</f>
        <v>-4459.9568009495615</v>
      </c>
      <c r="Y34" s="39">
        <f>-IF(Assumptions!$B$36&gt;Y$6,0,HLOOKUP(Y$6,LoanPayCalc!$I$10:$BQ$13,3,FALSE))-IF(Assumptions!$B$40&gt;Y$6,0,HLOOKUP(Y$6,LoanPayCalc!$CC$10:$EK$13,3,FALSE))</f>
        <v>-4497.1231076241411</v>
      </c>
      <c r="Z34" s="39">
        <f>-IF(Assumptions!$B$36&gt;Z$6,0,HLOOKUP(Z$6,LoanPayCalc!$I$10:$BQ$13,3,FALSE))-IF(Assumptions!$B$40&gt;Z$6,0,HLOOKUP(Z$6,LoanPayCalc!$CC$10:$EK$13,3,FALSE))</f>
        <v>-4534.5991335210092</v>
      </c>
      <c r="AA34" s="39">
        <f>-IF(Assumptions!$B$36&gt;AA$6,0,HLOOKUP(AA$6,LoanPayCalc!$I$10:$BQ$13,3,FALSE))-IF(Assumptions!$B$40&gt;AA$6,0,HLOOKUP(AA$6,LoanPayCalc!$CC$10:$EK$13,3,FALSE))</f>
        <v>-4572.3874596336836</v>
      </c>
      <c r="AB34" s="39">
        <f>-IF(Assumptions!$B$36&gt;AB$6,0,HLOOKUP(AB$6,LoanPayCalc!$I$10:$BQ$13,3,FALSE))-IF(Assumptions!$B$40&gt;AB$6,0,HLOOKUP(AB$6,LoanPayCalc!$CC$10:$EK$13,3,FALSE))</f>
        <v>-4610.490688463964</v>
      </c>
      <c r="AC34" s="39">
        <f>-IF(Assumptions!$B$36&gt;AC$6,0,HLOOKUP(AC$6,LoanPayCalc!$I$10:$BQ$13,3,FALSE))-IF(Assumptions!$B$40&gt;AC$6,0,HLOOKUP(AC$6,LoanPayCalc!$CC$10:$EK$13,3,FALSE))</f>
        <v>-4648.9114442011632</v>
      </c>
      <c r="AD34" s="39">
        <f>-IF(Assumptions!$B$36&gt;AD$6,0,HLOOKUP(AD$6,LoanPayCalc!$I$10:$BQ$13,3,FALSE))-IF(Assumptions!$B$40&gt;AD$6,0,HLOOKUP(AD$6,LoanPayCalc!$CC$10:$EK$13,3,FALSE))</f>
        <v>-4687.6523729028395</v>
      </c>
      <c r="AE34" s="39">
        <f>-IF(Assumptions!$B$36&gt;AE$6,0,HLOOKUP(AE$6,LoanPayCalc!$I$10:$BQ$13,3,FALSE))-IF(Assumptions!$B$40&gt;AE$6,0,HLOOKUP(AE$6,LoanPayCalc!$CC$10:$EK$13,3,FALSE))</f>
        <v>-4726.7161426770299</v>
      </c>
      <c r="AF34" s="39"/>
      <c r="AG34" s="39">
        <f>-IF(Assumptions!$B$36&gt;AG$6,0,HLOOKUP(AG$6,LoanPayCalc!$I$10:$BQ$13,3,FALSE))-IF(Assumptions!$B$40&gt;AG$6,0,HLOOKUP(AG$6,LoanPayCalc!$CC$10:$EK$13,3,FALSE))</f>
        <v>-4766.1054438660049</v>
      </c>
      <c r="AH34" s="39">
        <f>-IF(Assumptions!$B$36&gt;AH$6,0,HLOOKUP(AH$6,LoanPayCalc!$I$10:$BQ$13,3,FALSE))-IF(Assumptions!$B$40&gt;AH$6,0,HLOOKUP(AH$6,LoanPayCalc!$CC$10:$EK$13,3,FALSE))</f>
        <v>-4805.8229892315549</v>
      </c>
      <c r="AI34" s="39">
        <f>-IF(Assumptions!$B$36&gt;AI$6,0,HLOOKUP(AI$6,LoanPayCalc!$I$10:$BQ$13,3,FALSE))-IF(Assumptions!$B$40&gt;AI$6,0,HLOOKUP(AI$6,LoanPayCalc!$CC$10:$EK$13,3,FALSE))</f>
        <v>-4845.8715141418179</v>
      </c>
      <c r="AJ34" s="39">
        <f>-IF(Assumptions!$B$36&gt;AJ$6,0,HLOOKUP(AJ$6,LoanPayCalc!$I$10:$BQ$13,3,FALSE))-IF(Assumptions!$B$40&gt;AJ$6,0,HLOOKUP(AJ$6,LoanPayCalc!$CC$10:$EK$13,3,FALSE))</f>
        <v>-4886.2537767596659</v>
      </c>
      <c r="AK34" s="39">
        <f>-IF(Assumptions!$B$36&gt;AK$6,0,HLOOKUP(AK$6,LoanPayCalc!$I$10:$BQ$13,3,FALSE))-IF(Assumptions!$B$40&gt;AK$6,0,HLOOKUP(AK$6,LoanPayCalc!$CC$10:$EK$13,3,FALSE))</f>
        <v>-4926.9725582326628</v>
      </c>
      <c r="AL34" s="39">
        <f>-IF(Assumptions!$B$36&gt;AL$6,0,HLOOKUP(AL$6,LoanPayCalc!$I$10:$BQ$13,3,FALSE))-IF(Assumptions!$B$40&gt;AL$6,0,HLOOKUP(AL$6,LoanPayCalc!$CC$10:$EK$13,3,FALSE))</f>
        <v>-4968.030662884601</v>
      </c>
      <c r="AM34" s="39">
        <f>-IF(Assumptions!$B$36&gt;AM$6,0,HLOOKUP(AM$6,LoanPayCalc!$I$10:$BQ$13,3,FALSE))-IF(Assumptions!$B$40&gt;AM$6,0,HLOOKUP(AM$6,LoanPayCalc!$CC$10:$EK$13,3,FALSE))</f>
        <v>-5009.4309184086396</v>
      </c>
      <c r="AN34" s="39">
        <f>-IF(Assumptions!$B$36&gt;AN$6,0,HLOOKUP(AN$6,LoanPayCalc!$I$10:$BQ$13,3,FALSE))-IF(Assumptions!$B$40&gt;AN$6,0,HLOOKUP(AN$6,LoanPayCalc!$CC$10:$EK$13,3,FALSE))</f>
        <v>-5051.1761760620448</v>
      </c>
      <c r="AO34" s="39">
        <f>-IF(Assumptions!$B$36&gt;AO$6,0,HLOOKUP(AO$6,LoanPayCalc!$I$10:$BQ$13,3,FALSE))-IF(Assumptions!$B$40&gt;AO$6,0,HLOOKUP(AO$6,LoanPayCalc!$CC$10:$EK$13,3,FALSE))</f>
        <v>-5093.2693108625626</v>
      </c>
      <c r="AP34" s="39">
        <f>-IF(Assumptions!$B$36&gt;AP$6,0,HLOOKUP(AP$6,LoanPayCalc!$I$10:$BQ$13,3,FALSE))-IF(Assumptions!$B$40&gt;AP$6,0,HLOOKUP(AP$6,LoanPayCalc!$CC$10:$EK$13,3,FALSE))</f>
        <v>-5135.7132217864164</v>
      </c>
      <c r="AQ34" s="39">
        <f>-IF(Assumptions!$B$36&gt;AQ$6,0,HLOOKUP(AQ$6,LoanPayCalc!$I$10:$BQ$13,3,FALSE))-IF(Assumptions!$B$40&gt;AQ$6,0,HLOOKUP(AQ$6,LoanPayCalc!$CC$10:$EK$13,3,FALSE))</f>
        <v>-5178.5108319679703</v>
      </c>
      <c r="AR34" s="39">
        <f>-IF(Assumptions!$B$36&gt;AR$6,0,HLOOKUP(AR$6,LoanPayCalc!$I$10:$BQ$13,3,FALSE))-IF(Assumptions!$B$40&gt;AR$6,0,HLOOKUP(AR$6,LoanPayCalc!$CC$10:$EK$13,3,FALSE))</f>
        <v>-5221.6650889010361</v>
      </c>
      <c r="AS34" s="39"/>
      <c r="AT34" s="39">
        <f>-IF(Assumptions!$B$36&gt;AT$6,0,HLOOKUP(AT$6,LoanPayCalc!$I$10:$BQ$13,3,FALSE))-IF(Assumptions!$B$40&gt;AT$6,0,HLOOKUP(AT$6,LoanPayCalc!$CC$10:$EK$13,3,FALSE))</f>
        <v>-5265.1789646418783</v>
      </c>
      <c r="AU34" s="39">
        <f>-IF(Assumptions!$B$36&gt;AU$6,0,HLOOKUP(AU$6,LoanPayCalc!$I$10:$BQ$13,3,FALSE))-IF(Assumptions!$B$40&gt;AU$6,0,HLOOKUP(AU$6,LoanPayCalc!$CC$10:$EK$13,3,FALSE))</f>
        <v>-5309.0554560138944</v>
      </c>
      <c r="AV34" s="39">
        <f>-IF(Assumptions!$B$36&gt;AV$6,0,HLOOKUP(AV$6,LoanPayCalc!$I$10:$BQ$13,3,FALSE))-IF(Assumptions!$B$40&gt;AV$6,0,HLOOKUP(AV$6,LoanPayCalc!$CC$10:$EK$13,3,FALSE))</f>
        <v>-5353.2975848140095</v>
      </c>
      <c r="AW34" s="39">
        <f>-IF(Assumptions!$B$36&gt;AW$6,0,HLOOKUP(AW$6,LoanPayCalc!$I$10:$BQ$13,3,FALSE))-IF(Assumptions!$B$40&gt;AW$6,0,HLOOKUP(AW$6,LoanPayCalc!$CC$10:$EK$13,3,FALSE))</f>
        <v>-5397.9083980207934</v>
      </c>
      <c r="AX34" s="39">
        <f>-IF(Assumptions!$B$36&gt;AX$6,0,HLOOKUP(AX$6,LoanPayCalc!$I$10:$BQ$13,3,FALSE))-IF(Assumptions!$B$40&gt;AX$6,0,HLOOKUP(AX$6,LoanPayCalc!$CC$10:$EK$13,3,FALSE))</f>
        <v>-5442.8909680042998</v>
      </c>
      <c r="AY34" s="39">
        <f>-IF(Assumptions!$B$36&gt;AY$6,0,HLOOKUP(AY$6,LoanPayCalc!$I$10:$BQ$13,3,FALSE))-IF(Assumptions!$B$40&gt;AY$6,0,HLOOKUP(AY$6,LoanPayCalc!$CC$10:$EK$13,3,FALSE))</f>
        <v>-5488.2483927376688</v>
      </c>
      <c r="AZ34" s="39">
        <f>-IF(Assumptions!$B$36&gt;AZ$6,0,HLOOKUP(AZ$6,LoanPayCalc!$I$10:$BQ$13,3,FALSE))-IF(Assumptions!$B$40&gt;AZ$6,0,HLOOKUP(AZ$6,LoanPayCalc!$CC$10:$EK$13,3,FALSE))</f>
        <v>-5533.9837960104824</v>
      </c>
      <c r="BA34" s="39">
        <f>-IF(Assumptions!$B$36&gt;BA$6,0,HLOOKUP(BA$6,LoanPayCalc!$I$10:$BQ$13,3,FALSE))-IF(Assumptions!$B$40&gt;BA$6,0,HLOOKUP(BA$6,LoanPayCalc!$CC$10:$EK$13,3,FALSE))</f>
        <v>-5580.1003276439033</v>
      </c>
      <c r="BB34" s="39">
        <f>-IF(Assumptions!$B$36&gt;BB$6,0,HLOOKUP(BB$6,LoanPayCalc!$I$10:$BQ$13,3,FALSE))-IF(Assumptions!$B$40&gt;BB$6,0,HLOOKUP(BB$6,LoanPayCalc!$CC$10:$EK$13,3,FALSE))</f>
        <v>-5626.6011637076026</v>
      </c>
      <c r="BC34" s="39">
        <f>-IF(Assumptions!$B$36&gt;BC$6,0,HLOOKUP(BC$6,LoanPayCalc!$I$10:$BQ$13,3,FALSE))-IF(Assumptions!$B$40&gt;BC$6,0,HLOOKUP(BC$6,LoanPayCalc!$CC$10:$EK$13,3,FALSE))</f>
        <v>-5673.4895067384987</v>
      </c>
      <c r="BD34" s="39">
        <f>-IF(Assumptions!$B$36&gt;BD$6,0,HLOOKUP(BD$6,LoanPayCalc!$I$10:$BQ$13,3,FALSE))-IF(Assumptions!$B$40&gt;BD$6,0,HLOOKUP(BD$6,LoanPayCalc!$CC$10:$EK$13,3,FALSE))</f>
        <v>-5720.7685859613193</v>
      </c>
      <c r="BE34" s="39">
        <f>-IF(Assumptions!$B$36&gt;BE$6,0,HLOOKUP(BE$6,LoanPayCalc!$I$10:$BQ$13,3,FALSE))-IF(Assumptions!$B$40&gt;BE$6,0,HLOOKUP(BE$6,LoanPayCalc!$CC$10:$EK$13,3,FALSE))</f>
        <v>-5768.4416575109972</v>
      </c>
      <c r="BF34" s="39"/>
      <c r="BG34" s="39">
        <f>-IF(Assumptions!$B$36&gt;BG$6,0,HLOOKUP(BG$6,LoanPayCalc!$I$10:$BQ$13,3,FALSE))-IF(Assumptions!$B$40&gt;BG$6,0,HLOOKUP(BG$6,LoanPayCalc!$CC$10:$EK$13,3,FALSE))</f>
        <v>-5816.5120046569227</v>
      </c>
      <c r="BH34" s="39">
        <f>-IF(Assumptions!$B$36&gt;BH$6,0,HLOOKUP(BH$6,LoanPayCalc!$I$10:$BQ$13,3,FALSE))-IF(Assumptions!$B$40&gt;BH$6,0,HLOOKUP(BH$6,LoanPayCalc!$CC$10:$EK$13,3,FALSE))</f>
        <v>-5864.9829380290639</v>
      </c>
      <c r="BI34" s="39">
        <f>-IF(Assumptions!$B$36&gt;BI$6,0,HLOOKUP(BI$6,LoanPayCalc!$I$10:$BQ$13,3,FALSE))-IF(Assumptions!$B$40&gt;BI$6,0,HLOOKUP(BI$6,LoanPayCalc!$CC$10:$EK$13,3,FALSE))</f>
        <v>-5913.8577958459737</v>
      </c>
      <c r="BJ34" s="39">
        <f>-IF(Assumptions!$B$36&gt;BJ$6,0,HLOOKUP(BJ$6,LoanPayCalc!$I$10:$BQ$13,3,FALSE))-IF(Assumptions!$B$40&gt;BJ$6,0,HLOOKUP(BJ$6,LoanPayCalc!$CC$10:$EK$13,3,FALSE))</f>
        <v>-5963.1399441446893</v>
      </c>
      <c r="BK34" s="39">
        <f>-IF(Assumptions!$B$36&gt;BK$6,0,HLOOKUP(BK$6,LoanPayCalc!$I$10:$BQ$13,3,FALSE))-IF(Assumptions!$B$40&gt;BK$6,0,HLOOKUP(BK$6,LoanPayCalc!$CC$10:$EK$13,3,FALSE))</f>
        <v>-6012.8327770125616</v>
      </c>
      <c r="BL34" s="39">
        <f>-IF(Assumptions!$B$36&gt;BL$6,0,HLOOKUP(BL$6,LoanPayCalc!$I$10:$BQ$13,3,FALSE))-IF(Assumptions!$B$40&gt;BL$6,0,HLOOKUP(BL$6,LoanPayCalc!$CC$10:$EK$13,3,FALSE))</f>
        <v>-6062.9397168209998</v>
      </c>
      <c r="BM34" s="39">
        <f>-IF(Assumptions!$B$36&gt;BM$6,0,HLOOKUP(BM$6,LoanPayCalc!$I$10:$BQ$13,3,FALSE))-IF(Assumptions!$B$40&gt;BM$6,0,HLOOKUP(BM$6,LoanPayCalc!$CC$10:$EK$13,3,FALSE))</f>
        <v>-6113.4642144611744</v>
      </c>
      <c r="BN34" s="39">
        <f>-IF(Assumptions!$B$36&gt;BN$6,0,HLOOKUP(BN$6,LoanPayCalc!$I$10:$BQ$13,3,FALSE))-IF(Assumptions!$B$40&gt;BN$6,0,HLOOKUP(BN$6,LoanPayCalc!$CC$10:$EK$13,3,FALSE))</f>
        <v>-6164.4097495816841</v>
      </c>
      <c r="BO34" s="39">
        <f>-IF(Assumptions!$B$36&gt;BO$6,0,HLOOKUP(BO$6,LoanPayCalc!$I$10:$BQ$13,3,FALSE))-IF(Assumptions!$B$40&gt;BO$6,0,HLOOKUP(BO$6,LoanPayCalc!$CC$10:$EK$13,3,FALSE))</f>
        <v>-6215.7798308281981</v>
      </c>
      <c r="BP34" s="39">
        <f>-IF(Assumptions!$B$36&gt;BP$6,0,HLOOKUP(BP$6,LoanPayCalc!$I$10:$BQ$13,3,FALSE))-IF(Assumptions!$B$40&gt;BP$6,0,HLOOKUP(BP$6,LoanPayCalc!$CC$10:$EK$13,3,FALSE))</f>
        <v>-6267.5779960850996</v>
      </c>
      <c r="BQ34" s="39">
        <f>-IF(Assumptions!$B$36&gt;BQ$6,0,HLOOKUP(BQ$6,LoanPayCalc!$I$10:$BQ$13,3,FALSE))-IF(Assumptions!$B$40&gt;BQ$6,0,HLOOKUP(BQ$6,LoanPayCalc!$CC$10:$EK$13,3,FALSE))</f>
        <v>-6319.8078127191429</v>
      </c>
      <c r="BR34" s="39">
        <f>-IF(Assumptions!$B$36&gt;BR$6,0,HLOOKUP(BR$6,LoanPayCalc!$I$10:$BQ$13,3,FALSE))-IF(Assumptions!$B$40&gt;BR$6,0,HLOOKUP(BR$6,LoanPayCalc!$CC$10:$EK$13,3,FALSE))</f>
        <v>-6372.4728778251356</v>
      </c>
      <c r="BS34" s="39"/>
      <c r="BT34" s="17"/>
    </row>
    <row r="35" spans="1:72" ht="15.75" customHeight="1">
      <c r="A35" s="16"/>
      <c r="B35" s="17" t="s">
        <v>88</v>
      </c>
      <c r="C35" s="17"/>
      <c r="D35" s="17"/>
      <c r="E35" s="17"/>
      <c r="F35" s="17"/>
      <c r="G35" s="39">
        <f>IF(G$6=Assumptions!$B36,Assumptions!$B34,0)+IF(G$6=Assumptions!$B40,Assumptions!$B38,0)</f>
        <v>800000</v>
      </c>
      <c r="H35" s="39">
        <f>IF(H$6=Assumptions!$B36,Assumptions!$B34,0)+IF(H$6=Assumptions!$B40,Assumptions!$B38,0)</f>
        <v>0</v>
      </c>
      <c r="I35" s="39">
        <f>IF(I$6=Assumptions!$B36,Assumptions!$B34,0)+IF(I$6=Assumptions!$B40,Assumptions!$B38,0)</f>
        <v>0</v>
      </c>
      <c r="J35" s="39">
        <f>IF(J$6=Assumptions!$B36,Assumptions!$B34,0)+IF(J$6=Assumptions!$B40,Assumptions!$B38,0)</f>
        <v>0</v>
      </c>
      <c r="K35" s="39">
        <f>IF(K$6=Assumptions!$B36,Assumptions!$B34,0)+IF(K$6=Assumptions!$B40,Assumptions!$B38,0)</f>
        <v>0</v>
      </c>
      <c r="L35" s="39">
        <f>IF(L$6=Assumptions!$B36,Assumptions!$B34,0)+IF(L$6=Assumptions!$B40,Assumptions!$B38,0)</f>
        <v>0</v>
      </c>
      <c r="M35" s="39">
        <f>IF(M$6=Assumptions!$B36,Assumptions!$B34,0)+IF(M$6=Assumptions!$B40,Assumptions!$B38,0)</f>
        <v>0</v>
      </c>
      <c r="N35" s="39">
        <f>IF(N$6=Assumptions!$B36,Assumptions!$B34,0)+IF(N$6=Assumptions!$B40,Assumptions!$B38,0)</f>
        <v>0</v>
      </c>
      <c r="O35" s="39">
        <f>IF(O$6=Assumptions!$B36,Assumptions!$B34,0)+IF(O$6=Assumptions!$B40,Assumptions!$B38,0)</f>
        <v>0</v>
      </c>
      <c r="P35" s="39">
        <f>IF(P$6=Assumptions!$B36,Assumptions!$B34,0)+IF(P$6=Assumptions!$B40,Assumptions!$B38,0)</f>
        <v>0</v>
      </c>
      <c r="Q35" s="39">
        <f>IF(Q$6=Assumptions!$B36,Assumptions!$B34,0)+IF(Q$6=Assumptions!$B40,Assumptions!$B38,0)</f>
        <v>0</v>
      </c>
      <c r="R35" s="39">
        <f>IF(R$6=Assumptions!$B36,Assumptions!$B34,0)+IF(R$6=Assumptions!$B40,Assumptions!$B38,0)</f>
        <v>0</v>
      </c>
      <c r="S35" s="39"/>
      <c r="T35" s="39">
        <f>IF(T$6=Assumptions!$B36,Assumptions!$B34,0)+IF(T$6=Assumptions!$B40,Assumptions!$B38,0)</f>
        <v>0</v>
      </c>
      <c r="U35" s="39">
        <f>IF(U$6=Assumptions!$B36,Assumptions!$B34,0)+IF(U$6=Assumptions!$B40,Assumptions!$B38,0)</f>
        <v>0</v>
      </c>
      <c r="V35" s="39">
        <f>IF(V$6=Assumptions!$B36,Assumptions!$B34,0)+IF(V$6=Assumptions!$B40,Assumptions!$B38,0)</f>
        <v>0</v>
      </c>
      <c r="W35" s="39">
        <f>IF(W$6=Assumptions!$B36,Assumptions!$B34,0)+IF(W$6=Assumptions!$B40,Assumptions!$B38,0)</f>
        <v>0</v>
      </c>
      <c r="X35" s="39">
        <f>IF(X$6=Assumptions!$B36,Assumptions!$B34,0)+IF(X$6=Assumptions!$B40,Assumptions!$B38,0)</f>
        <v>0</v>
      </c>
      <c r="Y35" s="39">
        <f>IF(Y$6=Assumptions!$B36,Assumptions!$B34,0)+IF(Y$6=Assumptions!$B40,Assumptions!$B38,0)</f>
        <v>0</v>
      </c>
      <c r="Z35" s="39">
        <f>IF(Z$6=Assumptions!$B36,Assumptions!$B34,0)+IF(Z$6=Assumptions!$B40,Assumptions!$B38,0)</f>
        <v>0</v>
      </c>
      <c r="AA35" s="39">
        <f>IF(AA$6=Assumptions!$B36,Assumptions!$B34,0)+IF(AA$6=Assumptions!$B40,Assumptions!$B38,0)</f>
        <v>0</v>
      </c>
      <c r="AB35" s="39">
        <f>IF(AB$6=Assumptions!$B36,Assumptions!$B34,0)+IF(AB$6=Assumptions!$B40,Assumptions!$B38,0)</f>
        <v>0</v>
      </c>
      <c r="AC35" s="39">
        <f>IF(AC$6=Assumptions!$B36,Assumptions!$B34,0)+IF(AC$6=Assumptions!$B40,Assumptions!$B38,0)</f>
        <v>0</v>
      </c>
      <c r="AD35" s="39">
        <f>IF(AD$6=Assumptions!$B36,Assumptions!$B34,0)+IF(AD$6=Assumptions!$B40,Assumptions!$B38,0)</f>
        <v>0</v>
      </c>
      <c r="AE35" s="39">
        <f>IF(AE$6=Assumptions!$B36,Assumptions!$B34,0)+IF(AE$6=Assumptions!$B40,Assumptions!$B38,0)</f>
        <v>0</v>
      </c>
      <c r="AF35" s="39"/>
      <c r="AG35" s="39">
        <f>IF(AG$6=Assumptions!$B36,Assumptions!$B34,0)+IF(AG$6=Assumptions!$B40,Assumptions!$B38,0)</f>
        <v>0</v>
      </c>
      <c r="AH35" s="39">
        <f>IF(AH$6=Assumptions!$B36,Assumptions!$B34,0)+IF(AH$6=Assumptions!$B40,Assumptions!$B38,0)</f>
        <v>0</v>
      </c>
      <c r="AI35" s="39">
        <f>IF(AI$6=Assumptions!$B36,Assumptions!$B34,0)+IF(AI$6=Assumptions!$B40,Assumptions!$B38,0)</f>
        <v>0</v>
      </c>
      <c r="AJ35" s="39">
        <f>IF(AJ$6=Assumptions!$B36,Assumptions!$B34,0)+IF(AJ$6=Assumptions!$B40,Assumptions!$B38,0)</f>
        <v>0</v>
      </c>
      <c r="AK35" s="39">
        <f>IF(AK$6=Assumptions!$B36,Assumptions!$B34,0)+IF(AK$6=Assumptions!$B40,Assumptions!$B38,0)</f>
        <v>0</v>
      </c>
      <c r="AL35" s="39">
        <f>IF(AL$6=Assumptions!$B36,Assumptions!$B34,0)+IF(AL$6=Assumptions!$B40,Assumptions!$B38,0)</f>
        <v>0</v>
      </c>
      <c r="AM35" s="39">
        <f>IF(AM$6=Assumptions!$B36,Assumptions!$B34,0)+IF(AM$6=Assumptions!$B40,Assumptions!$B38,0)</f>
        <v>0</v>
      </c>
      <c r="AN35" s="39">
        <f>IF(AN$6=Assumptions!$B36,Assumptions!$B34,0)+IF(AN$6=Assumptions!$B40,Assumptions!$B38,0)</f>
        <v>0</v>
      </c>
      <c r="AO35" s="39">
        <f>IF(AO$6=Assumptions!$B36,Assumptions!$B34,0)+IF(AO$6=Assumptions!$B40,Assumptions!$B38,0)</f>
        <v>0</v>
      </c>
      <c r="AP35" s="39">
        <f>IF(AP$6=Assumptions!$B36,Assumptions!$B34,0)+IF(AP$6=Assumptions!$B40,Assumptions!$B38,0)</f>
        <v>0</v>
      </c>
      <c r="AQ35" s="39">
        <f>IF(AQ$6=Assumptions!$B36,Assumptions!$B34,0)+IF(AQ$6=Assumptions!$B40,Assumptions!$B38,0)</f>
        <v>0</v>
      </c>
      <c r="AR35" s="39">
        <f>IF(AR$6=Assumptions!$B36,Assumptions!$B34,0)+IF(AR$6=Assumptions!$B40,Assumptions!$B38,0)</f>
        <v>0</v>
      </c>
      <c r="AS35" s="39"/>
      <c r="AT35" s="39">
        <f>IF(AT$6=Assumptions!$B36,Assumptions!$B34,0)+IF(AT$6=Assumptions!$B40,Assumptions!$B38,0)</f>
        <v>0</v>
      </c>
      <c r="AU35" s="39">
        <f>IF(AU$6=Assumptions!$B36,Assumptions!$B34,0)+IF(AU$6=Assumptions!$B40,Assumptions!$B38,0)</f>
        <v>0</v>
      </c>
      <c r="AV35" s="39">
        <f>IF(AV$6=Assumptions!$B36,Assumptions!$B34,0)+IF(AV$6=Assumptions!$B40,Assumptions!$B38,0)</f>
        <v>0</v>
      </c>
      <c r="AW35" s="39">
        <f>IF(AW$6=Assumptions!$B36,Assumptions!$B34,0)+IF(AW$6=Assumptions!$B40,Assumptions!$B38,0)</f>
        <v>0</v>
      </c>
      <c r="AX35" s="39">
        <f>IF(AX$6=Assumptions!$B36,Assumptions!$B34,0)+IF(AX$6=Assumptions!$B40,Assumptions!$B38,0)</f>
        <v>0</v>
      </c>
      <c r="AY35" s="39">
        <f>IF(AY$6=Assumptions!$B36,Assumptions!$B34,0)+IF(AY$6=Assumptions!$B40,Assumptions!$B38,0)</f>
        <v>0</v>
      </c>
      <c r="AZ35" s="39">
        <f>IF(AZ$6=Assumptions!$B36,Assumptions!$B34,0)+IF(AZ$6=Assumptions!$B40,Assumptions!$B38,0)</f>
        <v>0</v>
      </c>
      <c r="BA35" s="39">
        <f>IF(BA$6=Assumptions!$B36,Assumptions!$B34,0)+IF(BA$6=Assumptions!$B40,Assumptions!$B38,0)</f>
        <v>0</v>
      </c>
      <c r="BB35" s="39">
        <f>IF(BB$6=Assumptions!$B36,Assumptions!$B34,0)+IF(BB$6=Assumptions!$B40,Assumptions!$B38,0)</f>
        <v>0</v>
      </c>
      <c r="BC35" s="39">
        <f>IF(BC$6=Assumptions!$B36,Assumptions!$B34,0)+IF(BC$6=Assumptions!$B40,Assumptions!$B38,0)</f>
        <v>0</v>
      </c>
      <c r="BD35" s="39">
        <f>IF(BD$6=Assumptions!$B36,Assumptions!$B34,0)+IF(BD$6=Assumptions!$B40,Assumptions!$B38,0)</f>
        <v>0</v>
      </c>
      <c r="BE35" s="39">
        <f>IF(BE$6=Assumptions!$B36,Assumptions!$B34,0)+IF(BE$6=Assumptions!$B40,Assumptions!$B38,0)</f>
        <v>0</v>
      </c>
      <c r="BF35" s="39"/>
      <c r="BG35" s="39">
        <f>IF(BG$6=Assumptions!$B36,Assumptions!$B34,0)+IF(BG$6=Assumptions!$B40,Assumptions!$B38,0)</f>
        <v>0</v>
      </c>
      <c r="BH35" s="39">
        <f>IF(BH$6=Assumptions!$B36,Assumptions!$B34,0)+IF(BH$6=Assumptions!$B40,Assumptions!$B38,0)</f>
        <v>0</v>
      </c>
      <c r="BI35" s="39">
        <f>IF(BI$6=Assumptions!$B36,Assumptions!$B34,0)+IF(BI$6=Assumptions!$B40,Assumptions!$B38,0)</f>
        <v>0</v>
      </c>
      <c r="BJ35" s="39">
        <f>IF(BJ$6=Assumptions!$B36,Assumptions!$B34,0)+IF(BJ$6=Assumptions!$B40,Assumptions!$B38,0)</f>
        <v>0</v>
      </c>
      <c r="BK35" s="39">
        <f>IF(BK$6=Assumptions!$B36,Assumptions!$B34,0)+IF(BK$6=Assumptions!$B40,Assumptions!$B38,0)</f>
        <v>0</v>
      </c>
      <c r="BL35" s="39">
        <f>IF(BL$6=Assumptions!$B36,Assumptions!$B34,0)+IF(BL$6=Assumptions!$B40,Assumptions!$B38,0)</f>
        <v>0</v>
      </c>
      <c r="BM35" s="39">
        <f>IF(BM$6=Assumptions!$B36,Assumptions!$B34,0)+IF(BM$6=Assumptions!$B40,Assumptions!$B38,0)</f>
        <v>0</v>
      </c>
      <c r="BN35" s="39">
        <f>IF(BN$6=Assumptions!$B36,Assumptions!$B34,0)+IF(BN$6=Assumptions!$B40,Assumptions!$B38,0)</f>
        <v>0</v>
      </c>
      <c r="BO35" s="39">
        <f>IF(BO$6=Assumptions!$B36,Assumptions!$B34,0)+IF(BO$6=Assumptions!$B40,Assumptions!$B38,0)</f>
        <v>0</v>
      </c>
      <c r="BP35" s="39">
        <f>IF(BP$6=Assumptions!$B36,Assumptions!$B34,0)+IF(BP$6=Assumptions!$B40,Assumptions!$B38,0)</f>
        <v>0</v>
      </c>
      <c r="BQ35" s="39">
        <f>IF(BQ$6=Assumptions!$B36,Assumptions!$B34,0)+IF(BQ$6=Assumptions!$B40,Assumptions!$B38,0)</f>
        <v>0</v>
      </c>
      <c r="BR35" s="39">
        <f>IF(BR$6=Assumptions!$B36,Assumptions!$B34,0)+IF(BR$6=Assumptions!$B40,Assumptions!$B38,0)</f>
        <v>0</v>
      </c>
      <c r="BS35" s="39"/>
      <c r="BT35" s="17"/>
    </row>
    <row r="36" spans="1:72" ht="15.75" customHeight="1">
      <c r="A36" s="16"/>
      <c r="B36" s="17" t="s">
        <v>89</v>
      </c>
      <c r="C36" s="17"/>
      <c r="D36" s="17"/>
      <c r="E36" s="17"/>
      <c r="F36" s="17"/>
      <c r="G36" s="39">
        <f>IF(G$6=Assumptions!$B13,Assumptions!$B12,0)+IF(G$6=Assumptions!$B19,Assumptions!$B18,0)+IF(G$6=Assumptions!$B21,Assumptions!$B20,0)+IF(G$6=Assumptions!$B25,Assumptions!$B24,0)+IF(G$6=Assumptions!$B27,Assumptions!$B26,0)+IF(G$6=Assumptions!$B29,Assumptions!$B28,0)+IF(G$6=Assumptions!$B31,Assumptions!$B30,0)</f>
        <v>0</v>
      </c>
      <c r="H36" s="39">
        <f>IF(H$6=Assumptions!$B13,Assumptions!$B12,0)+IF(H$6=Assumptions!$B19,Assumptions!$B18,0)+IF(H$6=Assumptions!$B21,Assumptions!$B20,0)+IF(H$6=Assumptions!$B25,Assumptions!$B24,0)+IF(H$6=Assumptions!$B27,Assumptions!$B26,0)+IF(H$6=Assumptions!$B29,Assumptions!$B28,0)+IF(H$6=Assumptions!$B31,Assumptions!$B30,0)</f>
        <v>0</v>
      </c>
      <c r="I36" s="39">
        <f>IF(I$6=Assumptions!$B13,Assumptions!$B12,0)+IF(I$6=Assumptions!$B19,Assumptions!$B18,0)+IF(I$6=Assumptions!$B21,Assumptions!$B20,0)+IF(I$6=Assumptions!$B25,Assumptions!$B24,0)+IF(I$6=Assumptions!$B27,Assumptions!$B26,0)+IF(I$6=Assumptions!$B29,Assumptions!$B28,0)+IF(I$6=Assumptions!$B31,Assumptions!$B30,0)</f>
        <v>0</v>
      </c>
      <c r="J36" s="39">
        <f>IF(J$6=Assumptions!$B13,Assumptions!$B12,0)+IF(J$6=Assumptions!$B19,Assumptions!$B18,0)+IF(J$6=Assumptions!$B21,Assumptions!$B20,0)+IF(J$6=Assumptions!$B25,Assumptions!$B24,0)+IF(J$6=Assumptions!$B27,Assumptions!$B26,0)+IF(J$6=Assumptions!$B29,Assumptions!$B28,0)+IF(J$6=Assumptions!$B31,Assumptions!$B30,0)</f>
        <v>0</v>
      </c>
      <c r="K36" s="39">
        <f>IF(K$6=Assumptions!$B13,Assumptions!$B12,0)+IF(K$6=Assumptions!$B19,Assumptions!$B18,0)+IF(K$6=Assumptions!$B21,Assumptions!$B20,0)+IF(K$6=Assumptions!$B25,Assumptions!$B24,0)+IF(K$6=Assumptions!$B27,Assumptions!$B26,0)+IF(K$6=Assumptions!$B29,Assumptions!$B28,0)+IF(K$6=Assumptions!$B31,Assumptions!$B30,0)</f>
        <v>0</v>
      </c>
      <c r="L36" s="39">
        <f>IF(L$6=Assumptions!$B13,Assumptions!$B12,0)+IF(L$6=Assumptions!$B19,Assumptions!$B18,0)+IF(L$6=Assumptions!$B21,Assumptions!$B20,0)+IF(L$6=Assumptions!$B25,Assumptions!$B24,0)+IF(L$6=Assumptions!$B27,Assumptions!$B26,0)+IF(L$6=Assumptions!$B29,Assumptions!$B28,0)+IF(L$6=Assumptions!$B31,Assumptions!$B30,0)</f>
        <v>0</v>
      </c>
      <c r="M36" s="39">
        <f>IF(M$6=Assumptions!$B13,Assumptions!$B12,0)+IF(M$6=Assumptions!$B19,Assumptions!$B18,0)+IF(M$6=Assumptions!$B21,Assumptions!$B20,0)+IF(M$6=Assumptions!$B25,Assumptions!$B24,0)+IF(M$6=Assumptions!$B27,Assumptions!$B26,0)+IF(M$6=Assumptions!$B29,Assumptions!$B28,0)+IF(M$6=Assumptions!$B31,Assumptions!$B30,0)</f>
        <v>0</v>
      </c>
      <c r="N36" s="39">
        <f>IF(N$6=Assumptions!$B13,Assumptions!$B12,0)+IF(N$6=Assumptions!$B19,Assumptions!$B18,0)+IF(N$6=Assumptions!$B21,Assumptions!$B20,0)+IF(N$6=Assumptions!$B25,Assumptions!$B24,0)+IF(N$6=Assumptions!$B27,Assumptions!$B26,0)+IF(N$6=Assumptions!$B29,Assumptions!$B28,0)+IF(N$6=Assumptions!$B31,Assumptions!$B30,0)</f>
        <v>0</v>
      </c>
      <c r="O36" s="39">
        <f>IF(O$6=Assumptions!$B13,Assumptions!$B12,0)+IF(O$6=Assumptions!$B19,Assumptions!$B18,0)+IF(O$6=Assumptions!$B21,Assumptions!$B20,0)+IF(O$6=Assumptions!$B25,Assumptions!$B24,0)+IF(O$6=Assumptions!$B27,Assumptions!$B26,0)+IF(O$6=Assumptions!$B29,Assumptions!$B28,0)+IF(O$6=Assumptions!$B31,Assumptions!$B30,0)</f>
        <v>0</v>
      </c>
      <c r="P36" s="39">
        <f>IF(P$6=Assumptions!$B13,Assumptions!$B12,0)+IF(P$6=Assumptions!$B19,Assumptions!$B18,0)+IF(P$6=Assumptions!$B21,Assumptions!$B20,0)+IF(P$6=Assumptions!$B25,Assumptions!$B24,0)+IF(P$6=Assumptions!$B27,Assumptions!$B26,0)+IF(P$6=Assumptions!$B29,Assumptions!$B28,0)+IF(P$6=Assumptions!$B31,Assumptions!$B30,0)</f>
        <v>0</v>
      </c>
      <c r="Q36" s="39">
        <f>IF(Q$6=Assumptions!$B13,Assumptions!$B12,0)+IF(Q$6=Assumptions!$B19,Assumptions!$B18,0)+IF(Q$6=Assumptions!$B21,Assumptions!$B20,0)+IF(Q$6=Assumptions!$B25,Assumptions!$B24,0)+IF(Q$6=Assumptions!$B27,Assumptions!$B26,0)+IF(Q$6=Assumptions!$B29,Assumptions!$B28,0)+IF(Q$6=Assumptions!$B31,Assumptions!$B30,0)</f>
        <v>0</v>
      </c>
      <c r="R36" s="39">
        <f>IF(R$6=Assumptions!$B13,Assumptions!$B12,0)+IF(R$6=Assumptions!$B19,Assumptions!$B18,0)+IF(R$6=Assumptions!$B21,Assumptions!$B20,0)+IF(R$6=Assumptions!$B25,Assumptions!$B24,0)+IF(R$6=Assumptions!$B27,Assumptions!$B26,0)+IF(R$6=Assumptions!$B29,Assumptions!$B28,0)+IF(R$6=Assumptions!$B31,Assumptions!$B30,0)</f>
        <v>0</v>
      </c>
      <c r="S36" s="39"/>
      <c r="T36" s="39">
        <f>IF(T$6=Assumptions!$B13,Assumptions!$B12,0)+IF(T$6=Assumptions!$B19,Assumptions!$B18,0)+IF(T$6=Assumptions!$B21,Assumptions!$B20,0)+IF(T$6=Assumptions!$B25,Assumptions!$B24,0)+IF(T$6=Assumptions!$B27,Assumptions!$B26,0)+IF(T$6=Assumptions!$B29,Assumptions!$B28,0)+IF(T$6=Assumptions!$B31,Assumptions!$B30,0)</f>
        <v>0</v>
      </c>
      <c r="U36" s="39">
        <f>IF(U$6=Assumptions!$B13,Assumptions!$B12,0)+IF(U$6=Assumptions!$B19,Assumptions!$B18,0)+IF(U$6=Assumptions!$B21,Assumptions!$B20,0)+IF(U$6=Assumptions!$B25,Assumptions!$B24,0)+IF(U$6=Assumptions!$B27,Assumptions!$B26,0)+IF(U$6=Assumptions!$B29,Assumptions!$B28,0)+IF(U$6=Assumptions!$B31,Assumptions!$B30,0)</f>
        <v>0</v>
      </c>
      <c r="V36" s="39">
        <f>IF(V$6=Assumptions!$B13,Assumptions!$B12,0)+IF(V$6=Assumptions!$B19,Assumptions!$B18,0)+IF(V$6=Assumptions!$B21,Assumptions!$B20,0)+IF(V$6=Assumptions!$B25,Assumptions!$B24,0)+IF(V$6=Assumptions!$B27,Assumptions!$B26,0)+IF(V$6=Assumptions!$B29,Assumptions!$B28,0)+IF(V$6=Assumptions!$B31,Assumptions!$B30,0)</f>
        <v>0</v>
      </c>
      <c r="W36" s="39">
        <f>IF(W$6=Assumptions!$B13,Assumptions!$B12,0)+IF(W$6=Assumptions!$B19,Assumptions!$B18,0)+IF(W$6=Assumptions!$B21,Assumptions!$B20,0)+IF(W$6=Assumptions!$B25,Assumptions!$B24,0)+IF(W$6=Assumptions!$B27,Assumptions!$B26,0)+IF(W$6=Assumptions!$B29,Assumptions!$B28,0)+IF(W$6=Assumptions!$B31,Assumptions!$B30,0)</f>
        <v>0</v>
      </c>
      <c r="X36" s="39">
        <f>IF(X$6=Assumptions!$B13,Assumptions!$B12,0)+IF(X$6=Assumptions!$B19,Assumptions!$B18,0)+IF(X$6=Assumptions!$B21,Assumptions!$B20,0)+IF(X$6=Assumptions!$B25,Assumptions!$B24,0)+IF(X$6=Assumptions!$B27,Assumptions!$B26,0)+IF(X$6=Assumptions!$B29,Assumptions!$B28,0)+IF(X$6=Assumptions!$B31,Assumptions!$B30,0)</f>
        <v>0</v>
      </c>
      <c r="Y36" s="39">
        <f>IF(Y$6=Assumptions!$B13,Assumptions!$B12,0)+IF(Y$6=Assumptions!$B19,Assumptions!$B18,0)+IF(Y$6=Assumptions!$B21,Assumptions!$B20,0)+IF(Y$6=Assumptions!$B25,Assumptions!$B24,0)+IF(Y$6=Assumptions!$B27,Assumptions!$B26,0)+IF(Y$6=Assumptions!$B29,Assumptions!$B28,0)+IF(Y$6=Assumptions!$B31,Assumptions!$B30,0)</f>
        <v>0</v>
      </c>
      <c r="Z36" s="39">
        <f>IF(Z$6=Assumptions!$B13,Assumptions!$B12,0)+IF(Z$6=Assumptions!$B19,Assumptions!$B18,0)+IF(Z$6=Assumptions!$B21,Assumptions!$B20,0)+IF(Z$6=Assumptions!$B25,Assumptions!$B24,0)+IF(Z$6=Assumptions!$B27,Assumptions!$B26,0)+IF(Z$6=Assumptions!$B29,Assumptions!$B28,0)+IF(Z$6=Assumptions!$B31,Assumptions!$B30,0)</f>
        <v>0</v>
      </c>
      <c r="AA36" s="39">
        <f>IF(AA$6=Assumptions!$B13,Assumptions!$B12,0)+IF(AA$6=Assumptions!$B19,Assumptions!$B18,0)+IF(AA$6=Assumptions!$B21,Assumptions!$B20,0)+IF(AA$6=Assumptions!$B25,Assumptions!$B24,0)+IF(AA$6=Assumptions!$B27,Assumptions!$B26,0)+IF(AA$6=Assumptions!$B29,Assumptions!$B28,0)+IF(AA$6=Assumptions!$B31,Assumptions!$B30,0)</f>
        <v>0</v>
      </c>
      <c r="AB36" s="39">
        <f>IF(AB$6=Assumptions!$B13,Assumptions!$B12,0)+IF(AB$6=Assumptions!$B19,Assumptions!$B18,0)+IF(AB$6=Assumptions!$B21,Assumptions!$B20,0)+IF(AB$6=Assumptions!$B25,Assumptions!$B24,0)+IF(AB$6=Assumptions!$B27,Assumptions!$B26,0)+IF(AB$6=Assumptions!$B29,Assumptions!$B28,0)+IF(AB$6=Assumptions!$B31,Assumptions!$B30,0)</f>
        <v>0</v>
      </c>
      <c r="AC36" s="39">
        <f>IF(AC$6=Assumptions!$B13,Assumptions!$B12,0)+IF(AC$6=Assumptions!$B19,Assumptions!$B18,0)+IF(AC$6=Assumptions!$B21,Assumptions!$B20,0)+IF(AC$6=Assumptions!$B25,Assumptions!$B24,0)+IF(AC$6=Assumptions!$B27,Assumptions!$B26,0)+IF(AC$6=Assumptions!$B29,Assumptions!$B28,0)+IF(AC$6=Assumptions!$B31,Assumptions!$B30,0)</f>
        <v>0</v>
      </c>
      <c r="AD36" s="39">
        <f>IF(AD$6=Assumptions!$B13,Assumptions!$B12,0)+IF(AD$6=Assumptions!$B19,Assumptions!$B18,0)+IF(AD$6=Assumptions!$B21,Assumptions!$B20,0)+IF(AD$6=Assumptions!$B25,Assumptions!$B24,0)+IF(AD$6=Assumptions!$B27,Assumptions!$B26,0)+IF(AD$6=Assumptions!$B29,Assumptions!$B28,0)+IF(AD$6=Assumptions!$B31,Assumptions!$B30,0)</f>
        <v>0</v>
      </c>
      <c r="AE36" s="39">
        <f>IF(AE$6=Assumptions!$B13,Assumptions!$B12,0)+IF(AE$6=Assumptions!$B19,Assumptions!$B18,0)+IF(AE$6=Assumptions!$B21,Assumptions!$B20,0)+IF(AE$6=Assumptions!$B25,Assumptions!$B24,0)+IF(AE$6=Assumptions!$B27,Assumptions!$B26,0)+IF(AE$6=Assumptions!$B29,Assumptions!$B28,0)+IF(AE$6=Assumptions!$B31,Assumptions!$B30,0)</f>
        <v>0</v>
      </c>
      <c r="AF36" s="39"/>
      <c r="AG36" s="39">
        <f>IF(AG$6=Assumptions!$B13,Assumptions!$B12,0)+IF(AG$6=Assumptions!$B19,Assumptions!$B18,0)+IF(AG$6=Assumptions!$B21,Assumptions!$B20,0)+IF(AG$6=Assumptions!$B25,Assumptions!$B24,0)+IF(AG$6=Assumptions!$B27,Assumptions!$B26,0)+IF(AG$6=Assumptions!$B29,Assumptions!$B28,0)+IF(AG$6=Assumptions!$B31,Assumptions!$B30,0)</f>
        <v>0</v>
      </c>
      <c r="AH36" s="39">
        <f>IF(AH$6=Assumptions!$B13,Assumptions!$B12,0)+IF(AH$6=Assumptions!$B19,Assumptions!$B18,0)+IF(AH$6=Assumptions!$B21,Assumptions!$B20,0)+IF(AH$6=Assumptions!$B25,Assumptions!$B24,0)+IF(AH$6=Assumptions!$B27,Assumptions!$B26,0)+IF(AH$6=Assumptions!$B29,Assumptions!$B28,0)+IF(AH$6=Assumptions!$B31,Assumptions!$B30,0)</f>
        <v>0</v>
      </c>
      <c r="AI36" s="39">
        <f>IF(AI$6=Assumptions!$B13,Assumptions!$B12,0)+IF(AI$6=Assumptions!$B19,Assumptions!$B18,0)+IF(AI$6=Assumptions!$B21,Assumptions!$B20,0)+IF(AI$6=Assumptions!$B25,Assumptions!$B24,0)+IF(AI$6=Assumptions!$B27,Assumptions!$B26,0)+IF(AI$6=Assumptions!$B29,Assumptions!$B28,0)+IF(AI$6=Assumptions!$B31,Assumptions!$B30,0)</f>
        <v>0</v>
      </c>
      <c r="AJ36" s="39">
        <f>IF(AJ$6=Assumptions!$B13,Assumptions!$B12,0)+IF(AJ$6=Assumptions!$B19,Assumptions!$B18,0)+IF(AJ$6=Assumptions!$B21,Assumptions!$B20,0)+IF(AJ$6=Assumptions!$B25,Assumptions!$B24,0)+IF(AJ$6=Assumptions!$B27,Assumptions!$B26,0)+IF(AJ$6=Assumptions!$B29,Assumptions!$B28,0)+IF(AJ$6=Assumptions!$B31,Assumptions!$B30,0)</f>
        <v>0</v>
      </c>
      <c r="AK36" s="39">
        <f>IF(AK$6=Assumptions!$B13,Assumptions!$B12,0)+IF(AK$6=Assumptions!$B19,Assumptions!$B18,0)+IF(AK$6=Assumptions!$B21,Assumptions!$B20,0)+IF(AK$6=Assumptions!$B25,Assumptions!$B24,0)+IF(AK$6=Assumptions!$B27,Assumptions!$B26,0)+IF(AK$6=Assumptions!$B29,Assumptions!$B28,0)+IF(AK$6=Assumptions!$B31,Assumptions!$B30,0)</f>
        <v>0</v>
      </c>
      <c r="AL36" s="39">
        <f>IF(AL$6=Assumptions!$B13,Assumptions!$B12,0)+IF(AL$6=Assumptions!$B19,Assumptions!$B18,0)+IF(AL$6=Assumptions!$B21,Assumptions!$B20,0)+IF(AL$6=Assumptions!$B25,Assumptions!$B24,0)+IF(AL$6=Assumptions!$B27,Assumptions!$B26,0)+IF(AL$6=Assumptions!$B29,Assumptions!$B28,0)+IF(AL$6=Assumptions!$B31,Assumptions!$B30,0)</f>
        <v>0</v>
      </c>
      <c r="AM36" s="39">
        <f>IF(AM$6=Assumptions!$B13,Assumptions!$B12,0)+IF(AM$6=Assumptions!$B19,Assumptions!$B18,0)+IF(AM$6=Assumptions!$B21,Assumptions!$B20,0)+IF(AM$6=Assumptions!$B25,Assumptions!$B24,0)+IF(AM$6=Assumptions!$B27,Assumptions!$B26,0)+IF(AM$6=Assumptions!$B29,Assumptions!$B28,0)+IF(AM$6=Assumptions!$B31,Assumptions!$B30,0)</f>
        <v>0</v>
      </c>
      <c r="AN36" s="39">
        <f>IF(AN$6=Assumptions!$B13,Assumptions!$B12,0)+IF(AN$6=Assumptions!$B19,Assumptions!$B18,0)+IF(AN$6=Assumptions!$B21,Assumptions!$B20,0)+IF(AN$6=Assumptions!$B25,Assumptions!$B24,0)+IF(AN$6=Assumptions!$B27,Assumptions!$B26,0)+IF(AN$6=Assumptions!$B29,Assumptions!$B28,0)+IF(AN$6=Assumptions!$B31,Assumptions!$B30,0)</f>
        <v>0</v>
      </c>
      <c r="AO36" s="39">
        <f>IF(AO$6=Assumptions!$B13,Assumptions!$B12,0)+IF(AO$6=Assumptions!$B19,Assumptions!$B18,0)+IF(AO$6=Assumptions!$B21,Assumptions!$B20,0)+IF(AO$6=Assumptions!$B25,Assumptions!$B24,0)+IF(AO$6=Assumptions!$B27,Assumptions!$B26,0)+IF(AO$6=Assumptions!$B29,Assumptions!$B28,0)+IF(AO$6=Assumptions!$B31,Assumptions!$B30,0)</f>
        <v>0</v>
      </c>
      <c r="AP36" s="39">
        <f>IF(AP$6=Assumptions!$B13,Assumptions!$B12,0)+IF(AP$6=Assumptions!$B19,Assumptions!$B18,0)+IF(AP$6=Assumptions!$B21,Assumptions!$B20,0)+IF(AP$6=Assumptions!$B25,Assumptions!$B24,0)+IF(AP$6=Assumptions!$B27,Assumptions!$B26,0)+IF(AP$6=Assumptions!$B29,Assumptions!$B28,0)+IF(AP$6=Assumptions!$B31,Assumptions!$B30,0)</f>
        <v>0</v>
      </c>
      <c r="AQ36" s="39">
        <f>IF(AQ$6=Assumptions!$B13,Assumptions!$B12,0)+IF(AQ$6=Assumptions!$B19,Assumptions!$B18,0)+IF(AQ$6=Assumptions!$B21,Assumptions!$B20,0)+IF(AQ$6=Assumptions!$B25,Assumptions!$B24,0)+IF(AQ$6=Assumptions!$B27,Assumptions!$B26,0)+IF(AQ$6=Assumptions!$B29,Assumptions!$B28,0)+IF(AQ$6=Assumptions!$B31,Assumptions!$B30,0)</f>
        <v>0</v>
      </c>
      <c r="AR36" s="39">
        <f>IF(AR$6=Assumptions!$B13,Assumptions!$B12,0)+IF(AR$6=Assumptions!$B19,Assumptions!$B18,0)+IF(AR$6=Assumptions!$B21,Assumptions!$B20,0)+IF(AR$6=Assumptions!$B25,Assumptions!$B24,0)+IF(AR$6=Assumptions!$B27,Assumptions!$B26,0)+IF(AR$6=Assumptions!$B29,Assumptions!$B28,0)+IF(AR$6=Assumptions!$B31,Assumptions!$B30,0)</f>
        <v>0</v>
      </c>
      <c r="AS36" s="39"/>
      <c r="AT36" s="39">
        <f>IF(AT$6=Assumptions!$B13,Assumptions!$B12,0)+IF(AT$6=Assumptions!$B19,Assumptions!$B18,0)+IF(AT$6=Assumptions!$B21,Assumptions!$B20,0)+IF(AT$6=Assumptions!$B25,Assumptions!$B24,0)+IF(AT$6=Assumptions!$B27,Assumptions!$B26,0)+IF(AT$6=Assumptions!$B29,Assumptions!$B28,0)+IF(AT$6=Assumptions!$B31,Assumptions!$B30,0)</f>
        <v>0</v>
      </c>
      <c r="AU36" s="39">
        <f>IF(AU$6=Assumptions!$B13,Assumptions!$B12,0)+IF(AU$6=Assumptions!$B19,Assumptions!$B18,0)+IF(AU$6=Assumptions!$B21,Assumptions!$B20,0)+IF(AU$6=Assumptions!$B25,Assumptions!$B24,0)+IF(AU$6=Assumptions!$B27,Assumptions!$B26,0)+IF(AU$6=Assumptions!$B29,Assumptions!$B28,0)+IF(AU$6=Assumptions!$B31,Assumptions!$B30,0)</f>
        <v>0</v>
      </c>
      <c r="AV36" s="39">
        <f>IF(AV$6=Assumptions!$B13,Assumptions!$B12,0)+IF(AV$6=Assumptions!$B19,Assumptions!$B18,0)+IF(AV$6=Assumptions!$B21,Assumptions!$B20,0)+IF(AV$6=Assumptions!$B25,Assumptions!$B24,0)+IF(AV$6=Assumptions!$B27,Assumptions!$B26,0)+IF(AV$6=Assumptions!$B29,Assumptions!$B28,0)+IF(AV$6=Assumptions!$B31,Assumptions!$B30,0)</f>
        <v>0</v>
      </c>
      <c r="AW36" s="39">
        <f>IF(AW$6=Assumptions!$B13,Assumptions!$B12,0)+IF(AW$6=Assumptions!$B19,Assumptions!$B18,0)+IF(AW$6=Assumptions!$B21,Assumptions!$B20,0)+IF(AW$6=Assumptions!$B25,Assumptions!$B24,0)+IF(AW$6=Assumptions!$B27,Assumptions!$B26,0)+IF(AW$6=Assumptions!$B29,Assumptions!$B28,0)+IF(AW$6=Assumptions!$B31,Assumptions!$B30,0)</f>
        <v>0</v>
      </c>
      <c r="AX36" s="39">
        <f>IF(AX$6=Assumptions!$B13,Assumptions!$B12,0)+IF(AX$6=Assumptions!$B19,Assumptions!$B18,0)+IF(AX$6=Assumptions!$B21,Assumptions!$B20,0)+IF(AX$6=Assumptions!$B25,Assumptions!$B24,0)+IF(AX$6=Assumptions!$B27,Assumptions!$B26,0)+IF(AX$6=Assumptions!$B29,Assumptions!$B28,0)+IF(AX$6=Assumptions!$B31,Assumptions!$B30,0)</f>
        <v>0</v>
      </c>
      <c r="AY36" s="39">
        <f>IF(AY$6=Assumptions!$B13,Assumptions!$B12,0)+IF(AY$6=Assumptions!$B19,Assumptions!$B18,0)+IF(AY$6=Assumptions!$B21,Assumptions!$B20,0)+IF(AY$6=Assumptions!$B25,Assumptions!$B24,0)+IF(AY$6=Assumptions!$B27,Assumptions!$B26,0)+IF(AY$6=Assumptions!$B29,Assumptions!$B28,0)+IF(AY$6=Assumptions!$B31,Assumptions!$B30,0)</f>
        <v>0</v>
      </c>
      <c r="AZ36" s="39">
        <f>IF(AZ$6=Assumptions!$B13,Assumptions!$B12,0)+IF(AZ$6=Assumptions!$B19,Assumptions!$B18,0)+IF(AZ$6=Assumptions!$B21,Assumptions!$B20,0)+IF(AZ$6=Assumptions!$B25,Assumptions!$B24,0)+IF(AZ$6=Assumptions!$B27,Assumptions!$B26,0)+IF(AZ$6=Assumptions!$B29,Assumptions!$B28,0)+IF(AZ$6=Assumptions!$B31,Assumptions!$B30,0)</f>
        <v>0</v>
      </c>
      <c r="BA36" s="39">
        <f>IF(BA$6=Assumptions!$B13,Assumptions!$B12,0)+IF(BA$6=Assumptions!$B19,Assumptions!$B18,0)+IF(BA$6=Assumptions!$B21,Assumptions!$B20,0)+IF(BA$6=Assumptions!$B25,Assumptions!$B24,0)+IF(BA$6=Assumptions!$B27,Assumptions!$B26,0)+IF(BA$6=Assumptions!$B29,Assumptions!$B28,0)+IF(BA$6=Assumptions!$B31,Assumptions!$B30,0)</f>
        <v>0</v>
      </c>
      <c r="BB36" s="39">
        <f>IF(BB$6=Assumptions!$B13,Assumptions!$B12,0)+IF(BB$6=Assumptions!$B19,Assumptions!$B18,0)+IF(BB$6=Assumptions!$B21,Assumptions!$B20,0)+IF(BB$6=Assumptions!$B25,Assumptions!$B24,0)+IF(BB$6=Assumptions!$B27,Assumptions!$B26,0)+IF(BB$6=Assumptions!$B29,Assumptions!$B28,0)+IF(BB$6=Assumptions!$B31,Assumptions!$B30,0)</f>
        <v>0</v>
      </c>
      <c r="BC36" s="39">
        <f>IF(BC$6=Assumptions!$B13,Assumptions!$B12,0)+IF(BC$6=Assumptions!$B19,Assumptions!$B18,0)+IF(BC$6=Assumptions!$B21,Assumptions!$B20,0)+IF(BC$6=Assumptions!$B25,Assumptions!$B24,0)+IF(BC$6=Assumptions!$B27,Assumptions!$B26,0)+IF(BC$6=Assumptions!$B29,Assumptions!$B28,0)+IF(BC$6=Assumptions!$B31,Assumptions!$B30,0)</f>
        <v>0</v>
      </c>
      <c r="BD36" s="39">
        <f>IF(BD$6=Assumptions!$B13,Assumptions!$B12,0)+IF(BD$6=Assumptions!$B19,Assumptions!$B18,0)+IF(BD$6=Assumptions!$B21,Assumptions!$B20,0)+IF(BD$6=Assumptions!$B25,Assumptions!$B24,0)+IF(BD$6=Assumptions!$B27,Assumptions!$B26,0)+IF(BD$6=Assumptions!$B29,Assumptions!$B28,0)+IF(BD$6=Assumptions!$B31,Assumptions!$B30,0)</f>
        <v>0</v>
      </c>
      <c r="BE36" s="39">
        <f>IF(BE$6=Assumptions!$B13,Assumptions!$B12,0)+IF(BE$6=Assumptions!$B19,Assumptions!$B18,0)+IF(BE$6=Assumptions!$B21,Assumptions!$B20,0)+IF(BE$6=Assumptions!$B25,Assumptions!$B24,0)+IF(BE$6=Assumptions!$B27,Assumptions!$B26,0)+IF(BE$6=Assumptions!$B29,Assumptions!$B28,0)+IF(BE$6=Assumptions!$B31,Assumptions!$B30,0)</f>
        <v>0</v>
      </c>
      <c r="BF36" s="39"/>
      <c r="BG36" s="39">
        <f>IF(BG$6=Assumptions!$B13,Assumptions!$B12,0)+IF(BG$6=Assumptions!$B19,Assumptions!$B18,0)+IF(BG$6=Assumptions!$B21,Assumptions!$B20,0)+IF(BG$6=Assumptions!$B25,Assumptions!$B24,0)+IF(BG$6=Assumptions!$B27,Assumptions!$B26,0)+IF(BG$6=Assumptions!$B29,Assumptions!$B28,0)+IF(BG$6=Assumptions!$B31,Assumptions!$B30,0)</f>
        <v>0</v>
      </c>
      <c r="BH36" s="39">
        <f>IF(BH$6=Assumptions!$B13,Assumptions!$B12,0)+IF(BH$6=Assumptions!$B19,Assumptions!$B18,0)+IF(BH$6=Assumptions!$B21,Assumptions!$B20,0)+IF(BH$6=Assumptions!$B25,Assumptions!$B24,0)+IF(BH$6=Assumptions!$B27,Assumptions!$B26,0)+IF(BH$6=Assumptions!$B29,Assumptions!$B28,0)+IF(BH$6=Assumptions!$B31,Assumptions!$B30,0)</f>
        <v>0</v>
      </c>
      <c r="BI36" s="39">
        <f>IF(BI$6=Assumptions!$B13,Assumptions!$B12,0)+IF(BI$6=Assumptions!$B19,Assumptions!$B18,0)+IF(BI$6=Assumptions!$B21,Assumptions!$B20,0)+IF(BI$6=Assumptions!$B25,Assumptions!$B24,0)+IF(BI$6=Assumptions!$B27,Assumptions!$B26,0)+IF(BI$6=Assumptions!$B29,Assumptions!$B28,0)+IF(BI$6=Assumptions!$B31,Assumptions!$B30,0)</f>
        <v>0</v>
      </c>
      <c r="BJ36" s="39">
        <f>IF(BJ$6=Assumptions!$B13,Assumptions!$B12,0)+IF(BJ$6=Assumptions!$B19,Assumptions!$B18,0)+IF(BJ$6=Assumptions!$B21,Assumptions!$B20,0)+IF(BJ$6=Assumptions!$B25,Assumptions!$B24,0)+IF(BJ$6=Assumptions!$B27,Assumptions!$B26,0)+IF(BJ$6=Assumptions!$B29,Assumptions!$B28,0)+IF(BJ$6=Assumptions!$B31,Assumptions!$B30,0)</f>
        <v>0</v>
      </c>
      <c r="BK36" s="39">
        <f>IF(BK$6=Assumptions!$B13,Assumptions!$B12,0)+IF(BK$6=Assumptions!$B19,Assumptions!$B18,0)+IF(BK$6=Assumptions!$B21,Assumptions!$B20,0)+IF(BK$6=Assumptions!$B25,Assumptions!$B24,0)+IF(BK$6=Assumptions!$B27,Assumptions!$B26,0)+IF(BK$6=Assumptions!$B29,Assumptions!$B28,0)+IF(BK$6=Assumptions!$B31,Assumptions!$B30,0)</f>
        <v>0</v>
      </c>
      <c r="BL36" s="39">
        <f>IF(BL$6=Assumptions!$B13,Assumptions!$B12,0)+IF(BL$6=Assumptions!$B19,Assumptions!$B18,0)+IF(BL$6=Assumptions!$B21,Assumptions!$B20,0)+IF(BL$6=Assumptions!$B25,Assumptions!$B24,0)+IF(BL$6=Assumptions!$B27,Assumptions!$B26,0)+IF(BL$6=Assumptions!$B29,Assumptions!$B28,0)+IF(BL$6=Assumptions!$B31,Assumptions!$B30,0)</f>
        <v>0</v>
      </c>
      <c r="BM36" s="39">
        <f>IF(BM$6=Assumptions!$B13,Assumptions!$B12,0)+IF(BM$6=Assumptions!$B19,Assumptions!$B18,0)+IF(BM$6=Assumptions!$B21,Assumptions!$B20,0)+IF(BM$6=Assumptions!$B25,Assumptions!$B24,0)+IF(BM$6=Assumptions!$B27,Assumptions!$B26,0)+IF(BM$6=Assumptions!$B29,Assumptions!$B28,0)+IF(BM$6=Assumptions!$B31,Assumptions!$B30,0)</f>
        <v>0</v>
      </c>
      <c r="BN36" s="39">
        <f>IF(BN$6=Assumptions!$B13,Assumptions!$B12,0)+IF(BN$6=Assumptions!$B19,Assumptions!$B18,0)+IF(BN$6=Assumptions!$B21,Assumptions!$B20,0)+IF(BN$6=Assumptions!$B25,Assumptions!$B24,0)+IF(BN$6=Assumptions!$B27,Assumptions!$B26,0)+IF(BN$6=Assumptions!$B29,Assumptions!$B28,0)+IF(BN$6=Assumptions!$B31,Assumptions!$B30,0)</f>
        <v>0</v>
      </c>
      <c r="BO36" s="39">
        <f>IF(BO$6=Assumptions!$B13,Assumptions!$B12,0)+IF(BO$6=Assumptions!$B19,Assumptions!$B18,0)+IF(BO$6=Assumptions!$B21,Assumptions!$B20,0)+IF(BO$6=Assumptions!$B25,Assumptions!$B24,0)+IF(BO$6=Assumptions!$B27,Assumptions!$B26,0)+IF(BO$6=Assumptions!$B29,Assumptions!$B28,0)+IF(BO$6=Assumptions!$B31,Assumptions!$B30,0)</f>
        <v>0</v>
      </c>
      <c r="BP36" s="39">
        <f>IF(BP$6=Assumptions!$B13,Assumptions!$B12,0)+IF(BP$6=Assumptions!$B19,Assumptions!$B18,0)+IF(BP$6=Assumptions!$B21,Assumptions!$B20,0)+IF(BP$6=Assumptions!$B25,Assumptions!$B24,0)+IF(BP$6=Assumptions!$B27,Assumptions!$B26,0)+IF(BP$6=Assumptions!$B29,Assumptions!$B28,0)+IF(BP$6=Assumptions!$B31,Assumptions!$B30,0)</f>
        <v>0</v>
      </c>
      <c r="BQ36" s="39">
        <f>IF(BQ$6=Assumptions!$B13,Assumptions!$B12,0)+IF(BQ$6=Assumptions!$B19,Assumptions!$B18,0)+IF(BQ$6=Assumptions!$B21,Assumptions!$B20,0)+IF(BQ$6=Assumptions!$B25,Assumptions!$B24,0)+IF(BQ$6=Assumptions!$B27,Assumptions!$B26,0)+IF(BQ$6=Assumptions!$B29,Assumptions!$B28,0)+IF(BQ$6=Assumptions!$B31,Assumptions!$B30,0)</f>
        <v>0</v>
      </c>
      <c r="BR36" s="39">
        <f>IF(BR$6=Assumptions!$B13,Assumptions!$B12,0)+IF(BR$6=Assumptions!$B19,Assumptions!$B18,0)+IF(BR$6=Assumptions!$B21,Assumptions!$B20,0)+IF(BR$6=Assumptions!$B25,Assumptions!$B24,0)+IF(BR$6=Assumptions!$B27,Assumptions!$B26,0)+IF(BR$6=Assumptions!$B29,Assumptions!$B28,0)+IF(BR$6=Assumptions!$B31,Assumptions!$B30,0)</f>
        <v>0</v>
      </c>
      <c r="BS36" s="39"/>
      <c r="BT36" s="17"/>
    </row>
    <row r="37" spans="1:72" ht="15.75" customHeight="1">
      <c r="A37" s="1"/>
      <c r="B37" s="2" t="s">
        <v>120</v>
      </c>
      <c r="C37" s="2"/>
      <c r="D37" s="2"/>
      <c r="E37" s="2"/>
      <c r="F37" s="2"/>
      <c r="G37" s="323">
        <v>0</v>
      </c>
      <c r="H37" s="323">
        <v>0</v>
      </c>
      <c r="I37" s="323">
        <v>0</v>
      </c>
      <c r="J37" s="323">
        <v>0</v>
      </c>
      <c r="K37" s="323">
        <v>0</v>
      </c>
      <c r="L37" s="323">
        <v>0</v>
      </c>
      <c r="M37" s="323">
        <v>0</v>
      </c>
      <c r="N37" s="323">
        <v>0</v>
      </c>
      <c r="O37" s="323">
        <v>0</v>
      </c>
      <c r="P37" s="323">
        <v>0</v>
      </c>
      <c r="Q37" s="323">
        <v>0</v>
      </c>
      <c r="R37" s="323">
        <v>-100000</v>
      </c>
      <c r="S37" s="3"/>
      <c r="T37" s="323">
        <v>0</v>
      </c>
      <c r="U37" s="323">
        <v>0</v>
      </c>
      <c r="V37" s="323">
        <v>0</v>
      </c>
      <c r="W37" s="323">
        <v>0</v>
      </c>
      <c r="X37" s="323">
        <v>0</v>
      </c>
      <c r="Y37" s="323">
        <v>0</v>
      </c>
      <c r="Z37" s="323">
        <v>0</v>
      </c>
      <c r="AA37" s="323">
        <v>0</v>
      </c>
      <c r="AB37" s="323">
        <v>0</v>
      </c>
      <c r="AC37" s="323">
        <v>0</v>
      </c>
      <c r="AD37" s="323">
        <v>0</v>
      </c>
      <c r="AE37" s="323">
        <v>-300000</v>
      </c>
      <c r="AF37" s="3"/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323">
        <v>0</v>
      </c>
      <c r="AM37" s="323">
        <v>0</v>
      </c>
      <c r="AN37" s="323">
        <v>0</v>
      </c>
      <c r="AO37" s="323">
        <v>0</v>
      </c>
      <c r="AP37" s="323">
        <v>0</v>
      </c>
      <c r="AQ37" s="323">
        <v>0</v>
      </c>
      <c r="AR37" s="323">
        <v>-200000</v>
      </c>
      <c r="AS37" s="3"/>
      <c r="AT37" s="323">
        <v>0</v>
      </c>
      <c r="AU37" s="323">
        <v>0</v>
      </c>
      <c r="AV37" s="323">
        <v>0</v>
      </c>
      <c r="AW37" s="323">
        <v>0</v>
      </c>
      <c r="AX37" s="323">
        <v>0</v>
      </c>
      <c r="AY37" s="323">
        <v>0</v>
      </c>
      <c r="AZ37" s="323">
        <v>0</v>
      </c>
      <c r="BA37" s="323">
        <v>0</v>
      </c>
      <c r="BB37" s="323">
        <v>0</v>
      </c>
      <c r="BC37" s="323">
        <v>0</v>
      </c>
      <c r="BD37" s="323">
        <v>0</v>
      </c>
      <c r="BE37" s="323">
        <v>-300000</v>
      </c>
      <c r="BF37" s="3"/>
      <c r="BG37" s="323">
        <v>0</v>
      </c>
      <c r="BH37" s="323">
        <v>0</v>
      </c>
      <c r="BI37" s="323">
        <v>0</v>
      </c>
      <c r="BJ37" s="323">
        <v>0</v>
      </c>
      <c r="BK37" s="323">
        <v>0</v>
      </c>
      <c r="BL37" s="323">
        <v>0</v>
      </c>
      <c r="BM37" s="323">
        <v>0</v>
      </c>
      <c r="BN37" s="323">
        <v>0</v>
      </c>
      <c r="BO37" s="323">
        <v>0</v>
      </c>
      <c r="BP37" s="323">
        <v>0</v>
      </c>
      <c r="BQ37" s="323">
        <v>0</v>
      </c>
      <c r="BR37" s="323">
        <v>-400000</v>
      </c>
      <c r="BS37" s="3"/>
      <c r="BT37" s="3"/>
    </row>
    <row r="38" spans="1:72" ht="15.75" customHeight="1">
      <c r="A38" s="1"/>
      <c r="B38" s="2"/>
      <c r="C38" s="2"/>
      <c r="D38" s="2"/>
      <c r="E38" s="2" t="s">
        <v>91</v>
      </c>
      <c r="F38" s="2"/>
      <c r="G38" s="18">
        <f t="shared" ref="G38:R38" si="14">SUM(G34:G37)</f>
        <v>796094.60771612579</v>
      </c>
      <c r="H38" s="18">
        <f t="shared" si="14"/>
        <v>-3937.9372195732167</v>
      </c>
      <c r="I38" s="18">
        <f t="shared" si="14"/>
        <v>-3970.7533630696598</v>
      </c>
      <c r="J38" s="18">
        <f t="shared" si="14"/>
        <v>-4003.8429744285731</v>
      </c>
      <c r="K38" s="18">
        <f t="shared" si="14"/>
        <v>-4037.2083325488111</v>
      </c>
      <c r="L38" s="18">
        <f t="shared" si="14"/>
        <v>-4070.8517353200514</v>
      </c>
      <c r="M38" s="18">
        <f t="shared" si="14"/>
        <v>-4104.7754997810525</v>
      </c>
      <c r="N38" s="18">
        <f t="shared" si="14"/>
        <v>-4138.9819622792274</v>
      </c>
      <c r="O38" s="18">
        <f t="shared" si="14"/>
        <v>-4173.4734786315539</v>
      </c>
      <c r="P38" s="18">
        <f t="shared" si="14"/>
        <v>-4208.2524242868167</v>
      </c>
      <c r="Q38" s="18">
        <f t="shared" si="14"/>
        <v>-4243.3211944892073</v>
      </c>
      <c r="R38" s="18">
        <f t="shared" si="14"/>
        <v>-104278.68220444328</v>
      </c>
      <c r="S38" s="3"/>
      <c r="T38" s="18">
        <f t="shared" ref="T38:AE38" si="15">SUM(T34:T37)</f>
        <v>-4314.3378894803118</v>
      </c>
      <c r="U38" s="18">
        <f t="shared" si="15"/>
        <v>-4350.2907052259807</v>
      </c>
      <c r="V38" s="18">
        <f t="shared" si="15"/>
        <v>-4386.5431277695307</v>
      </c>
      <c r="W38" s="18">
        <f t="shared" si="15"/>
        <v>-4423.0976538342766</v>
      </c>
      <c r="X38" s="18">
        <f t="shared" si="15"/>
        <v>-4459.9568009495615</v>
      </c>
      <c r="Y38" s="18">
        <f t="shared" si="15"/>
        <v>-4497.1231076241411</v>
      </c>
      <c r="Z38" s="18">
        <f t="shared" si="15"/>
        <v>-4534.5991335210092</v>
      </c>
      <c r="AA38" s="18">
        <f t="shared" si="15"/>
        <v>-4572.3874596336836</v>
      </c>
      <c r="AB38" s="18">
        <f t="shared" si="15"/>
        <v>-4610.490688463964</v>
      </c>
      <c r="AC38" s="18">
        <f t="shared" si="15"/>
        <v>-4648.9114442011632</v>
      </c>
      <c r="AD38" s="18">
        <f t="shared" si="15"/>
        <v>-4687.6523729028395</v>
      </c>
      <c r="AE38" s="18">
        <f t="shared" si="15"/>
        <v>-304726.716142677</v>
      </c>
      <c r="AF38" s="3"/>
      <c r="AG38" s="18">
        <f t="shared" ref="AG38:AR38" si="16">SUM(AG34:AG37)</f>
        <v>-4766.1054438660049</v>
      </c>
      <c r="AH38" s="18">
        <f t="shared" si="16"/>
        <v>-4805.8229892315549</v>
      </c>
      <c r="AI38" s="18">
        <f t="shared" si="16"/>
        <v>-4845.8715141418179</v>
      </c>
      <c r="AJ38" s="18">
        <f t="shared" si="16"/>
        <v>-4886.2537767596659</v>
      </c>
      <c r="AK38" s="18">
        <f t="shared" si="16"/>
        <v>-4926.9725582326628</v>
      </c>
      <c r="AL38" s="18">
        <f t="shared" si="16"/>
        <v>-4968.030662884601</v>
      </c>
      <c r="AM38" s="18">
        <f t="shared" si="16"/>
        <v>-5009.4309184086396</v>
      </c>
      <c r="AN38" s="18">
        <f t="shared" si="16"/>
        <v>-5051.1761760620448</v>
      </c>
      <c r="AO38" s="18">
        <f t="shared" si="16"/>
        <v>-5093.2693108625626</v>
      </c>
      <c r="AP38" s="18">
        <f t="shared" si="16"/>
        <v>-5135.7132217864164</v>
      </c>
      <c r="AQ38" s="18">
        <f t="shared" si="16"/>
        <v>-5178.5108319679703</v>
      </c>
      <c r="AR38" s="18">
        <f t="shared" si="16"/>
        <v>-205221.66508890103</v>
      </c>
      <c r="AS38" s="3"/>
      <c r="AT38" s="18">
        <f t="shared" ref="AT38:BE38" si="17">SUM(AT34:AT37)</f>
        <v>-5265.1789646418783</v>
      </c>
      <c r="AU38" s="18">
        <f t="shared" si="17"/>
        <v>-5309.0554560138944</v>
      </c>
      <c r="AV38" s="18">
        <f t="shared" si="17"/>
        <v>-5353.2975848140095</v>
      </c>
      <c r="AW38" s="18">
        <f t="shared" si="17"/>
        <v>-5397.9083980207934</v>
      </c>
      <c r="AX38" s="18">
        <f t="shared" si="17"/>
        <v>-5442.8909680042998</v>
      </c>
      <c r="AY38" s="18">
        <f t="shared" si="17"/>
        <v>-5488.2483927376688</v>
      </c>
      <c r="AZ38" s="18">
        <f t="shared" si="17"/>
        <v>-5533.9837960104824</v>
      </c>
      <c r="BA38" s="18">
        <f t="shared" si="17"/>
        <v>-5580.1003276439033</v>
      </c>
      <c r="BB38" s="18">
        <f t="shared" si="17"/>
        <v>-5626.6011637076026</v>
      </c>
      <c r="BC38" s="18">
        <f t="shared" si="17"/>
        <v>-5673.4895067384987</v>
      </c>
      <c r="BD38" s="18">
        <f t="shared" si="17"/>
        <v>-5720.7685859613193</v>
      </c>
      <c r="BE38" s="18">
        <f t="shared" si="17"/>
        <v>-305768.44165751099</v>
      </c>
      <c r="BF38" s="3"/>
      <c r="BG38" s="18">
        <f t="shared" ref="BG38:BR38" si="18">SUM(BG34:BG37)</f>
        <v>-5816.5120046569227</v>
      </c>
      <c r="BH38" s="18">
        <f t="shared" si="18"/>
        <v>-5864.9829380290639</v>
      </c>
      <c r="BI38" s="18">
        <f t="shared" si="18"/>
        <v>-5913.8577958459737</v>
      </c>
      <c r="BJ38" s="18">
        <f t="shared" si="18"/>
        <v>-5963.1399441446893</v>
      </c>
      <c r="BK38" s="18">
        <f t="shared" si="18"/>
        <v>-6012.8327770125616</v>
      </c>
      <c r="BL38" s="18">
        <f t="shared" si="18"/>
        <v>-6062.9397168209998</v>
      </c>
      <c r="BM38" s="18">
        <f t="shared" si="18"/>
        <v>-6113.4642144611744</v>
      </c>
      <c r="BN38" s="18">
        <f t="shared" si="18"/>
        <v>-6164.4097495816841</v>
      </c>
      <c r="BO38" s="18">
        <f t="shared" si="18"/>
        <v>-6215.7798308281981</v>
      </c>
      <c r="BP38" s="18">
        <f t="shared" si="18"/>
        <v>-6267.5779960850996</v>
      </c>
      <c r="BQ38" s="18">
        <f t="shared" si="18"/>
        <v>-6319.8078127191429</v>
      </c>
      <c r="BR38" s="18">
        <f t="shared" si="18"/>
        <v>-406372.47287782514</v>
      </c>
      <c r="BS38" s="3"/>
      <c r="BT38" s="2"/>
    </row>
    <row r="39" spans="1:72" ht="15.75" customHeight="1">
      <c r="A39" s="1"/>
      <c r="B39" s="2"/>
      <c r="C39" s="2"/>
      <c r="D39" s="2"/>
      <c r="E39" s="2"/>
      <c r="F39" s="2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2"/>
    </row>
    <row r="40" spans="1:72" ht="15.75" customHeight="1">
      <c r="A40" s="1" t="s">
        <v>92</v>
      </c>
      <c r="B40" s="2"/>
      <c r="C40" s="2"/>
      <c r="D40" s="2"/>
      <c r="E40" s="2"/>
      <c r="F40" s="2"/>
      <c r="G40" s="3">
        <f t="shared" ref="G40:R40" si="19">G23+G31+G38</f>
        <v>70462.030292810756</v>
      </c>
      <c r="H40" s="3">
        <f t="shared" si="19"/>
        <v>40603.517205370379</v>
      </c>
      <c r="I40" s="3">
        <f t="shared" si="19"/>
        <v>-2621.1468984001312</v>
      </c>
      <c r="J40" s="3">
        <f t="shared" si="19"/>
        <v>11731.902730217873</v>
      </c>
      <c r="K40" s="3">
        <f t="shared" si="19"/>
        <v>31503.922226048686</v>
      </c>
      <c r="L40" s="3">
        <f t="shared" si="19"/>
        <v>30756.497719525745</v>
      </c>
      <c r="M40" s="3">
        <f t="shared" si="19"/>
        <v>3423.5542561741304</v>
      </c>
      <c r="N40" s="3">
        <f t="shared" si="19"/>
        <v>26918.552525608779</v>
      </c>
      <c r="O40" s="3">
        <f t="shared" si="19"/>
        <v>17705.336520614601</v>
      </c>
      <c r="P40" s="3">
        <f t="shared" si="19"/>
        <v>-13888.154473793276</v>
      </c>
      <c r="Q40" s="3">
        <f t="shared" si="19"/>
        <v>7574.1882810816123</v>
      </c>
      <c r="R40" s="3">
        <f t="shared" si="19"/>
        <v>-97141.471390087463</v>
      </c>
      <c r="S40" s="3"/>
      <c r="T40" s="3">
        <f t="shared" ref="T40:AE40" si="20">T23+T31+T38</f>
        <v>-17631.938626415922</v>
      </c>
      <c r="U40" s="3">
        <f t="shared" si="20"/>
        <v>7216.8005460330196</v>
      </c>
      <c r="V40" s="3">
        <f t="shared" si="20"/>
        <v>26550.157329992682</v>
      </c>
      <c r="W40" s="3">
        <f t="shared" si="20"/>
        <v>23508.916172225621</v>
      </c>
      <c r="X40" s="3">
        <f t="shared" si="20"/>
        <v>49444.015910933995</v>
      </c>
      <c r="Y40" s="3">
        <f t="shared" si="20"/>
        <v>48514.71646072124</v>
      </c>
      <c r="Z40" s="3">
        <f t="shared" si="20"/>
        <v>12599.430077218825</v>
      </c>
      <c r="AA40" s="3">
        <f t="shared" si="20"/>
        <v>43579.104934010982</v>
      </c>
      <c r="AB40" s="3">
        <f t="shared" si="20"/>
        <v>31382.44082700304</v>
      </c>
      <c r="AC40" s="3">
        <f t="shared" si="20"/>
        <v>-10174.847289825913</v>
      </c>
      <c r="AD40" s="3">
        <f t="shared" si="20"/>
        <v>18069.875234555351</v>
      </c>
      <c r="AE40" s="3">
        <f t="shared" si="20"/>
        <v>-288721.73510903685</v>
      </c>
      <c r="AF40" s="3"/>
      <c r="AG40" s="3">
        <f t="shared" ref="AG40:AR40" si="21">AG23+AG31+AG38</f>
        <v>-27998.351909616737</v>
      </c>
      <c r="AH40" s="3">
        <f t="shared" si="21"/>
        <v>2093.2951826455746</v>
      </c>
      <c r="AI40" s="3">
        <f t="shared" si="21"/>
        <v>26982.926872652828</v>
      </c>
      <c r="AJ40" s="3">
        <f t="shared" si="21"/>
        <v>23590.802749932871</v>
      </c>
      <c r="AK40" s="3">
        <f t="shared" si="21"/>
        <v>53494.819018043127</v>
      </c>
      <c r="AL40" s="3">
        <f t="shared" si="21"/>
        <v>52377.993701059379</v>
      </c>
      <c r="AM40" s="3">
        <f t="shared" si="21"/>
        <v>10707.23013972513</v>
      </c>
      <c r="AN40" s="3">
        <f t="shared" si="21"/>
        <v>46605.128547501197</v>
      </c>
      <c r="AO40" s="3">
        <f t="shared" si="21"/>
        <v>32442.310476334045</v>
      </c>
      <c r="AP40" s="3">
        <f t="shared" si="21"/>
        <v>-15690.557899402527</v>
      </c>
      <c r="AQ40" s="3">
        <f t="shared" si="21"/>
        <v>17087.00477873208</v>
      </c>
      <c r="AR40" s="3">
        <f t="shared" si="21"/>
        <v>-190920.91363924471</v>
      </c>
      <c r="AS40" s="3"/>
      <c r="AT40" s="3">
        <f t="shared" ref="AT40:BE40" si="22">AT23+AT31+AT38</f>
        <v>-29363.134306716078</v>
      </c>
      <c r="AU40" s="3">
        <f t="shared" si="22"/>
        <v>4170.4292062836948</v>
      </c>
      <c r="AV40" s="3">
        <f t="shared" si="22"/>
        <v>33367.739047843912</v>
      </c>
      <c r="AW40" s="3">
        <f t="shared" si="22"/>
        <v>29706.243211058987</v>
      </c>
      <c r="AX40" s="3">
        <f t="shared" si="22"/>
        <v>62921.821878156872</v>
      </c>
      <c r="AY40" s="3">
        <f t="shared" si="22"/>
        <v>61640.774905258506</v>
      </c>
      <c r="AZ40" s="3">
        <f t="shared" si="22"/>
        <v>15159.517697397252</v>
      </c>
      <c r="BA40" s="3">
        <f t="shared" si="22"/>
        <v>55169.848314649935</v>
      </c>
      <c r="BB40" s="3">
        <f t="shared" si="22"/>
        <v>39348.484506753739</v>
      </c>
      <c r="BC40" s="3">
        <f t="shared" si="22"/>
        <v>-14276.719650785852</v>
      </c>
      <c r="BD40" s="3">
        <f t="shared" si="22"/>
        <v>22285.672306523047</v>
      </c>
      <c r="BE40" s="3">
        <f t="shared" si="22"/>
        <v>-286585.22255473991</v>
      </c>
      <c r="BF40" s="3"/>
      <c r="BG40" s="3">
        <f t="shared" ref="BG40:BR40" si="23">BG23+BG31+BG38</f>
        <v>-29950.419969624629</v>
      </c>
      <c r="BH40" s="3">
        <f t="shared" si="23"/>
        <v>7343.6741710124015</v>
      </c>
      <c r="BI40" s="3">
        <f t="shared" si="23"/>
        <v>39855.409068922607</v>
      </c>
      <c r="BJ40" s="3">
        <f t="shared" si="23"/>
        <v>35891.406126361311</v>
      </c>
      <c r="BK40" s="3">
        <f t="shared" si="23"/>
        <v>72769.30952719356</v>
      </c>
      <c r="BL40" s="3">
        <f t="shared" si="23"/>
        <v>71303.008921492539</v>
      </c>
      <c r="BM40" s="3">
        <f t="shared" si="23"/>
        <v>19432.384192872396</v>
      </c>
      <c r="BN40" s="3">
        <f t="shared" si="23"/>
        <v>64031.027095742538</v>
      </c>
      <c r="BO40" s="3">
        <f t="shared" si="23"/>
        <v>46370.580384233428</v>
      </c>
      <c r="BP40" s="3">
        <f t="shared" si="23"/>
        <v>-13388.144210149629</v>
      </c>
      <c r="BQ40" s="3">
        <f t="shared" si="23"/>
        <v>27420.736317563733</v>
      </c>
      <c r="BR40" s="3">
        <f t="shared" si="23"/>
        <v>-381758.15093497542</v>
      </c>
      <c r="BS40" s="3"/>
      <c r="BT40" s="2"/>
    </row>
    <row r="41" spans="1:72" ht="15.75" customHeight="1">
      <c r="A41" s="1" t="s">
        <v>93</v>
      </c>
      <c r="B41" s="2"/>
      <c r="C41" s="2"/>
      <c r="D41" s="2"/>
      <c r="E41" s="2"/>
      <c r="F41" s="2"/>
      <c r="G41" s="3">
        <f>0</f>
        <v>0</v>
      </c>
      <c r="H41" s="3">
        <f t="shared" ref="H41:R41" si="24">G43</f>
        <v>70462.030292810756</v>
      </c>
      <c r="I41" s="3">
        <f t="shared" si="24"/>
        <v>111065.54749818114</v>
      </c>
      <c r="J41" s="3">
        <f t="shared" si="24"/>
        <v>108444.40059978102</v>
      </c>
      <c r="K41" s="3">
        <f t="shared" si="24"/>
        <v>120176.30332999889</v>
      </c>
      <c r="L41" s="3">
        <f t="shared" si="24"/>
        <v>151680.22555604758</v>
      </c>
      <c r="M41" s="3">
        <f t="shared" si="24"/>
        <v>182436.72327557331</v>
      </c>
      <c r="N41" s="3">
        <f t="shared" si="24"/>
        <v>185860.27753174744</v>
      </c>
      <c r="O41" s="3">
        <f t="shared" si="24"/>
        <v>212778.83005735622</v>
      </c>
      <c r="P41" s="3">
        <f t="shared" si="24"/>
        <v>230484.16657797081</v>
      </c>
      <c r="Q41" s="3">
        <f t="shared" si="24"/>
        <v>216596.01210417753</v>
      </c>
      <c r="R41" s="3">
        <f t="shared" si="24"/>
        <v>224170.20038525914</v>
      </c>
      <c r="S41" s="3"/>
      <c r="T41" s="3">
        <f>R43</f>
        <v>127028.72899517168</v>
      </c>
      <c r="U41" s="3">
        <f t="shared" ref="U41:AE41" si="25">T43</f>
        <v>109396.79036875576</v>
      </c>
      <c r="V41" s="3">
        <f t="shared" si="25"/>
        <v>116613.59091478877</v>
      </c>
      <c r="W41" s="3">
        <f t="shared" si="25"/>
        <v>143163.74824478145</v>
      </c>
      <c r="X41" s="3">
        <f t="shared" si="25"/>
        <v>166672.66441700706</v>
      </c>
      <c r="Y41" s="3">
        <f t="shared" si="25"/>
        <v>216116.68032794105</v>
      </c>
      <c r="Z41" s="3">
        <f t="shared" si="25"/>
        <v>264631.3967886623</v>
      </c>
      <c r="AA41" s="3">
        <f t="shared" si="25"/>
        <v>277230.8268658811</v>
      </c>
      <c r="AB41" s="3">
        <f t="shared" si="25"/>
        <v>320809.9317998921</v>
      </c>
      <c r="AC41" s="3">
        <f t="shared" si="25"/>
        <v>352192.37262689514</v>
      </c>
      <c r="AD41" s="3">
        <f t="shared" si="25"/>
        <v>342017.52533706924</v>
      </c>
      <c r="AE41" s="3">
        <f t="shared" si="25"/>
        <v>360087.40057162457</v>
      </c>
      <c r="AF41" s="3"/>
      <c r="AG41" s="3">
        <f>AE43</f>
        <v>71365.665462587727</v>
      </c>
      <c r="AH41" s="3">
        <f t="shared" ref="AH41:AR41" si="26">AG43</f>
        <v>43367.313552970991</v>
      </c>
      <c r="AI41" s="3">
        <f t="shared" si="26"/>
        <v>45460.608735616566</v>
      </c>
      <c r="AJ41" s="3">
        <f t="shared" si="26"/>
        <v>72443.535608269391</v>
      </c>
      <c r="AK41" s="3">
        <f t="shared" si="26"/>
        <v>96034.338358202265</v>
      </c>
      <c r="AL41" s="3">
        <f t="shared" si="26"/>
        <v>149529.15737624539</v>
      </c>
      <c r="AM41" s="3">
        <f t="shared" si="26"/>
        <v>201907.15107730476</v>
      </c>
      <c r="AN41" s="3">
        <f t="shared" si="26"/>
        <v>212614.38121702991</v>
      </c>
      <c r="AO41" s="3">
        <f t="shared" si="26"/>
        <v>259219.5097645311</v>
      </c>
      <c r="AP41" s="3">
        <f t="shared" si="26"/>
        <v>291661.82024086517</v>
      </c>
      <c r="AQ41" s="3">
        <f t="shared" si="26"/>
        <v>275971.26234146266</v>
      </c>
      <c r="AR41" s="3">
        <f t="shared" si="26"/>
        <v>293058.26712019474</v>
      </c>
      <c r="AS41" s="3"/>
      <c r="AT41" s="3">
        <f>AR43</f>
        <v>102137.35348095003</v>
      </c>
      <c r="AU41" s="3">
        <f t="shared" ref="AU41:BE41" si="27">AT43</f>
        <v>72774.219174233949</v>
      </c>
      <c r="AV41" s="3">
        <f t="shared" si="27"/>
        <v>76944.648380517639</v>
      </c>
      <c r="AW41" s="3">
        <f t="shared" si="27"/>
        <v>110312.38742836154</v>
      </c>
      <c r="AX41" s="3">
        <f t="shared" si="27"/>
        <v>140018.63063942053</v>
      </c>
      <c r="AY41" s="3">
        <f t="shared" si="27"/>
        <v>202940.45251757739</v>
      </c>
      <c r="AZ41" s="3">
        <f t="shared" si="27"/>
        <v>264581.22742283589</v>
      </c>
      <c r="BA41" s="3">
        <f t="shared" si="27"/>
        <v>279740.74512023316</v>
      </c>
      <c r="BB41" s="3">
        <f t="shared" si="27"/>
        <v>334910.59343488311</v>
      </c>
      <c r="BC41" s="3">
        <f t="shared" si="27"/>
        <v>374259.07794163685</v>
      </c>
      <c r="BD41" s="3">
        <f t="shared" si="27"/>
        <v>359982.358290851</v>
      </c>
      <c r="BE41" s="3">
        <f t="shared" si="27"/>
        <v>382268.03059737408</v>
      </c>
      <c r="BF41" s="3"/>
      <c r="BG41" s="3">
        <f>BE43</f>
        <v>95682.808042634162</v>
      </c>
      <c r="BH41" s="3">
        <f t="shared" ref="BH41:BR41" si="28">BG43</f>
        <v>65732.388073009526</v>
      </c>
      <c r="BI41" s="3">
        <f t="shared" si="28"/>
        <v>73076.06224402193</v>
      </c>
      <c r="BJ41" s="3">
        <f t="shared" si="28"/>
        <v>112931.47131294454</v>
      </c>
      <c r="BK41" s="3">
        <f t="shared" si="28"/>
        <v>148822.87743930586</v>
      </c>
      <c r="BL41" s="3">
        <f t="shared" si="28"/>
        <v>221592.18696649943</v>
      </c>
      <c r="BM41" s="3">
        <f t="shared" si="28"/>
        <v>292895.19588799198</v>
      </c>
      <c r="BN41" s="3">
        <f t="shared" si="28"/>
        <v>312327.58008086437</v>
      </c>
      <c r="BO41" s="3">
        <f t="shared" si="28"/>
        <v>376358.60717660689</v>
      </c>
      <c r="BP41" s="3">
        <f t="shared" si="28"/>
        <v>422729.18756084034</v>
      </c>
      <c r="BQ41" s="3">
        <f t="shared" si="28"/>
        <v>409341.04335069068</v>
      </c>
      <c r="BR41" s="3">
        <f t="shared" si="28"/>
        <v>436761.77966825443</v>
      </c>
      <c r="BS41" s="3"/>
      <c r="BT41" s="2"/>
    </row>
    <row r="42" spans="1:72" ht="15.75" customHeight="1">
      <c r="A42" s="1"/>
      <c r="B42" s="2"/>
      <c r="C42" s="2"/>
      <c r="D42" s="2"/>
      <c r="E42" s="2"/>
      <c r="F42" s="2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2"/>
    </row>
    <row r="43" spans="1:72" ht="15.75" customHeight="1">
      <c r="A43" s="1" t="s">
        <v>121</v>
      </c>
      <c r="B43" s="2"/>
      <c r="C43" s="2"/>
      <c r="D43" s="2"/>
      <c r="E43" s="2"/>
      <c r="F43" s="2"/>
      <c r="G43" s="3">
        <f t="shared" ref="G43:R43" si="29">SUM(G40:G42)</f>
        <v>70462.030292810756</v>
      </c>
      <c r="H43" s="3">
        <f t="shared" si="29"/>
        <v>111065.54749818114</v>
      </c>
      <c r="I43" s="3">
        <f t="shared" si="29"/>
        <v>108444.40059978102</v>
      </c>
      <c r="J43" s="3">
        <f t="shared" si="29"/>
        <v>120176.30332999889</v>
      </c>
      <c r="K43" s="3">
        <f t="shared" si="29"/>
        <v>151680.22555604758</v>
      </c>
      <c r="L43" s="3">
        <f t="shared" si="29"/>
        <v>182436.72327557331</v>
      </c>
      <c r="M43" s="3">
        <f t="shared" si="29"/>
        <v>185860.27753174744</v>
      </c>
      <c r="N43" s="3">
        <f t="shared" si="29"/>
        <v>212778.83005735622</v>
      </c>
      <c r="O43" s="3">
        <f t="shared" si="29"/>
        <v>230484.16657797081</v>
      </c>
      <c r="P43" s="3">
        <f t="shared" si="29"/>
        <v>216596.01210417753</v>
      </c>
      <c r="Q43" s="3">
        <f t="shared" si="29"/>
        <v>224170.20038525914</v>
      </c>
      <c r="R43" s="3">
        <f t="shared" si="29"/>
        <v>127028.72899517168</v>
      </c>
      <c r="S43" s="3"/>
      <c r="T43" s="3">
        <f t="shared" ref="T43:AE43" si="30">SUM(T40:T42)</f>
        <v>109396.79036875576</v>
      </c>
      <c r="U43" s="3">
        <f t="shared" si="30"/>
        <v>116613.59091478877</v>
      </c>
      <c r="V43" s="3">
        <f t="shared" si="30"/>
        <v>143163.74824478145</v>
      </c>
      <c r="W43" s="3">
        <f t="shared" si="30"/>
        <v>166672.66441700706</v>
      </c>
      <c r="X43" s="3">
        <f t="shared" si="30"/>
        <v>216116.68032794105</v>
      </c>
      <c r="Y43" s="3">
        <f t="shared" si="30"/>
        <v>264631.3967886623</v>
      </c>
      <c r="Z43" s="3">
        <f t="shared" si="30"/>
        <v>277230.8268658811</v>
      </c>
      <c r="AA43" s="3">
        <f t="shared" si="30"/>
        <v>320809.9317998921</v>
      </c>
      <c r="AB43" s="3">
        <f t="shared" si="30"/>
        <v>352192.37262689514</v>
      </c>
      <c r="AC43" s="3">
        <f t="shared" si="30"/>
        <v>342017.52533706924</v>
      </c>
      <c r="AD43" s="3">
        <f t="shared" si="30"/>
        <v>360087.40057162457</v>
      </c>
      <c r="AE43" s="3">
        <f t="shared" si="30"/>
        <v>71365.665462587727</v>
      </c>
      <c r="AF43" s="3"/>
      <c r="AG43" s="3">
        <f t="shared" ref="AG43:AR43" si="31">SUM(AG40:AG42)</f>
        <v>43367.313552970991</v>
      </c>
      <c r="AH43" s="3">
        <f t="shared" si="31"/>
        <v>45460.608735616566</v>
      </c>
      <c r="AI43" s="3">
        <f t="shared" si="31"/>
        <v>72443.535608269391</v>
      </c>
      <c r="AJ43" s="3">
        <f t="shared" si="31"/>
        <v>96034.338358202265</v>
      </c>
      <c r="AK43" s="3">
        <f t="shared" si="31"/>
        <v>149529.15737624539</v>
      </c>
      <c r="AL43" s="3">
        <f t="shared" si="31"/>
        <v>201907.15107730476</v>
      </c>
      <c r="AM43" s="3">
        <f t="shared" si="31"/>
        <v>212614.38121702991</v>
      </c>
      <c r="AN43" s="3">
        <f t="shared" si="31"/>
        <v>259219.5097645311</v>
      </c>
      <c r="AO43" s="3">
        <f t="shared" si="31"/>
        <v>291661.82024086517</v>
      </c>
      <c r="AP43" s="3">
        <f t="shared" si="31"/>
        <v>275971.26234146266</v>
      </c>
      <c r="AQ43" s="3">
        <f t="shared" si="31"/>
        <v>293058.26712019474</v>
      </c>
      <c r="AR43" s="3">
        <f t="shared" si="31"/>
        <v>102137.35348095003</v>
      </c>
      <c r="AS43" s="3"/>
      <c r="AT43" s="3">
        <f t="shared" ref="AT43:BE43" si="32">SUM(AT40:AT42)</f>
        <v>72774.219174233949</v>
      </c>
      <c r="AU43" s="3">
        <f t="shared" si="32"/>
        <v>76944.648380517639</v>
      </c>
      <c r="AV43" s="3">
        <f t="shared" si="32"/>
        <v>110312.38742836154</v>
      </c>
      <c r="AW43" s="3">
        <f t="shared" si="32"/>
        <v>140018.63063942053</v>
      </c>
      <c r="AX43" s="3">
        <f t="shared" si="32"/>
        <v>202940.45251757739</v>
      </c>
      <c r="AY43" s="3">
        <f t="shared" si="32"/>
        <v>264581.22742283589</v>
      </c>
      <c r="AZ43" s="3">
        <f t="shared" si="32"/>
        <v>279740.74512023316</v>
      </c>
      <c r="BA43" s="3">
        <f t="shared" si="32"/>
        <v>334910.59343488311</v>
      </c>
      <c r="BB43" s="3">
        <f t="shared" si="32"/>
        <v>374259.07794163685</v>
      </c>
      <c r="BC43" s="3">
        <f t="shared" si="32"/>
        <v>359982.358290851</v>
      </c>
      <c r="BD43" s="3">
        <f t="shared" si="32"/>
        <v>382268.03059737408</v>
      </c>
      <c r="BE43" s="3">
        <f t="shared" si="32"/>
        <v>95682.808042634162</v>
      </c>
      <c r="BF43" s="3"/>
      <c r="BG43" s="3">
        <f t="shared" ref="BG43:BR43" si="33">SUM(BG40:BG42)</f>
        <v>65732.388073009526</v>
      </c>
      <c r="BH43" s="3">
        <f t="shared" si="33"/>
        <v>73076.06224402193</v>
      </c>
      <c r="BI43" s="3">
        <f t="shared" si="33"/>
        <v>112931.47131294454</v>
      </c>
      <c r="BJ43" s="3">
        <f t="shared" si="33"/>
        <v>148822.87743930586</v>
      </c>
      <c r="BK43" s="3">
        <f t="shared" si="33"/>
        <v>221592.18696649943</v>
      </c>
      <c r="BL43" s="3">
        <f t="shared" si="33"/>
        <v>292895.19588799198</v>
      </c>
      <c r="BM43" s="3">
        <f t="shared" si="33"/>
        <v>312327.58008086437</v>
      </c>
      <c r="BN43" s="3">
        <f t="shared" si="33"/>
        <v>376358.60717660689</v>
      </c>
      <c r="BO43" s="3">
        <f t="shared" si="33"/>
        <v>422729.18756084034</v>
      </c>
      <c r="BP43" s="3">
        <f t="shared" si="33"/>
        <v>409341.04335069068</v>
      </c>
      <c r="BQ43" s="3">
        <f t="shared" si="33"/>
        <v>436761.77966825443</v>
      </c>
      <c r="BR43" s="3">
        <f t="shared" si="33"/>
        <v>55003.628733279009</v>
      </c>
      <c r="BS43" s="3"/>
      <c r="BT43" s="2"/>
    </row>
    <row r="44" spans="1:72" ht="15.75" customHeight="1">
      <c r="A44" s="2"/>
      <c r="B44" s="2"/>
      <c r="C44" s="2"/>
      <c r="D44" s="2"/>
      <c r="E44" s="2"/>
      <c r="F44" s="2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2"/>
    </row>
    <row r="45" spans="1:72" ht="15.75" customHeight="1">
      <c r="A45" s="2" t="s">
        <v>95</v>
      </c>
      <c r="B45" s="2"/>
      <c r="C45" s="2"/>
      <c r="D45" s="2"/>
      <c r="E45" s="2"/>
      <c r="F45" s="2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2"/>
    </row>
    <row r="46" spans="1:72" ht="15.75" customHeight="1">
      <c r="A46" s="2" t="s">
        <v>115</v>
      </c>
      <c r="B46" s="2"/>
      <c r="C46" s="2"/>
      <c r="D46" s="2"/>
      <c r="E46" s="2"/>
      <c r="F46" s="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2"/>
    </row>
    <row r="47" spans="1:72" ht="15.75" customHeight="1">
      <c r="A47" s="2"/>
      <c r="B47" s="2"/>
      <c r="C47" s="2"/>
      <c r="D47" s="2"/>
      <c r="E47" s="2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2"/>
    </row>
    <row r="48" spans="1:7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sheetProtection sheet="1"/>
  <protectedRanges>
    <protectedRange sqref="A37:XFD37" name="Range1"/>
  </protectedRange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T1019"/>
  <sheetViews>
    <sheetView zoomScaleNormal="100" workbookViewId="0">
      <pane xSplit="5" ySplit="6" topLeftCell="F25" activePane="bottomRight" state="frozen"/>
      <selection pane="topRight" activeCell="F1" sqref="F1"/>
      <selection pane="bottomLeft" activeCell="A7" sqref="A7"/>
      <selection pane="bottomRight" activeCell="F34" sqref="F34"/>
    </sheetView>
  </sheetViews>
  <sheetFormatPr defaultColWidth="14.42578125" defaultRowHeight="15" customHeight="1"/>
  <cols>
    <col min="1" max="1" width="3.7109375" customWidth="1"/>
    <col min="2" max="2" width="4.5703125" customWidth="1"/>
    <col min="3" max="4" width="3.7109375" customWidth="1"/>
    <col min="5" max="5" width="28.7109375" customWidth="1"/>
    <col min="6" max="71" width="11.7109375" customWidth="1"/>
    <col min="72" max="72" width="8.7109375" customWidth="1"/>
  </cols>
  <sheetData>
    <row r="1" spans="1:71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1"/>
    </row>
    <row r="2" spans="1:71">
      <c r="A2" s="1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1"/>
    </row>
    <row r="3" spans="1:71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6"/>
    </row>
    <row r="4" spans="1:71">
      <c r="A4" s="11"/>
      <c r="B4" s="11"/>
      <c r="C4" s="11"/>
      <c r="D4" s="11"/>
      <c r="E4" s="11"/>
      <c r="F4" s="31"/>
      <c r="G4" s="32"/>
      <c r="H4" s="32"/>
      <c r="I4" s="32"/>
      <c r="J4" s="32"/>
      <c r="K4" s="32"/>
      <c r="L4" s="33" t="s">
        <v>98</v>
      </c>
      <c r="M4" s="32"/>
      <c r="N4" s="32"/>
      <c r="O4" s="32"/>
      <c r="P4" s="32"/>
      <c r="Q4" s="32"/>
      <c r="R4" s="34"/>
      <c r="S4" s="31"/>
      <c r="T4" s="32"/>
      <c r="U4" s="32"/>
      <c r="V4" s="32"/>
      <c r="W4" s="32"/>
      <c r="X4" s="32"/>
      <c r="Y4" s="33" t="s">
        <v>99</v>
      </c>
      <c r="Z4" s="32"/>
      <c r="AA4" s="32"/>
      <c r="AB4" s="32"/>
      <c r="AC4" s="32"/>
      <c r="AD4" s="32"/>
      <c r="AE4" s="34"/>
      <c r="AF4" s="31"/>
      <c r="AG4" s="32"/>
      <c r="AH4" s="32"/>
      <c r="AI4" s="32"/>
      <c r="AJ4" s="32"/>
      <c r="AK4" s="32"/>
      <c r="AL4" s="33" t="s">
        <v>100</v>
      </c>
      <c r="AM4" s="32"/>
      <c r="AN4" s="32"/>
      <c r="AO4" s="32"/>
      <c r="AP4" s="32"/>
      <c r="AQ4" s="32"/>
      <c r="AR4" s="34"/>
      <c r="AS4" s="31"/>
      <c r="AT4" s="32"/>
      <c r="AU4" s="32"/>
      <c r="AV4" s="32"/>
      <c r="AW4" s="32"/>
      <c r="AX4" s="32"/>
      <c r="AY4" s="33" t="s">
        <v>101</v>
      </c>
      <c r="AZ4" s="32"/>
      <c r="BA4" s="32"/>
      <c r="BB4" s="32"/>
      <c r="BC4" s="32"/>
      <c r="BD4" s="32"/>
      <c r="BE4" s="34"/>
      <c r="BF4" s="31"/>
      <c r="BG4" s="32"/>
      <c r="BH4" s="32"/>
      <c r="BI4" s="32"/>
      <c r="BJ4" s="32"/>
      <c r="BK4" s="32"/>
      <c r="BL4" s="33" t="s">
        <v>102</v>
      </c>
      <c r="BM4" s="32"/>
      <c r="BN4" s="32"/>
      <c r="BO4" s="32"/>
      <c r="BP4" s="32"/>
      <c r="BQ4" s="32"/>
      <c r="BR4" s="34"/>
      <c r="BS4" s="1"/>
    </row>
    <row r="5" spans="1:71">
      <c r="A5" s="1"/>
      <c r="B5" s="1"/>
      <c r="C5" s="1"/>
      <c r="D5" s="1"/>
      <c r="E5" s="1"/>
      <c r="F5" s="35" t="str">
        <f>SOFP!F5</f>
        <v>Jan</v>
      </c>
      <c r="G5" s="35" t="str">
        <f>SOFP!G5</f>
        <v>Feb</v>
      </c>
      <c r="H5" s="35" t="str">
        <f>SOFP!H5</f>
        <v>Mar</v>
      </c>
      <c r="I5" s="35" t="str">
        <f>SOFP!I5</f>
        <v>Apr</v>
      </c>
      <c r="J5" s="35" t="str">
        <f>SOFP!J5</f>
        <v>May</v>
      </c>
      <c r="K5" s="35" t="str">
        <f>SOFP!K5</f>
        <v>Jun</v>
      </c>
      <c r="L5" s="35" t="str">
        <f>SOFP!L5</f>
        <v>Jul</v>
      </c>
      <c r="M5" s="35" t="str">
        <f>SOFP!M5</f>
        <v>Aug</v>
      </c>
      <c r="N5" s="35" t="str">
        <f>SOFP!N5</f>
        <v>Sep</v>
      </c>
      <c r="O5" s="35" t="str">
        <f>SOFP!O5</f>
        <v>Oct</v>
      </c>
      <c r="P5" s="35" t="str">
        <f>SOFP!P5</f>
        <v>Nov</v>
      </c>
      <c r="Q5" s="35" t="str">
        <f>SOFP!Q5</f>
        <v>Dec</v>
      </c>
      <c r="R5" s="36" t="s">
        <v>116</v>
      </c>
      <c r="S5" s="35" t="str">
        <f t="shared" ref="S5:AD5" si="0">F5</f>
        <v>Jan</v>
      </c>
      <c r="T5" s="35" t="str">
        <f t="shared" si="0"/>
        <v>Feb</v>
      </c>
      <c r="U5" s="35" t="str">
        <f t="shared" si="0"/>
        <v>Mar</v>
      </c>
      <c r="V5" s="35" t="str">
        <f t="shared" si="0"/>
        <v>Apr</v>
      </c>
      <c r="W5" s="35" t="str">
        <f t="shared" si="0"/>
        <v>May</v>
      </c>
      <c r="X5" s="35" t="str">
        <f t="shared" si="0"/>
        <v>Jun</v>
      </c>
      <c r="Y5" s="35" t="str">
        <f t="shared" si="0"/>
        <v>Jul</v>
      </c>
      <c r="Z5" s="35" t="str">
        <f t="shared" si="0"/>
        <v>Aug</v>
      </c>
      <c r="AA5" s="35" t="str">
        <f t="shared" si="0"/>
        <v>Sep</v>
      </c>
      <c r="AB5" s="35" t="str">
        <f t="shared" si="0"/>
        <v>Oct</v>
      </c>
      <c r="AC5" s="35" t="str">
        <f t="shared" si="0"/>
        <v>Nov</v>
      </c>
      <c r="AD5" s="35" t="str">
        <f t="shared" si="0"/>
        <v>Dec</v>
      </c>
      <c r="AE5" s="36" t="s">
        <v>116</v>
      </c>
      <c r="AF5" s="35" t="str">
        <f t="shared" ref="AF5:AQ5" si="1">S5</f>
        <v>Jan</v>
      </c>
      <c r="AG5" s="35" t="str">
        <f t="shared" si="1"/>
        <v>Feb</v>
      </c>
      <c r="AH5" s="35" t="str">
        <f t="shared" si="1"/>
        <v>Mar</v>
      </c>
      <c r="AI5" s="35" t="str">
        <f t="shared" si="1"/>
        <v>Apr</v>
      </c>
      <c r="AJ5" s="35" t="str">
        <f t="shared" si="1"/>
        <v>May</v>
      </c>
      <c r="AK5" s="35" t="str">
        <f t="shared" si="1"/>
        <v>Jun</v>
      </c>
      <c r="AL5" s="35" t="str">
        <f t="shared" si="1"/>
        <v>Jul</v>
      </c>
      <c r="AM5" s="35" t="str">
        <f t="shared" si="1"/>
        <v>Aug</v>
      </c>
      <c r="AN5" s="35" t="str">
        <f t="shared" si="1"/>
        <v>Sep</v>
      </c>
      <c r="AO5" s="35" t="str">
        <f t="shared" si="1"/>
        <v>Oct</v>
      </c>
      <c r="AP5" s="35" t="str">
        <f t="shared" si="1"/>
        <v>Nov</v>
      </c>
      <c r="AQ5" s="35" t="str">
        <f t="shared" si="1"/>
        <v>Dec</v>
      </c>
      <c r="AR5" s="36" t="s">
        <v>116</v>
      </c>
      <c r="AS5" s="35" t="str">
        <f t="shared" ref="AS5:BD5" si="2">AF5</f>
        <v>Jan</v>
      </c>
      <c r="AT5" s="35" t="str">
        <f t="shared" si="2"/>
        <v>Feb</v>
      </c>
      <c r="AU5" s="35" t="str">
        <f t="shared" si="2"/>
        <v>Mar</v>
      </c>
      <c r="AV5" s="35" t="str">
        <f t="shared" si="2"/>
        <v>Apr</v>
      </c>
      <c r="AW5" s="35" t="str">
        <f t="shared" si="2"/>
        <v>May</v>
      </c>
      <c r="AX5" s="35" t="str">
        <f t="shared" si="2"/>
        <v>Jun</v>
      </c>
      <c r="AY5" s="35" t="str">
        <f t="shared" si="2"/>
        <v>Jul</v>
      </c>
      <c r="AZ5" s="35" t="str">
        <f t="shared" si="2"/>
        <v>Aug</v>
      </c>
      <c r="BA5" s="35" t="str">
        <f t="shared" si="2"/>
        <v>Sep</v>
      </c>
      <c r="BB5" s="35" t="str">
        <f t="shared" si="2"/>
        <v>Oct</v>
      </c>
      <c r="BC5" s="35" t="str">
        <f t="shared" si="2"/>
        <v>Nov</v>
      </c>
      <c r="BD5" s="35" t="str">
        <f t="shared" si="2"/>
        <v>Dec</v>
      </c>
      <c r="BE5" s="36" t="s">
        <v>116</v>
      </c>
      <c r="BF5" s="35" t="str">
        <f t="shared" ref="BF5:BQ5" si="3">AS5</f>
        <v>Jan</v>
      </c>
      <c r="BG5" s="35" t="str">
        <f t="shared" si="3"/>
        <v>Feb</v>
      </c>
      <c r="BH5" s="35" t="str">
        <f t="shared" si="3"/>
        <v>Mar</v>
      </c>
      <c r="BI5" s="35" t="str">
        <f t="shared" si="3"/>
        <v>Apr</v>
      </c>
      <c r="BJ5" s="35" t="str">
        <f t="shared" si="3"/>
        <v>May</v>
      </c>
      <c r="BK5" s="35" t="str">
        <f t="shared" si="3"/>
        <v>Jun</v>
      </c>
      <c r="BL5" s="35" t="str">
        <f t="shared" si="3"/>
        <v>Jul</v>
      </c>
      <c r="BM5" s="35" t="str">
        <f t="shared" si="3"/>
        <v>Aug</v>
      </c>
      <c r="BN5" s="35" t="str">
        <f t="shared" si="3"/>
        <v>Sep</v>
      </c>
      <c r="BO5" s="35" t="str">
        <f t="shared" si="3"/>
        <v>Oct</v>
      </c>
      <c r="BP5" s="35" t="str">
        <f t="shared" si="3"/>
        <v>Nov</v>
      </c>
      <c r="BQ5" s="35" t="str">
        <f t="shared" si="3"/>
        <v>Dec</v>
      </c>
      <c r="BR5" s="36" t="s">
        <v>116</v>
      </c>
      <c r="BS5" s="36" t="s">
        <v>117</v>
      </c>
    </row>
    <row r="6" spans="1:71">
      <c r="A6" s="1"/>
      <c r="B6" s="1" t="s">
        <v>34</v>
      </c>
      <c r="C6" s="1"/>
      <c r="D6" s="1"/>
      <c r="E6" s="1"/>
      <c r="F6" s="3">
        <v>1</v>
      </c>
      <c r="G6" s="3">
        <v>2</v>
      </c>
      <c r="H6" s="3">
        <v>3</v>
      </c>
      <c r="I6" s="3">
        <v>4</v>
      </c>
      <c r="J6" s="3">
        <v>5</v>
      </c>
      <c r="K6" s="3">
        <v>6</v>
      </c>
      <c r="L6" s="3">
        <v>7</v>
      </c>
      <c r="M6" s="3">
        <v>8</v>
      </c>
      <c r="N6" s="3">
        <v>9</v>
      </c>
      <c r="O6" s="3">
        <v>10</v>
      </c>
      <c r="P6" s="3">
        <v>11</v>
      </c>
      <c r="Q6" s="3">
        <v>12</v>
      </c>
      <c r="R6" s="37"/>
      <c r="S6" s="3">
        <v>13</v>
      </c>
      <c r="T6" s="3">
        <v>14</v>
      </c>
      <c r="U6" s="3">
        <v>15</v>
      </c>
      <c r="V6" s="3">
        <v>16</v>
      </c>
      <c r="W6" s="3">
        <v>17</v>
      </c>
      <c r="X6" s="3">
        <v>18</v>
      </c>
      <c r="Y6" s="3">
        <v>19</v>
      </c>
      <c r="Z6" s="3">
        <v>20</v>
      </c>
      <c r="AA6" s="3">
        <v>21</v>
      </c>
      <c r="AB6" s="3">
        <v>22</v>
      </c>
      <c r="AC6" s="3">
        <v>23</v>
      </c>
      <c r="AD6" s="3">
        <v>24</v>
      </c>
      <c r="AE6" s="37"/>
      <c r="AF6" s="3">
        <v>25</v>
      </c>
      <c r="AG6" s="3">
        <v>26</v>
      </c>
      <c r="AH6" s="3">
        <v>27</v>
      </c>
      <c r="AI6" s="3">
        <v>28</v>
      </c>
      <c r="AJ6" s="3">
        <v>29</v>
      </c>
      <c r="AK6" s="3">
        <v>30</v>
      </c>
      <c r="AL6" s="3">
        <v>31</v>
      </c>
      <c r="AM6" s="3">
        <v>32</v>
      </c>
      <c r="AN6" s="3">
        <v>33</v>
      </c>
      <c r="AO6" s="3">
        <v>34</v>
      </c>
      <c r="AP6" s="3">
        <v>35</v>
      </c>
      <c r="AQ6" s="3">
        <v>36</v>
      </c>
      <c r="AR6" s="37"/>
      <c r="AS6" s="3">
        <v>37</v>
      </c>
      <c r="AT6" s="3">
        <v>38</v>
      </c>
      <c r="AU6" s="3">
        <v>39</v>
      </c>
      <c r="AV6" s="3">
        <v>40</v>
      </c>
      <c r="AW6" s="3">
        <v>41</v>
      </c>
      <c r="AX6" s="3">
        <v>42</v>
      </c>
      <c r="AY6" s="3">
        <v>43</v>
      </c>
      <c r="AZ6" s="3">
        <v>44</v>
      </c>
      <c r="BA6" s="3">
        <v>45</v>
      </c>
      <c r="BB6" s="3">
        <v>46</v>
      </c>
      <c r="BC6" s="3">
        <v>47</v>
      </c>
      <c r="BD6" s="3">
        <v>48</v>
      </c>
      <c r="BE6" s="37"/>
      <c r="BF6" s="3">
        <v>49</v>
      </c>
      <c r="BG6" s="3">
        <v>50</v>
      </c>
      <c r="BH6" s="3">
        <v>51</v>
      </c>
      <c r="BI6" s="3">
        <v>52</v>
      </c>
      <c r="BJ6" s="3">
        <v>53</v>
      </c>
      <c r="BK6" s="3">
        <v>54</v>
      </c>
      <c r="BL6" s="3">
        <v>55</v>
      </c>
      <c r="BM6" s="3">
        <v>56</v>
      </c>
      <c r="BN6" s="3">
        <v>57</v>
      </c>
      <c r="BO6" s="3">
        <v>58</v>
      </c>
      <c r="BP6" s="3">
        <v>59</v>
      </c>
      <c r="BQ6" s="3">
        <v>60</v>
      </c>
      <c r="BR6" s="37"/>
      <c r="BS6" s="37"/>
    </row>
    <row r="7" spans="1:71">
      <c r="A7" s="1"/>
      <c r="B7" s="1"/>
      <c r="C7" s="21" t="s">
        <v>642</v>
      </c>
      <c r="D7" s="1"/>
      <c r="E7" s="1"/>
      <c r="F7" s="3">
        <f>Events!B17</f>
        <v>1980</v>
      </c>
      <c r="G7" s="3">
        <f>Events!C17</f>
        <v>2310</v>
      </c>
      <c r="H7" s="3">
        <f>Events!D17</f>
        <v>2970</v>
      </c>
      <c r="I7" s="3">
        <f>Events!E17</f>
        <v>3630</v>
      </c>
      <c r="J7" s="3">
        <f>Events!F17</f>
        <v>3960</v>
      </c>
      <c r="K7" s="3">
        <f>Events!G17</f>
        <v>4125</v>
      </c>
      <c r="L7" s="3">
        <f>Events!H17</f>
        <v>4125</v>
      </c>
      <c r="M7" s="3">
        <f>Events!I17</f>
        <v>3960</v>
      </c>
      <c r="N7" s="3">
        <f>Events!J17</f>
        <v>3630</v>
      </c>
      <c r="O7" s="3">
        <f>Events!K17</f>
        <v>3300</v>
      </c>
      <c r="P7" s="3">
        <f>Events!L17</f>
        <v>2970</v>
      </c>
      <c r="Q7" s="3">
        <f>Events!M17</f>
        <v>2640</v>
      </c>
      <c r="R7" s="37">
        <f t="shared" ref="R7:R13" si="4">SUM(F7:Q7)</f>
        <v>39600</v>
      </c>
      <c r="S7" s="3">
        <f>IF(Events!$F$3="No",F7,F7*(1+Assumptions!$D$73))</f>
        <v>2475</v>
      </c>
      <c r="T7" s="3">
        <f>IF(Events!$F$3="No",G7,G7*(1+Assumptions!$D$73))</f>
        <v>2887.5</v>
      </c>
      <c r="U7" s="3">
        <f>IF(Events!$F$3="No",H7,H7*(1+Assumptions!$D$73))</f>
        <v>3712.5</v>
      </c>
      <c r="V7" s="3">
        <f>IF(Events!$F$3="No",I7,I7*(1+Assumptions!$D$73))</f>
        <v>4537.5</v>
      </c>
      <c r="W7" s="3">
        <f>IF(Events!$F$3="No",J7,J7*(1+Assumptions!$D$73))</f>
        <v>4950</v>
      </c>
      <c r="X7" s="3">
        <f>IF(Events!$F$3="No",K7,K7*(1+Assumptions!$D$73))</f>
        <v>5156.25</v>
      </c>
      <c r="Y7" s="3">
        <f>IF(Events!$F$3="No",L7,L7*(1+Assumptions!$D$73))</f>
        <v>5156.25</v>
      </c>
      <c r="Z7" s="3">
        <f>IF(Events!$F$3="No",M7,M7*(1+Assumptions!$D$73))</f>
        <v>4950</v>
      </c>
      <c r="AA7" s="3">
        <f>IF(Events!$F$3="No",N7,N7*(1+Assumptions!$D$73))</f>
        <v>4537.5</v>
      </c>
      <c r="AB7" s="3">
        <f>IF(Events!$F$3="No",O7,O7*(1+Assumptions!$D$73))</f>
        <v>4125</v>
      </c>
      <c r="AC7" s="3">
        <f>IF(Events!$F$3="No",P7,P7*(1+Assumptions!$D$73))</f>
        <v>3712.5</v>
      </c>
      <c r="AD7" s="3">
        <f>IF(Events!$F$3="No",Q7,Q7*(1+Assumptions!$D$73))</f>
        <v>3300</v>
      </c>
      <c r="AE7" s="37">
        <f t="shared" ref="AE7:AE13" si="5">SUM(S7:AD7)</f>
        <v>49500</v>
      </c>
      <c r="AF7" s="3">
        <f>IF(Events!$F$3="No",S7,S7*(1+Assumptions!$E$73))</f>
        <v>2846.25</v>
      </c>
      <c r="AG7" s="3">
        <f>IF(Events!$F$3="No",T7,T7*(1+Assumptions!$E$73))</f>
        <v>3320.6249999999995</v>
      </c>
      <c r="AH7" s="3">
        <f>IF(Events!$F$3="No",U7,U7*(1+Assumptions!$E$73))</f>
        <v>4269.375</v>
      </c>
      <c r="AI7" s="3">
        <f>IF(Events!$F$3="No",V7,V7*(1+Assumptions!$E$73))</f>
        <v>5218.125</v>
      </c>
      <c r="AJ7" s="3">
        <f>IF(Events!$F$3="No",W7,W7*(1+Assumptions!$E$73))</f>
        <v>5692.5</v>
      </c>
      <c r="AK7" s="3">
        <f>IF(Events!$F$3="No",X7,X7*(1+Assumptions!$E$73))</f>
        <v>5929.6874999999991</v>
      </c>
      <c r="AL7" s="3">
        <f>IF(Events!$F$3="No",Y7,Y7*(1+Assumptions!$E$73))</f>
        <v>5929.6874999999991</v>
      </c>
      <c r="AM7" s="3">
        <f>IF(Events!$F$3="No",Z7,Z7*(1+Assumptions!$E$73))</f>
        <v>5692.5</v>
      </c>
      <c r="AN7" s="3">
        <f>IF(Events!$F$3="No",AA7,AA7*(1+Assumptions!$E$73))</f>
        <v>5218.125</v>
      </c>
      <c r="AO7" s="3">
        <f>IF(Events!$F$3="No",AB7,AB7*(1+Assumptions!$E$73))</f>
        <v>4743.75</v>
      </c>
      <c r="AP7" s="3">
        <f>IF(Events!$F$3="No",AC7,AC7*(1+Assumptions!$E$73))</f>
        <v>4269.375</v>
      </c>
      <c r="AQ7" s="3">
        <f>IF(Events!$F$3="No",AD7,AD7*(1+Assumptions!$E$73))</f>
        <v>3794.9999999999995</v>
      </c>
      <c r="AR7" s="37">
        <f t="shared" ref="AR7" si="6">SUM(AF7:AQ7)</f>
        <v>56925</v>
      </c>
      <c r="AS7" s="3">
        <f>IF(Events!$F$3="No",AF7,AF7*(1+Assumptions!$F$73))</f>
        <v>3130.8750000000005</v>
      </c>
      <c r="AT7" s="3">
        <f>IF(Events!$F$3="No",AG7,AG7*(1+Assumptions!$F$73))</f>
        <v>3652.6875</v>
      </c>
      <c r="AU7" s="3">
        <f>IF(Events!$F$3="No",AH7,AH7*(1+Assumptions!$F$73))</f>
        <v>4696.3125</v>
      </c>
      <c r="AV7" s="3">
        <f>IF(Events!$F$3="No",AI7,AI7*(1+Assumptions!$F$73))</f>
        <v>5739.9375000000009</v>
      </c>
      <c r="AW7" s="3">
        <f>IF(Events!$F$3="No",AJ7,AJ7*(1+Assumptions!$F$73))</f>
        <v>6261.7500000000009</v>
      </c>
      <c r="AX7" s="3">
        <f>IF(Events!$F$3="No",AK7,AK7*(1+Assumptions!$F$73))</f>
        <v>6522.6562499999991</v>
      </c>
      <c r="AY7" s="3">
        <f>IF(Events!$F$3="No",AL7,AL7*(1+Assumptions!$F$73))</f>
        <v>6522.6562499999991</v>
      </c>
      <c r="AZ7" s="3">
        <f>IF(Events!$F$3="No",AM7,AM7*(1+Assumptions!$F$73))</f>
        <v>6261.7500000000009</v>
      </c>
      <c r="BA7" s="3">
        <f>IF(Events!$F$3="No",AN7,AN7*(1+Assumptions!$F$73))</f>
        <v>5739.9375000000009</v>
      </c>
      <c r="BB7" s="3">
        <f>IF(Events!$F$3="No",AO7,AO7*(1+Assumptions!$F$73))</f>
        <v>5218.125</v>
      </c>
      <c r="BC7" s="3">
        <f>IF(Events!$F$3="No",AP7,AP7*(1+Assumptions!$F$73))</f>
        <v>4696.3125</v>
      </c>
      <c r="BD7" s="3">
        <f>IF(Events!$F$3="No",AQ7,AQ7*(1+Assumptions!$F$73))</f>
        <v>4174.5</v>
      </c>
      <c r="BE7" s="37">
        <f t="shared" ref="BE7" si="7">SUM(AS7:BD7)</f>
        <v>62617.5</v>
      </c>
      <c r="BF7" s="3">
        <f>IF(Events!$F$3="No",AS7,AS7*(1+Assumptions!$G$73))</f>
        <v>3443.962500000001</v>
      </c>
      <c r="BG7" s="3">
        <f>IF(Events!$F$3="No",AT7,AT7*(1+Assumptions!$G$73))</f>
        <v>4017.9562500000002</v>
      </c>
      <c r="BH7" s="3">
        <f>IF(Events!$F$3="No",AU7,AU7*(1+Assumptions!$G$73))</f>
        <v>5165.9437500000004</v>
      </c>
      <c r="BI7" s="3">
        <f>IF(Events!$F$3="No",AV7,AV7*(1+Assumptions!$G$73))</f>
        <v>6313.9312500000015</v>
      </c>
      <c r="BJ7" s="3">
        <f>IF(Events!$F$3="No",AW7,AW7*(1+Assumptions!$G$73))</f>
        <v>6887.925000000002</v>
      </c>
      <c r="BK7" s="3">
        <f>IF(Events!$F$3="No",AX7,AX7*(1+Assumptions!$G$73))</f>
        <v>7174.921875</v>
      </c>
      <c r="BL7" s="3">
        <f>IF(Events!$F$3="No",AY7,AY7*(1+Assumptions!$G$73))</f>
        <v>7174.921875</v>
      </c>
      <c r="BM7" s="3">
        <f>IF(Events!$F$3="No",AZ7,AZ7*(1+Assumptions!$G$73))</f>
        <v>6887.925000000002</v>
      </c>
      <c r="BN7" s="3">
        <f>IF(Events!$F$3="No",BA7,BA7*(1+Assumptions!$G$73))</f>
        <v>6313.9312500000015</v>
      </c>
      <c r="BO7" s="3">
        <f>IF(Events!$F$3="No",BB7,BB7*(1+Assumptions!$G$73))</f>
        <v>5739.9375000000009</v>
      </c>
      <c r="BP7" s="3">
        <f>IF(Events!$F$3="No",BC7,BC7*(1+Assumptions!$G$73))</f>
        <v>5165.9437500000004</v>
      </c>
      <c r="BQ7" s="3">
        <f>IF(Events!$F$3="No",BD7,BD7*(1+Assumptions!$G$73))</f>
        <v>4591.9500000000007</v>
      </c>
      <c r="BR7" s="37">
        <f t="shared" ref="BR7" si="8">SUM(BF7:BQ7)</f>
        <v>68879.250000000015</v>
      </c>
      <c r="BS7" s="37"/>
    </row>
    <row r="8" spans="1:71">
      <c r="A8" s="2"/>
      <c r="B8" s="2"/>
      <c r="C8" s="21" t="s">
        <v>118</v>
      </c>
      <c r="D8" s="2"/>
      <c r="E8" s="2"/>
      <c r="F8" s="3">
        <f>'Beer Revenue'!H132</f>
        <v>853.38164229910717</v>
      </c>
      <c r="G8" s="3">
        <f>'Beer Revenue'!I132</f>
        <v>907.29150411101284</v>
      </c>
      <c r="H8" s="3">
        <f>'Beer Revenue'!J132</f>
        <v>1280.0724634486608</v>
      </c>
      <c r="I8" s="3">
        <f>'Beer Revenue'!K132</f>
        <v>1514.0642040790613</v>
      </c>
      <c r="J8" s="3">
        <f>'Beer Revenue'!L132</f>
        <v>1706.7632845982143</v>
      </c>
      <c r="K8" s="3">
        <f>'Beer Revenue'!M132</f>
        <v>1720.5275046352965</v>
      </c>
      <c r="L8" s="3">
        <f>'Beer Revenue'!N132</f>
        <v>1777.8784214564728</v>
      </c>
      <c r="M8" s="3">
        <f>'Beer Revenue'!O132</f>
        <v>1706.7632845982143</v>
      </c>
      <c r="N8" s="3">
        <f>'Beer Revenue'!P132</f>
        <v>1514.0642040790613</v>
      </c>
      <c r="O8" s="3">
        <f>'Beer Revenue'!Q132</f>
        <v>1422.3027371651788</v>
      </c>
      <c r="P8" s="3">
        <f>'Beer Revenue'!R132</f>
        <v>1238.7798033374136</v>
      </c>
      <c r="Q8" s="3">
        <f>'Beer Revenue'!S132</f>
        <v>1137.842189732143</v>
      </c>
      <c r="R8" s="37">
        <f t="shared" si="4"/>
        <v>16779.731243539834</v>
      </c>
      <c r="S8" s="3">
        <f>'Beer Revenue'!U132</f>
        <v>1066.7270528738838</v>
      </c>
      <c r="T8" s="3">
        <f>'Beer Revenue'!V132</f>
        <v>1134.1143801387661</v>
      </c>
      <c r="U8" s="3">
        <f>'Beer Revenue'!W132</f>
        <v>1600.0905793108261</v>
      </c>
      <c r="V8" s="3">
        <f>'Beer Revenue'!X132</f>
        <v>1892.5802550988262</v>
      </c>
      <c r="W8" s="3">
        <f>'Beer Revenue'!Y132</f>
        <v>2133.4541057477677</v>
      </c>
      <c r="X8" s="3">
        <f>'Beer Revenue'!Z132</f>
        <v>2150.6593807941204</v>
      </c>
      <c r="Y8" s="3">
        <f>'Beer Revenue'!AA132</f>
        <v>2222.3480268205913</v>
      </c>
      <c r="Z8" s="3">
        <f>'Beer Revenue'!AB132</f>
        <v>2133.4541057477677</v>
      </c>
      <c r="AA8" s="3">
        <f>'Beer Revenue'!AC132</f>
        <v>1892.5802550988262</v>
      </c>
      <c r="AB8" s="3">
        <f>'Beer Revenue'!AD132</f>
        <v>1777.8784214564732</v>
      </c>
      <c r="AC8" s="3">
        <f>'Beer Revenue'!AE132</f>
        <v>1548.474754171767</v>
      </c>
      <c r="AD8" s="3">
        <f>'Beer Revenue'!AF132</f>
        <v>1422.3027371651788</v>
      </c>
      <c r="AE8" s="37">
        <f t="shared" si="5"/>
        <v>20974.664054424793</v>
      </c>
      <c r="AF8" s="3">
        <f>'Beer Revenue'!AH132</f>
        <v>1226.7361108049665</v>
      </c>
      <c r="AG8" s="3">
        <f>'Beer Revenue'!AI132</f>
        <v>1304.2315371595812</v>
      </c>
      <c r="AH8" s="3">
        <f>'Beer Revenue'!AJ132</f>
        <v>1840.1041662074497</v>
      </c>
      <c r="AI8" s="3">
        <f>'Beer Revenue'!AK132</f>
        <v>2176.4672933636498</v>
      </c>
      <c r="AJ8" s="3">
        <f>'Beer Revenue'!AL132</f>
        <v>2453.4722216099331</v>
      </c>
      <c r="AK8" s="3">
        <f>'Beer Revenue'!AM132</f>
        <v>2473.2582879132383</v>
      </c>
      <c r="AL8" s="3">
        <f>'Beer Revenue'!AN132</f>
        <v>2555.7002308436799</v>
      </c>
      <c r="AM8" s="3">
        <f>'Beer Revenue'!AO132</f>
        <v>2453.4722216099331</v>
      </c>
      <c r="AN8" s="3">
        <f>'Beer Revenue'!AP132</f>
        <v>2176.4672933636498</v>
      </c>
      <c r="AO8" s="3">
        <f>'Beer Revenue'!AQ132</f>
        <v>2044.5601846749441</v>
      </c>
      <c r="AP8" s="3">
        <f>'Beer Revenue'!AR132</f>
        <v>1780.7459672975319</v>
      </c>
      <c r="AQ8" s="3">
        <f>'Beer Revenue'!AS132</f>
        <v>1635.6481477399552</v>
      </c>
      <c r="AR8" s="37">
        <f t="shared" ref="AR8:AR13" si="9">SUM(AF8:AQ8)</f>
        <v>24120.863662588512</v>
      </c>
      <c r="AS8" s="3">
        <f>'Beer Revenue'!AU132</f>
        <v>1349.4097218854633</v>
      </c>
      <c r="AT8" s="3">
        <f>'Beer Revenue'!AV132</f>
        <v>1434.6546908755395</v>
      </c>
      <c r="AU8" s="3">
        <f>'Beer Revenue'!AW132</f>
        <v>2024.1145828281949</v>
      </c>
      <c r="AV8" s="3">
        <f>'Beer Revenue'!AX132</f>
        <v>2394.1140227000155</v>
      </c>
      <c r="AW8" s="3">
        <f>'Beer Revenue'!AY132</f>
        <v>2698.8194437709267</v>
      </c>
      <c r="AX8" s="3">
        <f>'Beer Revenue'!AZ132</f>
        <v>2720.5841167045619</v>
      </c>
      <c r="AY8" s="3">
        <f>'Beer Revenue'!BA132</f>
        <v>2811.2702539280481</v>
      </c>
      <c r="AZ8" s="3">
        <f>'Beer Revenue'!BB132</f>
        <v>2698.8194437709267</v>
      </c>
      <c r="BA8" s="3">
        <f>'Beer Revenue'!BC132</f>
        <v>2394.1140227000155</v>
      </c>
      <c r="BB8" s="3">
        <f>'Beer Revenue'!BD132</f>
        <v>2249.0162031424388</v>
      </c>
      <c r="BC8" s="3">
        <f>'Beer Revenue'!BE132</f>
        <v>1958.8205640272856</v>
      </c>
      <c r="BD8" s="3">
        <f>'Beer Revenue'!BF132</f>
        <v>1799.2129625139507</v>
      </c>
      <c r="BE8" s="37">
        <f t="shared" ref="BE8:BE13" si="10">SUM(AS8:BD8)</f>
        <v>26532.950028847365</v>
      </c>
      <c r="BF8" s="3">
        <f>'Beer Revenue'!BH132</f>
        <v>1484.3506940740097</v>
      </c>
      <c r="BG8" s="3">
        <f>'Beer Revenue'!BI132</f>
        <v>1578.1201599630933</v>
      </c>
      <c r="BH8" s="3">
        <f>'Beer Revenue'!BJ132</f>
        <v>2226.5260411110139</v>
      </c>
      <c r="BI8" s="3">
        <f>'Beer Revenue'!BK132</f>
        <v>2633.525424970017</v>
      </c>
      <c r="BJ8" s="3">
        <f>'Beer Revenue'!BL132</f>
        <v>2968.7013881480193</v>
      </c>
      <c r="BK8" s="3">
        <f>'Beer Revenue'!BM132</f>
        <v>2992.6425283750186</v>
      </c>
      <c r="BL8" s="3">
        <f>'Beer Revenue'!BN132</f>
        <v>3092.3972793208522</v>
      </c>
      <c r="BM8" s="3">
        <f>'Beer Revenue'!BO132</f>
        <v>2968.7013881480193</v>
      </c>
      <c r="BN8" s="3">
        <f>'Beer Revenue'!BP132</f>
        <v>2633.525424970017</v>
      </c>
      <c r="BO8" s="3">
        <f>'Beer Revenue'!BQ132</f>
        <v>2473.9178234566825</v>
      </c>
      <c r="BP8" s="3">
        <f>'Beer Revenue'!BR132</f>
        <v>2154.7026204300141</v>
      </c>
      <c r="BQ8" s="3">
        <f>'Beer Revenue'!BS132</f>
        <v>1979.1342587653462</v>
      </c>
      <c r="BR8" s="37">
        <f t="shared" ref="BR8:BR13" si="11">SUM(BF8:BQ8)</f>
        <v>29186.245031732102</v>
      </c>
      <c r="BS8" s="37">
        <f t="shared" ref="BS8:BS13" si="12">R8+AE8+AR8+BE8+BR8</f>
        <v>117594.45402113261</v>
      </c>
    </row>
    <row r="9" spans="1:71">
      <c r="A9" s="2"/>
      <c r="B9" s="2"/>
      <c r="C9" s="21" t="s">
        <v>36</v>
      </c>
      <c r="D9" s="2"/>
      <c r="E9" s="2"/>
      <c r="F9" s="3">
        <f>'Beer Revenue'!H65</f>
        <v>25872.506999999994</v>
      </c>
      <c r="G9" s="3">
        <f>'Beer Revenue'!I65</f>
        <v>27506.926124999994</v>
      </c>
      <c r="H9" s="3">
        <f>'Beer Revenue'!J65</f>
        <v>38808.760499999997</v>
      </c>
      <c r="I9" s="3">
        <f>'Beer Revenue'!K65</f>
        <v>45902.835000000006</v>
      </c>
      <c r="J9" s="3">
        <f>'Beer Revenue'!L65</f>
        <v>51745.013999999988</v>
      </c>
      <c r="K9" s="3">
        <f>'Beer Revenue'!M65</f>
        <v>52162.312499999993</v>
      </c>
      <c r="L9" s="3">
        <f>'Beer Revenue'!N65</f>
        <v>53901.056249999994</v>
      </c>
      <c r="M9" s="3">
        <f>'Beer Revenue'!O65</f>
        <v>51745.013999999988</v>
      </c>
      <c r="N9" s="3">
        <f>'Beer Revenue'!P65</f>
        <v>45902.835000000006</v>
      </c>
      <c r="O9" s="3">
        <f>'Beer Revenue'!Q65</f>
        <v>43120.845000000001</v>
      </c>
      <c r="P9" s="3">
        <f>'Beer Revenue'!R65</f>
        <v>37556.864999999998</v>
      </c>
      <c r="Q9" s="3">
        <f>'Beer Revenue'!S65</f>
        <v>34496.676000000007</v>
      </c>
      <c r="R9" s="37">
        <f t="shared" si="4"/>
        <v>508721.64637499989</v>
      </c>
      <c r="S9" s="3">
        <f>'Beer Revenue'!U65</f>
        <v>33634.259099999996</v>
      </c>
      <c r="T9" s="3">
        <f>'Beer Revenue'!V65</f>
        <v>35759.003962499992</v>
      </c>
      <c r="U9" s="3">
        <f>'Beer Revenue'!W65</f>
        <v>50451.388650000001</v>
      </c>
      <c r="V9" s="3">
        <f>'Beer Revenue'!X65</f>
        <v>59673.685499999992</v>
      </c>
      <c r="W9" s="3">
        <f>'Beer Revenue'!Y65</f>
        <v>67268.518199999991</v>
      </c>
      <c r="X9" s="3">
        <f>'Beer Revenue'!Z65</f>
        <v>67811.006249999977</v>
      </c>
      <c r="Y9" s="3">
        <f>'Beer Revenue'!AA65</f>
        <v>70071.373124999998</v>
      </c>
      <c r="Z9" s="3">
        <f>'Beer Revenue'!AB65</f>
        <v>67268.518199999991</v>
      </c>
      <c r="AA9" s="3">
        <f>'Beer Revenue'!AC65</f>
        <v>59673.685499999992</v>
      </c>
      <c r="AB9" s="3">
        <f>'Beer Revenue'!AD65</f>
        <v>56057.098500000007</v>
      </c>
      <c r="AC9" s="3">
        <f>'Beer Revenue'!AE65</f>
        <v>48823.924499999994</v>
      </c>
      <c r="AD9" s="3">
        <f>'Beer Revenue'!AF65</f>
        <v>44845.678800000002</v>
      </c>
      <c r="AE9" s="37">
        <f t="shared" si="5"/>
        <v>661338.14028749987</v>
      </c>
      <c r="AF9" s="3">
        <f>'Beer Revenue'!AH65</f>
        <v>38307.480676875006</v>
      </c>
      <c r="AG9" s="3">
        <f>'Beer Revenue'!AI65</f>
        <v>40727.442493828115</v>
      </c>
      <c r="AH9" s="3">
        <f>'Beer Revenue'!AJ65</f>
        <v>57461.221015312498</v>
      </c>
      <c r="AI9" s="3">
        <f>'Beer Revenue'!AK65</f>
        <v>67964.885071874989</v>
      </c>
      <c r="AJ9" s="3">
        <f>'Beer Revenue'!AL65</f>
        <v>76614.961353750012</v>
      </c>
      <c r="AK9" s="3">
        <f>'Beer Revenue'!AM65</f>
        <v>77232.82394531247</v>
      </c>
      <c r="AL9" s="3">
        <f>'Beer Revenue'!AN65</f>
        <v>79807.251410156226</v>
      </c>
      <c r="AM9" s="3">
        <f>'Beer Revenue'!AO65</f>
        <v>76614.961353750012</v>
      </c>
      <c r="AN9" s="3">
        <f>'Beer Revenue'!AP65</f>
        <v>67964.885071874989</v>
      </c>
      <c r="AO9" s="3">
        <f>'Beer Revenue'!AQ65</f>
        <v>63845.801128125007</v>
      </c>
      <c r="AP9" s="3">
        <f>'Beer Revenue'!AR65</f>
        <v>55607.633240625008</v>
      </c>
      <c r="AQ9" s="3">
        <f>'Beer Revenue'!AS65</f>
        <v>51076.640902499996</v>
      </c>
      <c r="AR9" s="37">
        <f t="shared" si="9"/>
        <v>753225.98766398442</v>
      </c>
      <c r="AS9" s="3">
        <f>'Beer Revenue'!AU65</f>
        <v>42138.228744562504</v>
      </c>
      <c r="AT9" s="3">
        <f>'Beer Revenue'!AV65</f>
        <v>44800.186743210936</v>
      </c>
      <c r="AU9" s="3">
        <f>'Beer Revenue'!AW65</f>
        <v>63207.343116843746</v>
      </c>
      <c r="AV9" s="3">
        <f>'Beer Revenue'!AX65</f>
        <v>74761.373579062507</v>
      </c>
      <c r="AW9" s="3">
        <f>'Beer Revenue'!AY65</f>
        <v>84276.457489125009</v>
      </c>
      <c r="AX9" s="3">
        <f>'Beer Revenue'!AZ65</f>
        <v>84956.106339843725</v>
      </c>
      <c r="AY9" s="3">
        <f>'Beer Revenue'!BA65</f>
        <v>87787.976551171872</v>
      </c>
      <c r="AZ9" s="3">
        <f>'Beer Revenue'!BB65</f>
        <v>84276.457489125009</v>
      </c>
      <c r="BA9" s="3">
        <f>'Beer Revenue'!BC65</f>
        <v>74761.373579062507</v>
      </c>
      <c r="BB9" s="3">
        <f>'Beer Revenue'!BD65</f>
        <v>70230.38124093751</v>
      </c>
      <c r="BC9" s="3">
        <f>'Beer Revenue'!BE65</f>
        <v>61168.396564687508</v>
      </c>
      <c r="BD9" s="3">
        <f>'Beer Revenue'!BF65</f>
        <v>56184.304992749996</v>
      </c>
      <c r="BE9" s="37">
        <f t="shared" si="10"/>
        <v>828548.58643038268</v>
      </c>
      <c r="BF9" s="3">
        <f>'Beer Revenue'!BH65</f>
        <v>46352.051619018741</v>
      </c>
      <c r="BG9" s="3">
        <f>'Beer Revenue'!BI65</f>
        <v>49280.205417532015</v>
      </c>
      <c r="BH9" s="3">
        <f>'Beer Revenue'!BJ65</f>
        <v>69528.077428528137</v>
      </c>
      <c r="BI9" s="3">
        <f>'Beer Revenue'!BK65</f>
        <v>82237.510936968742</v>
      </c>
      <c r="BJ9" s="3">
        <f>'Beer Revenue'!BL65</f>
        <v>92704.103238037482</v>
      </c>
      <c r="BK9" s="3">
        <f>'Beer Revenue'!BM65</f>
        <v>93451.716973828123</v>
      </c>
      <c r="BL9" s="3">
        <f>'Beer Revenue'!BN65</f>
        <v>96566.774206289061</v>
      </c>
      <c r="BM9" s="3">
        <f>'Beer Revenue'!BO65</f>
        <v>92704.103238037482</v>
      </c>
      <c r="BN9" s="3">
        <f>'Beer Revenue'!BP65</f>
        <v>82237.510936968742</v>
      </c>
      <c r="BO9" s="3">
        <f>'Beer Revenue'!BQ65</f>
        <v>77253.419365031252</v>
      </c>
      <c r="BP9" s="3">
        <f>'Beer Revenue'!BR65</f>
        <v>67285.236221156258</v>
      </c>
      <c r="BQ9" s="3">
        <f>'Beer Revenue'!BS65</f>
        <v>61802.735492025</v>
      </c>
      <c r="BR9" s="37">
        <f t="shared" si="11"/>
        <v>911403.44507342111</v>
      </c>
      <c r="BS9" s="37">
        <f t="shared" si="12"/>
        <v>3663237.8058302877</v>
      </c>
    </row>
    <row r="10" spans="1:71">
      <c r="A10" s="2"/>
      <c r="B10" s="2"/>
      <c r="C10" s="21" t="s">
        <v>546</v>
      </c>
      <c r="D10" s="2"/>
      <c r="E10" s="2"/>
      <c r="F10" s="3">
        <f>'Beer Revenue'!H81</f>
        <v>1615.5694285714283</v>
      </c>
      <c r="G10" s="3">
        <f>'Beer Revenue'!I81</f>
        <v>1717.6282499999998</v>
      </c>
      <c r="H10" s="3">
        <f>'Beer Revenue'!J81</f>
        <v>2423.3541428571425</v>
      </c>
      <c r="I10" s="3">
        <f>'Beer Revenue'!K81</f>
        <v>2866.3328571428574</v>
      </c>
      <c r="J10" s="3">
        <f>'Beer Revenue'!L81</f>
        <v>3231.1388571428565</v>
      </c>
      <c r="K10" s="3">
        <f>'Beer Revenue'!M81</f>
        <v>3257.1964285714284</v>
      </c>
      <c r="L10" s="3">
        <f>'Beer Revenue'!N81</f>
        <v>3365.7696428571435</v>
      </c>
      <c r="M10" s="3">
        <f>'Beer Revenue'!O81</f>
        <v>3231.1388571428565</v>
      </c>
      <c r="N10" s="3">
        <f>'Beer Revenue'!P81</f>
        <v>2866.3328571428574</v>
      </c>
      <c r="O10" s="3">
        <f>'Beer Revenue'!Q81</f>
        <v>2692.6157142857141</v>
      </c>
      <c r="P10" s="3">
        <f>'Beer Revenue'!R81</f>
        <v>2345.1814285714281</v>
      </c>
      <c r="Q10" s="3">
        <f>'Beer Revenue'!S81</f>
        <v>2154.0925714285713</v>
      </c>
      <c r="R10" s="37">
        <f t="shared" si="4"/>
        <v>31766.351035714288</v>
      </c>
      <c r="S10" s="3">
        <f>'Beer Revenue'!U81</f>
        <v>2100.2402571428574</v>
      </c>
      <c r="T10" s="3">
        <f>'Beer Revenue'!V81</f>
        <v>2232.916725</v>
      </c>
      <c r="U10" s="3">
        <f>'Beer Revenue'!W81</f>
        <v>3150.3603857142862</v>
      </c>
      <c r="V10" s="3">
        <f>'Beer Revenue'!X81</f>
        <v>3726.2327142857139</v>
      </c>
      <c r="W10" s="3">
        <f>'Beer Revenue'!Y81</f>
        <v>4200.4805142857149</v>
      </c>
      <c r="X10" s="3">
        <f>'Beer Revenue'!Z81</f>
        <v>4234.3553571428565</v>
      </c>
      <c r="Y10" s="3">
        <f>'Beer Revenue'!AA81</f>
        <v>4375.5005357142863</v>
      </c>
      <c r="Z10" s="3">
        <f>'Beer Revenue'!AB81</f>
        <v>4200.4805142857149</v>
      </c>
      <c r="AA10" s="3">
        <f>'Beer Revenue'!AC81</f>
        <v>3726.2327142857139</v>
      </c>
      <c r="AB10" s="3">
        <f>'Beer Revenue'!AD81</f>
        <v>3500.4004285714286</v>
      </c>
      <c r="AC10" s="3">
        <f>'Beer Revenue'!AE81</f>
        <v>3048.7358571428563</v>
      </c>
      <c r="AD10" s="3">
        <f>'Beer Revenue'!AF81</f>
        <v>2800.3203428571433</v>
      </c>
      <c r="AE10" s="37">
        <f t="shared" si="5"/>
        <v>41296.25634642857</v>
      </c>
      <c r="AF10" s="3">
        <f>'Beer Revenue'!AH81</f>
        <v>2392.0524851785713</v>
      </c>
      <c r="AG10" s="3">
        <f>'Beer Revenue'!AI81</f>
        <v>2543.1633276562493</v>
      </c>
      <c r="AH10" s="3">
        <f>'Beer Revenue'!AJ81</f>
        <v>3588.0787277678573</v>
      </c>
      <c r="AI10" s="3">
        <f>'Beer Revenue'!AK81</f>
        <v>4243.9640866071431</v>
      </c>
      <c r="AJ10" s="3">
        <f>'Beer Revenue'!AL81</f>
        <v>4784.1049703571425</v>
      </c>
      <c r="AK10" s="3">
        <f>'Beer Revenue'!AM81</f>
        <v>4822.6864620535698</v>
      </c>
      <c r="AL10" s="3">
        <f>'Beer Revenue'!AN81</f>
        <v>4983.4426774553576</v>
      </c>
      <c r="AM10" s="3">
        <f>'Beer Revenue'!AO81</f>
        <v>4784.1049703571425</v>
      </c>
      <c r="AN10" s="3">
        <f>'Beer Revenue'!AP81</f>
        <v>4243.9640866071431</v>
      </c>
      <c r="AO10" s="3">
        <f>'Beer Revenue'!AQ81</f>
        <v>3986.7541419642857</v>
      </c>
      <c r="AP10" s="3">
        <f>'Beer Revenue'!AR81</f>
        <v>3472.3342526785705</v>
      </c>
      <c r="AQ10" s="3">
        <f>'Beer Revenue'!AS81</f>
        <v>3189.403313571428</v>
      </c>
      <c r="AR10" s="37">
        <f t="shared" si="9"/>
        <v>47034.053502254457</v>
      </c>
      <c r="AS10" s="3">
        <f>'Beer Revenue'!AU81</f>
        <v>2631.2577336964291</v>
      </c>
      <c r="AT10" s="3">
        <f>'Beer Revenue'!AV81</f>
        <v>2797.479660421875</v>
      </c>
      <c r="AU10" s="3">
        <f>'Beer Revenue'!AW81</f>
        <v>3946.886600544643</v>
      </c>
      <c r="AV10" s="3">
        <f>'Beer Revenue'!AX81</f>
        <v>4668.3604952678579</v>
      </c>
      <c r="AW10" s="3">
        <f>'Beer Revenue'!AY81</f>
        <v>5262.5154673928582</v>
      </c>
      <c r="AX10" s="3">
        <f>'Beer Revenue'!AZ81</f>
        <v>5304.9551082589287</v>
      </c>
      <c r="AY10" s="3">
        <f>'Beer Revenue'!BA81</f>
        <v>5481.7869452008936</v>
      </c>
      <c r="AZ10" s="3">
        <f>'Beer Revenue'!BB81</f>
        <v>5262.5154673928582</v>
      </c>
      <c r="BA10" s="3">
        <f>'Beer Revenue'!BC81</f>
        <v>4668.3604952678579</v>
      </c>
      <c r="BB10" s="3">
        <f>'Beer Revenue'!BD81</f>
        <v>4385.4295561607141</v>
      </c>
      <c r="BC10" s="3">
        <f>'Beer Revenue'!BE81</f>
        <v>3819.5676779464279</v>
      </c>
      <c r="BD10" s="3">
        <f>'Beer Revenue'!BF81</f>
        <v>3508.3436449285718</v>
      </c>
      <c r="BE10" s="37">
        <f t="shared" si="10"/>
        <v>51737.458852479911</v>
      </c>
      <c r="BF10" s="3">
        <f>'Beer Revenue'!BH81</f>
        <v>2894.3835070660725</v>
      </c>
      <c r="BG10" s="3">
        <f>'Beer Revenue'!BI81</f>
        <v>3077.2276264640618</v>
      </c>
      <c r="BH10" s="3">
        <f>'Beer Revenue'!BJ81</f>
        <v>4341.5752605991065</v>
      </c>
      <c r="BI10" s="3">
        <f>'Beer Revenue'!BK81</f>
        <v>5135.1965447946441</v>
      </c>
      <c r="BJ10" s="3">
        <f>'Beer Revenue'!BL81</f>
        <v>5788.7670141321451</v>
      </c>
      <c r="BK10" s="3">
        <f>'Beer Revenue'!BM81</f>
        <v>5835.4506190848215</v>
      </c>
      <c r="BL10" s="3">
        <f>'Beer Revenue'!BN81</f>
        <v>6029.9656397209837</v>
      </c>
      <c r="BM10" s="3">
        <f>'Beer Revenue'!BO81</f>
        <v>5788.7670141321451</v>
      </c>
      <c r="BN10" s="3">
        <f>'Beer Revenue'!BP81</f>
        <v>5135.1965447946441</v>
      </c>
      <c r="BO10" s="3">
        <f>'Beer Revenue'!BQ81</f>
        <v>4823.9725117767866</v>
      </c>
      <c r="BP10" s="3">
        <f>'Beer Revenue'!BR81</f>
        <v>4201.5244457410718</v>
      </c>
      <c r="BQ10" s="3">
        <f>'Beer Revenue'!BS81</f>
        <v>3859.1780094214291</v>
      </c>
      <c r="BR10" s="37">
        <f t="shared" si="11"/>
        <v>56911.204737727909</v>
      </c>
      <c r="BS10" s="37"/>
    </row>
    <row r="11" spans="1:71">
      <c r="A11" s="2"/>
      <c r="B11" s="2"/>
      <c r="C11" s="21" t="s">
        <v>547</v>
      </c>
      <c r="D11" s="2"/>
      <c r="E11" s="2"/>
      <c r="F11" s="3">
        <f>'Beer Revenue'!H9</f>
        <v>14136</v>
      </c>
      <c r="G11" s="3">
        <f>'Beer Revenue'!I9</f>
        <v>15028.999999999998</v>
      </c>
      <c r="H11" s="3">
        <f>'Beer Revenue'!J9</f>
        <v>21204</v>
      </c>
      <c r="I11" s="3">
        <f>'Beer Revenue'!K9</f>
        <v>25080.000000000004</v>
      </c>
      <c r="J11" s="3">
        <f>'Beer Revenue'!L9</f>
        <v>28272</v>
      </c>
      <c r="K11" s="3">
        <f>'Beer Revenue'!M9</f>
        <v>28500</v>
      </c>
      <c r="L11" s="3">
        <f>'Beer Revenue'!N9</f>
        <v>29450</v>
      </c>
      <c r="M11" s="3">
        <f>'Beer Revenue'!O9</f>
        <v>28272</v>
      </c>
      <c r="N11" s="3">
        <f>'Beer Revenue'!P9</f>
        <v>25080.000000000004</v>
      </c>
      <c r="O11" s="3">
        <f>'Beer Revenue'!Q9</f>
        <v>23560</v>
      </c>
      <c r="P11" s="3">
        <f>'Beer Revenue'!R9</f>
        <v>20520</v>
      </c>
      <c r="Q11" s="3">
        <f>'Beer Revenue'!S9</f>
        <v>18848</v>
      </c>
      <c r="R11" s="37">
        <f t="shared" si="4"/>
        <v>277951</v>
      </c>
      <c r="S11" s="3">
        <f>'Beer Revenue'!U9</f>
        <v>18376.8</v>
      </c>
      <c r="T11" s="3">
        <f>'Beer Revenue'!V9</f>
        <v>19537.699999999997</v>
      </c>
      <c r="U11" s="3">
        <f>'Beer Revenue'!W9</f>
        <v>27565.200000000001</v>
      </c>
      <c r="V11" s="3">
        <f>'Beer Revenue'!X9</f>
        <v>32604.000000000004</v>
      </c>
      <c r="W11" s="3">
        <f>'Beer Revenue'!Y9</f>
        <v>36753.599999999999</v>
      </c>
      <c r="X11" s="3">
        <f>'Beer Revenue'!Z9</f>
        <v>37050</v>
      </c>
      <c r="Y11" s="3">
        <f>'Beer Revenue'!AA9</f>
        <v>38285</v>
      </c>
      <c r="Z11" s="3">
        <f>'Beer Revenue'!AB9</f>
        <v>36753.599999999999</v>
      </c>
      <c r="AA11" s="3">
        <f>'Beer Revenue'!AC9</f>
        <v>32604.000000000004</v>
      </c>
      <c r="AB11" s="3">
        <f>'Beer Revenue'!AD9</f>
        <v>30628</v>
      </c>
      <c r="AC11" s="3">
        <f>'Beer Revenue'!AE9</f>
        <v>26676</v>
      </c>
      <c r="AD11" s="3">
        <f>'Beer Revenue'!AF9</f>
        <v>24502.400000000001</v>
      </c>
      <c r="AE11" s="37">
        <f t="shared" si="5"/>
        <v>361336.30000000005</v>
      </c>
      <c r="AF11" s="3">
        <f>'Beer Revenue'!AH9</f>
        <v>21767.319599999995</v>
      </c>
      <c r="AG11" s="3">
        <f>'Beer Revenue'!AI9</f>
        <v>23142.405649999997</v>
      </c>
      <c r="AH11" s="3">
        <f>'Beer Revenue'!AJ9</f>
        <v>32650.9794</v>
      </c>
      <c r="AI11" s="3">
        <f>'Beer Revenue'!AK9</f>
        <v>38619.438000000002</v>
      </c>
      <c r="AJ11" s="3">
        <f>'Beer Revenue'!AL9</f>
        <v>43534.639199999991</v>
      </c>
      <c r="AK11" s="3">
        <f>'Beer Revenue'!AM9</f>
        <v>43885.724999999999</v>
      </c>
      <c r="AL11" s="3">
        <f>'Beer Revenue'!AN9</f>
        <v>45348.582500000004</v>
      </c>
      <c r="AM11" s="3">
        <f>'Beer Revenue'!AO9</f>
        <v>43534.639199999991</v>
      </c>
      <c r="AN11" s="3">
        <f>'Beer Revenue'!AP9</f>
        <v>38619.438000000002</v>
      </c>
      <c r="AO11" s="3">
        <f>'Beer Revenue'!AQ9</f>
        <v>36278.865999999995</v>
      </c>
      <c r="AP11" s="3">
        <f>'Beer Revenue'!AR9</f>
        <v>31597.721999999998</v>
      </c>
      <c r="AQ11" s="3">
        <f>'Beer Revenue'!AS9</f>
        <v>29023.092799999999</v>
      </c>
      <c r="AR11" s="37">
        <f t="shared" si="9"/>
        <v>428002.84734999994</v>
      </c>
      <c r="AS11" s="3">
        <f>'Beer Revenue'!AU9</f>
        <v>24662.373106799998</v>
      </c>
      <c r="AT11" s="3">
        <f>'Beer Revenue'!AV9</f>
        <v>26220.345601449997</v>
      </c>
      <c r="AU11" s="3">
        <f>'Beer Revenue'!AW9</f>
        <v>36993.559660200008</v>
      </c>
      <c r="AV11" s="3">
        <f>'Beer Revenue'!AX9</f>
        <v>43755.823254000003</v>
      </c>
      <c r="AW11" s="3">
        <f>'Beer Revenue'!AY9</f>
        <v>49324.746213599996</v>
      </c>
      <c r="AX11" s="3">
        <f>'Beer Revenue'!AZ9</f>
        <v>49722.526425000004</v>
      </c>
      <c r="AY11" s="3">
        <f>'Beer Revenue'!BA9</f>
        <v>51379.943972500012</v>
      </c>
      <c r="AZ11" s="3">
        <f>'Beer Revenue'!BB9</f>
        <v>49324.746213599996</v>
      </c>
      <c r="BA11" s="3">
        <f>'Beer Revenue'!BC9</f>
        <v>43755.823254000003</v>
      </c>
      <c r="BB11" s="3">
        <f>'Beer Revenue'!BD9</f>
        <v>41103.955178000004</v>
      </c>
      <c r="BC11" s="3">
        <f>'Beer Revenue'!BE9</f>
        <v>35800.219025999999</v>
      </c>
      <c r="BD11" s="3">
        <f>'Beer Revenue'!BF9</f>
        <v>32883.164142399997</v>
      </c>
      <c r="BE11" s="37">
        <f t="shared" si="10"/>
        <v>484927.22604754998</v>
      </c>
      <c r="BF11" s="3">
        <f>'Beer Revenue'!BH9</f>
        <v>27942.468730004399</v>
      </c>
      <c r="BG11" s="3">
        <f>'Beer Revenue'!BI9</f>
        <v>29707.651566442852</v>
      </c>
      <c r="BH11" s="3">
        <f>'Beer Revenue'!BJ9</f>
        <v>41913.703095006611</v>
      </c>
      <c r="BI11" s="3">
        <f>'Beer Revenue'!BK9</f>
        <v>49575.347746782012</v>
      </c>
      <c r="BJ11" s="3">
        <f>'Beer Revenue'!BL9</f>
        <v>55884.937460008798</v>
      </c>
      <c r="BK11" s="3">
        <f>'Beer Revenue'!BM9</f>
        <v>56335.62243952501</v>
      </c>
      <c r="BL11" s="3">
        <f>'Beer Revenue'!BN9</f>
        <v>58213.476520842516</v>
      </c>
      <c r="BM11" s="3">
        <f>'Beer Revenue'!BO9</f>
        <v>55884.937460008798</v>
      </c>
      <c r="BN11" s="3">
        <f>'Beer Revenue'!BP9</f>
        <v>49575.347746782012</v>
      </c>
      <c r="BO11" s="3">
        <f>'Beer Revenue'!BQ9</f>
        <v>46570.781216674011</v>
      </c>
      <c r="BP11" s="3">
        <f>'Beer Revenue'!BR9</f>
        <v>40561.648156458003</v>
      </c>
      <c r="BQ11" s="3">
        <f>'Beer Revenue'!BS9</f>
        <v>37256.624973339203</v>
      </c>
      <c r="BR11" s="37">
        <f t="shared" si="11"/>
        <v>549422.54711187421</v>
      </c>
      <c r="BS11" s="37"/>
    </row>
    <row r="12" spans="1:71">
      <c r="A12" s="2"/>
      <c r="B12" s="2"/>
      <c r="C12" s="21" t="s">
        <v>553</v>
      </c>
      <c r="D12" s="2"/>
      <c r="E12" s="2"/>
      <c r="F12" s="3">
        <f>'Beer Revenue'!H10</f>
        <v>4769.704285714286</v>
      </c>
      <c r="G12" s="3">
        <f>'Beer Revenue'!I10</f>
        <v>5071.0162499999997</v>
      </c>
      <c r="H12" s="3">
        <f>'Beer Revenue'!J10</f>
        <v>7154.556428571429</v>
      </c>
      <c r="I12" s="3">
        <f>'Beer Revenue'!K10</f>
        <v>8462.3785714285714</v>
      </c>
      <c r="J12" s="3">
        <f>'Beer Revenue'!L10</f>
        <v>9539.408571428572</v>
      </c>
      <c r="K12" s="3">
        <f>'Beer Revenue'!M10</f>
        <v>9616.3392857142844</v>
      </c>
      <c r="L12" s="3">
        <f>'Beer Revenue'!N10</f>
        <v>9936.8839285714275</v>
      </c>
      <c r="M12" s="3">
        <f>'Beer Revenue'!O10</f>
        <v>9539.408571428572</v>
      </c>
      <c r="N12" s="3">
        <f>'Beer Revenue'!P10</f>
        <v>8462.3785714285714</v>
      </c>
      <c r="O12" s="3">
        <f>'Beer Revenue'!Q10</f>
        <v>7949.5071428571428</v>
      </c>
      <c r="P12" s="3">
        <f>'Beer Revenue'!R10</f>
        <v>6923.7642857142855</v>
      </c>
      <c r="Q12" s="3">
        <f>'Beer Revenue'!S10</f>
        <v>6359.6057142857153</v>
      </c>
      <c r="R12" s="37">
        <f t="shared" si="4"/>
        <v>93784.951607142866</v>
      </c>
      <c r="S12" s="3">
        <f>'Beer Revenue'!U10</f>
        <v>6200.6155714285724</v>
      </c>
      <c r="T12" s="3">
        <f>'Beer Revenue'!V10</f>
        <v>6592.3211250000004</v>
      </c>
      <c r="U12" s="3">
        <f>'Beer Revenue'!W10</f>
        <v>9300.9233571428595</v>
      </c>
      <c r="V12" s="3">
        <f>'Beer Revenue'!X10</f>
        <v>11001.092142857142</v>
      </c>
      <c r="W12" s="3">
        <f>'Beer Revenue'!Y10</f>
        <v>12401.231142857145</v>
      </c>
      <c r="X12" s="3">
        <f>'Beer Revenue'!Z10</f>
        <v>12501.241071428569</v>
      </c>
      <c r="Y12" s="3">
        <f>'Beer Revenue'!AA10</f>
        <v>12917.949107142857</v>
      </c>
      <c r="Z12" s="3">
        <f>'Beer Revenue'!AB10</f>
        <v>12401.231142857145</v>
      </c>
      <c r="AA12" s="3">
        <f>'Beer Revenue'!AC10</f>
        <v>11001.092142857142</v>
      </c>
      <c r="AB12" s="3">
        <f>'Beer Revenue'!AD10</f>
        <v>10334.359285714285</v>
      </c>
      <c r="AC12" s="3">
        <f>'Beer Revenue'!AE10</f>
        <v>9000.8935714285708</v>
      </c>
      <c r="AD12" s="3">
        <f>'Beer Revenue'!AF10</f>
        <v>8267.4874285714304</v>
      </c>
      <c r="AE12" s="37">
        <f t="shared" si="5"/>
        <v>121920.43708928571</v>
      </c>
      <c r="AF12" s="3">
        <f>'Beer Revenue'!AH10</f>
        <v>7344.6291443571436</v>
      </c>
      <c r="AG12" s="3">
        <f>'Beer Revenue'!AI10</f>
        <v>7808.6043725625004</v>
      </c>
      <c r="AH12" s="3">
        <f>'Beer Revenue'!AJ10</f>
        <v>11016.943716535718</v>
      </c>
      <c r="AI12" s="3">
        <f>'Beer Revenue'!AK10</f>
        <v>13030.793643214283</v>
      </c>
      <c r="AJ12" s="3">
        <f>'Beer Revenue'!AL10</f>
        <v>14689.258288714287</v>
      </c>
      <c r="AK12" s="3">
        <f>'Beer Revenue'!AM10</f>
        <v>14807.720049107138</v>
      </c>
      <c r="AL12" s="3">
        <f>'Beer Revenue'!AN10</f>
        <v>15301.310717410714</v>
      </c>
      <c r="AM12" s="3">
        <f>'Beer Revenue'!AO10</f>
        <v>14689.258288714287</v>
      </c>
      <c r="AN12" s="3">
        <f>'Beer Revenue'!AP10</f>
        <v>13030.793643214283</v>
      </c>
      <c r="AO12" s="3">
        <f>'Beer Revenue'!AQ10</f>
        <v>12241.04857392857</v>
      </c>
      <c r="AP12" s="3">
        <f>'Beer Revenue'!AR10</f>
        <v>10661.558435357141</v>
      </c>
      <c r="AQ12" s="3">
        <f>'Beer Revenue'!AS10</f>
        <v>9792.8388591428593</v>
      </c>
      <c r="AR12" s="37">
        <f t="shared" si="9"/>
        <v>144414.75773225891</v>
      </c>
      <c r="AS12" s="3">
        <f>'Beer Revenue'!AU10</f>
        <v>8321.4648205566446</v>
      </c>
      <c r="AT12" s="3">
        <f>'Beer Revenue'!AV10</f>
        <v>8847.1487541133138</v>
      </c>
      <c r="AU12" s="3">
        <f>'Beer Revenue'!AW10</f>
        <v>12482.19723083497</v>
      </c>
      <c r="AV12" s="3">
        <f>'Beer Revenue'!AX10</f>
        <v>14763.889197761784</v>
      </c>
      <c r="AW12" s="3">
        <f>'Beer Revenue'!AY10</f>
        <v>16642.929641113289</v>
      </c>
      <c r="AX12" s="3">
        <f>'Beer Revenue'!AZ10</f>
        <v>16777.146815638389</v>
      </c>
      <c r="AY12" s="3">
        <f>'Beer Revenue'!BA10</f>
        <v>17336.385042826343</v>
      </c>
      <c r="AZ12" s="3">
        <f>'Beer Revenue'!BB10</f>
        <v>16642.929641113289</v>
      </c>
      <c r="BA12" s="3">
        <f>'Beer Revenue'!BC10</f>
        <v>14763.889197761784</v>
      </c>
      <c r="BB12" s="3">
        <f>'Beer Revenue'!BD10</f>
        <v>13869.108034261071</v>
      </c>
      <c r="BC12" s="3">
        <f>'Beer Revenue'!BE10</f>
        <v>12079.545707259642</v>
      </c>
      <c r="BD12" s="3">
        <f>'Beer Revenue'!BF10</f>
        <v>11095.286427408861</v>
      </c>
      <c r="BE12" s="37">
        <f t="shared" si="10"/>
        <v>163621.92051064939</v>
      </c>
      <c r="BF12" s="3">
        <f>'Beer Revenue'!BH10</f>
        <v>9428.2196416906791</v>
      </c>
      <c r="BG12" s="3">
        <f>'Beer Revenue'!BI10</f>
        <v>10023.819538410386</v>
      </c>
      <c r="BH12" s="3">
        <f>'Beer Revenue'!BJ10</f>
        <v>14142.329462536023</v>
      </c>
      <c r="BI12" s="3">
        <f>'Beer Revenue'!BK10</f>
        <v>16727.486461064105</v>
      </c>
      <c r="BJ12" s="3">
        <f>'Beer Revenue'!BL10</f>
        <v>18856.439283381358</v>
      </c>
      <c r="BK12" s="3">
        <f>'Beer Revenue'!BM10</f>
        <v>19008.507342118297</v>
      </c>
      <c r="BL12" s="3">
        <f>'Beer Revenue'!BN10</f>
        <v>19642.124253522248</v>
      </c>
      <c r="BM12" s="3">
        <f>'Beer Revenue'!BO10</f>
        <v>18856.439283381358</v>
      </c>
      <c r="BN12" s="3">
        <f>'Beer Revenue'!BP10</f>
        <v>16727.486461064105</v>
      </c>
      <c r="BO12" s="3">
        <f>'Beer Revenue'!BQ10</f>
        <v>15713.699402817794</v>
      </c>
      <c r="BP12" s="3">
        <f>'Beer Revenue'!BR10</f>
        <v>13686.125286325176</v>
      </c>
      <c r="BQ12" s="3">
        <f>'Beer Revenue'!BS10</f>
        <v>12570.959522254239</v>
      </c>
      <c r="BR12" s="37">
        <f t="shared" si="11"/>
        <v>185383.63593856577</v>
      </c>
      <c r="BS12" s="37"/>
    </row>
    <row r="13" spans="1:71">
      <c r="A13" s="2"/>
      <c r="B13" s="2"/>
      <c r="C13" s="2" t="s">
        <v>37</v>
      </c>
      <c r="D13" s="2"/>
      <c r="E13" s="2"/>
      <c r="F13" s="3">
        <f>SUM(F9:F12)*0.01</f>
        <v>463.93780714285714</v>
      </c>
      <c r="G13" s="3">
        <f t="shared" ref="G13:Q13" si="13">SUM(G9:G12)*0.01</f>
        <v>493.24570624999996</v>
      </c>
      <c r="H13" s="3">
        <f t="shared" si="13"/>
        <v>695.90671071428574</v>
      </c>
      <c r="I13" s="3">
        <f t="shared" si="13"/>
        <v>823.11546428571444</v>
      </c>
      <c r="J13" s="3">
        <f t="shared" si="13"/>
        <v>927.87561428571428</v>
      </c>
      <c r="K13" s="3">
        <f t="shared" si="13"/>
        <v>935.35848214285716</v>
      </c>
      <c r="L13" s="3">
        <f t="shared" si="13"/>
        <v>966.53709821428549</v>
      </c>
      <c r="M13" s="3">
        <f t="shared" si="13"/>
        <v>927.87561428571428</v>
      </c>
      <c r="N13" s="3">
        <f t="shared" si="13"/>
        <v>823.11546428571444</v>
      </c>
      <c r="O13" s="3">
        <f t="shared" si="13"/>
        <v>773.22967857142851</v>
      </c>
      <c r="P13" s="3">
        <f t="shared" si="13"/>
        <v>673.4581071428571</v>
      </c>
      <c r="Q13" s="3">
        <f t="shared" si="13"/>
        <v>618.58374285714297</v>
      </c>
      <c r="R13" s="37">
        <f t="shared" si="4"/>
        <v>9122.2394901785719</v>
      </c>
      <c r="S13" s="3">
        <f>SUM(S9:S12)*0.01</f>
        <v>603.11914928571423</v>
      </c>
      <c r="T13" s="3">
        <f t="shared" ref="T13:AD13" si="14">SUM(T9:T12)*0.01</f>
        <v>641.21941812499995</v>
      </c>
      <c r="U13" s="3">
        <f t="shared" si="14"/>
        <v>904.67872392857157</v>
      </c>
      <c r="V13" s="3">
        <f t="shared" si="14"/>
        <v>1070.0501035714285</v>
      </c>
      <c r="W13" s="3">
        <f t="shared" si="14"/>
        <v>1206.2382985714285</v>
      </c>
      <c r="X13" s="3">
        <f t="shared" si="14"/>
        <v>1215.9660267857141</v>
      </c>
      <c r="Y13" s="3">
        <f t="shared" si="14"/>
        <v>1256.4982276785715</v>
      </c>
      <c r="Z13" s="3">
        <f t="shared" si="14"/>
        <v>1206.2382985714285</v>
      </c>
      <c r="AA13" s="3">
        <f t="shared" si="14"/>
        <v>1070.0501035714285</v>
      </c>
      <c r="AB13" s="3">
        <f t="shared" si="14"/>
        <v>1005.1985821428572</v>
      </c>
      <c r="AC13" s="3">
        <f t="shared" si="14"/>
        <v>875.49553928571436</v>
      </c>
      <c r="AD13" s="3">
        <f t="shared" si="14"/>
        <v>804.15886571428575</v>
      </c>
      <c r="AE13" s="37">
        <f t="shared" si="5"/>
        <v>11858.911337232141</v>
      </c>
      <c r="AF13" s="3">
        <f>SUM(AF9:AF12)*0.01</f>
        <v>698.11481906410711</v>
      </c>
      <c r="AG13" s="3">
        <f t="shared" ref="AG13:AQ13" si="15">SUM(AG9:AG12)*0.01</f>
        <v>742.21615844046869</v>
      </c>
      <c r="AH13" s="3">
        <f t="shared" si="15"/>
        <v>1047.1722285961607</v>
      </c>
      <c r="AI13" s="3">
        <f t="shared" si="15"/>
        <v>1238.5908080169643</v>
      </c>
      <c r="AJ13" s="3">
        <f t="shared" si="15"/>
        <v>1396.2296381282142</v>
      </c>
      <c r="AK13" s="3">
        <f t="shared" si="15"/>
        <v>1407.4895545647316</v>
      </c>
      <c r="AL13" s="3">
        <f t="shared" si="15"/>
        <v>1454.4058730502229</v>
      </c>
      <c r="AM13" s="3">
        <f t="shared" si="15"/>
        <v>1396.2296381282142</v>
      </c>
      <c r="AN13" s="3">
        <f t="shared" si="15"/>
        <v>1238.5908080169643</v>
      </c>
      <c r="AO13" s="3">
        <f t="shared" si="15"/>
        <v>1163.5246984401786</v>
      </c>
      <c r="AP13" s="3">
        <f t="shared" si="15"/>
        <v>1013.3924792866073</v>
      </c>
      <c r="AQ13" s="3">
        <f t="shared" si="15"/>
        <v>930.81975875214266</v>
      </c>
      <c r="AR13" s="37">
        <f t="shared" si="9"/>
        <v>13726.776462484977</v>
      </c>
      <c r="AS13" s="3">
        <f>SUM(AS9:AS12)*0.01</f>
        <v>777.53324405615581</v>
      </c>
      <c r="AT13" s="3">
        <f t="shared" ref="AT13:BD13" si="16">SUM(AT9:AT12)*0.01</f>
        <v>826.65160759196112</v>
      </c>
      <c r="AU13" s="3">
        <f t="shared" si="16"/>
        <v>1166.2998660842336</v>
      </c>
      <c r="AV13" s="3">
        <f t="shared" si="16"/>
        <v>1379.4944652609215</v>
      </c>
      <c r="AW13" s="3">
        <f t="shared" si="16"/>
        <v>1555.0664881123116</v>
      </c>
      <c r="AX13" s="3">
        <f t="shared" si="16"/>
        <v>1567.6073468874104</v>
      </c>
      <c r="AY13" s="3">
        <f t="shared" si="16"/>
        <v>1619.8609251169912</v>
      </c>
      <c r="AZ13" s="3">
        <f t="shared" si="16"/>
        <v>1555.0664881123116</v>
      </c>
      <c r="BA13" s="3">
        <f t="shared" si="16"/>
        <v>1379.4944652609215</v>
      </c>
      <c r="BB13" s="3">
        <f t="shared" si="16"/>
        <v>1295.888740093593</v>
      </c>
      <c r="BC13" s="3">
        <f t="shared" si="16"/>
        <v>1128.6772897589358</v>
      </c>
      <c r="BD13" s="3">
        <f t="shared" si="16"/>
        <v>1036.7109920748742</v>
      </c>
      <c r="BE13" s="37">
        <f t="shared" si="10"/>
        <v>15288.351918410621</v>
      </c>
      <c r="BF13" s="3">
        <f>SUM(BF9:BF12)*0.01</f>
        <v>866.17123497779892</v>
      </c>
      <c r="BG13" s="3">
        <f t="shared" ref="BG13:BQ13" si="17">SUM(BG9:BG12)*0.01</f>
        <v>920.88904148849326</v>
      </c>
      <c r="BH13" s="3">
        <f t="shared" si="17"/>
        <v>1299.2568524666988</v>
      </c>
      <c r="BI13" s="3">
        <f t="shared" si="17"/>
        <v>1536.7554168960951</v>
      </c>
      <c r="BJ13" s="3">
        <f t="shared" si="17"/>
        <v>1732.3424699555978</v>
      </c>
      <c r="BK13" s="3">
        <f t="shared" si="17"/>
        <v>1746.3129737455624</v>
      </c>
      <c r="BL13" s="3">
        <f t="shared" si="17"/>
        <v>1804.5234062037484</v>
      </c>
      <c r="BM13" s="3">
        <f t="shared" si="17"/>
        <v>1732.3424699555978</v>
      </c>
      <c r="BN13" s="3">
        <f t="shared" si="17"/>
        <v>1536.7554168960951</v>
      </c>
      <c r="BO13" s="3">
        <f t="shared" si="17"/>
        <v>1443.6187249629982</v>
      </c>
      <c r="BP13" s="3">
        <f t="shared" si="17"/>
        <v>1257.345341096805</v>
      </c>
      <c r="BQ13" s="3">
        <f t="shared" si="17"/>
        <v>1154.8949799703987</v>
      </c>
      <c r="BR13" s="37">
        <f t="shared" si="11"/>
        <v>17031.208328615889</v>
      </c>
      <c r="BS13" s="37">
        <f t="shared" si="12"/>
        <v>67027.487536922185</v>
      </c>
    </row>
    <row r="14" spans="1:71">
      <c r="A14" s="2"/>
      <c r="B14" s="335">
        <v>0.05</v>
      </c>
      <c r="C14" s="2"/>
      <c r="D14" s="2" t="s">
        <v>628</v>
      </c>
      <c r="E14" s="2"/>
      <c r="F14" s="3">
        <f>SUM(F9:F13)*-$B$14</f>
        <v>-2342.8859260714285</v>
      </c>
      <c r="G14" s="3">
        <f t="shared" ref="G14:Q14" si="18">SUM(G9:G13)*-$B$14</f>
        <v>-2490.8908165624998</v>
      </c>
      <c r="H14" s="3">
        <f t="shared" si="18"/>
        <v>-3514.3288891071434</v>
      </c>
      <c r="I14" s="3">
        <f t="shared" si="18"/>
        <v>-4156.7330946428583</v>
      </c>
      <c r="J14" s="3">
        <f t="shared" si="18"/>
        <v>-4685.7718521428569</v>
      </c>
      <c r="K14" s="3">
        <f t="shared" si="18"/>
        <v>-4723.5603348214281</v>
      </c>
      <c r="L14" s="3">
        <f t="shared" si="18"/>
        <v>-4881.0123459821425</v>
      </c>
      <c r="M14" s="3">
        <f t="shared" si="18"/>
        <v>-4685.7718521428569</v>
      </c>
      <c r="N14" s="3">
        <f t="shared" si="18"/>
        <v>-4156.7330946428583</v>
      </c>
      <c r="O14" s="3">
        <f t="shared" si="18"/>
        <v>-3904.8098767857141</v>
      </c>
      <c r="P14" s="3">
        <f t="shared" si="18"/>
        <v>-3400.963441071428</v>
      </c>
      <c r="Q14" s="3">
        <f t="shared" si="18"/>
        <v>-3123.8479014285717</v>
      </c>
      <c r="R14" s="37">
        <f>SUM(F14:Q14)</f>
        <v>-46067.309425401792</v>
      </c>
      <c r="S14" s="3">
        <f>SUM(S9:S13)*-$B$14</f>
        <v>-3045.7517038928572</v>
      </c>
      <c r="T14" s="3">
        <f t="shared" ref="T14" si="19">SUM(T9:T13)*-$B$14</f>
        <v>-3238.15806153125</v>
      </c>
      <c r="U14" s="3">
        <f t="shared" ref="U14" si="20">SUM(U9:U13)*-$B$14</f>
        <v>-4568.6275558392872</v>
      </c>
      <c r="V14" s="3">
        <f t="shared" ref="V14" si="21">SUM(V9:V13)*-$B$14</f>
        <v>-5403.7530230357142</v>
      </c>
      <c r="W14" s="3">
        <f t="shared" ref="W14" si="22">SUM(W9:W13)*-$B$14</f>
        <v>-6091.5034077857144</v>
      </c>
      <c r="X14" s="3">
        <f t="shared" ref="X14" si="23">SUM(X9:X13)*-$B$14</f>
        <v>-6140.6284352678558</v>
      </c>
      <c r="Y14" s="3">
        <f t="shared" ref="Y14" si="24">SUM(Y9:Y13)*-$B$14</f>
        <v>-6345.3160497767858</v>
      </c>
      <c r="Z14" s="3">
        <f t="shared" ref="Z14" si="25">SUM(Z9:Z13)*-$B$14</f>
        <v>-6091.5034077857144</v>
      </c>
      <c r="AA14" s="3">
        <f t="shared" ref="AA14" si="26">SUM(AA9:AA13)*-$B$14</f>
        <v>-5403.7530230357142</v>
      </c>
      <c r="AB14" s="3">
        <f t="shared" ref="AB14" si="27">SUM(AB9:AB13)*-$B$14</f>
        <v>-5076.252839821429</v>
      </c>
      <c r="AC14" s="3">
        <f t="shared" ref="AC14" si="28">SUM(AC9:AC13)*-$B$14</f>
        <v>-4421.2524733928576</v>
      </c>
      <c r="AD14" s="3">
        <f t="shared" ref="AD14" si="29">SUM(AD9:AD13)*-$B$14</f>
        <v>-4061.0022718571436</v>
      </c>
      <c r="AE14" s="37">
        <f>SUM(S14:AD14)</f>
        <v>-59887.502253022321</v>
      </c>
      <c r="AF14" s="3">
        <f>SUM(AF9:AF13)*-$B$14</f>
        <v>-3525.4798362737415</v>
      </c>
      <c r="AG14" s="3">
        <f t="shared" ref="AG14" si="30">SUM(AG9:AG13)*-$B$14</f>
        <v>-3748.1916001243671</v>
      </c>
      <c r="AH14" s="3">
        <f t="shared" ref="AH14" si="31">SUM(AH9:AH13)*-$B$14</f>
        <v>-5288.219754410612</v>
      </c>
      <c r="AI14" s="3">
        <f t="shared" ref="AI14" si="32">SUM(AI9:AI13)*-$B$14</f>
        <v>-6254.883580485669</v>
      </c>
      <c r="AJ14" s="3">
        <f t="shared" ref="AJ14" si="33">SUM(AJ9:AJ13)*-$B$14</f>
        <v>-7050.959672547483</v>
      </c>
      <c r="AK14" s="3">
        <f t="shared" ref="AK14" si="34">SUM(AK9:AK13)*-$B$14</f>
        <v>-7107.8222505518952</v>
      </c>
      <c r="AL14" s="3">
        <f t="shared" ref="AL14" si="35">SUM(AL9:AL13)*-$B$14</f>
        <v>-7344.7496589036255</v>
      </c>
      <c r="AM14" s="3">
        <f t="shared" ref="AM14" si="36">SUM(AM9:AM13)*-$B$14</f>
        <v>-7050.959672547483</v>
      </c>
      <c r="AN14" s="3">
        <f t="shared" ref="AN14" si="37">SUM(AN9:AN13)*-$B$14</f>
        <v>-6254.883580485669</v>
      </c>
      <c r="AO14" s="3">
        <f t="shared" ref="AO14" si="38">SUM(AO9:AO13)*-$B$14</f>
        <v>-5875.7997271229015</v>
      </c>
      <c r="AP14" s="3">
        <f t="shared" ref="AP14" si="39">SUM(AP9:AP13)*-$B$14</f>
        <v>-5117.6320203973664</v>
      </c>
      <c r="AQ14" s="3">
        <f t="shared" ref="AQ14" si="40">SUM(AQ9:AQ13)*-$B$14</f>
        <v>-4700.6397816983208</v>
      </c>
      <c r="AR14" s="37">
        <f>SUM(AF14:AQ14)</f>
        <v>-69320.221135549131</v>
      </c>
      <c r="AS14" s="3">
        <f>SUM(AS9:AS13)*-$B$14</f>
        <v>-3926.5428824835872</v>
      </c>
      <c r="AT14" s="3">
        <f t="shared" ref="AT14" si="41">SUM(AT9:AT13)*-$B$14</f>
        <v>-4174.5906183394036</v>
      </c>
      <c r="AU14" s="3">
        <f t="shared" ref="AU14" si="42">SUM(AU9:AU13)*-$B$14</f>
        <v>-5889.8143237253798</v>
      </c>
      <c r="AV14" s="3">
        <f t="shared" ref="AV14" si="43">SUM(AV9:AV13)*-$B$14</f>
        <v>-6966.4470495676542</v>
      </c>
      <c r="AW14" s="3">
        <f t="shared" ref="AW14" si="44">SUM(AW9:AW13)*-$B$14</f>
        <v>-7853.0857649671743</v>
      </c>
      <c r="AX14" s="3">
        <f t="shared" ref="AX14" si="45">SUM(AX9:AX13)*-$B$14</f>
        <v>-7916.4171017814224</v>
      </c>
      <c r="AY14" s="3">
        <f t="shared" ref="AY14" si="46">SUM(AY9:AY13)*-$B$14</f>
        <v>-8180.2976718408063</v>
      </c>
      <c r="AZ14" s="3">
        <f t="shared" ref="AZ14" si="47">SUM(AZ9:AZ13)*-$B$14</f>
        <v>-7853.0857649671743</v>
      </c>
      <c r="BA14" s="3">
        <f t="shared" ref="BA14" si="48">SUM(BA9:BA13)*-$B$14</f>
        <v>-6966.4470495676542</v>
      </c>
      <c r="BB14" s="3">
        <f t="shared" ref="BB14" si="49">SUM(BB9:BB13)*-$B$14</f>
        <v>-6544.2381374726447</v>
      </c>
      <c r="BC14" s="3">
        <f t="shared" ref="BC14" si="50">SUM(BC9:BC13)*-$B$14</f>
        <v>-5699.8203132826266</v>
      </c>
      <c r="BD14" s="3">
        <f t="shared" ref="BD14" si="51">SUM(BD9:BD13)*-$B$14</f>
        <v>-5235.390509978115</v>
      </c>
      <c r="BE14" s="37">
        <f>SUM(AS14:BD14)</f>
        <v>-77206.177187973633</v>
      </c>
      <c r="BF14" s="3">
        <f>SUM(BF9:BF13)*-$B$14</f>
        <v>-4374.1647366378847</v>
      </c>
      <c r="BG14" s="3">
        <f t="shared" ref="BG14" si="52">SUM(BG9:BG13)*-$B$14</f>
        <v>-4650.4896595168912</v>
      </c>
      <c r="BH14" s="3">
        <f t="shared" ref="BH14" si="53">SUM(BH9:BH13)*-$B$14</f>
        <v>-6561.2471049568285</v>
      </c>
      <c r="BI14" s="3">
        <f t="shared" ref="BI14" si="54">SUM(BI9:BI13)*-$B$14</f>
        <v>-7760.6148553252806</v>
      </c>
      <c r="BJ14" s="3">
        <f t="shared" ref="BJ14" si="55">SUM(BJ9:BJ13)*-$B$14</f>
        <v>-8748.3294732757695</v>
      </c>
      <c r="BK14" s="3">
        <f t="shared" ref="BK14" si="56">SUM(BK9:BK13)*-$B$14</f>
        <v>-8818.8805174150912</v>
      </c>
      <c r="BL14" s="3">
        <f t="shared" ref="BL14" si="57">SUM(BL9:BL13)*-$B$14</f>
        <v>-9112.8432013289294</v>
      </c>
      <c r="BM14" s="3">
        <f t="shared" ref="BM14" si="58">SUM(BM9:BM13)*-$B$14</f>
        <v>-8748.3294732757695</v>
      </c>
      <c r="BN14" s="3">
        <f t="shared" ref="BN14" si="59">SUM(BN9:BN13)*-$B$14</f>
        <v>-7760.6148553252806</v>
      </c>
      <c r="BO14" s="3">
        <f t="shared" ref="BO14" si="60">SUM(BO9:BO13)*-$B$14</f>
        <v>-7290.2745610631409</v>
      </c>
      <c r="BP14" s="3">
        <f t="shared" ref="BP14" si="61">SUM(BP9:BP13)*-$B$14</f>
        <v>-6349.5939725388662</v>
      </c>
      <c r="BQ14" s="3">
        <f t="shared" ref="BQ14" si="62">SUM(BQ9:BQ13)*-$B$14</f>
        <v>-5832.2196488505142</v>
      </c>
      <c r="BR14" s="37">
        <f>SUM(BF14:BQ14)</f>
        <v>-86007.602059510245</v>
      </c>
      <c r="BS14" s="37"/>
    </row>
    <row r="15" spans="1:71">
      <c r="A15" s="2"/>
      <c r="B15" s="2"/>
      <c r="C15" s="326" t="s">
        <v>562</v>
      </c>
      <c r="D15" s="2"/>
      <c r="E15" s="2"/>
      <c r="F15" s="3">
        <f>-('Beer Revenue'!H117+'Beer Revenue'!H125)*(Assumptions!$B$53+Assumptions!$B$54)</f>
        <v>-85.56873474107141</v>
      </c>
      <c r="G15" s="3">
        <f>-('Beer Revenue'!I117+'Beer Revenue'!I125)*(Assumptions!$B$53+Assumptions!$B$54)</f>
        <v>-90.974286532510064</v>
      </c>
      <c r="H15" s="3">
        <f>-('Beer Revenue'!J117+'Beer Revenue'!J125)*(Assumptions!$B$53+Assumptions!$B$54)</f>
        <v>-128.35310211160714</v>
      </c>
      <c r="I15" s="3">
        <f>-('Beer Revenue'!K117+'Beer Revenue'!K125)*(Assumptions!$B$53+Assumptions!$B$54)</f>
        <v>-151.81549712125579</v>
      </c>
      <c r="J15" s="3">
        <f>-('Beer Revenue'!L117+'Beer Revenue'!L125)*(Assumptions!$B$53+Assumptions!$B$54)</f>
        <v>-171.13746948214282</v>
      </c>
      <c r="K15" s="3">
        <f>-('Beer Revenue'!M117+'Beer Revenue'!M125)*(Assumptions!$B$53+Assumptions!$B$54)</f>
        <v>-172.51761036506335</v>
      </c>
      <c r="L15" s="3">
        <f>-('Beer Revenue'!N117+'Beer Revenue'!N125)*(Assumptions!$B$53+Assumptions!$B$54)</f>
        <v>-178.26819737723213</v>
      </c>
      <c r="M15" s="3">
        <f>-('Beer Revenue'!O117+'Beer Revenue'!O125)*(Assumptions!$B$53+Assumptions!$B$54)</f>
        <v>-171.13746948214282</v>
      </c>
      <c r="N15" s="3">
        <f>-('Beer Revenue'!P117+'Beer Revenue'!P125)*(Assumptions!$B$53+Assumptions!$B$54)</f>
        <v>-151.81549712125579</v>
      </c>
      <c r="O15" s="3">
        <f>-('Beer Revenue'!Q117+'Beer Revenue'!Q125)*(Assumptions!$B$53+Assumptions!$B$54)</f>
        <v>-142.61455790178567</v>
      </c>
      <c r="P15" s="3">
        <f>-('Beer Revenue'!R117+'Beer Revenue'!R125)*(Assumptions!$B$53+Assumptions!$B$54)</f>
        <v>-124.21267946284559</v>
      </c>
      <c r="Q15" s="3">
        <f>-('Beer Revenue'!S117+'Beer Revenue'!S125)*(Assumptions!$B$53+Assumptions!$B$54)</f>
        <v>-114.09164632142856</v>
      </c>
      <c r="R15" s="37">
        <f>SUM(F15:Q15)</f>
        <v>-1682.5067480203411</v>
      </c>
      <c r="S15" s="3">
        <f>-('Beer Revenue'!U117+'Beer Revenue'!U125)*(Assumptions!$B$53+Assumptions!$B$54)</f>
        <v>-100.91076290457586</v>
      </c>
      <c r="T15" s="3">
        <f>-('Beer Revenue'!V117+'Beer Revenue'!V125)*(Assumptions!$B$53+Assumptions!$B$54)</f>
        <v>-107.28550195903161</v>
      </c>
      <c r="U15" s="3">
        <f>-('Beer Revenue'!W117+'Beer Revenue'!W125)*(Assumptions!$B$53+Assumptions!$B$54)</f>
        <v>-151.3661443568638</v>
      </c>
      <c r="V15" s="3">
        <f>-('Beer Revenue'!X117+'Beer Revenue'!X125)*(Assumptions!$B$53+Assumptions!$B$54)</f>
        <v>-179.03522450811852</v>
      </c>
      <c r="W15" s="3">
        <f>-('Beer Revenue'!Y117+'Beer Revenue'!Y125)*(Assumptions!$B$53+Assumptions!$B$54)</f>
        <v>-201.82152580915172</v>
      </c>
      <c r="X15" s="3">
        <f>-('Beer Revenue'!Z117+'Beer Revenue'!Z125)*(Assumptions!$B$53+Assumptions!$B$54)</f>
        <v>-203.44911875922548</v>
      </c>
      <c r="Y15" s="3">
        <f>-('Beer Revenue'!AA117+'Beer Revenue'!AA125)*(Assumptions!$B$53+Assumptions!$B$54)</f>
        <v>-210.23075605119971</v>
      </c>
      <c r="Z15" s="3">
        <f>-('Beer Revenue'!AB117+'Beer Revenue'!AB125)*(Assumptions!$B$53+Assumptions!$B$54)</f>
        <v>-201.82152580915172</v>
      </c>
      <c r="AA15" s="3">
        <f>-('Beer Revenue'!AC117+'Beer Revenue'!AC125)*(Assumptions!$B$53+Assumptions!$B$54)</f>
        <v>-179.03522450811852</v>
      </c>
      <c r="AB15" s="3">
        <f>-('Beer Revenue'!AD117+'Beer Revenue'!AD125)*(Assumptions!$B$53+Assumptions!$B$54)</f>
        <v>-168.18460484095985</v>
      </c>
      <c r="AC15" s="3">
        <f>-('Beer Revenue'!AE117+'Beer Revenue'!AE125)*(Assumptions!$B$53+Assumptions!$B$54)</f>
        <v>-146.48336550664243</v>
      </c>
      <c r="AD15" s="3">
        <f>-('Beer Revenue'!AF117+'Beer Revenue'!AF125)*(Assumptions!$B$53+Assumptions!$B$54)</f>
        <v>-134.54768387276783</v>
      </c>
      <c r="AE15" s="37">
        <f>SUM(S15:AD15)</f>
        <v>-1984.1714388858072</v>
      </c>
      <c r="AF15" s="3">
        <f>-('Beer Revenue'!AH117+'Beer Revenue'!AH125)*(Assumptions!$B$53+Assumptions!$B$54)</f>
        <v>-116.04737734026224</v>
      </c>
      <c r="AG15" s="3">
        <f>-('Beer Revenue'!AI117+'Beer Revenue'!AI125)*(Assumptions!$B$53+Assumptions!$B$54)</f>
        <v>-123.37832725288636</v>
      </c>
      <c r="AH15" s="3">
        <f>-('Beer Revenue'!AJ117+'Beer Revenue'!AJ125)*(Assumptions!$B$53+Assumptions!$B$54)</f>
        <v>-174.07106601039339</v>
      </c>
      <c r="AI15" s="3">
        <f>-('Beer Revenue'!AK117+'Beer Revenue'!AK125)*(Assumptions!$B$53+Assumptions!$B$54)</f>
        <v>-205.89050818433628</v>
      </c>
      <c r="AJ15" s="3">
        <f>-('Beer Revenue'!AL117+'Beer Revenue'!AL125)*(Assumptions!$B$53+Assumptions!$B$54)</f>
        <v>-232.09475468052449</v>
      </c>
      <c r="AK15" s="3">
        <f>-('Beer Revenue'!AM117+'Beer Revenue'!AM125)*(Assumptions!$B$53+Assumptions!$B$54)</f>
        <v>-233.96648657310934</v>
      </c>
      <c r="AL15" s="3">
        <f>-('Beer Revenue'!AN117+'Beer Revenue'!AN125)*(Assumptions!$B$53+Assumptions!$B$54)</f>
        <v>-241.76536945887972</v>
      </c>
      <c r="AM15" s="3">
        <f>-('Beer Revenue'!AO117+'Beer Revenue'!AO125)*(Assumptions!$B$53+Assumptions!$B$54)</f>
        <v>-232.09475468052449</v>
      </c>
      <c r="AN15" s="3">
        <f>-('Beer Revenue'!AP117+'Beer Revenue'!AP125)*(Assumptions!$B$53+Assumptions!$B$54)</f>
        <v>-205.89050818433628</v>
      </c>
      <c r="AO15" s="3">
        <f>-('Beer Revenue'!AQ117+'Beer Revenue'!AQ125)*(Assumptions!$B$53+Assumptions!$B$54)</f>
        <v>-193.41229556710374</v>
      </c>
      <c r="AP15" s="3">
        <f>-('Beer Revenue'!AR117+'Beer Revenue'!AR125)*(Assumptions!$B$53+Assumptions!$B$54)</f>
        <v>-168.4558703326388</v>
      </c>
      <c r="AQ15" s="3">
        <f>-('Beer Revenue'!AS117+'Beer Revenue'!AS125)*(Assumptions!$B$53+Assumptions!$B$54)</f>
        <v>-154.72983645368299</v>
      </c>
      <c r="AR15" s="37">
        <f>SUM(AF15:AQ15)</f>
        <v>-2281.797154718678</v>
      </c>
      <c r="AS15" s="3">
        <f>-('Beer Revenue'!AU117+'Beer Revenue'!AU125)*(Assumptions!$B$53+Assumptions!$B$54)</f>
        <v>-127.65211507428847</v>
      </c>
      <c r="AT15" s="3">
        <f>-('Beer Revenue'!AV117+'Beer Revenue'!AV125)*(Assumptions!$B$53+Assumptions!$B$54)</f>
        <v>-135.71615997817497</v>
      </c>
      <c r="AU15" s="3">
        <f>-('Beer Revenue'!AW117+'Beer Revenue'!AW125)*(Assumptions!$B$53+Assumptions!$B$54)</f>
        <v>-191.47817261143271</v>
      </c>
      <c r="AV15" s="3">
        <f>-('Beer Revenue'!AX117+'Beer Revenue'!AX125)*(Assumptions!$B$53+Assumptions!$B$54)</f>
        <v>-226.47955900276989</v>
      </c>
      <c r="AW15" s="3">
        <f>-('Beer Revenue'!AY117+'Beer Revenue'!AY125)*(Assumptions!$B$53+Assumptions!$B$54)</f>
        <v>-255.30423014857695</v>
      </c>
      <c r="AX15" s="3">
        <f>-('Beer Revenue'!AZ117+'Beer Revenue'!AZ125)*(Assumptions!$B$53+Assumptions!$B$54)</f>
        <v>-257.36313523042026</v>
      </c>
      <c r="AY15" s="3">
        <f>-('Beer Revenue'!BA117+'Beer Revenue'!BA125)*(Assumptions!$B$53+Assumptions!$B$54)</f>
        <v>-265.94190640476768</v>
      </c>
      <c r="AZ15" s="3">
        <f>-('Beer Revenue'!BB117+'Beer Revenue'!BB125)*(Assumptions!$B$53+Assumptions!$B$54)</f>
        <v>-255.30423014857695</v>
      </c>
      <c r="BA15" s="3">
        <f>-('Beer Revenue'!BC117+'Beer Revenue'!BC125)*(Assumptions!$B$53+Assumptions!$B$54)</f>
        <v>-226.47955900276989</v>
      </c>
      <c r="BB15" s="3">
        <f>-('Beer Revenue'!BD117+'Beer Revenue'!BD125)*(Assumptions!$B$53+Assumptions!$B$54)</f>
        <v>-212.7535251238142</v>
      </c>
      <c r="BC15" s="3">
        <f>-('Beer Revenue'!BE117+'Beer Revenue'!BE125)*(Assumptions!$B$53+Assumptions!$B$54)</f>
        <v>-185.30145736590262</v>
      </c>
      <c r="BD15" s="3">
        <f>-('Beer Revenue'!BF117+'Beer Revenue'!BF125)*(Assumptions!$B$53+Assumptions!$B$54)</f>
        <v>-170.20282009905134</v>
      </c>
      <c r="BE15" s="37">
        <f>SUM(AS15:BD15)</f>
        <v>-2509.9768701905459</v>
      </c>
      <c r="BF15" s="3">
        <f>-('Beer Revenue'!BH117+'Beer Revenue'!BH125)*(Assumptions!$B$53+Assumptions!$B$54)</f>
        <v>-140.41732658171733</v>
      </c>
      <c r="BG15" s="3">
        <f>-('Beer Revenue'!BI117+'Beer Revenue'!BI125)*(Assumptions!$B$53+Assumptions!$B$54)</f>
        <v>-149.28777597599253</v>
      </c>
      <c r="BH15" s="3">
        <f>-('Beer Revenue'!BJ117+'Beer Revenue'!BJ125)*(Assumptions!$B$53+Assumptions!$B$54)</f>
        <v>-210.62598987257601</v>
      </c>
      <c r="BI15" s="3">
        <f>-('Beer Revenue'!BK117+'Beer Revenue'!BK125)*(Assumptions!$B$53+Assumptions!$B$54)</f>
        <v>-249.12751490304683</v>
      </c>
      <c r="BJ15" s="3">
        <f>-('Beer Revenue'!BL117+'Beer Revenue'!BL125)*(Assumptions!$B$53+Assumptions!$B$54)</f>
        <v>-280.83465316343467</v>
      </c>
      <c r="BK15" s="3">
        <f>-('Beer Revenue'!BM117+'Beer Revenue'!BM125)*(Assumptions!$B$53+Assumptions!$B$54)</f>
        <v>-283.09944875346235</v>
      </c>
      <c r="BL15" s="3">
        <f>-('Beer Revenue'!BN117+'Beer Revenue'!BN125)*(Assumptions!$B$53+Assumptions!$B$54)</f>
        <v>-292.53609704524445</v>
      </c>
      <c r="BM15" s="3">
        <f>-('Beer Revenue'!BO117+'Beer Revenue'!BO125)*(Assumptions!$B$53+Assumptions!$B$54)</f>
        <v>-280.83465316343467</v>
      </c>
      <c r="BN15" s="3">
        <f>-('Beer Revenue'!BP117+'Beer Revenue'!BP125)*(Assumptions!$B$53+Assumptions!$B$54)</f>
        <v>-249.12751490304683</v>
      </c>
      <c r="BO15" s="3">
        <f>-('Beer Revenue'!BQ117+'Beer Revenue'!BQ125)*(Assumptions!$B$53+Assumptions!$B$54)</f>
        <v>-234.02887763619563</v>
      </c>
      <c r="BP15" s="3">
        <f>-('Beer Revenue'!BR117+'Beer Revenue'!BR125)*(Assumptions!$B$53+Assumptions!$B$54)</f>
        <v>-203.83160310249292</v>
      </c>
      <c r="BQ15" s="3">
        <f>-('Beer Revenue'!BS117+'Beer Revenue'!BS125)*(Assumptions!$B$53+Assumptions!$B$54)</f>
        <v>-187.22310210895648</v>
      </c>
      <c r="BR15" s="37">
        <f>SUM(BF15:BQ15)</f>
        <v>-2760.9745572096008</v>
      </c>
      <c r="BS15" s="37"/>
    </row>
    <row r="16" spans="1:71">
      <c r="A16" s="1"/>
      <c r="B16" s="1"/>
      <c r="C16" s="1"/>
      <c r="D16" s="327" t="s">
        <v>563</v>
      </c>
      <c r="E16" s="1"/>
      <c r="F16" s="41">
        <f t="shared" ref="F16:P16" si="63">SUM(F7:F15)</f>
        <v>47262.645502915177</v>
      </c>
      <c r="G16" s="41">
        <f t="shared" si="63"/>
        <v>50453.242732266008</v>
      </c>
      <c r="H16" s="41">
        <f t="shared" si="63"/>
        <v>70893.968254372769</v>
      </c>
      <c r="I16" s="41">
        <f t="shared" si="63"/>
        <v>83970.17750517212</v>
      </c>
      <c r="J16" s="41">
        <f t="shared" si="63"/>
        <v>94525.291005830353</v>
      </c>
      <c r="K16" s="41">
        <f t="shared" si="63"/>
        <v>95420.656255877373</v>
      </c>
      <c r="L16" s="41">
        <f t="shared" si="63"/>
        <v>98463.844797739963</v>
      </c>
      <c r="M16" s="41">
        <f t="shared" si="63"/>
        <v>94525.291005830353</v>
      </c>
      <c r="N16" s="41">
        <f t="shared" si="63"/>
        <v>83970.17750517212</v>
      </c>
      <c r="O16" s="41">
        <f t="shared" si="63"/>
        <v>78771.075838191944</v>
      </c>
      <c r="P16" s="41">
        <f t="shared" si="63"/>
        <v>68702.872504231709</v>
      </c>
      <c r="Q16" s="41">
        <f>SUM(Q7:Q15)</f>
        <v>63016.860670553571</v>
      </c>
      <c r="R16" s="41">
        <f>SUM(R7:R15)</f>
        <v>929976.10357815318</v>
      </c>
      <c r="S16" s="41">
        <f t="shared" ref="S16:BS16" si="64">SUM(S8:S13)</f>
        <v>61981.761130731029</v>
      </c>
      <c r="T16" s="41">
        <f t="shared" si="64"/>
        <v>65897.275610763754</v>
      </c>
      <c r="U16" s="41">
        <f t="shared" si="64"/>
        <v>92972.641696096558</v>
      </c>
      <c r="V16" s="41">
        <f t="shared" si="64"/>
        <v>109967.6407158131</v>
      </c>
      <c r="W16" s="41">
        <f t="shared" si="64"/>
        <v>123963.52226146206</v>
      </c>
      <c r="X16" s="41">
        <f t="shared" si="64"/>
        <v>124963.22808615124</v>
      </c>
      <c r="Y16" s="41">
        <f t="shared" si="64"/>
        <v>129128.66902235629</v>
      </c>
      <c r="Z16" s="41">
        <f t="shared" si="64"/>
        <v>123963.52226146206</v>
      </c>
      <c r="AA16" s="41">
        <f t="shared" si="64"/>
        <v>109967.6407158131</v>
      </c>
      <c r="AB16" s="41">
        <f t="shared" si="64"/>
        <v>103302.93521788504</v>
      </c>
      <c r="AC16" s="41">
        <f t="shared" si="64"/>
        <v>89973.524222028907</v>
      </c>
      <c r="AD16" s="41">
        <f t="shared" si="64"/>
        <v>82642.348174308048</v>
      </c>
      <c r="AE16" s="41">
        <f t="shared" si="64"/>
        <v>1218724.7091148712</v>
      </c>
      <c r="AF16" s="41">
        <f t="shared" si="64"/>
        <v>71736.332836279791</v>
      </c>
      <c r="AG16" s="41">
        <f t="shared" si="64"/>
        <v>76268.063539646915</v>
      </c>
      <c r="AH16" s="41">
        <f t="shared" si="64"/>
        <v>107604.49925441969</v>
      </c>
      <c r="AI16" s="41">
        <f t="shared" si="64"/>
        <v>127274.13890307702</v>
      </c>
      <c r="AJ16" s="41">
        <f t="shared" si="64"/>
        <v>143472.66567255958</v>
      </c>
      <c r="AK16" s="41">
        <f t="shared" si="64"/>
        <v>144629.70329895112</v>
      </c>
      <c r="AL16" s="41">
        <f t="shared" si="64"/>
        <v>149450.69340891618</v>
      </c>
      <c r="AM16" s="41">
        <f t="shared" si="64"/>
        <v>143472.66567255958</v>
      </c>
      <c r="AN16" s="41">
        <f t="shared" si="64"/>
        <v>127274.13890307702</v>
      </c>
      <c r="AO16" s="41">
        <f t="shared" si="64"/>
        <v>119560.55472713297</v>
      </c>
      <c r="AP16" s="41">
        <f t="shared" si="64"/>
        <v>104133.38637524485</v>
      </c>
      <c r="AQ16" s="41">
        <f t="shared" si="64"/>
        <v>95648.443781706374</v>
      </c>
      <c r="AR16" s="41">
        <f t="shared" si="64"/>
        <v>1410525.2863735713</v>
      </c>
      <c r="AS16" s="41">
        <f t="shared" si="64"/>
        <v>79880.267371557202</v>
      </c>
      <c r="AT16" s="41">
        <f t="shared" si="64"/>
        <v>84926.467057663627</v>
      </c>
      <c r="AU16" s="41">
        <f t="shared" si="64"/>
        <v>119820.40105733578</v>
      </c>
      <c r="AV16" s="41">
        <f t="shared" si="64"/>
        <v>141723.05501405307</v>
      </c>
      <c r="AW16" s="41">
        <f t="shared" si="64"/>
        <v>159760.5347431144</v>
      </c>
      <c r="AX16" s="41">
        <f t="shared" si="64"/>
        <v>161048.92615233301</v>
      </c>
      <c r="AY16" s="41">
        <f t="shared" si="64"/>
        <v>166417.22369074414</v>
      </c>
      <c r="AZ16" s="41">
        <f t="shared" si="64"/>
        <v>159760.5347431144</v>
      </c>
      <c r="BA16" s="41">
        <f t="shared" si="64"/>
        <v>141723.05501405307</v>
      </c>
      <c r="BB16" s="41">
        <f t="shared" si="64"/>
        <v>133133.77895259534</v>
      </c>
      <c r="BC16" s="41">
        <f t="shared" si="64"/>
        <v>115955.22682967981</v>
      </c>
      <c r="BD16" s="41">
        <f t="shared" si="64"/>
        <v>106507.02316207626</v>
      </c>
      <c r="BE16" s="41">
        <f t="shared" si="64"/>
        <v>1570656.4937883199</v>
      </c>
      <c r="BF16" s="41">
        <f t="shared" si="64"/>
        <v>88967.645426831703</v>
      </c>
      <c r="BG16" s="41">
        <f t="shared" si="64"/>
        <v>94587.913350300907</v>
      </c>
      <c r="BH16" s="41">
        <f t="shared" si="64"/>
        <v>133451.46814024757</v>
      </c>
      <c r="BI16" s="41">
        <f t="shared" si="64"/>
        <v>157845.82253147563</v>
      </c>
      <c r="BJ16" s="41">
        <f t="shared" si="64"/>
        <v>177935.29085366341</v>
      </c>
      <c r="BK16" s="41">
        <f t="shared" si="64"/>
        <v>179370.25287667685</v>
      </c>
      <c r="BL16" s="41">
        <f t="shared" si="64"/>
        <v>185349.26130589942</v>
      </c>
      <c r="BM16" s="41">
        <f t="shared" si="64"/>
        <v>177935.29085366341</v>
      </c>
      <c r="BN16" s="41">
        <f t="shared" si="64"/>
        <v>157845.82253147563</v>
      </c>
      <c r="BO16" s="41">
        <f t="shared" si="64"/>
        <v>148279.4090447195</v>
      </c>
      <c r="BP16" s="41">
        <f t="shared" si="64"/>
        <v>129146.58207120733</v>
      </c>
      <c r="BQ16" s="41">
        <f t="shared" si="64"/>
        <v>118623.52723577562</v>
      </c>
      <c r="BR16" s="41">
        <f t="shared" si="64"/>
        <v>1749338.2862219368</v>
      </c>
      <c r="BS16" s="41">
        <f t="shared" si="64"/>
        <v>3847859.7473883424</v>
      </c>
    </row>
    <row r="17" spans="1:71">
      <c r="A17" s="2"/>
      <c r="B17" s="2"/>
      <c r="C17" s="2"/>
      <c r="D17" s="2"/>
      <c r="E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7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7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7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7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7"/>
      <c r="BS17" s="37"/>
    </row>
    <row r="18" spans="1:71">
      <c r="A18" s="2"/>
      <c r="B18" s="1" t="s">
        <v>39</v>
      </c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7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7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7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7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7"/>
      <c r="BS18" s="37"/>
    </row>
    <row r="19" spans="1:71">
      <c r="A19" s="2"/>
      <c r="B19" s="2"/>
      <c r="C19" s="21" t="s">
        <v>548</v>
      </c>
      <c r="D19" s="2"/>
      <c r="E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7">
        <f t="shared" ref="R19:R26" si="65">SUM(F19:Q19)</f>
        <v>0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7">
        <f>SUM(S19:AD19)</f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7">
        <f>SUM(AF19:AQ19)</f>
        <v>0</v>
      </c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7">
        <f>SUM(AS19:BD19)</f>
        <v>0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7">
        <f>SUM(BF19:BQ19)</f>
        <v>0</v>
      </c>
      <c r="BS19" s="37">
        <f>R19+AE19+AR19+BE19+BR19</f>
        <v>0</v>
      </c>
    </row>
    <row r="20" spans="1:71">
      <c r="A20" s="2"/>
      <c r="B20" s="2"/>
      <c r="C20" s="21" t="s">
        <v>549</v>
      </c>
      <c r="D20" s="2"/>
      <c r="E20" s="2"/>
      <c r="F20" s="3">
        <f>'Beer COGS'!G23</f>
        <v>1309.2326450892858</v>
      </c>
      <c r="G20" s="3">
        <f>'Beer COGS'!H23</f>
        <v>1391.9395460559472</v>
      </c>
      <c r="H20" s="3">
        <f>'Beer COGS'!I23</f>
        <v>1963.8489676339286</v>
      </c>
      <c r="I20" s="3">
        <f>'Beer COGS'!J23</f>
        <v>2322.8321122551847</v>
      </c>
      <c r="J20" s="3">
        <f>'Beer COGS'!K23</f>
        <v>2618.4652901785716</v>
      </c>
      <c r="K20" s="3">
        <f>'Beer COGS'!L23</f>
        <v>2639.5819457445268</v>
      </c>
      <c r="L20" s="3">
        <f>'Beer COGS'!M23</f>
        <v>2727.568010602678</v>
      </c>
      <c r="M20" s="3">
        <f>'Beer COGS'!N23</f>
        <v>2618.4652901785716</v>
      </c>
      <c r="N20" s="3">
        <f>'Beer COGS'!O23</f>
        <v>2322.8321122551847</v>
      </c>
      <c r="O20" s="3">
        <f>'Beer COGS'!P23</f>
        <v>2182.0544084821427</v>
      </c>
      <c r="P20" s="3">
        <f>'Beer COGS'!Q23</f>
        <v>1900.4990009360592</v>
      </c>
      <c r="Q20" s="3">
        <f>'Beer COGS'!R23</f>
        <v>1745.6435267857146</v>
      </c>
      <c r="R20" s="37">
        <f t="shared" si="65"/>
        <v>25742.962856197795</v>
      </c>
      <c r="S20" s="3">
        <f>'Beer COGS'!T23</f>
        <v>1767.4640708705358</v>
      </c>
      <c r="T20" s="3">
        <f>'Beer COGS'!U23</f>
        <v>1879.1183871755291</v>
      </c>
      <c r="U20" s="3">
        <f>'Beer COGS'!V23</f>
        <v>2651.1961063058038</v>
      </c>
      <c r="V20" s="3">
        <f>'Beer COGS'!W23</f>
        <v>3135.8233515444986</v>
      </c>
      <c r="W20" s="3">
        <f>'Beer COGS'!X23</f>
        <v>3534.9281417410716</v>
      </c>
      <c r="X20" s="3">
        <f>'Beer COGS'!Y23</f>
        <v>3563.435626755112</v>
      </c>
      <c r="Y20" s="3">
        <f>'Beer COGS'!Z23</f>
        <v>3682.2168143136164</v>
      </c>
      <c r="Z20" s="3">
        <f>'Beer COGS'!AA23</f>
        <v>3534.9281417410716</v>
      </c>
      <c r="AA20" s="3">
        <f>'Beer COGS'!AB23</f>
        <v>3135.8233515444986</v>
      </c>
      <c r="AB20" s="3">
        <f>'Beer COGS'!AC23</f>
        <v>2945.7734514508938</v>
      </c>
      <c r="AC20" s="3">
        <f>'Beer COGS'!AD23</f>
        <v>2565.6736512636812</v>
      </c>
      <c r="AD20" s="3">
        <f>'Beer COGS'!AE23</f>
        <v>2356.6187611607143</v>
      </c>
      <c r="AE20" s="37">
        <f>SUM(S20:AD20)</f>
        <v>34752.999855867027</v>
      </c>
      <c r="AF20" s="3">
        <f>'Beer COGS'!AG23</f>
        <v>1994.9432429547992</v>
      </c>
      <c r="AG20" s="3">
        <f>'Beer COGS'!AH23</f>
        <v>2120.9678833027497</v>
      </c>
      <c r="AH20" s="3">
        <f>'Beer COGS'!AI23</f>
        <v>2992.414864432199</v>
      </c>
      <c r="AI20" s="3">
        <f>'Beer COGS'!AJ23</f>
        <v>3539.4154310488361</v>
      </c>
      <c r="AJ20" s="3">
        <f>'Beer COGS'!AK23</f>
        <v>3989.8864859095984</v>
      </c>
      <c r="AK20" s="3">
        <f>'Beer COGS'!AL23</f>
        <v>4022.0629898282227</v>
      </c>
      <c r="AL20" s="3">
        <f>'Beer COGS'!AM23</f>
        <v>4156.1317561558299</v>
      </c>
      <c r="AM20" s="3">
        <f>'Beer COGS'!AN23</f>
        <v>3989.8864859095984</v>
      </c>
      <c r="AN20" s="3">
        <f>'Beer COGS'!AO23</f>
        <v>3539.4154310488361</v>
      </c>
      <c r="AO20" s="3">
        <f>'Beer COGS'!AP23</f>
        <v>3324.9054049246643</v>
      </c>
      <c r="AP20" s="3">
        <f>'Beer COGS'!AQ23</f>
        <v>2895.8853526763214</v>
      </c>
      <c r="AQ20" s="3">
        <f>'Beer COGS'!AR23</f>
        <v>2659.9243239397315</v>
      </c>
      <c r="AR20" s="37">
        <f>SUM(AF20:AQ20)</f>
        <v>39225.839652131384</v>
      </c>
      <c r="AS20" s="3">
        <f>'Beer COGS'!AT23</f>
        <v>2153.0330848493304</v>
      </c>
      <c r="AT20" s="3">
        <f>'Beer COGS'!AU23</f>
        <v>2289.0445834890061</v>
      </c>
      <c r="AU20" s="3">
        <f>'Beer COGS'!AV23</f>
        <v>3229.5496272739956</v>
      </c>
      <c r="AV20" s="3">
        <f>'Beer COGS'!AW23</f>
        <v>3819.8974086036505</v>
      </c>
      <c r="AW20" s="3">
        <f>'Beer COGS'!AX23</f>
        <v>4306.0661696986608</v>
      </c>
      <c r="AX20" s="3">
        <f>'Beer COGS'!AY23</f>
        <v>4340.7925097768739</v>
      </c>
      <c r="AY20" s="3">
        <f>'Beer COGS'!AZ23</f>
        <v>4485.4855934361049</v>
      </c>
      <c r="AZ20" s="3">
        <f>'Beer COGS'!BA23</f>
        <v>4306.0661696986608</v>
      </c>
      <c r="BA20" s="3">
        <f>'Beer COGS'!BB23</f>
        <v>3819.8974086036505</v>
      </c>
      <c r="BB20" s="3">
        <f>'Beer COGS'!BC23</f>
        <v>3588.3884747488846</v>
      </c>
      <c r="BC20" s="3">
        <f>'Beer COGS'!BD23</f>
        <v>3125.3706070393509</v>
      </c>
      <c r="BD20" s="3">
        <f>'Beer COGS'!BE23</f>
        <v>2870.7107797991071</v>
      </c>
      <c r="BE20" s="37">
        <f>SUM(AS20:BD20)</f>
        <v>42334.302417017272</v>
      </c>
      <c r="BF20" s="3">
        <f>'Beer COGS'!BG23</f>
        <v>2368.3363933342639</v>
      </c>
      <c r="BG20" s="3">
        <f>'Beer COGS'!BH23</f>
        <v>2517.9490418379064</v>
      </c>
      <c r="BH20" s="3">
        <f>'Beer COGS'!BI23</f>
        <v>3552.5045900013943</v>
      </c>
      <c r="BI20" s="3">
        <f>'Beer COGS'!BJ23</f>
        <v>4201.8871494640161</v>
      </c>
      <c r="BJ20" s="3">
        <f>'Beer COGS'!BK23</f>
        <v>4736.6727866685278</v>
      </c>
      <c r="BK20" s="3">
        <f>'Beer COGS'!BL23</f>
        <v>4774.8717607545623</v>
      </c>
      <c r="BL20" s="3">
        <f>'Beer COGS'!BM23</f>
        <v>4934.0341527797145</v>
      </c>
      <c r="BM20" s="3">
        <f>'Beer COGS'!BN23</f>
        <v>4736.6727866685278</v>
      </c>
      <c r="BN20" s="3">
        <f>'Beer COGS'!BO23</f>
        <v>4201.8871494640161</v>
      </c>
      <c r="BO20" s="3">
        <f>'Beer COGS'!BP23</f>
        <v>3947.2273222237732</v>
      </c>
      <c r="BP20" s="3">
        <f>'Beer COGS'!BQ23</f>
        <v>3437.9076677432868</v>
      </c>
      <c r="BQ20" s="3">
        <f>'Beer COGS'!BR23</f>
        <v>3157.7818577790181</v>
      </c>
      <c r="BR20" s="37">
        <f>SUM(BF20:BQ20)</f>
        <v>46567.732658719011</v>
      </c>
      <c r="BS20" s="37"/>
    </row>
    <row r="21" spans="1:71">
      <c r="A21" s="2"/>
      <c r="B21" s="2"/>
      <c r="C21" s="21" t="s">
        <v>551</v>
      </c>
      <c r="D21" s="2"/>
      <c r="E21" s="2"/>
      <c r="F21" s="3">
        <f>'Beer COGS'!G39</f>
        <v>392.36414285714159</v>
      </c>
      <c r="G21" s="3">
        <f>'Beer COGS'!H39</f>
        <v>417.15058736558996</v>
      </c>
      <c r="H21" s="3">
        <f>'Beer COGS'!I39</f>
        <v>588.54621428571227</v>
      </c>
      <c r="I21" s="3">
        <f>'Beer COGS'!J39</f>
        <v>696.12993087557368</v>
      </c>
      <c r="J21" s="3">
        <f>'Beer COGS'!K39</f>
        <v>784.72828571428317</v>
      </c>
      <c r="K21" s="3">
        <f>'Beer COGS'!L39</f>
        <v>791.05673963133358</v>
      </c>
      <c r="L21" s="3">
        <f>'Beer COGS'!M39</f>
        <v>817.42529761904507</v>
      </c>
      <c r="M21" s="3">
        <f>'Beer COGS'!N39</f>
        <v>784.72828571428317</v>
      </c>
      <c r="N21" s="3">
        <f>'Beer COGS'!O39</f>
        <v>696.12993087557368</v>
      </c>
      <c r="O21" s="3">
        <f>'Beer COGS'!P39</f>
        <v>653.94023809523583</v>
      </c>
      <c r="P21" s="3">
        <f>'Beer COGS'!Q39</f>
        <v>569.56085253456013</v>
      </c>
      <c r="Q21" s="3">
        <f>'Beer COGS'!R39</f>
        <v>523.15219047618859</v>
      </c>
      <c r="R21" s="37">
        <f t="shared" si="65"/>
        <v>7714.912696044521</v>
      </c>
      <c r="S21" s="3">
        <f>'Beer COGS'!T39</f>
        <v>529.69159285714113</v>
      </c>
      <c r="T21" s="3">
        <f>'Beer COGS'!U39</f>
        <v>563.15329294354649</v>
      </c>
      <c r="U21" s="3">
        <f>'Beer COGS'!V39</f>
        <v>794.53738928571158</v>
      </c>
      <c r="V21" s="3">
        <f>'Beer COGS'!W39</f>
        <v>939.77540668202437</v>
      </c>
      <c r="W21" s="3">
        <f>'Beer COGS'!X39</f>
        <v>1059.3831857142823</v>
      </c>
      <c r="X21" s="3">
        <f>'Beer COGS'!Y39</f>
        <v>1067.9265985023003</v>
      </c>
      <c r="Y21" s="3">
        <f>'Beer COGS'!Z39</f>
        <v>1103.5241517857107</v>
      </c>
      <c r="Z21" s="3">
        <f>'Beer COGS'!AA39</f>
        <v>1059.3831857142823</v>
      </c>
      <c r="AA21" s="3">
        <f>'Beer COGS'!AB39</f>
        <v>939.77540668202437</v>
      </c>
      <c r="AB21" s="3">
        <f>'Beer COGS'!AC39</f>
        <v>882.81932142856851</v>
      </c>
      <c r="AC21" s="3">
        <f>'Beer COGS'!AD39</f>
        <v>768.90715092165647</v>
      </c>
      <c r="AD21" s="3">
        <f>'Beer COGS'!AE39</f>
        <v>706.25545714285477</v>
      </c>
      <c r="AE21" s="37">
        <f>SUM(S21:AD21)</f>
        <v>10415.132139660105</v>
      </c>
      <c r="AF21" s="3">
        <f>'Beer COGS'!AG39</f>
        <v>597.86486267856935</v>
      </c>
      <c r="AG21" s="3">
        <f>'Beer COGS'!AH39</f>
        <v>635.63320749831769</v>
      </c>
      <c r="AH21" s="3">
        <f>'Beer COGS'!AI39</f>
        <v>896.79729401785403</v>
      </c>
      <c r="AI21" s="3">
        <f>'Beer COGS'!AJ39</f>
        <v>1060.7279821716552</v>
      </c>
      <c r="AJ21" s="3">
        <f>'Beer COGS'!AK39</f>
        <v>1195.7297253571387</v>
      </c>
      <c r="AK21" s="3">
        <f>'Beer COGS'!AL39</f>
        <v>1205.3727070132445</v>
      </c>
      <c r="AL21" s="3">
        <f>'Beer COGS'!AM39</f>
        <v>1245.5517972470197</v>
      </c>
      <c r="AM21" s="3">
        <f>'Beer COGS'!AN39</f>
        <v>1195.7297253571387</v>
      </c>
      <c r="AN21" s="3">
        <f>'Beer COGS'!AO39</f>
        <v>1060.7279821716552</v>
      </c>
      <c r="AO21" s="3">
        <f>'Beer COGS'!AP39</f>
        <v>996.44143779761555</v>
      </c>
      <c r="AP21" s="3">
        <f>'Beer COGS'!AQ39</f>
        <v>867.86834904953616</v>
      </c>
      <c r="AQ21" s="3">
        <f>'Beer COGS'!AR39</f>
        <v>797.15315023809251</v>
      </c>
      <c r="AR21" s="37">
        <f>SUM(AF21:AQ21)</f>
        <v>11755.598220597838</v>
      </c>
      <c r="AS21" s="3">
        <f>'Beer COGS'!AT39</f>
        <v>645.24283292856933</v>
      </c>
      <c r="AT21" s="3">
        <f>'Beer COGS'!AU39</f>
        <v>686.00414092271274</v>
      </c>
      <c r="AU21" s="3">
        <f>'Beer COGS'!AV39</f>
        <v>967.86424939285371</v>
      </c>
      <c r="AV21" s="3">
        <f>'Beer COGS'!AW39</f>
        <v>1144.7856713248809</v>
      </c>
      <c r="AW21" s="3">
        <f>'Beer COGS'!AX39</f>
        <v>1290.4856658571387</v>
      </c>
      <c r="AX21" s="3">
        <f>'Beer COGS'!AY39</f>
        <v>1300.8928083237281</v>
      </c>
      <c r="AY21" s="3">
        <f>'Beer COGS'!AZ39</f>
        <v>1344.2559019345194</v>
      </c>
      <c r="AZ21" s="3">
        <f>'Beer COGS'!BA39</f>
        <v>1290.4856658571387</v>
      </c>
      <c r="BA21" s="3">
        <f>'Beer COGS'!BB39</f>
        <v>1144.7856713248809</v>
      </c>
      <c r="BB21" s="3">
        <f>'Beer COGS'!BC39</f>
        <v>1075.4047215476155</v>
      </c>
      <c r="BC21" s="3">
        <f>'Beer COGS'!BD39</f>
        <v>936.64282199308445</v>
      </c>
      <c r="BD21" s="3">
        <f>'Beer COGS'!BE39</f>
        <v>860.32377723809225</v>
      </c>
      <c r="BE21" s="37">
        <f>SUM(AS21:BD21)</f>
        <v>12687.173928645214</v>
      </c>
      <c r="BF21" s="3">
        <f>'Beer COGS'!BG39</f>
        <v>709.76711622142636</v>
      </c>
      <c r="BG21" s="3">
        <f>'Beer COGS'!BH39</f>
        <v>754.60455501498404</v>
      </c>
      <c r="BH21" s="3">
        <f>'Beer COGS'!BI39</f>
        <v>1064.6506743321393</v>
      </c>
      <c r="BI21" s="3">
        <f>'Beer COGS'!BJ39</f>
        <v>1259.2642384573692</v>
      </c>
      <c r="BJ21" s="3">
        <f>'Beer COGS'!BK39</f>
        <v>1419.5342324428527</v>
      </c>
      <c r="BK21" s="3">
        <f>'Beer COGS'!BL39</f>
        <v>1430.982089156101</v>
      </c>
      <c r="BL21" s="3">
        <f>'Beer COGS'!BM39</f>
        <v>1478.6814921279718</v>
      </c>
      <c r="BM21" s="3">
        <f>'Beer COGS'!BN39</f>
        <v>1419.5342324428527</v>
      </c>
      <c r="BN21" s="3">
        <f>'Beer COGS'!BO39</f>
        <v>1259.2642384573692</v>
      </c>
      <c r="BO21" s="3">
        <f>'Beer COGS'!BP39</f>
        <v>1182.9451937023771</v>
      </c>
      <c r="BP21" s="3">
        <f>'Beer COGS'!BQ39</f>
        <v>1030.3071041923927</v>
      </c>
      <c r="BQ21" s="3">
        <f>'Beer COGS'!BR39</f>
        <v>946.35615496190167</v>
      </c>
      <c r="BR21" s="37">
        <f>SUM(BF21:BQ21)</f>
        <v>13955.891321509738</v>
      </c>
      <c r="BS21" s="37"/>
    </row>
    <row r="22" spans="1:71">
      <c r="A22" s="2"/>
      <c r="B22" s="335">
        <v>0.55000000000000004</v>
      </c>
      <c r="C22" s="21" t="s">
        <v>552</v>
      </c>
      <c r="D22" s="2"/>
      <c r="E22" s="2"/>
      <c r="F22" s="3">
        <f>F11*$B$22</f>
        <v>7774.8</v>
      </c>
      <c r="G22" s="3">
        <f t="shared" ref="G22:Q22" si="66">G11*$B$22</f>
        <v>8265.9499999999989</v>
      </c>
      <c r="H22" s="3">
        <f t="shared" si="66"/>
        <v>11662.2</v>
      </c>
      <c r="I22" s="3">
        <f t="shared" si="66"/>
        <v>13794.000000000004</v>
      </c>
      <c r="J22" s="3">
        <f t="shared" si="66"/>
        <v>15549.6</v>
      </c>
      <c r="K22" s="3">
        <f t="shared" si="66"/>
        <v>15675.000000000002</v>
      </c>
      <c r="L22" s="3">
        <f t="shared" si="66"/>
        <v>16197.500000000002</v>
      </c>
      <c r="M22" s="3">
        <f t="shared" si="66"/>
        <v>15549.6</v>
      </c>
      <c r="N22" s="3">
        <f t="shared" si="66"/>
        <v>13794.000000000004</v>
      </c>
      <c r="O22" s="3">
        <f t="shared" si="66"/>
        <v>12958.000000000002</v>
      </c>
      <c r="P22" s="3">
        <f t="shared" si="66"/>
        <v>11286.000000000002</v>
      </c>
      <c r="Q22" s="3">
        <f t="shared" si="66"/>
        <v>10366.400000000001</v>
      </c>
      <c r="R22" s="37">
        <f t="shared" si="65"/>
        <v>152873.05000000002</v>
      </c>
      <c r="S22" s="3">
        <f>S11*$B$22</f>
        <v>10107.24</v>
      </c>
      <c r="T22" s="3">
        <f t="shared" ref="T22:AD22" si="67">T11*$B$22</f>
        <v>10745.734999999999</v>
      </c>
      <c r="U22" s="3">
        <f t="shared" si="67"/>
        <v>15160.860000000002</v>
      </c>
      <c r="V22" s="3">
        <f t="shared" si="67"/>
        <v>17932.200000000004</v>
      </c>
      <c r="W22" s="3">
        <f t="shared" si="67"/>
        <v>20214.48</v>
      </c>
      <c r="X22" s="3">
        <f t="shared" si="67"/>
        <v>20377.5</v>
      </c>
      <c r="Y22" s="3">
        <f t="shared" si="67"/>
        <v>21056.75</v>
      </c>
      <c r="Z22" s="3">
        <f t="shared" si="67"/>
        <v>20214.48</v>
      </c>
      <c r="AA22" s="3">
        <f t="shared" si="67"/>
        <v>17932.200000000004</v>
      </c>
      <c r="AB22" s="3">
        <f t="shared" si="67"/>
        <v>16845.400000000001</v>
      </c>
      <c r="AC22" s="3">
        <f t="shared" si="67"/>
        <v>14671.800000000001</v>
      </c>
      <c r="AD22" s="3">
        <f t="shared" si="67"/>
        <v>13476.320000000002</v>
      </c>
      <c r="AE22" s="37">
        <f>SUM(S22:AD22)</f>
        <v>198734.965</v>
      </c>
      <c r="AF22" s="3">
        <f>AF11*$B$22</f>
        <v>11972.025779999998</v>
      </c>
      <c r="AG22" s="3">
        <f t="shared" ref="AG22:AQ22" si="68">AG11*$B$22</f>
        <v>12728.323107499999</v>
      </c>
      <c r="AH22" s="3">
        <f t="shared" si="68"/>
        <v>17958.038670000002</v>
      </c>
      <c r="AI22" s="3">
        <f t="shared" si="68"/>
        <v>21240.690900000001</v>
      </c>
      <c r="AJ22" s="3">
        <f t="shared" si="68"/>
        <v>23944.051559999996</v>
      </c>
      <c r="AK22" s="3">
        <f t="shared" si="68"/>
        <v>24137.14875</v>
      </c>
      <c r="AL22" s="3">
        <f t="shared" si="68"/>
        <v>24941.720375000004</v>
      </c>
      <c r="AM22" s="3">
        <f t="shared" si="68"/>
        <v>23944.051559999996</v>
      </c>
      <c r="AN22" s="3">
        <f t="shared" si="68"/>
        <v>21240.690900000001</v>
      </c>
      <c r="AO22" s="3">
        <f t="shared" si="68"/>
        <v>19953.3763</v>
      </c>
      <c r="AP22" s="3">
        <f t="shared" si="68"/>
        <v>17378.747100000001</v>
      </c>
      <c r="AQ22" s="3">
        <f t="shared" si="68"/>
        <v>15962.70104</v>
      </c>
      <c r="AR22" s="37">
        <f>SUM(AF22:AQ22)</f>
        <v>235401.56604249997</v>
      </c>
      <c r="AS22" s="3">
        <f>AS11*$B$22</f>
        <v>13564.305208739999</v>
      </c>
      <c r="AT22" s="3">
        <f t="shared" ref="AT22:BD22" si="69">AT11*$B$22</f>
        <v>14421.1900807975</v>
      </c>
      <c r="AU22" s="3">
        <f t="shared" si="69"/>
        <v>20346.457813110006</v>
      </c>
      <c r="AV22" s="3">
        <f t="shared" si="69"/>
        <v>24065.702789700004</v>
      </c>
      <c r="AW22" s="3">
        <f t="shared" si="69"/>
        <v>27128.610417479998</v>
      </c>
      <c r="AX22" s="3">
        <f t="shared" si="69"/>
        <v>27347.389533750003</v>
      </c>
      <c r="AY22" s="3">
        <f t="shared" si="69"/>
        <v>28258.969184875008</v>
      </c>
      <c r="AZ22" s="3">
        <f t="shared" si="69"/>
        <v>27128.610417479998</v>
      </c>
      <c r="BA22" s="3">
        <f t="shared" si="69"/>
        <v>24065.702789700004</v>
      </c>
      <c r="BB22" s="3">
        <f t="shared" si="69"/>
        <v>22607.175347900004</v>
      </c>
      <c r="BC22" s="3">
        <f t="shared" si="69"/>
        <v>19690.120464300002</v>
      </c>
      <c r="BD22" s="3">
        <f t="shared" si="69"/>
        <v>18085.740278320001</v>
      </c>
      <c r="BE22" s="37">
        <f>SUM(AS22:BD22)</f>
        <v>266709.97432615253</v>
      </c>
      <c r="BF22" s="3">
        <f>BF11*$B$22</f>
        <v>15368.357801502421</v>
      </c>
      <c r="BG22" s="3">
        <f t="shared" ref="BG22:BQ22" si="70">BG11*$B$22</f>
        <v>16339.208361543569</v>
      </c>
      <c r="BH22" s="3">
        <f t="shared" si="70"/>
        <v>23052.536702253637</v>
      </c>
      <c r="BI22" s="3">
        <f t="shared" si="70"/>
        <v>27266.441260730109</v>
      </c>
      <c r="BJ22" s="3">
        <f t="shared" si="70"/>
        <v>30736.715603004843</v>
      </c>
      <c r="BK22" s="3">
        <f t="shared" si="70"/>
        <v>30984.592341738757</v>
      </c>
      <c r="BL22" s="3">
        <f t="shared" si="70"/>
        <v>32017.412086463388</v>
      </c>
      <c r="BM22" s="3">
        <f t="shared" si="70"/>
        <v>30736.715603004843</v>
      </c>
      <c r="BN22" s="3">
        <f t="shared" si="70"/>
        <v>27266.441260730109</v>
      </c>
      <c r="BO22" s="3">
        <f t="shared" si="70"/>
        <v>25613.92966917071</v>
      </c>
      <c r="BP22" s="3">
        <f t="shared" si="70"/>
        <v>22308.906486051903</v>
      </c>
      <c r="BQ22" s="3">
        <f t="shared" si="70"/>
        <v>20491.143735336562</v>
      </c>
      <c r="BR22" s="37">
        <f>SUM(BF22:BQ22)</f>
        <v>302182.40091153083</v>
      </c>
      <c r="BS22" s="37"/>
    </row>
    <row r="23" spans="1:71">
      <c r="A23" s="2"/>
      <c r="B23" s="335">
        <v>0.3</v>
      </c>
      <c r="C23" s="21" t="s">
        <v>554</v>
      </c>
      <c r="D23" s="2"/>
      <c r="E23" s="2"/>
      <c r="F23" s="3">
        <f>F12*$B$23</f>
        <v>1430.9112857142857</v>
      </c>
      <c r="G23" s="3">
        <f t="shared" ref="G23:Q23" si="71">G12*$B$23</f>
        <v>1521.3048749999998</v>
      </c>
      <c r="H23" s="3">
        <f t="shared" si="71"/>
        <v>2146.3669285714286</v>
      </c>
      <c r="I23" s="3">
        <f t="shared" si="71"/>
        <v>2538.7135714285714</v>
      </c>
      <c r="J23" s="3">
        <f t="shared" si="71"/>
        <v>2861.8225714285713</v>
      </c>
      <c r="K23" s="3">
        <f t="shared" si="71"/>
        <v>2884.9017857142853</v>
      </c>
      <c r="L23" s="3">
        <f t="shared" si="71"/>
        <v>2981.0651785714281</v>
      </c>
      <c r="M23" s="3">
        <f t="shared" si="71"/>
        <v>2861.8225714285713</v>
      </c>
      <c r="N23" s="3">
        <f t="shared" si="71"/>
        <v>2538.7135714285714</v>
      </c>
      <c r="O23" s="3">
        <f t="shared" si="71"/>
        <v>2384.8521428571426</v>
      </c>
      <c r="P23" s="3">
        <f t="shared" si="71"/>
        <v>2077.1292857142857</v>
      </c>
      <c r="Q23" s="3">
        <f t="shared" si="71"/>
        <v>1907.8817142857145</v>
      </c>
      <c r="R23" s="37">
        <f t="shared" si="65"/>
        <v>28135.485482142863</v>
      </c>
      <c r="S23" s="3">
        <f>S12*$B$23</f>
        <v>1860.1846714285716</v>
      </c>
      <c r="T23" s="3">
        <f t="shared" ref="T23:AD23" si="72">T12*$B$23</f>
        <v>1977.6963375</v>
      </c>
      <c r="U23" s="3">
        <f t="shared" si="72"/>
        <v>2790.2770071428577</v>
      </c>
      <c r="V23" s="3">
        <f t="shared" si="72"/>
        <v>3300.3276428571426</v>
      </c>
      <c r="W23" s="3">
        <f t="shared" si="72"/>
        <v>3720.3693428571432</v>
      </c>
      <c r="X23" s="3">
        <f t="shared" si="72"/>
        <v>3750.3723214285706</v>
      </c>
      <c r="Y23" s="3">
        <f t="shared" si="72"/>
        <v>3875.3847321428566</v>
      </c>
      <c r="Z23" s="3">
        <f t="shared" si="72"/>
        <v>3720.3693428571432</v>
      </c>
      <c r="AA23" s="3">
        <f t="shared" si="72"/>
        <v>3300.3276428571426</v>
      </c>
      <c r="AB23" s="3">
        <f t="shared" si="72"/>
        <v>3100.3077857142853</v>
      </c>
      <c r="AC23" s="3">
        <f t="shared" si="72"/>
        <v>2700.2680714285711</v>
      </c>
      <c r="AD23" s="3">
        <f t="shared" si="72"/>
        <v>2480.2462285714291</v>
      </c>
      <c r="AE23" s="37">
        <f>SUM(S23:AD23)</f>
        <v>36576.131126785716</v>
      </c>
      <c r="AF23" s="3">
        <f>AF12*$B$23</f>
        <v>2203.3887433071432</v>
      </c>
      <c r="AG23" s="3">
        <f t="shared" ref="AG23:AQ23" si="73">AG12*$B$23</f>
        <v>2342.5813117687499</v>
      </c>
      <c r="AH23" s="3">
        <f t="shared" si="73"/>
        <v>3305.0831149607152</v>
      </c>
      <c r="AI23" s="3">
        <f t="shared" si="73"/>
        <v>3909.238092964285</v>
      </c>
      <c r="AJ23" s="3">
        <f t="shared" si="73"/>
        <v>4406.7774866142863</v>
      </c>
      <c r="AK23" s="3">
        <f t="shared" si="73"/>
        <v>4442.3160147321414</v>
      </c>
      <c r="AL23" s="3">
        <f t="shared" si="73"/>
        <v>4590.3932152232137</v>
      </c>
      <c r="AM23" s="3">
        <f t="shared" si="73"/>
        <v>4406.7774866142863</v>
      </c>
      <c r="AN23" s="3">
        <f t="shared" si="73"/>
        <v>3909.238092964285</v>
      </c>
      <c r="AO23" s="3">
        <f t="shared" si="73"/>
        <v>3672.3145721785709</v>
      </c>
      <c r="AP23" s="3">
        <f t="shared" si="73"/>
        <v>3198.4675306071422</v>
      </c>
      <c r="AQ23" s="3">
        <f t="shared" si="73"/>
        <v>2937.8516577428577</v>
      </c>
      <c r="AR23" s="37">
        <f>SUM(AF23:AQ23)</f>
        <v>43324.427319677678</v>
      </c>
      <c r="AS23" s="3">
        <f>AS12*$B$23</f>
        <v>2496.4394461669931</v>
      </c>
      <c r="AT23" s="3">
        <f t="shared" ref="AT23:BD23" si="74">AT12*$B$23</f>
        <v>2654.1446262339941</v>
      </c>
      <c r="AU23" s="3">
        <f t="shared" si="74"/>
        <v>3744.6591692504908</v>
      </c>
      <c r="AV23" s="3">
        <f t="shared" si="74"/>
        <v>4429.1667593285347</v>
      </c>
      <c r="AW23" s="3">
        <f t="shared" si="74"/>
        <v>4992.8788923339862</v>
      </c>
      <c r="AX23" s="3">
        <f t="shared" si="74"/>
        <v>5033.1440446915167</v>
      </c>
      <c r="AY23" s="3">
        <f t="shared" si="74"/>
        <v>5200.9155128479024</v>
      </c>
      <c r="AZ23" s="3">
        <f t="shared" si="74"/>
        <v>4992.8788923339862</v>
      </c>
      <c r="BA23" s="3">
        <f t="shared" si="74"/>
        <v>4429.1667593285347</v>
      </c>
      <c r="BB23" s="3">
        <f t="shared" si="74"/>
        <v>4160.7324102783214</v>
      </c>
      <c r="BC23" s="3">
        <f t="shared" si="74"/>
        <v>3623.8637121778925</v>
      </c>
      <c r="BD23" s="3">
        <f t="shared" si="74"/>
        <v>3328.5859282226579</v>
      </c>
      <c r="BE23" s="37">
        <f>SUM(AS23:BD23)</f>
        <v>49086.576153194823</v>
      </c>
      <c r="BF23" s="3">
        <f>BF12*$B$23</f>
        <v>2828.4658925072035</v>
      </c>
      <c r="BG23" s="3">
        <f t="shared" ref="BG23:BQ23" si="75">BG12*$B$23</f>
        <v>3007.1458615231154</v>
      </c>
      <c r="BH23" s="3">
        <f t="shared" si="75"/>
        <v>4242.6988387608071</v>
      </c>
      <c r="BI23" s="3">
        <f t="shared" si="75"/>
        <v>5018.2459383192318</v>
      </c>
      <c r="BJ23" s="3">
        <f t="shared" si="75"/>
        <v>5656.9317850144071</v>
      </c>
      <c r="BK23" s="3">
        <f t="shared" si="75"/>
        <v>5702.5522026354893</v>
      </c>
      <c r="BL23" s="3">
        <f t="shared" si="75"/>
        <v>5892.6372760566746</v>
      </c>
      <c r="BM23" s="3">
        <f t="shared" si="75"/>
        <v>5656.9317850144071</v>
      </c>
      <c r="BN23" s="3">
        <f t="shared" si="75"/>
        <v>5018.2459383192318</v>
      </c>
      <c r="BO23" s="3">
        <f t="shared" si="75"/>
        <v>4714.1098208453377</v>
      </c>
      <c r="BP23" s="3">
        <f t="shared" si="75"/>
        <v>4105.8375858975523</v>
      </c>
      <c r="BQ23" s="3">
        <f t="shared" si="75"/>
        <v>3771.2878566762715</v>
      </c>
      <c r="BR23" s="37">
        <f>SUM(BF23:BQ23)</f>
        <v>55615.090781569736</v>
      </c>
      <c r="BS23" s="37"/>
    </row>
    <row r="24" spans="1:71">
      <c r="A24" s="2"/>
      <c r="B24" s="335">
        <v>0.75</v>
      </c>
      <c r="C24" s="2" t="s">
        <v>37</v>
      </c>
      <c r="D24" s="2"/>
      <c r="E24" s="2"/>
      <c r="F24" s="3">
        <f>F13*$B$24</f>
        <v>347.95335535714287</v>
      </c>
      <c r="G24" s="3">
        <f t="shared" ref="G24:Q24" si="76">G13*$B$24</f>
        <v>369.93427968749995</v>
      </c>
      <c r="H24" s="3">
        <f t="shared" si="76"/>
        <v>521.93003303571436</v>
      </c>
      <c r="I24" s="3">
        <f t="shared" si="76"/>
        <v>617.3365982142858</v>
      </c>
      <c r="J24" s="3">
        <f t="shared" si="76"/>
        <v>695.90671071428574</v>
      </c>
      <c r="K24" s="3">
        <f t="shared" si="76"/>
        <v>701.51886160714287</v>
      </c>
      <c r="L24" s="3">
        <f t="shared" si="76"/>
        <v>724.90282366071415</v>
      </c>
      <c r="M24" s="3">
        <f t="shared" si="76"/>
        <v>695.90671071428574</v>
      </c>
      <c r="N24" s="3">
        <f t="shared" si="76"/>
        <v>617.3365982142858</v>
      </c>
      <c r="O24" s="3">
        <f t="shared" si="76"/>
        <v>579.92225892857141</v>
      </c>
      <c r="P24" s="3">
        <f t="shared" si="76"/>
        <v>505.09358035714286</v>
      </c>
      <c r="Q24" s="3">
        <f t="shared" si="76"/>
        <v>463.9378071428572</v>
      </c>
      <c r="R24" s="37">
        <f t="shared" si="65"/>
        <v>6841.6796176339294</v>
      </c>
      <c r="S24" s="3">
        <f>S13*$B$24</f>
        <v>452.33936196428567</v>
      </c>
      <c r="T24" s="3">
        <f t="shared" ref="T24:AD24" si="77">T13*$B$24</f>
        <v>480.91456359374996</v>
      </c>
      <c r="U24" s="3">
        <f t="shared" si="77"/>
        <v>678.50904294642874</v>
      </c>
      <c r="V24" s="3">
        <f t="shared" si="77"/>
        <v>802.53757767857132</v>
      </c>
      <c r="W24" s="3">
        <f t="shared" si="77"/>
        <v>904.67872392857134</v>
      </c>
      <c r="X24" s="3">
        <f t="shared" si="77"/>
        <v>911.97452008928553</v>
      </c>
      <c r="Y24" s="3">
        <f t="shared" si="77"/>
        <v>942.37367075892871</v>
      </c>
      <c r="Z24" s="3">
        <f t="shared" si="77"/>
        <v>904.67872392857134</v>
      </c>
      <c r="AA24" s="3">
        <f t="shared" si="77"/>
        <v>802.53757767857132</v>
      </c>
      <c r="AB24" s="3">
        <f t="shared" si="77"/>
        <v>753.8989366071429</v>
      </c>
      <c r="AC24" s="3">
        <f t="shared" si="77"/>
        <v>656.62165446428571</v>
      </c>
      <c r="AD24" s="3">
        <f t="shared" si="77"/>
        <v>603.11914928571434</v>
      </c>
      <c r="AE24" s="37">
        <f t="shared" ref="AE24" si="78">SUM(S24:AD24)</f>
        <v>8894.1835029241065</v>
      </c>
      <c r="AF24" s="3">
        <f>AF13*$B$24</f>
        <v>523.58611429808036</v>
      </c>
      <c r="AG24" s="3">
        <f t="shared" ref="AG24:AQ24" si="79">AG13*$B$24</f>
        <v>556.66211883035157</v>
      </c>
      <c r="AH24" s="3">
        <f t="shared" si="79"/>
        <v>785.3791714471206</v>
      </c>
      <c r="AI24" s="3">
        <f t="shared" si="79"/>
        <v>928.94310601272321</v>
      </c>
      <c r="AJ24" s="3">
        <f t="shared" si="79"/>
        <v>1047.1722285961607</v>
      </c>
      <c r="AK24" s="3">
        <f t="shared" si="79"/>
        <v>1055.6171659235488</v>
      </c>
      <c r="AL24" s="3">
        <f t="shared" si="79"/>
        <v>1090.8044047876672</v>
      </c>
      <c r="AM24" s="3">
        <f t="shared" si="79"/>
        <v>1047.1722285961607</v>
      </c>
      <c r="AN24" s="3">
        <f t="shared" si="79"/>
        <v>928.94310601272321</v>
      </c>
      <c r="AO24" s="3">
        <f t="shared" si="79"/>
        <v>872.64352383013397</v>
      </c>
      <c r="AP24" s="3">
        <f t="shared" si="79"/>
        <v>760.04435946495551</v>
      </c>
      <c r="AQ24" s="3">
        <f t="shared" si="79"/>
        <v>698.114819064107</v>
      </c>
      <c r="AR24" s="37">
        <f t="shared" ref="AR24" si="80">SUM(AF24:AQ24)</f>
        <v>10295.082346863734</v>
      </c>
      <c r="AS24" s="3">
        <f>AS13*$B$24</f>
        <v>583.1499330421168</v>
      </c>
      <c r="AT24" s="3">
        <f t="shared" ref="AT24:BD24" si="81">AT13*$B$24</f>
        <v>619.98870569397081</v>
      </c>
      <c r="AU24" s="3">
        <f t="shared" si="81"/>
        <v>874.7248995631752</v>
      </c>
      <c r="AV24" s="3">
        <f t="shared" si="81"/>
        <v>1034.6208489456913</v>
      </c>
      <c r="AW24" s="3">
        <f t="shared" si="81"/>
        <v>1166.2998660842336</v>
      </c>
      <c r="AX24" s="3">
        <f t="shared" si="81"/>
        <v>1175.7055101655578</v>
      </c>
      <c r="AY24" s="3">
        <f t="shared" si="81"/>
        <v>1214.8956938377435</v>
      </c>
      <c r="AZ24" s="3">
        <f t="shared" si="81"/>
        <v>1166.2998660842336</v>
      </c>
      <c r="BA24" s="3">
        <f t="shared" si="81"/>
        <v>1034.6208489456913</v>
      </c>
      <c r="BB24" s="3">
        <f t="shared" si="81"/>
        <v>971.91655507019482</v>
      </c>
      <c r="BC24" s="3">
        <f t="shared" si="81"/>
        <v>846.50796731920184</v>
      </c>
      <c r="BD24" s="3">
        <f t="shared" si="81"/>
        <v>777.53324405615558</v>
      </c>
      <c r="BE24" s="37">
        <f t="shared" ref="BE24" si="82">SUM(AS24:BD24)</f>
        <v>11466.263938807966</v>
      </c>
      <c r="BF24" s="3">
        <f>BF13*$B$24</f>
        <v>649.62842623334916</v>
      </c>
      <c r="BG24" s="3">
        <f t="shared" ref="BG24:BQ24" si="83">BG13*$B$24</f>
        <v>690.66678111636998</v>
      </c>
      <c r="BH24" s="3">
        <f t="shared" si="83"/>
        <v>974.44263935002414</v>
      </c>
      <c r="BI24" s="3">
        <f t="shared" si="83"/>
        <v>1152.5665626720713</v>
      </c>
      <c r="BJ24" s="3">
        <f t="shared" si="83"/>
        <v>1299.2568524666983</v>
      </c>
      <c r="BK24" s="3">
        <f t="shared" si="83"/>
        <v>1309.7347303091719</v>
      </c>
      <c r="BL24" s="3">
        <f t="shared" si="83"/>
        <v>1353.3925546528112</v>
      </c>
      <c r="BM24" s="3">
        <f t="shared" si="83"/>
        <v>1299.2568524666983</v>
      </c>
      <c r="BN24" s="3">
        <f t="shared" si="83"/>
        <v>1152.5665626720713</v>
      </c>
      <c r="BO24" s="3">
        <f t="shared" si="83"/>
        <v>1082.7140437222486</v>
      </c>
      <c r="BP24" s="3">
        <f t="shared" si="83"/>
        <v>943.00900582260374</v>
      </c>
      <c r="BQ24" s="3">
        <f t="shared" si="83"/>
        <v>866.17123497779903</v>
      </c>
      <c r="BR24" s="37">
        <f t="shared" ref="BR24" si="84">SUM(BF24:BQ24)</f>
        <v>12773.406246461916</v>
      </c>
      <c r="BS24" s="37">
        <f>R24+AE24+AR24+BE24+BR24</f>
        <v>50270.61565269166</v>
      </c>
    </row>
    <row r="25" spans="1:71">
      <c r="A25" s="2"/>
      <c r="B25" s="2"/>
      <c r="C25" s="21" t="s">
        <v>555</v>
      </c>
      <c r="D25" s="2"/>
      <c r="E25" s="2"/>
      <c r="F25" s="3">
        <f>Labor!H29</f>
        <v>6250</v>
      </c>
      <c r="G25" s="3">
        <f>Labor!I29</f>
        <v>6250</v>
      </c>
      <c r="H25" s="3">
        <f>Labor!J29</f>
        <v>6250</v>
      </c>
      <c r="I25" s="3">
        <f>Labor!K29</f>
        <v>6250</v>
      </c>
      <c r="J25" s="3">
        <f>Labor!L29</f>
        <v>6250</v>
      </c>
      <c r="K25" s="3">
        <f>Labor!M29</f>
        <v>6250</v>
      </c>
      <c r="L25" s="3">
        <f>Labor!N29</f>
        <v>6250</v>
      </c>
      <c r="M25" s="3">
        <f>Labor!O29</f>
        <v>6250</v>
      </c>
      <c r="N25" s="3">
        <f>Labor!P29</f>
        <v>6250</v>
      </c>
      <c r="O25" s="3">
        <f>Labor!Q29</f>
        <v>6250</v>
      </c>
      <c r="P25" s="3">
        <f>Labor!R29</f>
        <v>6250</v>
      </c>
      <c r="Q25" s="3">
        <f>Labor!S29</f>
        <v>6250</v>
      </c>
      <c r="R25" s="37">
        <f t="shared" si="65"/>
        <v>75000</v>
      </c>
      <c r="S25" s="3">
        <f>Labor!U29</f>
        <v>6250</v>
      </c>
      <c r="T25" s="3">
        <f>Labor!V29</f>
        <v>6250</v>
      </c>
      <c r="U25" s="3">
        <f>Labor!W29</f>
        <v>6250</v>
      </c>
      <c r="V25" s="3">
        <f>Labor!X29</f>
        <v>6250</v>
      </c>
      <c r="W25" s="3">
        <f>Labor!Y29</f>
        <v>6250</v>
      </c>
      <c r="X25" s="3">
        <f>Labor!Z29</f>
        <v>6250</v>
      </c>
      <c r="Y25" s="3">
        <f>Labor!AA29</f>
        <v>6250</v>
      </c>
      <c r="Z25" s="3">
        <f>Labor!AB29</f>
        <v>6250</v>
      </c>
      <c r="AA25" s="3">
        <f>Labor!AC29</f>
        <v>6250</v>
      </c>
      <c r="AB25" s="3">
        <f>Labor!AD29</f>
        <v>6250</v>
      </c>
      <c r="AC25" s="3">
        <f>Labor!AE29</f>
        <v>6250</v>
      </c>
      <c r="AD25" s="3">
        <f>Labor!AF29</f>
        <v>6250</v>
      </c>
      <c r="AE25" s="37">
        <f>SUM(S25:AD25)</f>
        <v>75000</v>
      </c>
      <c r="AF25" s="3">
        <f>Labor!AH29</f>
        <v>10938</v>
      </c>
      <c r="AG25" s="3">
        <f>Labor!AI29</f>
        <v>10938</v>
      </c>
      <c r="AH25" s="3">
        <f>Labor!AJ29</f>
        <v>10938</v>
      </c>
      <c r="AI25" s="3">
        <f>Labor!AK29</f>
        <v>10938</v>
      </c>
      <c r="AJ25" s="3">
        <f>Labor!AL29</f>
        <v>10938</v>
      </c>
      <c r="AK25" s="3">
        <f>Labor!AM29</f>
        <v>10938</v>
      </c>
      <c r="AL25" s="3">
        <f>Labor!AN29</f>
        <v>10938</v>
      </c>
      <c r="AM25" s="3">
        <f>Labor!AO29</f>
        <v>10938</v>
      </c>
      <c r="AN25" s="3">
        <f>Labor!AP29</f>
        <v>10938</v>
      </c>
      <c r="AO25" s="3">
        <f>Labor!AQ29</f>
        <v>10938</v>
      </c>
      <c r="AP25" s="3">
        <f>Labor!AR29</f>
        <v>10938</v>
      </c>
      <c r="AQ25" s="3">
        <f>Labor!AS29</f>
        <v>10938</v>
      </c>
      <c r="AR25" s="37">
        <f>SUM(AF25:AQ25)</f>
        <v>131256</v>
      </c>
      <c r="AS25" s="3">
        <f>Labor!AU29</f>
        <v>10938</v>
      </c>
      <c r="AT25" s="3">
        <f>Labor!AV29</f>
        <v>10938</v>
      </c>
      <c r="AU25" s="3">
        <f>Labor!AW29</f>
        <v>10938</v>
      </c>
      <c r="AV25" s="3">
        <f>Labor!AX29</f>
        <v>10938</v>
      </c>
      <c r="AW25" s="3">
        <f>Labor!AY29</f>
        <v>10938</v>
      </c>
      <c r="AX25" s="3">
        <f>Labor!AZ29</f>
        <v>10938</v>
      </c>
      <c r="AY25" s="3">
        <f>Labor!BA29</f>
        <v>10938</v>
      </c>
      <c r="AZ25" s="3">
        <f>Labor!BB29</f>
        <v>10938</v>
      </c>
      <c r="BA25" s="3">
        <f>Labor!BC29</f>
        <v>10938</v>
      </c>
      <c r="BB25" s="3">
        <f>Labor!BD29</f>
        <v>10938</v>
      </c>
      <c r="BC25" s="3">
        <f>Labor!BE29</f>
        <v>10938</v>
      </c>
      <c r="BD25" s="3">
        <f>Labor!BF29</f>
        <v>10938</v>
      </c>
      <c r="BE25" s="37">
        <f>SUM(AS25:BD25)</f>
        <v>131256</v>
      </c>
      <c r="BF25" s="3">
        <f>Labor!BH29</f>
        <v>10938</v>
      </c>
      <c r="BG25" s="3">
        <f>Labor!BI29</f>
        <v>10938</v>
      </c>
      <c r="BH25" s="3">
        <f>Labor!BJ29</f>
        <v>10938</v>
      </c>
      <c r="BI25" s="3">
        <f>Labor!BK29</f>
        <v>10938</v>
      </c>
      <c r="BJ25" s="3">
        <f>Labor!BL29</f>
        <v>10938</v>
      </c>
      <c r="BK25" s="3">
        <f>Labor!BM29</f>
        <v>10938</v>
      </c>
      <c r="BL25" s="3">
        <f>Labor!BN29</f>
        <v>10938</v>
      </c>
      <c r="BM25" s="3">
        <f>Labor!BO29</f>
        <v>10938</v>
      </c>
      <c r="BN25" s="3">
        <f>Labor!BP29</f>
        <v>10938</v>
      </c>
      <c r="BO25" s="3">
        <f>Labor!BQ29</f>
        <v>10938</v>
      </c>
      <c r="BP25" s="3">
        <f>Labor!BR29</f>
        <v>10938</v>
      </c>
      <c r="BQ25" s="3">
        <f>Labor!BS29</f>
        <v>10938</v>
      </c>
      <c r="BR25" s="37">
        <f>SUM(BF25:BQ25)</f>
        <v>131256</v>
      </c>
      <c r="BS25" s="37"/>
    </row>
    <row r="26" spans="1:71">
      <c r="A26" s="2"/>
      <c r="B26" s="2"/>
      <c r="C26" s="21" t="s">
        <v>557</v>
      </c>
      <c r="D26" s="2"/>
      <c r="E26" s="2"/>
      <c r="F26" s="3">
        <f>Labor!H41+Labor!H53</f>
        <v>10676</v>
      </c>
      <c r="G26" s="3">
        <f>Labor!I41+Labor!I53</f>
        <v>10676</v>
      </c>
      <c r="H26" s="3">
        <f>Labor!J41+Labor!J53</f>
        <v>10676</v>
      </c>
      <c r="I26" s="3">
        <f>Labor!K41+Labor!K53</f>
        <v>10676</v>
      </c>
      <c r="J26" s="3">
        <f>Labor!L41+Labor!L53</f>
        <v>10676</v>
      </c>
      <c r="K26" s="3">
        <f>Labor!M41+Labor!M53</f>
        <v>10676</v>
      </c>
      <c r="L26" s="3">
        <f>Labor!N41+Labor!N53</f>
        <v>10676</v>
      </c>
      <c r="M26" s="3">
        <f>Labor!O41+Labor!O53</f>
        <v>10676</v>
      </c>
      <c r="N26" s="3">
        <f>Labor!P41+Labor!P53</f>
        <v>10676</v>
      </c>
      <c r="O26" s="3">
        <f>Labor!Q41+Labor!Q53</f>
        <v>10676</v>
      </c>
      <c r="P26" s="3">
        <f>Labor!R41+Labor!R53</f>
        <v>10676</v>
      </c>
      <c r="Q26" s="3">
        <f>Labor!S41+Labor!S53</f>
        <v>10676</v>
      </c>
      <c r="R26" s="37">
        <f t="shared" si="65"/>
        <v>128112</v>
      </c>
      <c r="S26" s="3">
        <f>Labor!U41+Labor!U53</f>
        <v>12343</v>
      </c>
      <c r="T26" s="3">
        <f>Labor!V41+Labor!V53</f>
        <v>12343</v>
      </c>
      <c r="U26" s="3">
        <f>Labor!W41+Labor!W53</f>
        <v>12343</v>
      </c>
      <c r="V26" s="3">
        <f>Labor!X41+Labor!X53</f>
        <v>12343</v>
      </c>
      <c r="W26" s="3">
        <f>Labor!Y41+Labor!Y53</f>
        <v>12343</v>
      </c>
      <c r="X26" s="3">
        <f>Labor!Z41+Labor!Z53</f>
        <v>12343</v>
      </c>
      <c r="Y26" s="3">
        <f>Labor!AA41+Labor!AA53</f>
        <v>12343</v>
      </c>
      <c r="Z26" s="3">
        <f>Labor!AB41+Labor!AB53</f>
        <v>12343</v>
      </c>
      <c r="AA26" s="3">
        <f>Labor!AC41+Labor!AC53</f>
        <v>12343</v>
      </c>
      <c r="AB26" s="3">
        <f>Labor!AD41+Labor!AD53</f>
        <v>12343</v>
      </c>
      <c r="AC26" s="3">
        <f>Labor!AE41+Labor!AE53</f>
        <v>12343</v>
      </c>
      <c r="AD26" s="3">
        <f>Labor!AF41+Labor!AF53</f>
        <v>12343</v>
      </c>
      <c r="AE26" s="37">
        <f>SUM(S26:AD26)</f>
        <v>148116</v>
      </c>
      <c r="AF26" s="3">
        <f>Labor!AH41+Labor!AH53</f>
        <v>14010</v>
      </c>
      <c r="AG26" s="3">
        <f>Labor!AI41+Labor!AI53</f>
        <v>14010</v>
      </c>
      <c r="AH26" s="3">
        <f>Labor!AJ41+Labor!AJ53</f>
        <v>14010</v>
      </c>
      <c r="AI26" s="3">
        <f>Labor!AK41+Labor!AK53</f>
        <v>14010</v>
      </c>
      <c r="AJ26" s="3">
        <f>Labor!AL41+Labor!AL53</f>
        <v>14010</v>
      </c>
      <c r="AK26" s="3">
        <f>Labor!AM41+Labor!AM53</f>
        <v>14010</v>
      </c>
      <c r="AL26" s="3">
        <f>Labor!AN41+Labor!AN53</f>
        <v>14010</v>
      </c>
      <c r="AM26" s="3">
        <f>Labor!AO41+Labor!AO53</f>
        <v>14010</v>
      </c>
      <c r="AN26" s="3">
        <f>Labor!AP41+Labor!AP53</f>
        <v>14010</v>
      </c>
      <c r="AO26" s="3">
        <f>Labor!AQ41+Labor!AQ53</f>
        <v>14010</v>
      </c>
      <c r="AP26" s="3">
        <f>Labor!AR41+Labor!AR53</f>
        <v>14010</v>
      </c>
      <c r="AQ26" s="3">
        <f>Labor!AS41+Labor!AS53</f>
        <v>14010</v>
      </c>
      <c r="AR26" s="37">
        <f>SUM(AF26:AQ26)</f>
        <v>168120</v>
      </c>
      <c r="AS26" s="3">
        <f>Labor!AU41+Labor!AU53</f>
        <v>15331</v>
      </c>
      <c r="AT26" s="3">
        <f>Labor!AV41+Labor!AV53</f>
        <v>15331</v>
      </c>
      <c r="AU26" s="3">
        <f>Labor!AW41+Labor!AW53</f>
        <v>15331</v>
      </c>
      <c r="AV26" s="3">
        <f>Labor!AX41+Labor!AX53</f>
        <v>15331</v>
      </c>
      <c r="AW26" s="3">
        <f>Labor!AY41+Labor!AY53</f>
        <v>15331</v>
      </c>
      <c r="AX26" s="3">
        <f>Labor!AZ41+Labor!AZ53</f>
        <v>15331</v>
      </c>
      <c r="AY26" s="3">
        <f>Labor!BA41+Labor!BA53</f>
        <v>15331</v>
      </c>
      <c r="AZ26" s="3">
        <f>Labor!BB41+Labor!BB53</f>
        <v>15331</v>
      </c>
      <c r="BA26" s="3">
        <f>Labor!BC41+Labor!BC53</f>
        <v>15331</v>
      </c>
      <c r="BB26" s="3">
        <f>Labor!BD41+Labor!BD53</f>
        <v>15331</v>
      </c>
      <c r="BC26" s="3">
        <f>Labor!BE41+Labor!BE53</f>
        <v>15331</v>
      </c>
      <c r="BD26" s="3">
        <f>Labor!BF41+Labor!BF53</f>
        <v>15331</v>
      </c>
      <c r="BE26" s="37">
        <f>SUM(AS26:BD26)</f>
        <v>183972</v>
      </c>
      <c r="BF26" s="3">
        <f>Labor!BH41+Labor!BH53</f>
        <v>15677</v>
      </c>
      <c r="BG26" s="3">
        <f>Labor!BI41+Labor!BI53</f>
        <v>15677</v>
      </c>
      <c r="BH26" s="3">
        <f>Labor!BJ41+Labor!BJ53</f>
        <v>15677</v>
      </c>
      <c r="BI26" s="3">
        <f>Labor!BK41+Labor!BK53</f>
        <v>15677</v>
      </c>
      <c r="BJ26" s="3">
        <f>Labor!BL41+Labor!BL53</f>
        <v>15677</v>
      </c>
      <c r="BK26" s="3">
        <f>Labor!BM41+Labor!BM53</f>
        <v>15677</v>
      </c>
      <c r="BL26" s="3">
        <f>Labor!BN41+Labor!BN53</f>
        <v>15677</v>
      </c>
      <c r="BM26" s="3">
        <f>Labor!BO41+Labor!BO53</f>
        <v>15677</v>
      </c>
      <c r="BN26" s="3">
        <f>Labor!BP41+Labor!BP53</f>
        <v>15677</v>
      </c>
      <c r="BO26" s="3">
        <f>Labor!BQ41+Labor!BQ53</f>
        <v>15677</v>
      </c>
      <c r="BP26" s="3">
        <f>Labor!BR41+Labor!BR53</f>
        <v>15677</v>
      </c>
      <c r="BQ26" s="3">
        <f>Labor!BS41+Labor!BS53</f>
        <v>15677</v>
      </c>
      <c r="BR26" s="37">
        <f>SUM(BF26:BQ26)</f>
        <v>188124</v>
      </c>
      <c r="BS26" s="37"/>
    </row>
    <row r="27" spans="1:71">
      <c r="A27" s="2"/>
      <c r="B27" s="2"/>
      <c r="C27" s="2"/>
      <c r="D27" s="2"/>
      <c r="E27" s="1" t="s">
        <v>550</v>
      </c>
      <c r="F27" s="41">
        <f>SUM(F19:F26)</f>
        <v>28181.261429017857</v>
      </c>
      <c r="G27" s="41">
        <f t="shared" ref="G27:Q27" si="85">SUM(G19:G26)</f>
        <v>28892.279288109035</v>
      </c>
      <c r="H27" s="41">
        <f t="shared" si="85"/>
        <v>33808.892143526784</v>
      </c>
      <c r="I27" s="41">
        <f t="shared" si="85"/>
        <v>36895.012212773625</v>
      </c>
      <c r="J27" s="41">
        <f t="shared" si="85"/>
        <v>39436.522858035714</v>
      </c>
      <c r="K27" s="41">
        <f t="shared" si="85"/>
        <v>39618.059332697288</v>
      </c>
      <c r="L27" s="41">
        <f t="shared" si="85"/>
        <v>40374.461310453873</v>
      </c>
      <c r="M27" s="41">
        <f t="shared" si="85"/>
        <v>39436.522858035714</v>
      </c>
      <c r="N27" s="41">
        <f t="shared" si="85"/>
        <v>36895.012212773625</v>
      </c>
      <c r="O27" s="41">
        <f t="shared" si="85"/>
        <v>35684.769048363094</v>
      </c>
      <c r="P27" s="41">
        <f t="shared" si="85"/>
        <v>33264.282719542054</v>
      </c>
      <c r="Q27" s="41">
        <f t="shared" si="85"/>
        <v>31933.015238690474</v>
      </c>
      <c r="R27" s="41">
        <f>SUM(R19:R26)</f>
        <v>424420.09065201913</v>
      </c>
      <c r="S27" s="41">
        <f>SUM(S19:S26)</f>
        <v>33309.919697120538</v>
      </c>
      <c r="T27" s="41">
        <f t="shared" ref="T27:BR27" si="86">SUM(T19:T26)</f>
        <v>34239.61758121282</v>
      </c>
      <c r="U27" s="41">
        <f t="shared" si="86"/>
        <v>40668.3795456808</v>
      </c>
      <c r="V27" s="41">
        <f t="shared" si="86"/>
        <v>44703.663978762241</v>
      </c>
      <c r="W27" s="41">
        <f t="shared" si="86"/>
        <v>48026.839394241069</v>
      </c>
      <c r="X27" s="41">
        <f t="shared" si="86"/>
        <v>48264.209066775271</v>
      </c>
      <c r="Y27" s="41">
        <f t="shared" si="86"/>
        <v>49253.249369001111</v>
      </c>
      <c r="Z27" s="41">
        <f t="shared" si="86"/>
        <v>48026.839394241069</v>
      </c>
      <c r="AA27" s="41">
        <f t="shared" si="86"/>
        <v>44703.663978762241</v>
      </c>
      <c r="AB27" s="41">
        <f t="shared" si="86"/>
        <v>43121.199495200897</v>
      </c>
      <c r="AC27" s="41">
        <f t="shared" si="86"/>
        <v>39956.270528078196</v>
      </c>
      <c r="AD27" s="41">
        <f t="shared" si="86"/>
        <v>38215.559596160718</v>
      </c>
      <c r="AE27" s="41">
        <f t="shared" si="86"/>
        <v>512489.41162523697</v>
      </c>
      <c r="AF27" s="41">
        <f t="shared" si="86"/>
        <v>42239.808743238587</v>
      </c>
      <c r="AG27" s="41">
        <f t="shared" si="86"/>
        <v>43332.167628900163</v>
      </c>
      <c r="AH27" s="41">
        <f t="shared" si="86"/>
        <v>50885.713114857892</v>
      </c>
      <c r="AI27" s="41">
        <f t="shared" si="86"/>
        <v>55627.015512197504</v>
      </c>
      <c r="AJ27" s="41">
        <f t="shared" si="86"/>
        <v>59531.617486477175</v>
      </c>
      <c r="AK27" s="41">
        <f t="shared" si="86"/>
        <v>59810.517627497153</v>
      </c>
      <c r="AL27" s="41">
        <f t="shared" si="86"/>
        <v>60972.601548413739</v>
      </c>
      <c r="AM27" s="41">
        <f t="shared" si="86"/>
        <v>59531.617486477175</v>
      </c>
      <c r="AN27" s="41">
        <f t="shared" si="86"/>
        <v>55627.015512197504</v>
      </c>
      <c r="AO27" s="41">
        <f t="shared" si="86"/>
        <v>53767.681238730984</v>
      </c>
      <c r="AP27" s="41">
        <f t="shared" si="86"/>
        <v>50049.012691797958</v>
      </c>
      <c r="AQ27" s="41">
        <f t="shared" si="86"/>
        <v>48003.744990984786</v>
      </c>
      <c r="AR27" s="41">
        <f t="shared" si="86"/>
        <v>639378.51358177059</v>
      </c>
      <c r="AS27" s="41">
        <f t="shared" si="86"/>
        <v>45711.170505727016</v>
      </c>
      <c r="AT27" s="41">
        <f t="shared" si="86"/>
        <v>46939.372137137179</v>
      </c>
      <c r="AU27" s="41">
        <f t="shared" si="86"/>
        <v>55432.255758590516</v>
      </c>
      <c r="AV27" s="41">
        <f t="shared" si="86"/>
        <v>60763.173477902761</v>
      </c>
      <c r="AW27" s="41">
        <f t="shared" si="86"/>
        <v>65153.341011454024</v>
      </c>
      <c r="AX27" s="41">
        <f t="shared" si="86"/>
        <v>65466.92440670768</v>
      </c>
      <c r="AY27" s="41">
        <f t="shared" si="86"/>
        <v>66773.521886931281</v>
      </c>
      <c r="AZ27" s="41">
        <f t="shared" si="86"/>
        <v>65153.341011454024</v>
      </c>
      <c r="BA27" s="41">
        <f t="shared" si="86"/>
        <v>60763.173477902761</v>
      </c>
      <c r="BB27" s="41">
        <f t="shared" si="86"/>
        <v>58672.617509545016</v>
      </c>
      <c r="BC27" s="41">
        <f t="shared" si="86"/>
        <v>54491.505572829526</v>
      </c>
      <c r="BD27" s="41">
        <f t="shared" si="86"/>
        <v>52191.894007636016</v>
      </c>
      <c r="BE27" s="41">
        <f t="shared" si="86"/>
        <v>697512.29076381773</v>
      </c>
      <c r="BF27" s="41">
        <f t="shared" si="86"/>
        <v>48539.555629798662</v>
      </c>
      <c r="BG27" s="41">
        <f t="shared" si="86"/>
        <v>49924.574601035943</v>
      </c>
      <c r="BH27" s="41">
        <f t="shared" si="86"/>
        <v>59501.833444698001</v>
      </c>
      <c r="BI27" s="41">
        <f t="shared" si="86"/>
        <v>65513.4051496428</v>
      </c>
      <c r="BJ27" s="41">
        <f t="shared" si="86"/>
        <v>70464.111259597325</v>
      </c>
      <c r="BK27" s="41">
        <f t="shared" si="86"/>
        <v>70817.733124594088</v>
      </c>
      <c r="BL27" s="41">
        <f t="shared" si="86"/>
        <v>72291.157562080567</v>
      </c>
      <c r="BM27" s="41">
        <f t="shared" si="86"/>
        <v>70464.111259597325</v>
      </c>
      <c r="BN27" s="41">
        <f t="shared" si="86"/>
        <v>65513.4051496428</v>
      </c>
      <c r="BO27" s="41">
        <f t="shared" si="86"/>
        <v>63155.926049664449</v>
      </c>
      <c r="BP27" s="41">
        <f t="shared" si="86"/>
        <v>58440.96784970774</v>
      </c>
      <c r="BQ27" s="41">
        <f t="shared" si="86"/>
        <v>55847.740839731552</v>
      </c>
      <c r="BR27" s="41">
        <f t="shared" si="86"/>
        <v>750474.52191979112</v>
      </c>
      <c r="BS27" s="41">
        <f>SUM(BS19:BS24)</f>
        <v>50270.61565269166</v>
      </c>
    </row>
    <row r="28" spans="1:71">
      <c r="A28" s="2"/>
      <c r="B28" s="2"/>
      <c r="C28" s="2"/>
      <c r="D28" s="2"/>
      <c r="E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7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7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7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7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7"/>
      <c r="BS28" s="37"/>
    </row>
    <row r="29" spans="1:71">
      <c r="A29" s="2"/>
      <c r="B29" s="1" t="s">
        <v>41</v>
      </c>
      <c r="C29" s="2"/>
      <c r="D29" s="2"/>
      <c r="E29" s="2"/>
      <c r="F29" s="37">
        <f t="shared" ref="F29:BS29" si="87">F16-F27</f>
        <v>19081.384073897319</v>
      </c>
      <c r="G29" s="37">
        <f t="shared" si="87"/>
        <v>21560.963444156972</v>
      </c>
      <c r="H29" s="37">
        <f t="shared" si="87"/>
        <v>37085.076110845985</v>
      </c>
      <c r="I29" s="37">
        <f t="shared" si="87"/>
        <v>47075.165292398495</v>
      </c>
      <c r="J29" s="37">
        <f t="shared" si="87"/>
        <v>55088.768147794639</v>
      </c>
      <c r="K29" s="37">
        <f t="shared" si="87"/>
        <v>55802.596923180085</v>
      </c>
      <c r="L29" s="37">
        <f t="shared" si="87"/>
        <v>58089.38348728609</v>
      </c>
      <c r="M29" s="37">
        <f t="shared" si="87"/>
        <v>55088.768147794639</v>
      </c>
      <c r="N29" s="37">
        <f t="shared" si="87"/>
        <v>47075.165292398495</v>
      </c>
      <c r="O29" s="37">
        <f t="shared" si="87"/>
        <v>43086.30678982885</v>
      </c>
      <c r="P29" s="37">
        <f t="shared" si="87"/>
        <v>35438.589784689655</v>
      </c>
      <c r="Q29" s="37">
        <f t="shared" si="87"/>
        <v>31083.845431863097</v>
      </c>
      <c r="R29" s="37">
        <f t="shared" si="87"/>
        <v>505556.01292613405</v>
      </c>
      <c r="S29" s="37">
        <f t="shared" si="87"/>
        <v>28671.841433610491</v>
      </c>
      <c r="T29" s="37">
        <f t="shared" si="87"/>
        <v>31657.658029550934</v>
      </c>
      <c r="U29" s="37">
        <f t="shared" si="87"/>
        <v>52304.262150415758</v>
      </c>
      <c r="V29" s="37">
        <f t="shared" si="87"/>
        <v>65263.976737050863</v>
      </c>
      <c r="W29" s="37">
        <f t="shared" si="87"/>
        <v>75936.682867220981</v>
      </c>
      <c r="X29" s="37">
        <f t="shared" si="87"/>
        <v>76699.019019375963</v>
      </c>
      <c r="Y29" s="37">
        <f t="shared" si="87"/>
        <v>79875.419653355173</v>
      </c>
      <c r="Z29" s="37">
        <f t="shared" si="87"/>
        <v>75936.682867220981</v>
      </c>
      <c r="AA29" s="37">
        <f t="shared" si="87"/>
        <v>65263.976737050863</v>
      </c>
      <c r="AB29" s="37">
        <f t="shared" si="87"/>
        <v>60181.735722684141</v>
      </c>
      <c r="AC29" s="37">
        <f t="shared" si="87"/>
        <v>50017.253693950712</v>
      </c>
      <c r="AD29" s="37">
        <f t="shared" si="87"/>
        <v>44426.788578147331</v>
      </c>
      <c r="AE29" s="37">
        <f t="shared" si="87"/>
        <v>706235.29748963425</v>
      </c>
      <c r="AF29" s="37">
        <f t="shared" si="87"/>
        <v>29496.524093041204</v>
      </c>
      <c r="AG29" s="37">
        <f t="shared" si="87"/>
        <v>32935.895910746753</v>
      </c>
      <c r="AH29" s="37">
        <f t="shared" si="87"/>
        <v>56718.786139561795</v>
      </c>
      <c r="AI29" s="37">
        <f t="shared" si="87"/>
        <v>71647.123390879511</v>
      </c>
      <c r="AJ29" s="37">
        <f t="shared" si="87"/>
        <v>83941.048186082407</v>
      </c>
      <c r="AK29" s="37">
        <f t="shared" si="87"/>
        <v>84819.185671453975</v>
      </c>
      <c r="AL29" s="37">
        <f t="shared" si="87"/>
        <v>88478.091860502434</v>
      </c>
      <c r="AM29" s="37">
        <f t="shared" si="87"/>
        <v>83941.048186082407</v>
      </c>
      <c r="AN29" s="37">
        <f t="shared" si="87"/>
        <v>71647.123390879511</v>
      </c>
      <c r="AO29" s="37">
        <f t="shared" si="87"/>
        <v>65792.873488401994</v>
      </c>
      <c r="AP29" s="37">
        <f t="shared" si="87"/>
        <v>54084.373683446895</v>
      </c>
      <c r="AQ29" s="37">
        <f t="shared" si="87"/>
        <v>47644.698790721588</v>
      </c>
      <c r="AR29" s="37">
        <f t="shared" si="87"/>
        <v>771146.77279180067</v>
      </c>
      <c r="AS29" s="37">
        <f t="shared" si="87"/>
        <v>34169.096865830186</v>
      </c>
      <c r="AT29" s="37">
        <f t="shared" si="87"/>
        <v>37987.094920526448</v>
      </c>
      <c r="AU29" s="37">
        <f t="shared" si="87"/>
        <v>64388.145298745265</v>
      </c>
      <c r="AV29" s="37">
        <f t="shared" si="87"/>
        <v>80959.881536150308</v>
      </c>
      <c r="AW29" s="37">
        <f t="shared" si="87"/>
        <v>94607.193731660373</v>
      </c>
      <c r="AX29" s="37">
        <f t="shared" si="87"/>
        <v>95582.001745625326</v>
      </c>
      <c r="AY29" s="37">
        <f t="shared" si="87"/>
        <v>99643.701803812859</v>
      </c>
      <c r="AZ29" s="37">
        <f t="shared" si="87"/>
        <v>94607.193731660373</v>
      </c>
      <c r="BA29" s="37">
        <f t="shared" si="87"/>
        <v>80959.881536150308</v>
      </c>
      <c r="BB29" s="37">
        <f t="shared" si="87"/>
        <v>74461.161443050325</v>
      </c>
      <c r="BC29" s="37">
        <f t="shared" si="87"/>
        <v>61463.721256850287</v>
      </c>
      <c r="BD29" s="37">
        <f t="shared" si="87"/>
        <v>54315.129154440248</v>
      </c>
      <c r="BE29" s="37">
        <f t="shared" si="87"/>
        <v>873144.20302450215</v>
      </c>
      <c r="BF29" s="37">
        <f t="shared" si="87"/>
        <v>40428.089797033041</v>
      </c>
      <c r="BG29" s="37">
        <f t="shared" si="87"/>
        <v>44663.338749264964</v>
      </c>
      <c r="BH29" s="37">
        <f t="shared" si="87"/>
        <v>73949.634695549568</v>
      </c>
      <c r="BI29" s="37">
        <f t="shared" si="87"/>
        <v>92332.417381832827</v>
      </c>
      <c r="BJ29" s="37">
        <f t="shared" si="87"/>
        <v>107471.17959406608</v>
      </c>
      <c r="BK29" s="37">
        <f t="shared" si="87"/>
        <v>108552.51975208276</v>
      </c>
      <c r="BL29" s="37">
        <f t="shared" si="87"/>
        <v>113058.10374381885</v>
      </c>
      <c r="BM29" s="37">
        <f t="shared" si="87"/>
        <v>107471.17959406608</v>
      </c>
      <c r="BN29" s="37">
        <f t="shared" si="87"/>
        <v>92332.417381832827</v>
      </c>
      <c r="BO29" s="37">
        <f t="shared" si="87"/>
        <v>85123.482995055063</v>
      </c>
      <c r="BP29" s="37">
        <f t="shared" si="87"/>
        <v>70705.614221499593</v>
      </c>
      <c r="BQ29" s="37">
        <f t="shared" si="87"/>
        <v>62775.786396044066</v>
      </c>
      <c r="BR29" s="37">
        <f t="shared" si="87"/>
        <v>998863.76430214569</v>
      </c>
      <c r="BS29" s="37">
        <f t="shared" si="87"/>
        <v>3797589.1317356508</v>
      </c>
    </row>
    <row r="30" spans="1:71">
      <c r="A30" s="2"/>
      <c r="B30" s="2"/>
      <c r="C30" s="2"/>
      <c r="D30" s="2"/>
      <c r="E30" s="2"/>
      <c r="F30" s="42">
        <f t="shared" ref="F30:BS30" si="88">IF(F16&lt;&gt;0,F29/F16,"N/A")</f>
        <v>0.40373076603848534</v>
      </c>
      <c r="G30" s="42">
        <f t="shared" si="88"/>
        <v>0.42734544454499929</v>
      </c>
      <c r="H30" s="42">
        <f t="shared" si="88"/>
        <v>0.52310622502865134</v>
      </c>
      <c r="I30" s="42">
        <f t="shared" si="88"/>
        <v>0.56061767035682297</v>
      </c>
      <c r="J30" s="42">
        <f t="shared" si="88"/>
        <v>0.58279395452373428</v>
      </c>
      <c r="K30" s="42">
        <f t="shared" si="88"/>
        <v>0.58480625802385378</v>
      </c>
      <c r="L30" s="42">
        <f t="shared" si="88"/>
        <v>0.58995648206314422</v>
      </c>
      <c r="M30" s="42">
        <f t="shared" si="88"/>
        <v>0.58279395452373428</v>
      </c>
      <c r="N30" s="42">
        <f t="shared" si="88"/>
        <v>0.56061767035682297</v>
      </c>
      <c r="O30" s="42">
        <f t="shared" si="88"/>
        <v>0.54698131682668438</v>
      </c>
      <c r="P30" s="42">
        <f t="shared" si="88"/>
        <v>0.51582398949195085</v>
      </c>
      <c r="Q30" s="42">
        <f t="shared" si="88"/>
        <v>0.49326236028110987</v>
      </c>
      <c r="R30" s="42">
        <f t="shared" si="88"/>
        <v>0.54362258447391187</v>
      </c>
      <c r="S30" s="42">
        <f t="shared" si="88"/>
        <v>0.46258513650711314</v>
      </c>
      <c r="T30" s="42">
        <f t="shared" si="88"/>
        <v>0.48040920866810355</v>
      </c>
      <c r="U30" s="42">
        <f t="shared" si="88"/>
        <v>0.56257691721167635</v>
      </c>
      <c r="V30" s="42">
        <f t="shared" si="88"/>
        <v>0.59348346761126836</v>
      </c>
      <c r="W30" s="42">
        <f t="shared" si="88"/>
        <v>0.61257280756395771</v>
      </c>
      <c r="X30" s="42">
        <f t="shared" si="88"/>
        <v>0.61377270893241231</v>
      </c>
      <c r="Y30" s="42">
        <f t="shared" si="88"/>
        <v>0.61857231440623139</v>
      </c>
      <c r="Z30" s="42">
        <f t="shared" si="88"/>
        <v>0.61257280756395771</v>
      </c>
      <c r="AA30" s="42">
        <f t="shared" si="88"/>
        <v>0.59348346761126836</v>
      </c>
      <c r="AB30" s="42">
        <f t="shared" si="88"/>
        <v>0.58257527335258874</v>
      </c>
      <c r="AC30" s="42">
        <f t="shared" si="88"/>
        <v>0.55591079849803871</v>
      </c>
      <c r="AD30" s="42">
        <f t="shared" si="88"/>
        <v>0.5375789720355354</v>
      </c>
      <c r="AE30" s="42">
        <f t="shared" si="88"/>
        <v>0.57948714111372612</v>
      </c>
      <c r="AF30" s="42">
        <f t="shared" si="88"/>
        <v>0.41117970387975689</v>
      </c>
      <c r="AG30" s="42">
        <f t="shared" si="88"/>
        <v>0.4318438725486386</v>
      </c>
      <c r="AH30" s="42">
        <f t="shared" si="88"/>
        <v>0.52710422456830641</v>
      </c>
      <c r="AI30" s="42">
        <f t="shared" si="88"/>
        <v>0.56293544005385798</v>
      </c>
      <c r="AJ30" s="42">
        <f t="shared" si="88"/>
        <v>0.58506648491258129</v>
      </c>
      <c r="AK30" s="42">
        <f t="shared" si="88"/>
        <v>0.58645757916084373</v>
      </c>
      <c r="AL30" s="42">
        <f t="shared" si="88"/>
        <v>0.59202195615389408</v>
      </c>
      <c r="AM30" s="42">
        <f t="shared" si="88"/>
        <v>0.58506648491258129</v>
      </c>
      <c r="AN30" s="42">
        <f t="shared" si="88"/>
        <v>0.56293544005385798</v>
      </c>
      <c r="AO30" s="42">
        <f t="shared" si="88"/>
        <v>0.55028912870601643</v>
      </c>
      <c r="AP30" s="42">
        <f t="shared" si="88"/>
        <v>0.51937592318906978</v>
      </c>
      <c r="AQ30" s="42">
        <f t="shared" si="88"/>
        <v>0.49812309439616903</v>
      </c>
      <c r="AR30" s="42">
        <f t="shared" si="88"/>
        <v>0.54670893194293713</v>
      </c>
      <c r="AS30" s="42">
        <f t="shared" si="88"/>
        <v>0.42775391207562113</v>
      </c>
      <c r="AT30" s="42">
        <f t="shared" si="88"/>
        <v>0.44729395012668849</v>
      </c>
      <c r="AU30" s="42">
        <f t="shared" si="88"/>
        <v>0.53737213972380726</v>
      </c>
      <c r="AV30" s="42">
        <f t="shared" si="88"/>
        <v>0.57125413736051933</v>
      </c>
      <c r="AW30" s="42">
        <f t="shared" si="88"/>
        <v>0.5921812535479003</v>
      </c>
      <c r="AX30" s="42">
        <f t="shared" si="88"/>
        <v>0.59349667227967851</v>
      </c>
      <c r="AY30" s="42">
        <f t="shared" si="88"/>
        <v>0.59875834720679144</v>
      </c>
      <c r="AZ30" s="42">
        <f t="shared" si="88"/>
        <v>0.5921812535479003</v>
      </c>
      <c r="BA30" s="42">
        <f t="shared" si="88"/>
        <v>0.57125413736051933</v>
      </c>
      <c r="BB30" s="42">
        <f t="shared" si="88"/>
        <v>0.55929578525344459</v>
      </c>
      <c r="BC30" s="42">
        <f t="shared" si="88"/>
        <v>0.53006425788059497</v>
      </c>
      <c r="BD30" s="42">
        <f t="shared" si="88"/>
        <v>0.5099675828117608</v>
      </c>
      <c r="BE30" s="42">
        <f t="shared" si="88"/>
        <v>0.55591035116694165</v>
      </c>
      <c r="BF30" s="42">
        <f t="shared" si="88"/>
        <v>0.45441339492660504</v>
      </c>
      <c r="BG30" s="42">
        <f t="shared" si="88"/>
        <v>0.47218864617360629</v>
      </c>
      <c r="BH30" s="42">
        <f t="shared" si="88"/>
        <v>0.55413129376616521</v>
      </c>
      <c r="BI30" s="42">
        <f t="shared" si="88"/>
        <v>0.58495318977112021</v>
      </c>
      <c r="BJ30" s="42">
        <f t="shared" si="88"/>
        <v>0.60399024318594541</v>
      </c>
      <c r="BK30" s="42">
        <f t="shared" si="88"/>
        <v>0.6051868579720201</v>
      </c>
      <c r="BL30" s="42">
        <f t="shared" si="88"/>
        <v>0.60997331711631897</v>
      </c>
      <c r="BM30" s="42">
        <f t="shared" si="88"/>
        <v>0.60399024318594541</v>
      </c>
      <c r="BN30" s="42">
        <f t="shared" si="88"/>
        <v>0.58495318977112021</v>
      </c>
      <c r="BO30" s="42">
        <f t="shared" si="88"/>
        <v>0.57407487353407727</v>
      </c>
      <c r="BP30" s="42">
        <f t="shared" si="88"/>
        <v>0.54748343384352793</v>
      </c>
      <c r="BQ30" s="42">
        <f t="shared" si="88"/>
        <v>0.52920181905627528</v>
      </c>
      <c r="BR30" s="42">
        <f t="shared" si="88"/>
        <v>0.57099519982461577</v>
      </c>
      <c r="BS30" s="43">
        <f t="shared" si="88"/>
        <v>0.98693543451348198</v>
      </c>
    </row>
    <row r="31" spans="1:71">
      <c r="A31" s="1"/>
      <c r="B31" s="23" t="s">
        <v>42</v>
      </c>
      <c r="C31" s="24"/>
      <c r="D31" s="24"/>
      <c r="E31" s="2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7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7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7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7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7"/>
      <c r="BS31" s="37"/>
    </row>
    <row r="32" spans="1:71" ht="15.75" customHeight="1">
      <c r="A32" s="1"/>
      <c r="B32" s="23"/>
      <c r="C32" s="25" t="s">
        <v>43</v>
      </c>
      <c r="D32" s="24"/>
      <c r="E32" s="2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7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7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7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7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7"/>
      <c r="BS32" s="37"/>
    </row>
    <row r="33" spans="1:72" ht="15.75" customHeight="1">
      <c r="A33" s="2"/>
      <c r="B33" s="2"/>
      <c r="C33" s="24" t="s">
        <v>44</v>
      </c>
      <c r="D33" s="24"/>
      <c r="E33" s="24"/>
      <c r="F33" s="3">
        <f>Labor!H17</f>
        <v>6250</v>
      </c>
      <c r="G33" s="3">
        <f>Labor!I17</f>
        <v>6250</v>
      </c>
      <c r="H33" s="3">
        <f>Labor!J17</f>
        <v>6250</v>
      </c>
      <c r="I33" s="3">
        <f>Labor!K17</f>
        <v>6250</v>
      </c>
      <c r="J33" s="3">
        <f>Labor!L17</f>
        <v>6250</v>
      </c>
      <c r="K33" s="3">
        <f>Labor!M17</f>
        <v>6250</v>
      </c>
      <c r="L33" s="3">
        <f>Labor!N17</f>
        <v>6250</v>
      </c>
      <c r="M33" s="3">
        <f>Labor!O17</f>
        <v>6250</v>
      </c>
      <c r="N33" s="3">
        <f>Labor!P17</f>
        <v>6250</v>
      </c>
      <c r="O33" s="3">
        <f>Labor!Q17</f>
        <v>6250</v>
      </c>
      <c r="P33" s="3">
        <f>Labor!R17</f>
        <v>6250</v>
      </c>
      <c r="Q33" s="3">
        <f>Labor!S17</f>
        <v>6250</v>
      </c>
      <c r="R33" s="37">
        <f>SUM(F33:Q33)</f>
        <v>75000</v>
      </c>
      <c r="S33" s="3">
        <f>Labor!U17</f>
        <v>7161</v>
      </c>
      <c r="T33" s="3">
        <f>Labor!V17</f>
        <v>7161</v>
      </c>
      <c r="U33" s="3">
        <f>Labor!W17</f>
        <v>7161</v>
      </c>
      <c r="V33" s="3">
        <f>Labor!X17</f>
        <v>7161</v>
      </c>
      <c r="W33" s="3">
        <f>Labor!Y17</f>
        <v>7161</v>
      </c>
      <c r="X33" s="3">
        <f>Labor!Z17</f>
        <v>7161</v>
      </c>
      <c r="Y33" s="3">
        <f>Labor!AA17</f>
        <v>7161</v>
      </c>
      <c r="Z33" s="3">
        <f>Labor!AB17</f>
        <v>7161</v>
      </c>
      <c r="AA33" s="3">
        <f>Labor!AC17</f>
        <v>7161</v>
      </c>
      <c r="AB33" s="3">
        <f>Labor!AD17</f>
        <v>7161</v>
      </c>
      <c r="AC33" s="3">
        <f>Labor!AE17</f>
        <v>7161</v>
      </c>
      <c r="AD33" s="3">
        <f>Labor!AF17</f>
        <v>7161</v>
      </c>
      <c r="AE33" s="37">
        <f>SUM(S33:AD33)</f>
        <v>85932</v>
      </c>
      <c r="AF33" s="3">
        <f>Labor!AH17</f>
        <v>12240</v>
      </c>
      <c r="AG33" s="3">
        <f>Labor!AI17</f>
        <v>12240</v>
      </c>
      <c r="AH33" s="3">
        <f>Labor!AJ17</f>
        <v>12240</v>
      </c>
      <c r="AI33" s="3">
        <f>Labor!AK17</f>
        <v>12240</v>
      </c>
      <c r="AJ33" s="3">
        <f>Labor!AL17</f>
        <v>12240</v>
      </c>
      <c r="AK33" s="3">
        <f>Labor!AM17</f>
        <v>12240</v>
      </c>
      <c r="AL33" s="3">
        <f>Labor!AN17</f>
        <v>12240</v>
      </c>
      <c r="AM33" s="3">
        <f>Labor!AO17</f>
        <v>12240</v>
      </c>
      <c r="AN33" s="3">
        <f>Labor!AP17</f>
        <v>12240</v>
      </c>
      <c r="AO33" s="3">
        <f>Labor!AQ17</f>
        <v>12240</v>
      </c>
      <c r="AP33" s="3">
        <f>Labor!AR17</f>
        <v>12240</v>
      </c>
      <c r="AQ33" s="3">
        <f>Labor!AS17</f>
        <v>12240</v>
      </c>
      <c r="AR33" s="37">
        <f>SUM(AF33:AQ33)</f>
        <v>146880</v>
      </c>
      <c r="AS33" s="3">
        <f>Labor!AU17</f>
        <v>12240</v>
      </c>
      <c r="AT33" s="3">
        <f>Labor!AV17</f>
        <v>12240</v>
      </c>
      <c r="AU33" s="3">
        <f>Labor!AW17</f>
        <v>12240</v>
      </c>
      <c r="AV33" s="3">
        <f>Labor!AX17</f>
        <v>12240</v>
      </c>
      <c r="AW33" s="3">
        <f>Labor!AY17</f>
        <v>12240</v>
      </c>
      <c r="AX33" s="3">
        <f>Labor!AZ17</f>
        <v>12240</v>
      </c>
      <c r="AY33" s="3">
        <f>Labor!BA17</f>
        <v>12240</v>
      </c>
      <c r="AZ33" s="3">
        <f>Labor!BB17</f>
        <v>12240</v>
      </c>
      <c r="BA33" s="3">
        <f>Labor!BC17</f>
        <v>12240</v>
      </c>
      <c r="BB33" s="3">
        <f>Labor!BD17</f>
        <v>12240</v>
      </c>
      <c r="BC33" s="3">
        <f>Labor!BE17</f>
        <v>12240</v>
      </c>
      <c r="BD33" s="3">
        <f>Labor!BF17</f>
        <v>12240</v>
      </c>
      <c r="BE33" s="37">
        <f>SUM(AS33:BD33)</f>
        <v>146880</v>
      </c>
      <c r="BF33" s="3">
        <f>Labor!BH17</f>
        <v>14063</v>
      </c>
      <c r="BG33" s="3">
        <f>Labor!BI17</f>
        <v>14063</v>
      </c>
      <c r="BH33" s="3">
        <f>Labor!BJ17</f>
        <v>14063</v>
      </c>
      <c r="BI33" s="3">
        <f>Labor!BK17</f>
        <v>14063</v>
      </c>
      <c r="BJ33" s="3">
        <f>Labor!BL17</f>
        <v>14063</v>
      </c>
      <c r="BK33" s="3">
        <f>Labor!BM17</f>
        <v>14063</v>
      </c>
      <c r="BL33" s="3">
        <f>Labor!BN17</f>
        <v>14063</v>
      </c>
      <c r="BM33" s="3">
        <f>Labor!BO17</f>
        <v>14063</v>
      </c>
      <c r="BN33" s="3">
        <f>Labor!BP17</f>
        <v>14063</v>
      </c>
      <c r="BO33" s="3">
        <f>Labor!BQ17</f>
        <v>14063</v>
      </c>
      <c r="BP33" s="3">
        <f>Labor!BR17</f>
        <v>14063</v>
      </c>
      <c r="BQ33" s="3">
        <f>Labor!BS17</f>
        <v>14063</v>
      </c>
      <c r="BR33" s="37">
        <f>SUM(BF33:BQ33)</f>
        <v>168756</v>
      </c>
      <c r="BS33" s="37">
        <f>R33+AE33+AR33+BE33+BR33</f>
        <v>623448</v>
      </c>
    </row>
    <row r="34" spans="1:72" ht="15.75" customHeight="1">
      <c r="A34" s="2"/>
      <c r="B34" s="2"/>
      <c r="C34" s="284" t="s">
        <v>643</v>
      </c>
      <c r="D34" s="24"/>
      <c r="E34" s="24"/>
      <c r="F34" s="3">
        <f>Events!B29</f>
        <v>396</v>
      </c>
      <c r="G34" s="3">
        <f>Events!C29</f>
        <v>462</v>
      </c>
      <c r="H34" s="3">
        <f>Events!D29</f>
        <v>594</v>
      </c>
      <c r="I34" s="3">
        <f>Events!E29</f>
        <v>726</v>
      </c>
      <c r="J34" s="3">
        <f>Events!F29</f>
        <v>792</v>
      </c>
      <c r="K34" s="3">
        <f>Events!G29</f>
        <v>825</v>
      </c>
      <c r="L34" s="3">
        <f>Events!H29</f>
        <v>825</v>
      </c>
      <c r="M34" s="3">
        <f>Events!I29</f>
        <v>792</v>
      </c>
      <c r="N34" s="3">
        <f>Events!J29</f>
        <v>726</v>
      </c>
      <c r="O34" s="3">
        <f>Events!K29</f>
        <v>660</v>
      </c>
      <c r="P34" s="3">
        <f>Events!L29</f>
        <v>594</v>
      </c>
      <c r="Q34" s="3">
        <f>Events!M29</f>
        <v>528</v>
      </c>
      <c r="R34" s="37">
        <f>SUM(F34:Q34)</f>
        <v>7920</v>
      </c>
      <c r="S34" s="3">
        <f>IF(Events!$F$3="No",SOO!F34,SOO!F34*(1+Assumptions!$D$73))</f>
        <v>495</v>
      </c>
      <c r="T34" s="3">
        <f>IF(Events!G3="No",SOO!G34,SOO!G34*(1+Assumptions!$D$73))</f>
        <v>577.5</v>
      </c>
      <c r="U34" s="3">
        <f>IF(Events!H3="No",SOO!H34,SOO!H34*(1+Assumptions!$D$73))</f>
        <v>742.5</v>
      </c>
      <c r="V34" s="3">
        <f>IF(Events!I3="No",SOO!I34,SOO!I34*(1+Assumptions!$D$73))</f>
        <v>907.5</v>
      </c>
      <c r="W34" s="3">
        <f>IF(Events!J3="No",SOO!J34,SOO!J34*(1+Assumptions!$D$73))</f>
        <v>990</v>
      </c>
      <c r="X34" s="3">
        <f>IF(Events!K3="No",SOO!K34,SOO!K34*(1+Assumptions!$D$73))</f>
        <v>1031.25</v>
      </c>
      <c r="Y34" s="3">
        <f>IF(Events!L3="No",SOO!L34,SOO!L34*(1+Assumptions!$D$73))</f>
        <v>1031.25</v>
      </c>
      <c r="Z34" s="3">
        <f>IF(Events!M3="No",SOO!M34,SOO!M34*(1+Assumptions!$D$73))</f>
        <v>990</v>
      </c>
      <c r="AA34" s="3">
        <f>IF(Events!N3="No",SOO!N34,SOO!N34*(1+Assumptions!$D$73))</f>
        <v>907.5</v>
      </c>
      <c r="AB34" s="3">
        <f>IF(Events!O3="No",SOO!O34,SOO!O34*(1+Assumptions!$D$73))</f>
        <v>825</v>
      </c>
      <c r="AC34" s="3">
        <f>IF(Events!P3="No",SOO!P34,SOO!P34*(1+Assumptions!$D$73))</f>
        <v>742.5</v>
      </c>
      <c r="AD34" s="3">
        <f>IF(Events!Q3="No",SOO!Q34,SOO!Q34*(1+Assumptions!$D$73))</f>
        <v>660</v>
      </c>
      <c r="AE34" s="37">
        <f>SUM(S34:AD34)</f>
        <v>9900</v>
      </c>
      <c r="AF34" s="3">
        <f>IF(Events!$F$3="No",SOO!S34,SOO!S34*(1+Assumptions!$E$73))</f>
        <v>569.25</v>
      </c>
      <c r="AG34" s="3">
        <f>IF(Events!$F$3="No",SOO!T34,SOO!T34*(1+Assumptions!$E$73))</f>
        <v>664.125</v>
      </c>
      <c r="AH34" s="3">
        <f>IF(Events!$F$3="No",SOO!U34,SOO!U34*(1+Assumptions!$E$73))</f>
        <v>853.87499999999989</v>
      </c>
      <c r="AI34" s="3">
        <f>IF(Events!$F$3="No",SOO!V34,SOO!V34*(1+Assumptions!$E$73))</f>
        <v>1043.625</v>
      </c>
      <c r="AJ34" s="3">
        <f>IF(Events!$F$3="No",SOO!W34,SOO!W34*(1+Assumptions!$E$73))</f>
        <v>1138.5</v>
      </c>
      <c r="AK34" s="3">
        <f>IF(Events!$F$3="No",SOO!X34,SOO!X34*(1+Assumptions!$E$73))</f>
        <v>1185.9375</v>
      </c>
      <c r="AL34" s="3">
        <f>IF(Events!$F$3="No",SOO!Y34,SOO!Y34*(1+Assumptions!$E$73))</f>
        <v>1185.9375</v>
      </c>
      <c r="AM34" s="3">
        <f>IF(Events!$F$3="No",SOO!Z34,SOO!Z34*(1+Assumptions!$E$73))</f>
        <v>1138.5</v>
      </c>
      <c r="AN34" s="3">
        <f>IF(Events!$F$3="No",SOO!AA34,SOO!AA34*(1+Assumptions!$E$73))</f>
        <v>1043.625</v>
      </c>
      <c r="AO34" s="3">
        <f>IF(Events!$F$3="No",SOO!AB34,SOO!AB34*(1+Assumptions!$E$73))</f>
        <v>948.74999999999989</v>
      </c>
      <c r="AP34" s="3">
        <f>IF(Events!$F$3="No",SOO!AC34,SOO!AC34*(1+Assumptions!$E$73))</f>
        <v>853.87499999999989</v>
      </c>
      <c r="AQ34" s="3">
        <f>IF(Events!$F$3="No",SOO!AD34,SOO!AD34*(1+Assumptions!$E$73))</f>
        <v>758.99999999999989</v>
      </c>
      <c r="AR34" s="37">
        <f>SUM(AF34:AQ34)</f>
        <v>11385</v>
      </c>
      <c r="AS34" s="3">
        <f>IF(Events!$F$3="No",SOO!AF34,SOO!AF34*(1+Assumptions!$F$73))</f>
        <v>626.17500000000007</v>
      </c>
      <c r="AT34" s="3">
        <f>IF(Events!$F$3="No",SOO!AG34,SOO!AG34*(1+Assumptions!$F$73))</f>
        <v>730.53750000000002</v>
      </c>
      <c r="AU34" s="3">
        <f>IF(Events!$F$3="No",SOO!AH34,SOO!AH34*(1+Assumptions!$F$73))</f>
        <v>939.26249999999993</v>
      </c>
      <c r="AV34" s="3">
        <f>IF(Events!$F$3="No",SOO!AI34,SOO!AI34*(1+Assumptions!$F$73))</f>
        <v>1147.9875000000002</v>
      </c>
      <c r="AW34" s="3">
        <f>IF(Events!$F$3="No",SOO!AJ34,SOO!AJ34*(1+Assumptions!$F$73))</f>
        <v>1252.3500000000001</v>
      </c>
      <c r="AX34" s="3">
        <f>IF(Events!$F$3="No",SOO!AK34,SOO!AK34*(1+Assumptions!$F$73))</f>
        <v>1304.53125</v>
      </c>
      <c r="AY34" s="3">
        <f>IF(Events!$F$3="No",SOO!AL34,SOO!AL34*(1+Assumptions!$F$73))</f>
        <v>1304.53125</v>
      </c>
      <c r="AZ34" s="3">
        <f>IF(Events!$F$3="No",SOO!AM34,SOO!AM34*(1+Assumptions!$F$73))</f>
        <v>1252.3500000000001</v>
      </c>
      <c r="BA34" s="3">
        <f>IF(Events!$F$3="No",SOO!AN34,SOO!AN34*(1+Assumptions!$F$73))</f>
        <v>1147.9875000000002</v>
      </c>
      <c r="BB34" s="3">
        <f>IF(Events!$F$3="No",SOO!AO34,SOO!AO34*(1+Assumptions!$F$73))</f>
        <v>1043.625</v>
      </c>
      <c r="BC34" s="3">
        <f>IF(Events!$F$3="No",SOO!AP34,SOO!AP34*(1+Assumptions!$F$73))</f>
        <v>939.26249999999993</v>
      </c>
      <c r="BD34" s="3">
        <f>IF(Events!$F$3="No",SOO!AQ34,SOO!AQ34*(1+Assumptions!$F$73))</f>
        <v>834.9</v>
      </c>
      <c r="BE34" s="37">
        <f>SUM(AS34:BD34)</f>
        <v>12523.500000000002</v>
      </c>
      <c r="BF34" s="3">
        <f>IF(Events!$F$3="No",SOO!AS34,SOO!AS34*(1+Assumptions!$G$73))</f>
        <v>688.79250000000013</v>
      </c>
      <c r="BG34" s="3">
        <f>IF(Events!$F$3="No",SOO!AT34,SOO!AT34*(1+Assumptions!$G$73))</f>
        <v>803.59125000000006</v>
      </c>
      <c r="BH34" s="3">
        <f>IF(Events!$F$3="No",SOO!AU34,SOO!AU34*(1+Assumptions!$G$73))</f>
        <v>1033.18875</v>
      </c>
      <c r="BI34" s="3">
        <f>IF(Events!$F$3="No",SOO!AV34,SOO!AV34*(1+Assumptions!$G$73))</f>
        <v>1262.7862500000003</v>
      </c>
      <c r="BJ34" s="3">
        <f>IF(Events!$F$3="No",SOO!AW34,SOO!AW34*(1+Assumptions!$G$73))</f>
        <v>1377.5850000000003</v>
      </c>
      <c r="BK34" s="3">
        <f>IF(Events!$F$3="No",SOO!AX34,SOO!AX34*(1+Assumptions!$G$73))</f>
        <v>1434.9843750000002</v>
      </c>
      <c r="BL34" s="3">
        <f>IF(Events!$F$3="No",SOO!AY34,SOO!AY34*(1+Assumptions!$G$73))</f>
        <v>1434.9843750000002</v>
      </c>
      <c r="BM34" s="3">
        <f>IF(Events!$F$3="No",SOO!AZ34,SOO!AZ34*(1+Assumptions!$G$73))</f>
        <v>1377.5850000000003</v>
      </c>
      <c r="BN34" s="3">
        <f>IF(Events!$F$3="No",SOO!BA34,SOO!BA34*(1+Assumptions!$G$73))</f>
        <v>1262.7862500000003</v>
      </c>
      <c r="BO34" s="3">
        <f>IF(Events!$F$3="No",SOO!BB34,SOO!BB34*(1+Assumptions!$G$73))</f>
        <v>1147.9875000000002</v>
      </c>
      <c r="BP34" s="3">
        <f>IF(Events!$F$3="No",SOO!BC34,SOO!BC34*(1+Assumptions!$G$73))</f>
        <v>1033.18875</v>
      </c>
      <c r="BQ34" s="3">
        <f>IF(Events!$F$3="No",SOO!BD34,SOO!BD34*(1+Assumptions!$G$73))</f>
        <v>918.3900000000001</v>
      </c>
      <c r="BR34" s="37">
        <f>SUM(BF34:BQ34)</f>
        <v>13775.85</v>
      </c>
      <c r="BS34" s="37"/>
    </row>
    <row r="35" spans="1:72" ht="15.75" customHeight="1">
      <c r="A35" s="2"/>
      <c r="B35" s="2"/>
      <c r="C35" s="26" t="s">
        <v>45</v>
      </c>
      <c r="D35" s="24"/>
      <c r="E35" s="24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7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7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7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7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7"/>
      <c r="BS35" s="37"/>
    </row>
    <row r="36" spans="1:72" ht="15.75" customHeight="1">
      <c r="A36" s="2"/>
      <c r="B36" s="21"/>
      <c r="C36" s="2" t="s">
        <v>46</v>
      </c>
      <c r="D36" s="2"/>
      <c r="E36" s="2"/>
      <c r="F36" s="3">
        <f>IF(G$9&gt;0,Assumptions!$B$64,0)</f>
        <v>250</v>
      </c>
      <c r="G36" s="3">
        <f>IF(H$9&gt;0,Assumptions!$B$64,0)</f>
        <v>250</v>
      </c>
      <c r="H36" s="3">
        <f>IF(I$9&gt;0,Assumptions!$B$64,0)</f>
        <v>250</v>
      </c>
      <c r="I36" s="3">
        <f>IF(J$9&gt;0,Assumptions!$B$64,0)</f>
        <v>250</v>
      </c>
      <c r="J36" s="3">
        <f>IF(K$9&gt;0,Assumptions!$B$64,0)</f>
        <v>250</v>
      </c>
      <c r="K36" s="3">
        <f>IF(L$9&gt;0,Assumptions!$B$64,0)</f>
        <v>250</v>
      </c>
      <c r="L36" s="3">
        <f>IF(M$9&gt;0,Assumptions!$B$64,0)</f>
        <v>250</v>
      </c>
      <c r="M36" s="3">
        <f>IF(N$9&gt;0,Assumptions!$B$64,0)</f>
        <v>250</v>
      </c>
      <c r="N36" s="3">
        <f>IF(O$9&gt;0,Assumptions!$B$64,0)</f>
        <v>250</v>
      </c>
      <c r="O36" s="3">
        <f>IF(P$9&gt;0,Assumptions!$B$64,0)</f>
        <v>250</v>
      </c>
      <c r="P36" s="3">
        <f>IF(Q$9&gt;0,Assumptions!$B$64,0)</f>
        <v>250</v>
      </c>
      <c r="Q36" s="3">
        <f>IF(R$9&gt;0,Assumptions!$B$64,0)</f>
        <v>250</v>
      </c>
      <c r="R36" s="37">
        <f t="shared" ref="R36:R47" si="89">SUM(F36:Q36)</f>
        <v>3000</v>
      </c>
      <c r="S36" s="3">
        <f>Assumptions!$H$64</f>
        <v>262.5</v>
      </c>
      <c r="T36" s="3">
        <f>Assumptions!$H$64</f>
        <v>262.5</v>
      </c>
      <c r="U36" s="3">
        <f>Assumptions!$H$64</f>
        <v>262.5</v>
      </c>
      <c r="V36" s="3">
        <f>Assumptions!$H$64</f>
        <v>262.5</v>
      </c>
      <c r="W36" s="3">
        <f>Assumptions!$H$64</f>
        <v>262.5</v>
      </c>
      <c r="X36" s="3">
        <f>Assumptions!$H$64</f>
        <v>262.5</v>
      </c>
      <c r="Y36" s="3">
        <f>Assumptions!$H$64</f>
        <v>262.5</v>
      </c>
      <c r="Z36" s="3">
        <f>Assumptions!$H$64</f>
        <v>262.5</v>
      </c>
      <c r="AA36" s="3">
        <f>Assumptions!$H$64</f>
        <v>262.5</v>
      </c>
      <c r="AB36" s="3">
        <f>Assumptions!$H$64</f>
        <v>262.5</v>
      </c>
      <c r="AC36" s="3">
        <f>Assumptions!$H$64</f>
        <v>262.5</v>
      </c>
      <c r="AD36" s="3">
        <f>Assumptions!$H$64</f>
        <v>262.5</v>
      </c>
      <c r="AE36" s="37">
        <f t="shared" ref="AE36:AE47" si="90">SUM(S36:AD36)</f>
        <v>3150</v>
      </c>
      <c r="AF36" s="3">
        <f>Assumptions!$I$64</f>
        <v>301.875</v>
      </c>
      <c r="AG36" s="3">
        <f>Assumptions!$I$64</f>
        <v>301.875</v>
      </c>
      <c r="AH36" s="3">
        <f>Assumptions!$I$64</f>
        <v>301.875</v>
      </c>
      <c r="AI36" s="3">
        <f>Assumptions!$I$64</f>
        <v>301.875</v>
      </c>
      <c r="AJ36" s="3">
        <f>Assumptions!$I$64</f>
        <v>301.875</v>
      </c>
      <c r="AK36" s="3">
        <f>Assumptions!$I$64</f>
        <v>301.875</v>
      </c>
      <c r="AL36" s="3">
        <f>Assumptions!$I$64</f>
        <v>301.875</v>
      </c>
      <c r="AM36" s="3">
        <f>Assumptions!$I$64</f>
        <v>301.875</v>
      </c>
      <c r="AN36" s="3">
        <f>Assumptions!$I$64</f>
        <v>301.875</v>
      </c>
      <c r="AO36" s="3">
        <f>Assumptions!$I$64</f>
        <v>301.875</v>
      </c>
      <c r="AP36" s="3">
        <f>Assumptions!$I$64</f>
        <v>301.875</v>
      </c>
      <c r="AQ36" s="3">
        <f>Assumptions!$I$64</f>
        <v>301.875</v>
      </c>
      <c r="AR36" s="37">
        <f t="shared" ref="AR36:AR47" si="91">SUM(AF36:AQ36)</f>
        <v>3622.5</v>
      </c>
      <c r="AS36" s="3">
        <f>Assumptions!$J$64</f>
        <v>347.15625</v>
      </c>
      <c r="AT36" s="3">
        <f>Assumptions!$J$64</f>
        <v>347.15625</v>
      </c>
      <c r="AU36" s="3">
        <f>Assumptions!$J$64</f>
        <v>347.15625</v>
      </c>
      <c r="AV36" s="3">
        <f>Assumptions!$J$64</f>
        <v>347.15625</v>
      </c>
      <c r="AW36" s="3">
        <f>Assumptions!$J$64</f>
        <v>347.15625</v>
      </c>
      <c r="AX36" s="3">
        <f>Assumptions!$J$64</f>
        <v>347.15625</v>
      </c>
      <c r="AY36" s="3">
        <f>Assumptions!$J$64</f>
        <v>347.15625</v>
      </c>
      <c r="AZ36" s="3">
        <f>Assumptions!$J$64</f>
        <v>347.15625</v>
      </c>
      <c r="BA36" s="3">
        <f>Assumptions!$J$64</f>
        <v>347.15625</v>
      </c>
      <c r="BB36" s="3">
        <f>Assumptions!$J$64</f>
        <v>347.15625</v>
      </c>
      <c r="BC36" s="3">
        <f>Assumptions!$J$64</f>
        <v>347.15625</v>
      </c>
      <c r="BD36" s="3">
        <f>Assumptions!$J$64</f>
        <v>347.15625</v>
      </c>
      <c r="BE36" s="37">
        <f t="shared" ref="BE36:BE47" si="92">SUM(AS36:BD36)</f>
        <v>4165.875</v>
      </c>
      <c r="BF36" s="3">
        <f>Assumptions!$K$64</f>
        <v>399.22968749999995</v>
      </c>
      <c r="BG36" s="3">
        <f>Assumptions!$K$64</f>
        <v>399.22968749999995</v>
      </c>
      <c r="BH36" s="3">
        <f>Assumptions!$K$64</f>
        <v>399.22968749999995</v>
      </c>
      <c r="BI36" s="3">
        <f>Assumptions!$K$64</f>
        <v>399.22968749999995</v>
      </c>
      <c r="BJ36" s="3">
        <f>Assumptions!$K$64</f>
        <v>399.22968749999995</v>
      </c>
      <c r="BK36" s="3">
        <f>Assumptions!$K$64</f>
        <v>399.22968749999995</v>
      </c>
      <c r="BL36" s="3">
        <f>Assumptions!$K$64</f>
        <v>399.22968749999995</v>
      </c>
      <c r="BM36" s="3">
        <f>Assumptions!$K$64</f>
        <v>399.22968749999995</v>
      </c>
      <c r="BN36" s="3">
        <f>Assumptions!$K$64</f>
        <v>399.22968749999995</v>
      </c>
      <c r="BO36" s="3">
        <f>Assumptions!$K$64</f>
        <v>399.22968749999995</v>
      </c>
      <c r="BP36" s="3">
        <f>Assumptions!$K$64</f>
        <v>399.22968749999995</v>
      </c>
      <c r="BQ36" s="3">
        <f>Assumptions!$K$64</f>
        <v>399.22968749999995</v>
      </c>
      <c r="BR36" s="37">
        <f t="shared" ref="BR36:BR47" si="93">SUM(BF36:BQ36)</f>
        <v>4790.7562500000004</v>
      </c>
      <c r="BS36" s="37">
        <f t="shared" ref="BS36:BS47" si="94">R36+AE36+AR36+BE36+BR36</f>
        <v>18729.131249999999</v>
      </c>
    </row>
    <row r="37" spans="1:72" ht="15.75" customHeight="1">
      <c r="A37" s="2"/>
      <c r="B37" s="21"/>
      <c r="C37" s="24" t="s">
        <v>47</v>
      </c>
      <c r="D37" s="24"/>
      <c r="E37" s="2"/>
      <c r="F37" s="3">
        <f>IF(F$16&gt;0,SUM(F9:F13)*Assumptions!$B$65,0)</f>
        <v>1405.7315556428571</v>
      </c>
      <c r="G37" s="3">
        <f>IF(G$16&gt;0,SUM(G9:G13)*Assumptions!$B$65,0)</f>
        <v>1494.5344899374998</v>
      </c>
      <c r="H37" s="3">
        <f>IF(H$16&gt;0,SUM(H9:H13)*Assumptions!$B$65,0)</f>
        <v>2108.5973334642858</v>
      </c>
      <c r="I37" s="3">
        <f>IF(I$16&gt;0,SUM(I9:I13)*Assumptions!$B$65,0)</f>
        <v>2494.0398567857146</v>
      </c>
      <c r="J37" s="3">
        <f>IF(J$16&gt;0,SUM(J9:J13)*Assumptions!$B$65,0)</f>
        <v>2811.4631112857141</v>
      </c>
      <c r="K37" s="3">
        <f>IF(K$16&gt;0,SUM(K9:K13)*Assumptions!$B$65,0)</f>
        <v>2834.1362008928568</v>
      </c>
      <c r="L37" s="3">
        <f>IF(L$16&gt;0,SUM(L9:L13)*Assumptions!$B$65,0)</f>
        <v>2928.6074075892852</v>
      </c>
      <c r="M37" s="3">
        <f>IF(M$16&gt;0,SUM(M9:M13)*Assumptions!$B$65,0)</f>
        <v>2811.4631112857141</v>
      </c>
      <c r="N37" s="3">
        <f>IF(N$16&gt;0,SUM(N9:N13)*Assumptions!$B$65,0)</f>
        <v>2494.0398567857146</v>
      </c>
      <c r="O37" s="3">
        <f>IF(O$16&gt;0,SUM(O9:O13)*Assumptions!$B$65,0)</f>
        <v>2342.8859260714285</v>
      </c>
      <c r="P37" s="3">
        <f>IF(P$16&gt;0,SUM(P9:P13)*Assumptions!$B$65,0)</f>
        <v>2040.5780646428566</v>
      </c>
      <c r="Q37" s="3">
        <f>IF(Q$16&gt;0,SUM(Q9:Q13)*Assumptions!$B$65,0)</f>
        <v>1874.308740857143</v>
      </c>
      <c r="R37" s="37">
        <f t="shared" si="89"/>
        <v>27640.385655241073</v>
      </c>
      <c r="S37" s="3">
        <f>IF(S$16&gt;0,SUM(S9:S13)*Assumptions!$B$65,0)</f>
        <v>1827.4510223357142</v>
      </c>
      <c r="T37" s="3">
        <f>IF(T$16&gt;0,SUM(T9:T13)*Assumptions!$B$65,0)</f>
        <v>1942.8948369187499</v>
      </c>
      <c r="U37" s="3">
        <f>IF(U$16&gt;0,SUM(U9:U13)*Assumptions!$B$65,0)</f>
        <v>2741.176533503572</v>
      </c>
      <c r="V37" s="3">
        <f>IF(V$16&gt;0,SUM(V9:V13)*Assumptions!$B$65,0)</f>
        <v>3242.2518138214282</v>
      </c>
      <c r="W37" s="3">
        <f>IF(W$16&gt;0,SUM(W9:W13)*Assumptions!$B$65,0)</f>
        <v>3654.9020446714285</v>
      </c>
      <c r="X37" s="3">
        <f>IF(X$16&gt;0,SUM(X9:X13)*Assumptions!$B$65,0)</f>
        <v>3684.3770611607133</v>
      </c>
      <c r="Y37" s="3">
        <f>IF(Y$16&gt;0,SUM(Y9:Y13)*Assumptions!$B$65,0)</f>
        <v>3807.1896298660713</v>
      </c>
      <c r="Z37" s="3">
        <f>IF(Z$16&gt;0,SUM(Z9:Z13)*Assumptions!$B$65,0)</f>
        <v>3654.9020446714285</v>
      </c>
      <c r="AA37" s="3">
        <f>IF(AA$16&gt;0,SUM(AA9:AA13)*Assumptions!$B$65,0)</f>
        <v>3242.2518138214282</v>
      </c>
      <c r="AB37" s="3">
        <f>IF(AB$16&gt;0,SUM(AB9:AB13)*Assumptions!$B$65,0)</f>
        <v>3045.7517038928572</v>
      </c>
      <c r="AC37" s="3">
        <f>IF(AC$16&gt;0,SUM(AC9:AC13)*Assumptions!$B$65,0)</f>
        <v>2652.7514840357139</v>
      </c>
      <c r="AD37" s="3">
        <f>IF(AD$16&gt;0,SUM(AD9:AD13)*Assumptions!$B$65,0)</f>
        <v>2436.601363114286</v>
      </c>
      <c r="AE37" s="37">
        <f t="shared" si="90"/>
        <v>35932.501351813386</v>
      </c>
      <c r="AF37" s="3">
        <f>IF(AF$16&gt;0,SUM(AF9:AF13)*Assumptions!$B$65,0)</f>
        <v>2115.2879017642445</v>
      </c>
      <c r="AG37" s="3">
        <f>IF(AG$16&gt;0,SUM(AG9:AG13)*Assumptions!$B$65,0)</f>
        <v>2248.91496007462</v>
      </c>
      <c r="AH37" s="3">
        <f>IF(AH$16&gt;0,SUM(AH9:AH13)*Assumptions!$B$65,0)</f>
        <v>3172.9318526463667</v>
      </c>
      <c r="AI37" s="3">
        <f>IF(AI$16&gt;0,SUM(AI9:AI13)*Assumptions!$B$65,0)</f>
        <v>3752.9301482914011</v>
      </c>
      <c r="AJ37" s="3">
        <f>IF(AJ$16&gt;0,SUM(AJ9:AJ13)*Assumptions!$B$65,0)</f>
        <v>4230.5758035284889</v>
      </c>
      <c r="AK37" s="3">
        <f>IF(AK$16&gt;0,SUM(AK9:AK13)*Assumptions!$B$65,0)</f>
        <v>4264.6933503311366</v>
      </c>
      <c r="AL37" s="3">
        <f>IF(AL$16&gt;0,SUM(AL9:AL13)*Assumptions!$B$65,0)</f>
        <v>4406.8497953421747</v>
      </c>
      <c r="AM37" s="3">
        <f>IF(AM$16&gt;0,SUM(AM9:AM13)*Assumptions!$B$65,0)</f>
        <v>4230.5758035284889</v>
      </c>
      <c r="AN37" s="3">
        <f>IF(AN$16&gt;0,SUM(AN9:AN13)*Assumptions!$B$65,0)</f>
        <v>3752.9301482914011</v>
      </c>
      <c r="AO37" s="3">
        <f>IF(AO$16&gt;0,SUM(AO9:AO13)*Assumptions!$B$65,0)</f>
        <v>3525.4798362737406</v>
      </c>
      <c r="AP37" s="3">
        <f>IF(AP$16&gt;0,SUM(AP9:AP13)*Assumptions!$B$65,0)</f>
        <v>3070.5792122384196</v>
      </c>
      <c r="AQ37" s="3">
        <f>IF(AQ$16&gt;0,SUM(AQ9:AQ13)*Assumptions!$B$65,0)</f>
        <v>2820.3838690189923</v>
      </c>
      <c r="AR37" s="37">
        <f t="shared" si="91"/>
        <v>41592.13268132948</v>
      </c>
      <c r="AS37" s="3">
        <f>IF(AS$16&gt;0,SUM(AS9:AS13)*Assumptions!$B$65,0)</f>
        <v>2355.9257294901522</v>
      </c>
      <c r="AT37" s="3">
        <f>IF(AT$16&gt;0,SUM(AT9:AT13)*Assumptions!$B$65,0)</f>
        <v>2504.7543710036421</v>
      </c>
      <c r="AU37" s="3">
        <f>IF(AU$16&gt;0,SUM(AU9:AU13)*Assumptions!$B$65,0)</f>
        <v>3533.8885942352276</v>
      </c>
      <c r="AV37" s="3">
        <f>IF(AV$16&gt;0,SUM(AV9:AV13)*Assumptions!$B$65,0)</f>
        <v>4179.8682297405921</v>
      </c>
      <c r="AW37" s="3">
        <f>IF(AW$16&gt;0,SUM(AW9:AW13)*Assumptions!$B$65,0)</f>
        <v>4711.8514589803044</v>
      </c>
      <c r="AX37" s="3">
        <f>IF(AX$16&gt;0,SUM(AX9:AX13)*Assumptions!$B$65,0)</f>
        <v>4749.8502610688529</v>
      </c>
      <c r="AY37" s="3">
        <f>IF(AY$16&gt;0,SUM(AY9:AY13)*Assumptions!$B$65,0)</f>
        <v>4908.178603104483</v>
      </c>
      <c r="AZ37" s="3">
        <f>IF(AZ$16&gt;0,SUM(AZ9:AZ13)*Assumptions!$B$65,0)</f>
        <v>4711.8514589803044</v>
      </c>
      <c r="BA37" s="3">
        <f>IF(BA$16&gt;0,SUM(BA9:BA13)*Assumptions!$B$65,0)</f>
        <v>4179.8682297405921</v>
      </c>
      <c r="BB37" s="3">
        <f>IF(BB$16&gt;0,SUM(BB9:BB13)*Assumptions!$B$65,0)</f>
        <v>3926.5428824835863</v>
      </c>
      <c r="BC37" s="3">
        <f>IF(BC$16&gt;0,SUM(BC9:BC13)*Assumptions!$B$65,0)</f>
        <v>3419.8921879695754</v>
      </c>
      <c r="BD37" s="3">
        <f>IF(BD$16&gt;0,SUM(BD9:BD13)*Assumptions!$B$65,0)</f>
        <v>3141.234305986869</v>
      </c>
      <c r="BE37" s="37">
        <f t="shared" si="92"/>
        <v>46323.706312784183</v>
      </c>
      <c r="BF37" s="3">
        <f>IF(BF$16&gt;0,SUM(BF9:BF13)*Assumptions!$B$65,0)</f>
        <v>2624.4988419827305</v>
      </c>
      <c r="BG37" s="3">
        <f>IF(BG$16&gt;0,SUM(BG9:BG13)*Assumptions!$B$65,0)</f>
        <v>2790.2937957101344</v>
      </c>
      <c r="BH37" s="3">
        <f>IF(BH$16&gt;0,SUM(BH9:BH13)*Assumptions!$B$65,0)</f>
        <v>3936.7482629740966</v>
      </c>
      <c r="BI37" s="3">
        <f>IF(BI$16&gt;0,SUM(BI9:BI13)*Assumptions!$B$65,0)</f>
        <v>4656.3689131951678</v>
      </c>
      <c r="BJ37" s="3">
        <f>IF(BJ$16&gt;0,SUM(BJ9:BJ13)*Assumptions!$B$65,0)</f>
        <v>5248.997683965461</v>
      </c>
      <c r="BK37" s="3">
        <f>IF(BK$16&gt;0,SUM(BK9:BK13)*Assumptions!$B$65,0)</f>
        <v>5291.3283104490547</v>
      </c>
      <c r="BL37" s="3">
        <f>IF(BL$16&gt;0,SUM(BL9:BL13)*Assumptions!$B$65,0)</f>
        <v>5467.7059207973571</v>
      </c>
      <c r="BM37" s="3">
        <f>IF(BM$16&gt;0,SUM(BM9:BM13)*Assumptions!$B$65,0)</f>
        <v>5248.997683965461</v>
      </c>
      <c r="BN37" s="3">
        <f>IF(BN$16&gt;0,SUM(BN9:BN13)*Assumptions!$B$65,0)</f>
        <v>4656.3689131951678</v>
      </c>
      <c r="BO37" s="3">
        <f>IF(BO$16&gt;0,SUM(BO9:BO13)*Assumptions!$B$65,0)</f>
        <v>4374.1647366378838</v>
      </c>
      <c r="BP37" s="3">
        <f>IF(BP$16&gt;0,SUM(BP9:BP13)*Assumptions!$B$65,0)</f>
        <v>3809.7563835233191</v>
      </c>
      <c r="BQ37" s="3">
        <f>IF(BQ$16&gt;0,SUM(BQ9:BQ13)*Assumptions!$B$65,0)</f>
        <v>3499.3317893103081</v>
      </c>
      <c r="BR37" s="37">
        <f t="shared" si="93"/>
        <v>51604.56123570614</v>
      </c>
      <c r="BS37" s="37">
        <f t="shared" si="94"/>
        <v>203093.28723687428</v>
      </c>
    </row>
    <row r="39" spans="1:72" ht="15.75" customHeight="1">
      <c r="A39" s="2"/>
      <c r="B39" s="21"/>
      <c r="C39" s="24" t="s">
        <v>49</v>
      </c>
      <c r="D39" s="24"/>
      <c r="E39" s="24"/>
      <c r="F39" s="3">
        <f>Assumptions!$B$66</f>
        <v>105.25</v>
      </c>
      <c r="G39" s="3">
        <f>Assumptions!$B$66</f>
        <v>105.25</v>
      </c>
      <c r="H39" s="3">
        <f>Assumptions!$B$66</f>
        <v>105.25</v>
      </c>
      <c r="I39" s="3">
        <f>Assumptions!$B$66</f>
        <v>105.25</v>
      </c>
      <c r="J39" s="3">
        <f>Assumptions!$B$66</f>
        <v>105.25</v>
      </c>
      <c r="K39" s="3">
        <f>Assumptions!$B$66</f>
        <v>105.25</v>
      </c>
      <c r="L39" s="3">
        <f>Assumptions!$B$66</f>
        <v>105.25</v>
      </c>
      <c r="M39" s="3">
        <f>Assumptions!$B$66</f>
        <v>105.25</v>
      </c>
      <c r="N39" s="3">
        <f>Assumptions!$B$66</f>
        <v>105.25</v>
      </c>
      <c r="O39" s="3">
        <f>Assumptions!$B$66</f>
        <v>105.25</v>
      </c>
      <c r="P39" s="3">
        <f>Assumptions!$B$66</f>
        <v>105.25</v>
      </c>
      <c r="Q39" s="3">
        <f>Assumptions!$B$66</f>
        <v>105.25</v>
      </c>
      <c r="R39" s="37">
        <f t="shared" si="89"/>
        <v>1263</v>
      </c>
      <c r="S39" s="3">
        <f>Assumptions!$H$66</f>
        <v>110.5125</v>
      </c>
      <c r="T39" s="3">
        <f>Assumptions!$H$66</f>
        <v>110.5125</v>
      </c>
      <c r="U39" s="3">
        <f>Assumptions!$H$66</f>
        <v>110.5125</v>
      </c>
      <c r="V39" s="3">
        <f>Assumptions!$H$66</f>
        <v>110.5125</v>
      </c>
      <c r="W39" s="3">
        <f>Assumptions!$H$66</f>
        <v>110.5125</v>
      </c>
      <c r="X39" s="3">
        <f>Assumptions!$H$66</f>
        <v>110.5125</v>
      </c>
      <c r="Y39" s="3">
        <f>Assumptions!$H$66</f>
        <v>110.5125</v>
      </c>
      <c r="Z39" s="3">
        <f>Assumptions!$H$66</f>
        <v>110.5125</v>
      </c>
      <c r="AA39" s="3">
        <f>Assumptions!$H$66</f>
        <v>110.5125</v>
      </c>
      <c r="AB39" s="3">
        <f>Assumptions!$H$66</f>
        <v>110.5125</v>
      </c>
      <c r="AC39" s="3">
        <f>Assumptions!$H$66</f>
        <v>110.5125</v>
      </c>
      <c r="AD39" s="3">
        <f>Assumptions!$H$66</f>
        <v>110.5125</v>
      </c>
      <c r="AE39" s="37">
        <f t="shared" si="90"/>
        <v>1326.1500000000003</v>
      </c>
      <c r="AF39" s="3">
        <f>Assumptions!$I$66</f>
        <v>116.03812500000001</v>
      </c>
      <c r="AG39" s="3">
        <f>Assumptions!$I$66</f>
        <v>116.03812500000001</v>
      </c>
      <c r="AH39" s="3">
        <f>Assumptions!$I$66</f>
        <v>116.03812500000001</v>
      </c>
      <c r="AI39" s="3">
        <f>Assumptions!$I$66</f>
        <v>116.03812500000001</v>
      </c>
      <c r="AJ39" s="3">
        <f>Assumptions!$I$66</f>
        <v>116.03812500000001</v>
      </c>
      <c r="AK39" s="3">
        <f>Assumptions!$I$66</f>
        <v>116.03812500000001</v>
      </c>
      <c r="AL39" s="3">
        <f>Assumptions!$I$66</f>
        <v>116.03812500000001</v>
      </c>
      <c r="AM39" s="3">
        <f>Assumptions!$I$66</f>
        <v>116.03812500000001</v>
      </c>
      <c r="AN39" s="3">
        <f>Assumptions!$I$66</f>
        <v>116.03812500000001</v>
      </c>
      <c r="AO39" s="3">
        <f>Assumptions!$I$66</f>
        <v>116.03812500000001</v>
      </c>
      <c r="AP39" s="3">
        <f>Assumptions!$I$66</f>
        <v>116.03812500000001</v>
      </c>
      <c r="AQ39" s="3">
        <f>Assumptions!$I$66</f>
        <v>116.03812500000001</v>
      </c>
      <c r="AR39" s="37">
        <f t="shared" si="91"/>
        <v>1392.4575000000002</v>
      </c>
      <c r="AS39" s="3">
        <f>Assumptions!$J$66</f>
        <v>121.84003125000001</v>
      </c>
      <c r="AT39" s="3">
        <f>Assumptions!$J$66</f>
        <v>121.84003125000001</v>
      </c>
      <c r="AU39" s="3">
        <f>Assumptions!$J$66</f>
        <v>121.84003125000001</v>
      </c>
      <c r="AV39" s="3">
        <f>Assumptions!$J$66</f>
        <v>121.84003125000001</v>
      </c>
      <c r="AW39" s="3">
        <f>Assumptions!$J$66</f>
        <v>121.84003125000001</v>
      </c>
      <c r="AX39" s="3">
        <f>Assumptions!$J$66</f>
        <v>121.84003125000001</v>
      </c>
      <c r="AY39" s="3">
        <f>Assumptions!$J$66</f>
        <v>121.84003125000001</v>
      </c>
      <c r="AZ39" s="3">
        <f>Assumptions!$J$66</f>
        <v>121.84003125000001</v>
      </c>
      <c r="BA39" s="3">
        <f>Assumptions!$J$66</f>
        <v>121.84003125000001</v>
      </c>
      <c r="BB39" s="3">
        <f>Assumptions!$J$66</f>
        <v>121.84003125000001</v>
      </c>
      <c r="BC39" s="3">
        <f>Assumptions!$J$66</f>
        <v>121.84003125000001</v>
      </c>
      <c r="BD39" s="3">
        <f>Assumptions!$J$66</f>
        <v>121.84003125000001</v>
      </c>
      <c r="BE39" s="37">
        <f t="shared" si="92"/>
        <v>1462.0803750000002</v>
      </c>
      <c r="BF39" s="3">
        <f>Assumptions!$K$66</f>
        <v>127.93203281250001</v>
      </c>
      <c r="BG39" s="3">
        <f>Assumptions!$K$66</f>
        <v>127.93203281250001</v>
      </c>
      <c r="BH39" s="3">
        <f>Assumptions!$K$66</f>
        <v>127.93203281250001</v>
      </c>
      <c r="BI39" s="3">
        <f>Assumptions!$K$66</f>
        <v>127.93203281250001</v>
      </c>
      <c r="BJ39" s="3">
        <f>Assumptions!$K$66</f>
        <v>127.93203281250001</v>
      </c>
      <c r="BK39" s="3">
        <f>Assumptions!$K$66</f>
        <v>127.93203281250001</v>
      </c>
      <c r="BL39" s="3">
        <f>Assumptions!$K$66</f>
        <v>127.93203281250001</v>
      </c>
      <c r="BM39" s="3">
        <f>Assumptions!$K$66</f>
        <v>127.93203281250001</v>
      </c>
      <c r="BN39" s="3">
        <f>Assumptions!$K$66</f>
        <v>127.93203281250001</v>
      </c>
      <c r="BO39" s="3">
        <f>Assumptions!$K$66</f>
        <v>127.93203281250001</v>
      </c>
      <c r="BP39" s="3">
        <f>Assumptions!$K$66</f>
        <v>127.93203281250001</v>
      </c>
      <c r="BQ39" s="3">
        <f>Assumptions!$K$66</f>
        <v>127.93203281250001</v>
      </c>
      <c r="BR39" s="37">
        <f t="shared" si="93"/>
        <v>1535.18439375</v>
      </c>
      <c r="BS39" s="37">
        <f t="shared" si="94"/>
        <v>6978.8722687500012</v>
      </c>
    </row>
    <row r="40" spans="1:72" ht="15.75" customHeight="1">
      <c r="A40" s="2"/>
      <c r="B40" s="21"/>
      <c r="C40" s="21" t="s">
        <v>50</v>
      </c>
      <c r="D40" s="24"/>
      <c r="E40" s="24"/>
      <c r="F40" s="3">
        <f>IF(G$9&gt;0,Assumptions!$B$67,0)</f>
        <v>100</v>
      </c>
      <c r="G40" s="3">
        <f>IF(H$9&gt;0,Assumptions!$B$67,0)</f>
        <v>100</v>
      </c>
      <c r="H40" s="3">
        <f>IF(I$9&gt;0,Assumptions!$B$67,0)</f>
        <v>100</v>
      </c>
      <c r="I40" s="3">
        <f>IF(J$9&gt;0,Assumptions!$B$67,0)</f>
        <v>100</v>
      </c>
      <c r="J40" s="3">
        <f>IF(K$9&gt;0,Assumptions!$B$67,0)</f>
        <v>100</v>
      </c>
      <c r="K40" s="3">
        <f>IF(L$9&gt;0,Assumptions!$B$67,0)</f>
        <v>100</v>
      </c>
      <c r="L40" s="3">
        <f>IF(M$9&gt;0,Assumptions!$B$67,0)</f>
        <v>100</v>
      </c>
      <c r="M40" s="3">
        <f>IF(N$9&gt;0,Assumptions!$B$67,0)</f>
        <v>100</v>
      </c>
      <c r="N40" s="3">
        <f>IF(O$9&gt;0,Assumptions!$B$67,0)</f>
        <v>100</v>
      </c>
      <c r="O40" s="3">
        <f>IF(P$9&gt;0,Assumptions!$B$67,0)</f>
        <v>100</v>
      </c>
      <c r="P40" s="3">
        <f>IF(Q$9&gt;0,Assumptions!$B$67,0)</f>
        <v>100</v>
      </c>
      <c r="Q40" s="3">
        <f>IF(R$9&gt;0,Assumptions!$B$67,0)</f>
        <v>100</v>
      </c>
      <c r="R40" s="37">
        <f t="shared" si="89"/>
        <v>1200</v>
      </c>
      <c r="S40" s="3">
        <f>Assumptions!$B$67*(1+Assumptions!$D$67)</f>
        <v>105</v>
      </c>
      <c r="T40" s="3">
        <f>Assumptions!$B$67*(1+Assumptions!$D$67)</f>
        <v>105</v>
      </c>
      <c r="U40" s="3">
        <f>Assumptions!$B$67*(1+Assumptions!$D$67)</f>
        <v>105</v>
      </c>
      <c r="V40" s="3">
        <f>Assumptions!$B$67*(1+Assumptions!$D$67)</f>
        <v>105</v>
      </c>
      <c r="W40" s="3">
        <f>Assumptions!$B$67*(1+Assumptions!$D$67)</f>
        <v>105</v>
      </c>
      <c r="X40" s="3">
        <f>Assumptions!$B$67*(1+Assumptions!$D$67)</f>
        <v>105</v>
      </c>
      <c r="Y40" s="3">
        <f>Assumptions!$B$67*(1+Assumptions!$D$67)</f>
        <v>105</v>
      </c>
      <c r="Z40" s="3">
        <f>Assumptions!$B$67*(1+Assumptions!$D$67)</f>
        <v>105</v>
      </c>
      <c r="AA40" s="3">
        <f>Assumptions!$B$67*(1+Assumptions!$D$67)</f>
        <v>105</v>
      </c>
      <c r="AB40" s="3">
        <f>Assumptions!$B$67*(1+Assumptions!$D$67)</f>
        <v>105</v>
      </c>
      <c r="AC40" s="3">
        <f>Assumptions!$B$67*(1+Assumptions!$D$67)</f>
        <v>105</v>
      </c>
      <c r="AD40" s="3">
        <f>Assumptions!$B$67*(1+Assumptions!$D$67)</f>
        <v>105</v>
      </c>
      <c r="AE40" s="37">
        <f t="shared" si="90"/>
        <v>1260</v>
      </c>
      <c r="AF40" s="3">
        <f>Assumptions!$B$67*(1+Assumptions!$D$67)*(1+Assumptions!$E$67)</f>
        <v>109.2</v>
      </c>
      <c r="AG40" s="3">
        <f>Assumptions!$B$67*(1+Assumptions!$D$67)*(1+Assumptions!$E$67)</f>
        <v>109.2</v>
      </c>
      <c r="AH40" s="3">
        <f>Assumptions!$B$67*(1+Assumptions!$D$67)*(1+Assumptions!$E$67)</f>
        <v>109.2</v>
      </c>
      <c r="AI40" s="3">
        <f>Assumptions!$B$67*(1+Assumptions!$D$67)*(1+Assumptions!$E$67)</f>
        <v>109.2</v>
      </c>
      <c r="AJ40" s="3">
        <f>Assumptions!$B$67*(1+Assumptions!$D$67)*(1+Assumptions!$E$67)</f>
        <v>109.2</v>
      </c>
      <c r="AK40" s="3">
        <f>Assumptions!$B$67*(1+Assumptions!$D$67)*(1+Assumptions!$E$67)</f>
        <v>109.2</v>
      </c>
      <c r="AL40" s="3">
        <f>Assumptions!$B$67*(1+Assumptions!$D$67)*(1+Assumptions!$E$67)</f>
        <v>109.2</v>
      </c>
      <c r="AM40" s="3">
        <f>Assumptions!$B$67*(1+Assumptions!$D$67)*(1+Assumptions!$E$67)</f>
        <v>109.2</v>
      </c>
      <c r="AN40" s="3">
        <f>Assumptions!$B$67*(1+Assumptions!$D$67)*(1+Assumptions!$E$67)</f>
        <v>109.2</v>
      </c>
      <c r="AO40" s="3">
        <f>Assumptions!$B$67*(1+Assumptions!$D$67)*(1+Assumptions!$E$67)</f>
        <v>109.2</v>
      </c>
      <c r="AP40" s="3">
        <f>Assumptions!$B$67*(1+Assumptions!$D$67)*(1+Assumptions!$E$67)</f>
        <v>109.2</v>
      </c>
      <c r="AQ40" s="3">
        <f>Assumptions!$B$67*(1+Assumptions!$D$67)*(1+Assumptions!$E$67)</f>
        <v>109.2</v>
      </c>
      <c r="AR40" s="37">
        <f t="shared" si="91"/>
        <v>1310.4000000000003</v>
      </c>
      <c r="AS40" s="3">
        <f>Assumptions!$B$67*(1+Assumptions!$D$67)*(1+Assumptions!$E$67)*(1+Assumptions!$F$67)</f>
        <v>112.476</v>
      </c>
      <c r="AT40" s="3">
        <f>Assumptions!$B$67*(1+Assumptions!$D$67)*(1+Assumptions!$E$67)*(1+Assumptions!$F$67)</f>
        <v>112.476</v>
      </c>
      <c r="AU40" s="3">
        <f>Assumptions!$B$67*(1+Assumptions!$D$67)*(1+Assumptions!$E$67)*(1+Assumptions!$F$67)</f>
        <v>112.476</v>
      </c>
      <c r="AV40" s="3">
        <f>Assumptions!$B$67*(1+Assumptions!$D$67)*(1+Assumptions!$E$67)*(1+Assumptions!$F$67)</f>
        <v>112.476</v>
      </c>
      <c r="AW40" s="3">
        <f>Assumptions!$B$67*(1+Assumptions!$D$67)*(1+Assumptions!$E$67)*(1+Assumptions!$F$67)</f>
        <v>112.476</v>
      </c>
      <c r="AX40" s="3">
        <f>Assumptions!$B$67*(1+Assumptions!$D$67)*(1+Assumptions!$E$67)*(1+Assumptions!$F$67)</f>
        <v>112.476</v>
      </c>
      <c r="AY40" s="3">
        <f>Assumptions!$B$67*(1+Assumptions!$D$67)*(1+Assumptions!$E$67)*(1+Assumptions!$F$67)</f>
        <v>112.476</v>
      </c>
      <c r="AZ40" s="3">
        <f>Assumptions!$B$67*(1+Assumptions!$D$67)*(1+Assumptions!$E$67)*(1+Assumptions!$F$67)</f>
        <v>112.476</v>
      </c>
      <c r="BA40" s="3">
        <f>Assumptions!$B$67*(1+Assumptions!$D$67)*(1+Assumptions!$E$67)*(1+Assumptions!$F$67)</f>
        <v>112.476</v>
      </c>
      <c r="BB40" s="3">
        <f>Assumptions!$B$67*(1+Assumptions!$D$67)*(1+Assumptions!$E$67)*(1+Assumptions!$F$67)</f>
        <v>112.476</v>
      </c>
      <c r="BC40" s="3">
        <f>Assumptions!$B$67*(1+Assumptions!$D$67)*(1+Assumptions!$E$67)*(1+Assumptions!$F$67)</f>
        <v>112.476</v>
      </c>
      <c r="BD40" s="3">
        <f>Assumptions!$B$67*(1+Assumptions!$D$67)*(1+Assumptions!$E$67)*(1+Assumptions!$F$67)</f>
        <v>112.476</v>
      </c>
      <c r="BE40" s="37">
        <f t="shared" si="92"/>
        <v>1349.712</v>
      </c>
      <c r="BF40" s="3">
        <f>Assumptions!$B$67*(1+Assumptions!$D$67)*(1+Assumptions!$E$67)*(1+Assumptions!$F$67)*(1+Assumptions!$G$67)</f>
        <v>114.72552</v>
      </c>
      <c r="BG40" s="3">
        <f>Assumptions!$B$67*(1+Assumptions!$D$67)*(1+Assumptions!$E$67)*(1+Assumptions!$F$67)*(1+Assumptions!$G$67)</f>
        <v>114.72552</v>
      </c>
      <c r="BH40" s="3">
        <f>Assumptions!$B$67*(1+Assumptions!$D$67)*(1+Assumptions!$E$67)*(1+Assumptions!$F$67)*(1+Assumptions!$G$67)</f>
        <v>114.72552</v>
      </c>
      <c r="BI40" s="3">
        <f>Assumptions!$B$67*(1+Assumptions!$D$67)*(1+Assumptions!$E$67)*(1+Assumptions!$F$67)*(1+Assumptions!$G$67)</f>
        <v>114.72552</v>
      </c>
      <c r="BJ40" s="3">
        <f>Assumptions!$B$67*(1+Assumptions!$D$67)*(1+Assumptions!$E$67)*(1+Assumptions!$F$67)*(1+Assumptions!$G$67)</f>
        <v>114.72552</v>
      </c>
      <c r="BK40" s="3">
        <f>Assumptions!$B$67*(1+Assumptions!$D$67)*(1+Assumptions!$E$67)*(1+Assumptions!$F$67)*(1+Assumptions!$G$67)</f>
        <v>114.72552</v>
      </c>
      <c r="BL40" s="3">
        <f>Assumptions!$B$67*(1+Assumptions!$D$67)*(1+Assumptions!$E$67)*(1+Assumptions!$F$67)*(1+Assumptions!$G$67)</f>
        <v>114.72552</v>
      </c>
      <c r="BM40" s="3">
        <f>Assumptions!$B$67*(1+Assumptions!$D$67)*(1+Assumptions!$E$67)*(1+Assumptions!$F$67)*(1+Assumptions!$G$67)</f>
        <v>114.72552</v>
      </c>
      <c r="BN40" s="3">
        <f>Assumptions!$B$67*(1+Assumptions!$D$67)*(1+Assumptions!$E$67)*(1+Assumptions!$F$67)*(1+Assumptions!$G$67)</f>
        <v>114.72552</v>
      </c>
      <c r="BO40" s="3">
        <f>Assumptions!$B$67*(1+Assumptions!$D$67)*(1+Assumptions!$E$67)*(1+Assumptions!$F$67)*(1+Assumptions!$G$67)</f>
        <v>114.72552</v>
      </c>
      <c r="BP40" s="3">
        <f>Assumptions!$B$67*(1+Assumptions!$D$67)*(1+Assumptions!$E$67)*(1+Assumptions!$F$67)*(1+Assumptions!$G$67)</f>
        <v>114.72552</v>
      </c>
      <c r="BQ40" s="3">
        <f>Assumptions!$B$67*(1+Assumptions!$D$67)*(1+Assumptions!$E$67)*(1+Assumptions!$F$67)*(1+Assumptions!$G$67)</f>
        <v>114.72552</v>
      </c>
      <c r="BR40" s="37">
        <f t="shared" si="93"/>
        <v>1376.7062399999998</v>
      </c>
      <c r="BS40" s="37">
        <f t="shared" si="94"/>
        <v>6496.8182400000005</v>
      </c>
    </row>
    <row r="41" spans="1:72" ht="15.75" customHeight="1">
      <c r="A41" s="2"/>
      <c r="B41" s="21"/>
      <c r="C41" s="24" t="s">
        <v>51</v>
      </c>
      <c r="D41" s="24"/>
      <c r="E41" s="2"/>
      <c r="F41" s="3">
        <f>Assumptions!$B$68</f>
        <v>450</v>
      </c>
      <c r="G41" s="3">
        <f>Assumptions!$B$68</f>
        <v>450</v>
      </c>
      <c r="H41" s="3">
        <f>Assumptions!$B$68</f>
        <v>450</v>
      </c>
      <c r="I41" s="3">
        <f>Assumptions!$B$68</f>
        <v>450</v>
      </c>
      <c r="J41" s="3">
        <f>Assumptions!$B$68</f>
        <v>450</v>
      </c>
      <c r="K41" s="3">
        <f>Assumptions!$B$68</f>
        <v>450</v>
      </c>
      <c r="L41" s="3">
        <f>Assumptions!$B$68</f>
        <v>450</v>
      </c>
      <c r="M41" s="3">
        <f>Assumptions!$B$68</f>
        <v>450</v>
      </c>
      <c r="N41" s="3">
        <f>Assumptions!$B$68</f>
        <v>450</v>
      </c>
      <c r="O41" s="3">
        <f>Assumptions!$B$68</f>
        <v>450</v>
      </c>
      <c r="P41" s="3">
        <f>Assumptions!$B$68</f>
        <v>450</v>
      </c>
      <c r="Q41" s="3">
        <f>Assumptions!$B$68</f>
        <v>450</v>
      </c>
      <c r="R41" s="37">
        <f t="shared" si="89"/>
        <v>5400</v>
      </c>
      <c r="S41" s="3">
        <f>Assumptions!$B$68*(1+Assumptions!$D$68)</f>
        <v>472.5</v>
      </c>
      <c r="T41" s="3">
        <f>Assumptions!$B$68*(1+Assumptions!$D$68)</f>
        <v>472.5</v>
      </c>
      <c r="U41" s="3">
        <f>Assumptions!$B$68*(1+Assumptions!$D$68)</f>
        <v>472.5</v>
      </c>
      <c r="V41" s="3">
        <f>Assumptions!$B$68*(1+Assumptions!$D$68)</f>
        <v>472.5</v>
      </c>
      <c r="W41" s="3">
        <f>Assumptions!$B$68*(1+Assumptions!$D$68)</f>
        <v>472.5</v>
      </c>
      <c r="X41" s="3">
        <f>Assumptions!$B$68*(1+Assumptions!$D$68)</f>
        <v>472.5</v>
      </c>
      <c r="Y41" s="3">
        <f>Assumptions!$B$68*(1+Assumptions!$D$68)</f>
        <v>472.5</v>
      </c>
      <c r="Z41" s="3">
        <f>Assumptions!$B$68*(1+Assumptions!$D$68)</f>
        <v>472.5</v>
      </c>
      <c r="AA41" s="3">
        <f>Assumptions!$B$68*(1+Assumptions!$D$68)</f>
        <v>472.5</v>
      </c>
      <c r="AB41" s="3">
        <f>Assumptions!$B$68*(1+Assumptions!$D$68)</f>
        <v>472.5</v>
      </c>
      <c r="AC41" s="3">
        <f>Assumptions!$B$68*(1+Assumptions!$D$68)</f>
        <v>472.5</v>
      </c>
      <c r="AD41" s="3">
        <f>Assumptions!$B$68*(1+Assumptions!$D$68)</f>
        <v>472.5</v>
      </c>
      <c r="AE41" s="37">
        <f t="shared" si="90"/>
        <v>5670</v>
      </c>
      <c r="AF41" s="3">
        <f>Assumptions!$B$68*(1+Assumptions!$D$68)*(1+Assumptions!$E$68)</f>
        <v>491.40000000000003</v>
      </c>
      <c r="AG41" s="3">
        <f>Assumptions!$B$68*(1+Assumptions!$D$68)*(1+Assumptions!$E$68)</f>
        <v>491.40000000000003</v>
      </c>
      <c r="AH41" s="3">
        <f>Assumptions!$B$68*(1+Assumptions!$D$68)*(1+Assumptions!$E$68)</f>
        <v>491.40000000000003</v>
      </c>
      <c r="AI41" s="3">
        <f>Assumptions!$B$68*(1+Assumptions!$D$68)*(1+Assumptions!$E$68)</f>
        <v>491.40000000000003</v>
      </c>
      <c r="AJ41" s="3">
        <f>Assumptions!$B$68*(1+Assumptions!$D$68)*(1+Assumptions!$E$68)</f>
        <v>491.40000000000003</v>
      </c>
      <c r="AK41" s="3">
        <f>Assumptions!$B$68*(1+Assumptions!$D$68)*(1+Assumptions!$E$68)</f>
        <v>491.40000000000003</v>
      </c>
      <c r="AL41" s="3">
        <f>Assumptions!$B$68*(1+Assumptions!$D$68)*(1+Assumptions!$E$68)</f>
        <v>491.40000000000003</v>
      </c>
      <c r="AM41" s="3">
        <f>Assumptions!$B$68*(1+Assumptions!$D$68)*(1+Assumptions!$E$68)</f>
        <v>491.40000000000003</v>
      </c>
      <c r="AN41" s="3">
        <f>Assumptions!$B$68*(1+Assumptions!$D$68)*(1+Assumptions!$E$68)</f>
        <v>491.40000000000003</v>
      </c>
      <c r="AO41" s="3">
        <f>Assumptions!$B$68*(1+Assumptions!$D$68)*(1+Assumptions!$E$68)</f>
        <v>491.40000000000003</v>
      </c>
      <c r="AP41" s="3">
        <f>Assumptions!$B$68*(1+Assumptions!$D$68)*(1+Assumptions!$E$68)</f>
        <v>491.40000000000003</v>
      </c>
      <c r="AQ41" s="3">
        <f>Assumptions!$B$68*(1+Assumptions!$D$68)*(1+Assumptions!$E$68)</f>
        <v>491.40000000000003</v>
      </c>
      <c r="AR41" s="37">
        <f t="shared" si="91"/>
        <v>5896.7999999999993</v>
      </c>
      <c r="AS41" s="3">
        <f>Assumptions!$B$68*(1+Assumptions!$D$68)*(1+Assumptions!$E$68)*(1+Assumptions!$F$68)</f>
        <v>506.14200000000005</v>
      </c>
      <c r="AT41" s="3">
        <f>Assumptions!$B$68*(1+Assumptions!$D$68)*(1+Assumptions!$E$68)*(1+Assumptions!$F$68)</f>
        <v>506.14200000000005</v>
      </c>
      <c r="AU41" s="3">
        <f>Assumptions!$B$68*(1+Assumptions!$D$68)*(1+Assumptions!$E$68)*(1+Assumptions!$F$68)</f>
        <v>506.14200000000005</v>
      </c>
      <c r="AV41" s="3">
        <f>Assumptions!$B$68*(1+Assumptions!$D$68)*(1+Assumptions!$E$68)*(1+Assumptions!$F$68)</f>
        <v>506.14200000000005</v>
      </c>
      <c r="AW41" s="3">
        <f>Assumptions!$B$68*(1+Assumptions!$D$68)*(1+Assumptions!$E$68)*(1+Assumptions!$F$68)</f>
        <v>506.14200000000005</v>
      </c>
      <c r="AX41" s="3">
        <f>Assumptions!$B$68*(1+Assumptions!$D$68)*(1+Assumptions!$E$68)*(1+Assumptions!$F$68)</f>
        <v>506.14200000000005</v>
      </c>
      <c r="AY41" s="3">
        <f>Assumptions!$B$68*(1+Assumptions!$D$68)*(1+Assumptions!$E$68)*(1+Assumptions!$F$68)</f>
        <v>506.14200000000005</v>
      </c>
      <c r="AZ41" s="3">
        <f>Assumptions!$B$68*(1+Assumptions!$D$68)*(1+Assumptions!$E$68)*(1+Assumptions!$F$68)</f>
        <v>506.14200000000005</v>
      </c>
      <c r="BA41" s="3">
        <f>Assumptions!$B$68*(1+Assumptions!$D$68)*(1+Assumptions!$E$68)*(1+Assumptions!$F$68)</f>
        <v>506.14200000000005</v>
      </c>
      <c r="BB41" s="3">
        <f>Assumptions!$B$68*(1+Assumptions!$D$68)*(1+Assumptions!$E$68)*(1+Assumptions!$F$68)</f>
        <v>506.14200000000005</v>
      </c>
      <c r="BC41" s="3">
        <f>Assumptions!$B$68*(1+Assumptions!$D$68)*(1+Assumptions!$E$68)*(1+Assumptions!$F$68)</f>
        <v>506.14200000000005</v>
      </c>
      <c r="BD41" s="3">
        <f>Assumptions!$B$68*(1+Assumptions!$D$68)*(1+Assumptions!$E$68)*(1+Assumptions!$F$68)</f>
        <v>506.14200000000005</v>
      </c>
      <c r="BE41" s="37">
        <f t="shared" si="92"/>
        <v>6073.7039999999988</v>
      </c>
      <c r="BF41" s="3">
        <f>Assumptions!$B$68*(1+Assumptions!$D$68)*(1+Assumptions!$E$68)*(1+Assumptions!$F$68)*(1+Assumptions!$G$68)</f>
        <v>516.26484000000005</v>
      </c>
      <c r="BG41" s="3">
        <f>Assumptions!$B$68*(1+Assumptions!$D$68)*(1+Assumptions!$E$68)*(1+Assumptions!$F$68)*(1+Assumptions!$G$68)</f>
        <v>516.26484000000005</v>
      </c>
      <c r="BH41" s="3">
        <f>Assumptions!$B$68*(1+Assumptions!$D$68)*(1+Assumptions!$E$68)*(1+Assumptions!$F$68)*(1+Assumptions!$G$68)</f>
        <v>516.26484000000005</v>
      </c>
      <c r="BI41" s="3">
        <f>Assumptions!$B$68*(1+Assumptions!$D$68)*(1+Assumptions!$E$68)*(1+Assumptions!$F$68)*(1+Assumptions!$G$68)</f>
        <v>516.26484000000005</v>
      </c>
      <c r="BJ41" s="3">
        <f>Assumptions!$B$68*(1+Assumptions!$D$68)*(1+Assumptions!$E$68)*(1+Assumptions!$F$68)*(1+Assumptions!$G$68)</f>
        <v>516.26484000000005</v>
      </c>
      <c r="BK41" s="3">
        <f>Assumptions!$B$68*(1+Assumptions!$D$68)*(1+Assumptions!$E$68)*(1+Assumptions!$F$68)*(1+Assumptions!$G$68)</f>
        <v>516.26484000000005</v>
      </c>
      <c r="BL41" s="3">
        <f>Assumptions!$B$68*(1+Assumptions!$D$68)*(1+Assumptions!$E$68)*(1+Assumptions!$F$68)*(1+Assumptions!$G$68)</f>
        <v>516.26484000000005</v>
      </c>
      <c r="BM41" s="3">
        <f>Assumptions!$B$68*(1+Assumptions!$D$68)*(1+Assumptions!$E$68)*(1+Assumptions!$F$68)*(1+Assumptions!$G$68)</f>
        <v>516.26484000000005</v>
      </c>
      <c r="BN41" s="3">
        <f>Assumptions!$B$68*(1+Assumptions!$D$68)*(1+Assumptions!$E$68)*(1+Assumptions!$F$68)*(1+Assumptions!$G$68)</f>
        <v>516.26484000000005</v>
      </c>
      <c r="BO41" s="3">
        <f>Assumptions!$B$68*(1+Assumptions!$D$68)*(1+Assumptions!$E$68)*(1+Assumptions!$F$68)*(1+Assumptions!$G$68)</f>
        <v>516.26484000000005</v>
      </c>
      <c r="BP41" s="3">
        <f>Assumptions!$B$68*(1+Assumptions!$D$68)*(1+Assumptions!$E$68)*(1+Assumptions!$F$68)*(1+Assumptions!$G$68)</f>
        <v>516.26484000000005</v>
      </c>
      <c r="BQ41" s="3">
        <f>Assumptions!$B$68*(1+Assumptions!$D$68)*(1+Assumptions!$E$68)*(1+Assumptions!$F$68)*(1+Assumptions!$G$68)</f>
        <v>516.26484000000005</v>
      </c>
      <c r="BR41" s="37">
        <f t="shared" si="93"/>
        <v>6195.1780799999988</v>
      </c>
      <c r="BS41" s="37">
        <f t="shared" si="94"/>
        <v>29235.682079999995</v>
      </c>
    </row>
    <row r="42" spans="1:72" ht="15.75" customHeight="1">
      <c r="A42" s="2"/>
      <c r="B42" s="21"/>
      <c r="C42" s="24" t="s">
        <v>52</v>
      </c>
      <c r="D42" s="24"/>
      <c r="E42" s="2"/>
      <c r="F42" s="3">
        <f>IF(G$9&gt;0,Assumptions!$B$69,0)</f>
        <v>139.58333333333334</v>
      </c>
      <c r="G42" s="3">
        <f>IF(H$9&gt;0,Assumptions!$B$69,0)</f>
        <v>139.58333333333334</v>
      </c>
      <c r="H42" s="3">
        <f>IF(I$9&gt;0,Assumptions!$B$69,0)</f>
        <v>139.58333333333334</v>
      </c>
      <c r="I42" s="3">
        <f>IF(J$9&gt;0,Assumptions!$B$69,0)</f>
        <v>139.58333333333334</v>
      </c>
      <c r="J42" s="3">
        <f>IF(K$9&gt;0,Assumptions!$B$69,0)</f>
        <v>139.58333333333334</v>
      </c>
      <c r="K42" s="3">
        <f>IF(L$9&gt;0,Assumptions!$B$69,0)</f>
        <v>139.58333333333334</v>
      </c>
      <c r="L42" s="3">
        <f>IF(M$9&gt;0,Assumptions!$B$69,0)</f>
        <v>139.58333333333334</v>
      </c>
      <c r="M42" s="3">
        <f>IF(N$9&gt;0,Assumptions!$B$69,0)</f>
        <v>139.58333333333334</v>
      </c>
      <c r="N42" s="3">
        <f>IF(O$9&gt;0,Assumptions!$B$69,0)</f>
        <v>139.58333333333334</v>
      </c>
      <c r="O42" s="3">
        <f>IF(P$9&gt;0,Assumptions!$B$69,0)</f>
        <v>139.58333333333334</v>
      </c>
      <c r="P42" s="3">
        <f>IF(Q$9&gt;0,Assumptions!$B$69,0)</f>
        <v>139.58333333333334</v>
      </c>
      <c r="Q42" s="3">
        <f>IF(R$9&gt;0,Assumptions!$B$69,0)</f>
        <v>139.58333333333334</v>
      </c>
      <c r="R42" s="37">
        <f t="shared" si="89"/>
        <v>1674.9999999999998</v>
      </c>
      <c r="S42" s="3">
        <f>IF(T$9&gt;0,Assumptions!$B$69,0)</f>
        <v>139.58333333333334</v>
      </c>
      <c r="T42" s="3">
        <f>IF(U$9&gt;0,Assumptions!$B$69,0)</f>
        <v>139.58333333333334</v>
      </c>
      <c r="U42" s="3">
        <f>IF(V$9&gt;0,Assumptions!$B$69,0)</f>
        <v>139.58333333333334</v>
      </c>
      <c r="V42" s="3">
        <f>IF(W$9&gt;0,Assumptions!$B$69,0)</f>
        <v>139.58333333333334</v>
      </c>
      <c r="W42" s="3">
        <f>IF(X$9&gt;0,Assumptions!$B$69,0)</f>
        <v>139.58333333333334</v>
      </c>
      <c r="X42" s="3">
        <f>IF(Y$9&gt;0,Assumptions!$B$69,0)</f>
        <v>139.58333333333334</v>
      </c>
      <c r="Y42" s="3">
        <f>IF(Z$9&gt;0,Assumptions!$B$69,0)</f>
        <v>139.58333333333334</v>
      </c>
      <c r="Z42" s="3">
        <f>IF(AA$9&gt;0,Assumptions!$B$69,0)</f>
        <v>139.58333333333334</v>
      </c>
      <c r="AA42" s="3">
        <f>IF(AB$9&gt;0,Assumptions!$B$69,0)</f>
        <v>139.58333333333334</v>
      </c>
      <c r="AB42" s="3">
        <f>IF(AC$9&gt;0,Assumptions!$B$69,0)</f>
        <v>139.58333333333334</v>
      </c>
      <c r="AC42" s="3">
        <f>IF(AD$9&gt;0,Assumptions!$B$69,0)</f>
        <v>139.58333333333334</v>
      </c>
      <c r="AD42" s="3">
        <f>IF(AE$9&gt;0,Assumptions!$B$69,0)</f>
        <v>139.58333333333334</v>
      </c>
      <c r="AE42" s="37">
        <f t="shared" si="90"/>
        <v>1674.9999999999998</v>
      </c>
      <c r="AF42" s="3">
        <f>IF(AG$9&gt;0,Assumptions!$B$69,0)</f>
        <v>139.58333333333334</v>
      </c>
      <c r="AG42" s="3">
        <f>IF(AH$9&gt;0,Assumptions!$B$69,0)</f>
        <v>139.58333333333334</v>
      </c>
      <c r="AH42" s="3">
        <f>IF(AI$9&gt;0,Assumptions!$B$69,0)</f>
        <v>139.58333333333334</v>
      </c>
      <c r="AI42" s="3">
        <f>IF(AJ$9&gt;0,Assumptions!$B$69,0)</f>
        <v>139.58333333333334</v>
      </c>
      <c r="AJ42" s="3">
        <f>IF(AK$9&gt;0,Assumptions!$B$69,0)</f>
        <v>139.58333333333334</v>
      </c>
      <c r="AK42" s="3">
        <f>IF(AL$9&gt;0,Assumptions!$B$69,0)</f>
        <v>139.58333333333334</v>
      </c>
      <c r="AL42" s="3">
        <f>IF(AM$9&gt;0,Assumptions!$B$69,0)</f>
        <v>139.58333333333334</v>
      </c>
      <c r="AM42" s="3">
        <f>IF(AN$9&gt;0,Assumptions!$B$69,0)</f>
        <v>139.58333333333334</v>
      </c>
      <c r="AN42" s="3">
        <f>IF(AO$9&gt;0,Assumptions!$B$69,0)</f>
        <v>139.58333333333334</v>
      </c>
      <c r="AO42" s="3">
        <f>IF(AP$9&gt;0,Assumptions!$B$69,0)</f>
        <v>139.58333333333334</v>
      </c>
      <c r="AP42" s="3">
        <f>IF(AQ$9&gt;0,Assumptions!$B$69,0)</f>
        <v>139.58333333333334</v>
      </c>
      <c r="AQ42" s="3">
        <f>IF(AR$9&gt;0,Assumptions!$B$69,0)</f>
        <v>139.58333333333334</v>
      </c>
      <c r="AR42" s="37">
        <f t="shared" si="91"/>
        <v>1674.9999999999998</v>
      </c>
      <c r="AS42" s="3">
        <f>IF(AT$9&gt;0,Assumptions!$B$69,0)</f>
        <v>139.58333333333334</v>
      </c>
      <c r="AT42" s="3">
        <f>IF(AU$9&gt;0,Assumptions!$B$69,0)</f>
        <v>139.58333333333334</v>
      </c>
      <c r="AU42" s="3">
        <f>IF(AV$9&gt;0,Assumptions!$B$69,0)</f>
        <v>139.58333333333334</v>
      </c>
      <c r="AV42" s="3">
        <f>IF(AW$9&gt;0,Assumptions!$B$69,0)</f>
        <v>139.58333333333334</v>
      </c>
      <c r="AW42" s="3">
        <f>IF(AX$9&gt;0,Assumptions!$B$69,0)</f>
        <v>139.58333333333334</v>
      </c>
      <c r="AX42" s="3">
        <f>IF(AY$9&gt;0,Assumptions!$B$69,0)</f>
        <v>139.58333333333334</v>
      </c>
      <c r="AY42" s="3">
        <f>IF(AZ$9&gt;0,Assumptions!$B$69,0)</f>
        <v>139.58333333333334</v>
      </c>
      <c r="AZ42" s="3">
        <f>IF(BA$9&gt;0,Assumptions!$B$69,0)</f>
        <v>139.58333333333334</v>
      </c>
      <c r="BA42" s="3">
        <f>IF(BB$9&gt;0,Assumptions!$B$69,0)</f>
        <v>139.58333333333334</v>
      </c>
      <c r="BB42" s="3">
        <f>IF(BC$9&gt;0,Assumptions!$B$69,0)</f>
        <v>139.58333333333334</v>
      </c>
      <c r="BC42" s="3">
        <f>IF(BD$9&gt;0,Assumptions!$B$69,0)</f>
        <v>139.58333333333334</v>
      </c>
      <c r="BD42" s="3">
        <f>IF(BE$9&gt;0,Assumptions!$B$69,0)</f>
        <v>139.58333333333334</v>
      </c>
      <c r="BE42" s="37">
        <f t="shared" si="92"/>
        <v>1674.9999999999998</v>
      </c>
      <c r="BF42" s="3">
        <f>IF(BG$9&gt;0,Assumptions!$B$69,0)</f>
        <v>139.58333333333334</v>
      </c>
      <c r="BG42" s="3">
        <f>IF(BH$9&gt;0,Assumptions!$B$69,0)</f>
        <v>139.58333333333334</v>
      </c>
      <c r="BH42" s="3">
        <f>IF(BI$9&gt;0,Assumptions!$B$69,0)</f>
        <v>139.58333333333334</v>
      </c>
      <c r="BI42" s="3">
        <f>IF(BJ$9&gt;0,Assumptions!$B$69,0)</f>
        <v>139.58333333333334</v>
      </c>
      <c r="BJ42" s="3">
        <f>IF(BK$9&gt;0,Assumptions!$B$69,0)</f>
        <v>139.58333333333334</v>
      </c>
      <c r="BK42" s="3">
        <f>IF(BL$9&gt;0,Assumptions!$B$69,0)</f>
        <v>139.58333333333334</v>
      </c>
      <c r="BL42" s="3">
        <f>IF(BM$9&gt;0,Assumptions!$B$69,0)</f>
        <v>139.58333333333334</v>
      </c>
      <c r="BM42" s="3">
        <f>IF(BN$9&gt;0,Assumptions!$B$69,0)</f>
        <v>139.58333333333334</v>
      </c>
      <c r="BN42" s="3">
        <f>IF(BO$9&gt;0,Assumptions!$B$69,0)</f>
        <v>139.58333333333334</v>
      </c>
      <c r="BO42" s="3">
        <f>IF(BP$9&gt;0,Assumptions!$B$69,0)</f>
        <v>139.58333333333334</v>
      </c>
      <c r="BP42" s="3">
        <f>IF(BQ$9&gt;0,Assumptions!$B$69,0)</f>
        <v>139.58333333333334</v>
      </c>
      <c r="BQ42" s="3">
        <f>IF(BR$9&gt;0,Assumptions!$B$69,0)</f>
        <v>139.58333333333334</v>
      </c>
      <c r="BR42" s="37">
        <f t="shared" si="93"/>
        <v>1674.9999999999998</v>
      </c>
      <c r="BS42" s="37">
        <f t="shared" si="94"/>
        <v>8374.9999999999982</v>
      </c>
    </row>
    <row r="43" spans="1:72" ht="15.75" customHeight="1">
      <c r="A43" s="2"/>
      <c r="B43" s="21"/>
      <c r="C43" s="24" t="s">
        <v>53</v>
      </c>
      <c r="D43" s="24"/>
      <c r="E43" s="2"/>
      <c r="F43" s="3">
        <f>Assumptions!$B$70</f>
        <v>100</v>
      </c>
      <c r="G43" s="3">
        <f>Assumptions!$B$70</f>
        <v>100</v>
      </c>
      <c r="H43" s="3">
        <f>Assumptions!$B$70</f>
        <v>100</v>
      </c>
      <c r="I43" s="3">
        <f>Assumptions!$B$70</f>
        <v>100</v>
      </c>
      <c r="J43" s="3">
        <f>Assumptions!$B$70</f>
        <v>100</v>
      </c>
      <c r="K43" s="3">
        <f>Assumptions!$B$70</f>
        <v>100</v>
      </c>
      <c r="L43" s="3">
        <f>Assumptions!$B$70</f>
        <v>100</v>
      </c>
      <c r="M43" s="3">
        <f>Assumptions!$B$70</f>
        <v>100</v>
      </c>
      <c r="N43" s="3">
        <f>Assumptions!$B$70</f>
        <v>100</v>
      </c>
      <c r="O43" s="3">
        <f>Assumptions!$B$70</f>
        <v>100</v>
      </c>
      <c r="P43" s="3">
        <f>Assumptions!$B$70</f>
        <v>100</v>
      </c>
      <c r="Q43" s="3">
        <f>Assumptions!$B$70</f>
        <v>100</v>
      </c>
      <c r="R43" s="37">
        <f t="shared" si="89"/>
        <v>1200</v>
      </c>
      <c r="S43" s="3">
        <f>Assumptions!$B$70*(1+Assumptions!$D$70)</f>
        <v>105</v>
      </c>
      <c r="T43" s="3">
        <f>Assumptions!$B$70*(1+Assumptions!$D$70)</f>
        <v>105</v>
      </c>
      <c r="U43" s="3">
        <f>Assumptions!$B$70*(1+Assumptions!$D$70)</f>
        <v>105</v>
      </c>
      <c r="V43" s="3">
        <f>Assumptions!$B$70*(1+Assumptions!$D$70)</f>
        <v>105</v>
      </c>
      <c r="W43" s="3">
        <f>Assumptions!$B$70*(1+Assumptions!$D$70)</f>
        <v>105</v>
      </c>
      <c r="X43" s="3">
        <f>Assumptions!$B$70*(1+Assumptions!$D$70)</f>
        <v>105</v>
      </c>
      <c r="Y43" s="3">
        <f>Assumptions!$B$70*(1+Assumptions!$D$70)</f>
        <v>105</v>
      </c>
      <c r="Z43" s="3">
        <f>Assumptions!$B$70*(1+Assumptions!$D$70)</f>
        <v>105</v>
      </c>
      <c r="AA43" s="3">
        <f>Assumptions!$B$70*(1+Assumptions!$D$70)</f>
        <v>105</v>
      </c>
      <c r="AB43" s="3">
        <f>Assumptions!$B$70*(1+Assumptions!$D$70)</f>
        <v>105</v>
      </c>
      <c r="AC43" s="3">
        <f>Assumptions!$B$70*(1+Assumptions!$D$70)</f>
        <v>105</v>
      </c>
      <c r="AD43" s="3">
        <f>Assumptions!$B$70*(1+Assumptions!$D$70)</f>
        <v>105</v>
      </c>
      <c r="AE43" s="37">
        <f t="shared" si="90"/>
        <v>1260</v>
      </c>
      <c r="AF43" s="3">
        <f>Assumptions!$B$70*(1+Assumptions!$D$70)*(1+Assumptions!$E$70)</f>
        <v>111.30000000000001</v>
      </c>
      <c r="AG43" s="3">
        <f>Assumptions!$B$70*(1+Assumptions!$D$70)*(1+Assumptions!$E$70)</f>
        <v>111.30000000000001</v>
      </c>
      <c r="AH43" s="3">
        <f>Assumptions!$B$70*(1+Assumptions!$D$70)*(1+Assumptions!$E$70)</f>
        <v>111.30000000000001</v>
      </c>
      <c r="AI43" s="3">
        <f>Assumptions!$B$70*(1+Assumptions!$D$70)*(1+Assumptions!$E$70)</f>
        <v>111.30000000000001</v>
      </c>
      <c r="AJ43" s="3">
        <f>Assumptions!$B$70*(1+Assumptions!$D$70)*(1+Assumptions!$E$70)</f>
        <v>111.30000000000001</v>
      </c>
      <c r="AK43" s="3">
        <f>Assumptions!$B$70*(1+Assumptions!$D$70)*(1+Assumptions!$E$70)</f>
        <v>111.30000000000001</v>
      </c>
      <c r="AL43" s="3">
        <f>Assumptions!$B$70*(1+Assumptions!$D$70)*(1+Assumptions!$E$70)</f>
        <v>111.30000000000001</v>
      </c>
      <c r="AM43" s="3">
        <f>Assumptions!$B$70*(1+Assumptions!$D$70)*(1+Assumptions!$E$70)</f>
        <v>111.30000000000001</v>
      </c>
      <c r="AN43" s="3">
        <f>Assumptions!$B$70*(1+Assumptions!$D$70)*(1+Assumptions!$E$70)</f>
        <v>111.30000000000001</v>
      </c>
      <c r="AO43" s="3">
        <f>Assumptions!$B$70*(1+Assumptions!$D$70)*(1+Assumptions!$E$70)</f>
        <v>111.30000000000001</v>
      </c>
      <c r="AP43" s="3">
        <f>Assumptions!$B$70*(1+Assumptions!$D$70)*(1+Assumptions!$E$70)</f>
        <v>111.30000000000001</v>
      </c>
      <c r="AQ43" s="3">
        <f>Assumptions!$B$70*(1+Assumptions!$D$70)*(1+Assumptions!$E$70)</f>
        <v>111.30000000000001</v>
      </c>
      <c r="AR43" s="37">
        <f t="shared" si="91"/>
        <v>1335.5999999999997</v>
      </c>
      <c r="AS43" s="3">
        <f>Assumptions!$B$70*(1+Assumptions!$D$70)*(1+Assumptions!$E$70)*(1+Assumptions!$F$70)</f>
        <v>122.43000000000002</v>
      </c>
      <c r="AT43" s="3">
        <f>Assumptions!$B$70*(1+Assumptions!$D$70)*(1+Assumptions!$E$70)*(1+Assumptions!$F$70)</f>
        <v>122.43000000000002</v>
      </c>
      <c r="AU43" s="3">
        <f>Assumptions!$B$70*(1+Assumptions!$D$70)*(1+Assumptions!$E$70)*(1+Assumptions!$F$70)</f>
        <v>122.43000000000002</v>
      </c>
      <c r="AV43" s="3">
        <f>Assumptions!$B$70*(1+Assumptions!$D$70)*(1+Assumptions!$E$70)*(1+Assumptions!$F$70)</f>
        <v>122.43000000000002</v>
      </c>
      <c r="AW43" s="3">
        <f>Assumptions!$B$70*(1+Assumptions!$D$70)*(1+Assumptions!$E$70)*(1+Assumptions!$F$70)</f>
        <v>122.43000000000002</v>
      </c>
      <c r="AX43" s="3">
        <f>Assumptions!$B$70*(1+Assumptions!$D$70)*(1+Assumptions!$E$70)*(1+Assumptions!$F$70)</f>
        <v>122.43000000000002</v>
      </c>
      <c r="AY43" s="3">
        <f>Assumptions!$B$70*(1+Assumptions!$D$70)*(1+Assumptions!$E$70)*(1+Assumptions!$F$70)</f>
        <v>122.43000000000002</v>
      </c>
      <c r="AZ43" s="3">
        <f>Assumptions!$B$70*(1+Assumptions!$D$70)*(1+Assumptions!$E$70)*(1+Assumptions!$F$70)</f>
        <v>122.43000000000002</v>
      </c>
      <c r="BA43" s="3">
        <f>Assumptions!$B$70*(1+Assumptions!$D$70)*(1+Assumptions!$E$70)*(1+Assumptions!$F$70)</f>
        <v>122.43000000000002</v>
      </c>
      <c r="BB43" s="3">
        <f>Assumptions!$B$70*(1+Assumptions!$D$70)*(1+Assumptions!$E$70)*(1+Assumptions!$F$70)</f>
        <v>122.43000000000002</v>
      </c>
      <c r="BC43" s="3">
        <f>Assumptions!$B$70*(1+Assumptions!$D$70)*(1+Assumptions!$E$70)*(1+Assumptions!$F$70)</f>
        <v>122.43000000000002</v>
      </c>
      <c r="BD43" s="3">
        <f>Assumptions!$B$70*(1+Assumptions!$D$70)*(1+Assumptions!$E$70)*(1+Assumptions!$F$70)</f>
        <v>122.43000000000002</v>
      </c>
      <c r="BE43" s="37">
        <f t="shared" si="92"/>
        <v>1469.1600000000005</v>
      </c>
      <c r="BF43" s="3">
        <f>Assumptions!$B$70*(1+Assumptions!$D$70)*(1+Assumptions!$E$70)*(1+Assumptions!$F$70)*(1+Assumptions!$G$70)</f>
        <v>134.67300000000003</v>
      </c>
      <c r="BG43" s="3">
        <f>Assumptions!$B$70*(1+Assumptions!$D$70)*(1+Assumptions!$E$70)*(1+Assumptions!$F$70)*(1+Assumptions!$G$70)</f>
        <v>134.67300000000003</v>
      </c>
      <c r="BH43" s="3">
        <f>Assumptions!$B$70*(1+Assumptions!$D$70)*(1+Assumptions!$E$70)*(1+Assumptions!$F$70)*(1+Assumptions!$G$70)</f>
        <v>134.67300000000003</v>
      </c>
      <c r="BI43" s="3">
        <f>Assumptions!$B$70*(1+Assumptions!$D$70)*(1+Assumptions!$E$70)*(1+Assumptions!$F$70)*(1+Assumptions!$G$70)</f>
        <v>134.67300000000003</v>
      </c>
      <c r="BJ43" s="3">
        <f>Assumptions!$B$70*(1+Assumptions!$D$70)*(1+Assumptions!$E$70)*(1+Assumptions!$F$70)*(1+Assumptions!$G$70)</f>
        <v>134.67300000000003</v>
      </c>
      <c r="BK43" s="3">
        <f>Assumptions!$B$70*(1+Assumptions!$D$70)*(1+Assumptions!$E$70)*(1+Assumptions!$F$70)*(1+Assumptions!$G$70)</f>
        <v>134.67300000000003</v>
      </c>
      <c r="BL43" s="3">
        <f>Assumptions!$B$70*(1+Assumptions!$D$70)*(1+Assumptions!$E$70)*(1+Assumptions!$F$70)*(1+Assumptions!$G$70)</f>
        <v>134.67300000000003</v>
      </c>
      <c r="BM43" s="3">
        <f>Assumptions!$B$70*(1+Assumptions!$D$70)*(1+Assumptions!$E$70)*(1+Assumptions!$F$70)*(1+Assumptions!$G$70)</f>
        <v>134.67300000000003</v>
      </c>
      <c r="BN43" s="3">
        <f>Assumptions!$B$70*(1+Assumptions!$D$70)*(1+Assumptions!$E$70)*(1+Assumptions!$F$70)*(1+Assumptions!$G$70)</f>
        <v>134.67300000000003</v>
      </c>
      <c r="BO43" s="3">
        <f>Assumptions!$B$70*(1+Assumptions!$D$70)*(1+Assumptions!$E$70)*(1+Assumptions!$F$70)*(1+Assumptions!$G$70)</f>
        <v>134.67300000000003</v>
      </c>
      <c r="BP43" s="3">
        <f>Assumptions!$B$70*(1+Assumptions!$D$70)*(1+Assumptions!$E$70)*(1+Assumptions!$F$70)*(1+Assumptions!$G$70)</f>
        <v>134.67300000000003</v>
      </c>
      <c r="BQ43" s="3">
        <f>Assumptions!$B$70*(1+Assumptions!$D$70)*(1+Assumptions!$E$70)*(1+Assumptions!$F$70)*(1+Assumptions!$G$70)</f>
        <v>134.67300000000003</v>
      </c>
      <c r="BR43" s="37">
        <f t="shared" si="93"/>
        <v>1616.0760000000002</v>
      </c>
      <c r="BS43" s="37">
        <f t="shared" si="94"/>
        <v>6880.8360000000002</v>
      </c>
    </row>
    <row r="44" spans="1:72" ht="15.75" customHeight="1">
      <c r="A44" s="2"/>
      <c r="B44" s="21"/>
      <c r="C44" s="24" t="s">
        <v>54</v>
      </c>
      <c r="D44" s="24"/>
      <c r="E44" s="24"/>
      <c r="F44" s="3">
        <f>Assumptions!$B$71</f>
        <v>100</v>
      </c>
      <c r="G44" s="3">
        <f>Assumptions!$B$71</f>
        <v>100</v>
      </c>
      <c r="H44" s="3">
        <f>Assumptions!$B$71</f>
        <v>100</v>
      </c>
      <c r="I44" s="3">
        <f>Assumptions!$B$71</f>
        <v>100</v>
      </c>
      <c r="J44" s="3">
        <f>Assumptions!$B$71</f>
        <v>100</v>
      </c>
      <c r="K44" s="3">
        <f>Assumptions!$B$71</f>
        <v>100</v>
      </c>
      <c r="L44" s="3">
        <f>Assumptions!$B$71</f>
        <v>100</v>
      </c>
      <c r="M44" s="3">
        <f>Assumptions!$B$71</f>
        <v>100</v>
      </c>
      <c r="N44" s="3">
        <f>Assumptions!$B$71</f>
        <v>100</v>
      </c>
      <c r="O44" s="3">
        <f>Assumptions!$B$71</f>
        <v>100</v>
      </c>
      <c r="P44" s="3">
        <f>Assumptions!$B$71</f>
        <v>100</v>
      </c>
      <c r="Q44" s="3">
        <f>Assumptions!$B$71</f>
        <v>100</v>
      </c>
      <c r="R44" s="37">
        <f t="shared" si="89"/>
        <v>1200</v>
      </c>
      <c r="S44" s="3">
        <f>Assumptions!$H$71</f>
        <v>103</v>
      </c>
      <c r="T44" s="3">
        <f>Assumptions!$H$71</f>
        <v>103</v>
      </c>
      <c r="U44" s="3">
        <f>Assumptions!$H$71</f>
        <v>103</v>
      </c>
      <c r="V44" s="3">
        <f>Assumptions!$H$71</f>
        <v>103</v>
      </c>
      <c r="W44" s="3">
        <f>Assumptions!$H$71</f>
        <v>103</v>
      </c>
      <c r="X44" s="3">
        <f>Assumptions!$H$71</f>
        <v>103</v>
      </c>
      <c r="Y44" s="3">
        <f>Assumptions!$H$71</f>
        <v>103</v>
      </c>
      <c r="Z44" s="3">
        <f>Assumptions!$H$71</f>
        <v>103</v>
      </c>
      <c r="AA44" s="3">
        <f>Assumptions!$H$71</f>
        <v>103</v>
      </c>
      <c r="AB44" s="3">
        <f>Assumptions!$H$71</f>
        <v>103</v>
      </c>
      <c r="AC44" s="3">
        <f>Assumptions!$H$71</f>
        <v>103</v>
      </c>
      <c r="AD44" s="3">
        <f>Assumptions!$H$71</f>
        <v>103</v>
      </c>
      <c r="AE44" s="37">
        <f t="shared" si="90"/>
        <v>1236</v>
      </c>
      <c r="AF44" s="3">
        <f>Assumptions!$I$71</f>
        <v>106.09</v>
      </c>
      <c r="AG44" s="3">
        <f>Assumptions!$I$71</f>
        <v>106.09</v>
      </c>
      <c r="AH44" s="3">
        <f>Assumptions!$I$71</f>
        <v>106.09</v>
      </c>
      <c r="AI44" s="3">
        <f>Assumptions!$I$71</f>
        <v>106.09</v>
      </c>
      <c r="AJ44" s="3">
        <f>Assumptions!$I$71</f>
        <v>106.09</v>
      </c>
      <c r="AK44" s="3">
        <f>Assumptions!$I$71</f>
        <v>106.09</v>
      </c>
      <c r="AL44" s="3">
        <f>Assumptions!$I$71</f>
        <v>106.09</v>
      </c>
      <c r="AM44" s="3">
        <f>Assumptions!$I$71</f>
        <v>106.09</v>
      </c>
      <c r="AN44" s="3">
        <f>Assumptions!$I$71</f>
        <v>106.09</v>
      </c>
      <c r="AO44" s="3">
        <f>Assumptions!$I$71</f>
        <v>106.09</v>
      </c>
      <c r="AP44" s="3">
        <f>Assumptions!$I$71</f>
        <v>106.09</v>
      </c>
      <c r="AQ44" s="3">
        <f>Assumptions!$I$71</f>
        <v>106.09</v>
      </c>
      <c r="AR44" s="37">
        <f t="shared" si="91"/>
        <v>1273.08</v>
      </c>
      <c r="AS44" s="3">
        <f>Assumptions!$J$71</f>
        <v>109.2727</v>
      </c>
      <c r="AT44" s="3">
        <f>Assumptions!$J$71</f>
        <v>109.2727</v>
      </c>
      <c r="AU44" s="3">
        <f>Assumptions!$J$71</f>
        <v>109.2727</v>
      </c>
      <c r="AV44" s="3">
        <f>Assumptions!$J$71</f>
        <v>109.2727</v>
      </c>
      <c r="AW44" s="3">
        <f>Assumptions!$J$71</f>
        <v>109.2727</v>
      </c>
      <c r="AX44" s="3">
        <f>Assumptions!$J$71</f>
        <v>109.2727</v>
      </c>
      <c r="AY44" s="3">
        <f>Assumptions!$J$71</f>
        <v>109.2727</v>
      </c>
      <c r="AZ44" s="3">
        <f>Assumptions!$J$71</f>
        <v>109.2727</v>
      </c>
      <c r="BA44" s="3">
        <f>Assumptions!$J$71</f>
        <v>109.2727</v>
      </c>
      <c r="BB44" s="3">
        <f>Assumptions!$J$71</f>
        <v>109.2727</v>
      </c>
      <c r="BC44" s="3">
        <f>Assumptions!$J$71</f>
        <v>109.2727</v>
      </c>
      <c r="BD44" s="3">
        <f>Assumptions!$J$71</f>
        <v>109.2727</v>
      </c>
      <c r="BE44" s="37">
        <f t="shared" si="92"/>
        <v>1311.2724000000001</v>
      </c>
      <c r="BF44" s="3">
        <f>Assumptions!$K$71</f>
        <v>112.550881</v>
      </c>
      <c r="BG44" s="3">
        <f>Assumptions!$K$71</f>
        <v>112.550881</v>
      </c>
      <c r="BH44" s="3">
        <f>Assumptions!$K$71</f>
        <v>112.550881</v>
      </c>
      <c r="BI44" s="3">
        <f>Assumptions!$K$71</f>
        <v>112.550881</v>
      </c>
      <c r="BJ44" s="3">
        <f>Assumptions!$K$71</f>
        <v>112.550881</v>
      </c>
      <c r="BK44" s="3">
        <f>Assumptions!$K$71</f>
        <v>112.550881</v>
      </c>
      <c r="BL44" s="3">
        <f>Assumptions!$K$71</f>
        <v>112.550881</v>
      </c>
      <c r="BM44" s="3">
        <f>Assumptions!$K$71</f>
        <v>112.550881</v>
      </c>
      <c r="BN44" s="3">
        <f>Assumptions!$K$71</f>
        <v>112.550881</v>
      </c>
      <c r="BO44" s="3">
        <f>Assumptions!$K$71</f>
        <v>112.550881</v>
      </c>
      <c r="BP44" s="3">
        <f>Assumptions!$K$71</f>
        <v>112.550881</v>
      </c>
      <c r="BQ44" s="3">
        <f>Assumptions!$K$71</f>
        <v>112.550881</v>
      </c>
      <c r="BR44" s="37">
        <f t="shared" si="93"/>
        <v>1350.610572</v>
      </c>
      <c r="BS44" s="37">
        <f t="shared" si="94"/>
        <v>6370.9629719999994</v>
      </c>
    </row>
    <row r="45" spans="1:72" ht="15.75" customHeight="1">
      <c r="A45" s="2"/>
      <c r="B45" s="21"/>
      <c r="C45" s="21" t="s">
        <v>55</v>
      </c>
      <c r="D45" s="2"/>
      <c r="E45" s="2"/>
      <c r="F45" s="3">
        <f>Assumptions!$B$72+Assumptions!$B$77+Assumptions!$B$78+Assumptions!$B$79+Assumptions!$B$80</f>
        <v>7700</v>
      </c>
      <c r="G45" s="3">
        <f>Assumptions!$B$72+Assumptions!$B$77+Assumptions!$B$78+Assumptions!$B$79+Assumptions!$B$80</f>
        <v>7700</v>
      </c>
      <c r="H45" s="3">
        <f>Assumptions!$B$72+Assumptions!$B$77+Assumptions!$B$78+Assumptions!$B$79+Assumptions!$B$80</f>
        <v>7700</v>
      </c>
      <c r="I45" s="3">
        <f>Assumptions!$B$72+Assumptions!$B$77+Assumptions!$B$78+Assumptions!$B$79+Assumptions!$B$80</f>
        <v>7700</v>
      </c>
      <c r="J45" s="3">
        <f>Assumptions!$B$72+Assumptions!$B$77+Assumptions!$B$78+Assumptions!$B$79+Assumptions!$B$80</f>
        <v>7700</v>
      </c>
      <c r="K45" s="3">
        <f>Assumptions!$B$72+Assumptions!$B$77+Assumptions!$B$78+Assumptions!$B$79+Assumptions!$B$80</f>
        <v>7700</v>
      </c>
      <c r="L45" s="3">
        <f>Assumptions!$B$72+Assumptions!$B$77+Assumptions!$B$78+Assumptions!$B$79+Assumptions!$B$80</f>
        <v>7700</v>
      </c>
      <c r="M45" s="3">
        <f>Assumptions!$B$72+Assumptions!$B$77+Assumptions!$B$78+Assumptions!$B$79+Assumptions!$B$80</f>
        <v>7700</v>
      </c>
      <c r="N45" s="3">
        <f>Assumptions!$B$72+Assumptions!$B$77+Assumptions!$B$78+Assumptions!$B$79+Assumptions!$B$80</f>
        <v>7700</v>
      </c>
      <c r="O45" s="3">
        <f>Assumptions!$B$72+Assumptions!$B$77+Assumptions!$B$78+Assumptions!$B$79+Assumptions!$B$80</f>
        <v>7700</v>
      </c>
      <c r="P45" s="3">
        <f>Assumptions!$B$72+Assumptions!$B$77+Assumptions!$B$78+Assumptions!$B$79+Assumptions!$B$80</f>
        <v>7700</v>
      </c>
      <c r="Q45" s="3">
        <f>Assumptions!$B$72+Assumptions!$B$77+Assumptions!$B$78+Assumptions!$B$79+Assumptions!$B$80</f>
        <v>7700</v>
      </c>
      <c r="R45" s="37">
        <f t="shared" si="89"/>
        <v>92400</v>
      </c>
      <c r="S45" s="3">
        <f>Assumptions!$H$72+Assumptions!$H$77+Assumptions!$H$78+Assumptions!$H$79+Assumptions!$H$80</f>
        <v>8155</v>
      </c>
      <c r="T45" s="3">
        <f>Assumptions!$H$72+Assumptions!$H$77+Assumptions!$H$78+Assumptions!$H$79+Assumptions!$H$80</f>
        <v>8155</v>
      </c>
      <c r="U45" s="3">
        <f>Assumptions!$H$72+Assumptions!$H$77+Assumptions!$H$78+Assumptions!$H$79+Assumptions!$H$80</f>
        <v>8155</v>
      </c>
      <c r="V45" s="3">
        <f>Assumptions!$H$72+Assumptions!$H$77+Assumptions!$H$78+Assumptions!$H$79+Assumptions!$H$80</f>
        <v>8155</v>
      </c>
      <c r="W45" s="3">
        <f>Assumptions!$H$72+Assumptions!$H$77+Assumptions!$H$78+Assumptions!$H$79+Assumptions!$H$80</f>
        <v>8155</v>
      </c>
      <c r="X45" s="3">
        <f>Assumptions!$H$72+Assumptions!$H$77+Assumptions!$H$78+Assumptions!$H$79+Assumptions!$H$80</f>
        <v>8155</v>
      </c>
      <c r="Y45" s="3">
        <f>Assumptions!$H$72+Assumptions!$H$77+Assumptions!$H$78+Assumptions!$H$79+Assumptions!$H$80</f>
        <v>8155</v>
      </c>
      <c r="Z45" s="3">
        <f>Assumptions!$H$72+Assumptions!$H$77+Assumptions!$H$78+Assumptions!$H$79+Assumptions!$H$80</f>
        <v>8155</v>
      </c>
      <c r="AA45" s="3">
        <f>Assumptions!$H$72+Assumptions!$H$77+Assumptions!$H$78+Assumptions!$H$79+Assumptions!$H$80</f>
        <v>8155</v>
      </c>
      <c r="AB45" s="3">
        <f>Assumptions!$H$72+Assumptions!$H$77+Assumptions!$H$78+Assumptions!$H$79+Assumptions!$H$80</f>
        <v>8155</v>
      </c>
      <c r="AC45" s="3">
        <f>Assumptions!$H$72+Assumptions!$H$77+Assumptions!$H$78+Assumptions!$H$79+Assumptions!$H$80</f>
        <v>8155</v>
      </c>
      <c r="AD45" s="3">
        <f>Assumptions!$H$72+Assumptions!$H$77+Assumptions!$H$78+Assumptions!$H$79+Assumptions!$H$80</f>
        <v>8155</v>
      </c>
      <c r="AE45" s="37">
        <f t="shared" si="90"/>
        <v>97860</v>
      </c>
      <c r="AF45" s="3">
        <f>Assumptions!$I$72+Assumptions!$I$77+Assumptions!$I$78+Assumptions!$I$79+Assumptions!$I$80</f>
        <v>8659.4500000000007</v>
      </c>
      <c r="AG45" s="3">
        <f>Assumptions!$I$72+Assumptions!$I$77+Assumptions!$I$78+Assumptions!$I$79+Assumptions!$I$80</f>
        <v>8659.4500000000007</v>
      </c>
      <c r="AH45" s="3">
        <f>Assumptions!$I$72+Assumptions!$I$77+Assumptions!$I$78+Assumptions!$I$79+Assumptions!$I$80</f>
        <v>8659.4500000000007</v>
      </c>
      <c r="AI45" s="3">
        <f>Assumptions!$I$72+Assumptions!$I$77+Assumptions!$I$78+Assumptions!$I$79+Assumptions!$I$80</f>
        <v>8659.4500000000007</v>
      </c>
      <c r="AJ45" s="3">
        <f>Assumptions!$I$72+Assumptions!$I$77+Assumptions!$I$78+Assumptions!$I$79+Assumptions!$I$80</f>
        <v>8659.4500000000007</v>
      </c>
      <c r="AK45" s="3">
        <f>Assumptions!$I$72+Assumptions!$I$77+Assumptions!$I$78+Assumptions!$I$79+Assumptions!$I$80</f>
        <v>8659.4500000000007</v>
      </c>
      <c r="AL45" s="3">
        <f>Assumptions!$I$72+Assumptions!$I$77+Assumptions!$I$78+Assumptions!$I$79+Assumptions!$I$80</f>
        <v>8659.4500000000007</v>
      </c>
      <c r="AM45" s="3">
        <f>Assumptions!$I$72+Assumptions!$I$77+Assumptions!$I$78+Assumptions!$I$79+Assumptions!$I$80</f>
        <v>8659.4500000000007</v>
      </c>
      <c r="AN45" s="3">
        <f>Assumptions!$I$72+Assumptions!$I$77+Assumptions!$I$78+Assumptions!$I$79+Assumptions!$I$80</f>
        <v>8659.4500000000007</v>
      </c>
      <c r="AO45" s="3">
        <f>Assumptions!$I$72+Assumptions!$I$77+Assumptions!$I$78+Assumptions!$I$79+Assumptions!$I$80</f>
        <v>8659.4500000000007</v>
      </c>
      <c r="AP45" s="3">
        <f>Assumptions!$I$72+Assumptions!$I$77+Assumptions!$I$78+Assumptions!$I$79+Assumptions!$I$80</f>
        <v>8659.4500000000007</v>
      </c>
      <c r="AQ45" s="3">
        <f>Assumptions!$I$72+Assumptions!$I$77+Assumptions!$I$78+Assumptions!$I$79+Assumptions!$I$80</f>
        <v>8659.4500000000007</v>
      </c>
      <c r="AR45" s="37">
        <f t="shared" si="91"/>
        <v>103913.39999999998</v>
      </c>
      <c r="AS45" s="3">
        <f>Assumptions!$J$72+Assumptions!$J$77+Assumptions!$J$78+Assumptions!$J$79+Assumptions!$J$80</f>
        <v>9215.4992500000008</v>
      </c>
      <c r="AT45" s="3">
        <f>Assumptions!$J$72+Assumptions!$J$77+Assumptions!$J$78+Assumptions!$J$79+Assumptions!$J$80</f>
        <v>9215.4992500000008</v>
      </c>
      <c r="AU45" s="3">
        <f>Assumptions!$J$72+Assumptions!$J$77+Assumptions!$J$78+Assumptions!$J$79+Assumptions!$J$80</f>
        <v>9215.4992500000008</v>
      </c>
      <c r="AV45" s="3">
        <f>Assumptions!$J$72+Assumptions!$J$77+Assumptions!$J$78+Assumptions!$J$79+Assumptions!$J$80</f>
        <v>9215.4992500000008</v>
      </c>
      <c r="AW45" s="3">
        <f>Assumptions!$J$72+Assumptions!$J$77+Assumptions!$J$78+Assumptions!$J$79+Assumptions!$J$80</f>
        <v>9215.4992500000008</v>
      </c>
      <c r="AX45" s="3">
        <f>Assumptions!$J$72+Assumptions!$J$77+Assumptions!$J$78+Assumptions!$J$79+Assumptions!$J$80</f>
        <v>9215.4992500000008</v>
      </c>
      <c r="AY45" s="3">
        <f>Assumptions!$J$72+Assumptions!$J$77+Assumptions!$J$78+Assumptions!$J$79+Assumptions!$J$80</f>
        <v>9215.4992500000008</v>
      </c>
      <c r="AZ45" s="3">
        <f>Assumptions!$J$72+Assumptions!$J$77+Assumptions!$J$78+Assumptions!$J$79+Assumptions!$J$80</f>
        <v>9215.4992500000008</v>
      </c>
      <c r="BA45" s="3">
        <f>Assumptions!$J$72+Assumptions!$J$77+Assumptions!$J$78+Assumptions!$J$79+Assumptions!$J$80</f>
        <v>9215.4992500000008</v>
      </c>
      <c r="BB45" s="3">
        <f>Assumptions!$J$72+Assumptions!$J$77+Assumptions!$J$78+Assumptions!$J$79+Assumptions!$J$80</f>
        <v>9215.4992500000008</v>
      </c>
      <c r="BC45" s="3">
        <f>Assumptions!$J$72+Assumptions!$J$77+Assumptions!$J$78+Assumptions!$J$79+Assumptions!$J$80</f>
        <v>9215.4992500000008</v>
      </c>
      <c r="BD45" s="3">
        <f>Assumptions!$J$72+Assumptions!$J$77+Assumptions!$J$78+Assumptions!$J$79+Assumptions!$J$80</f>
        <v>9215.4992500000008</v>
      </c>
      <c r="BE45" s="37">
        <f t="shared" si="92"/>
        <v>110585.99099999998</v>
      </c>
      <c r="BF45" s="3">
        <f>Assumptions!$K$72+Assumptions!$K$77+Assumptions!$K$78+Assumptions!$K$79+Assumptions!$K$80</f>
        <v>9912.5564350000004</v>
      </c>
      <c r="BG45" s="3">
        <f>Assumptions!$K$72+Assumptions!$K$77+Assumptions!$K$78+Assumptions!$K$79+Assumptions!$K$80</f>
        <v>9912.5564350000004</v>
      </c>
      <c r="BH45" s="3">
        <f>Assumptions!$K$72+Assumptions!$K$77+Assumptions!$K$78+Assumptions!$K$79+Assumptions!$K$80</f>
        <v>9912.5564350000004</v>
      </c>
      <c r="BI45" s="3">
        <f>Assumptions!$K$72+Assumptions!$K$77+Assumptions!$K$78+Assumptions!$K$79+Assumptions!$K$80</f>
        <v>9912.5564350000004</v>
      </c>
      <c r="BJ45" s="3">
        <f>Assumptions!$K$72+Assumptions!$K$77+Assumptions!$K$78+Assumptions!$K$79+Assumptions!$K$80</f>
        <v>9912.5564350000004</v>
      </c>
      <c r="BK45" s="3">
        <f>Assumptions!$K$72+Assumptions!$K$77+Assumptions!$K$78+Assumptions!$K$79+Assumptions!$K$80</f>
        <v>9912.5564350000004</v>
      </c>
      <c r="BL45" s="3">
        <f>Assumptions!$K$72+Assumptions!$K$77+Assumptions!$K$78+Assumptions!$K$79+Assumptions!$K$80</f>
        <v>9912.5564350000004</v>
      </c>
      <c r="BM45" s="3">
        <f>Assumptions!$K$72+Assumptions!$K$77+Assumptions!$K$78+Assumptions!$K$79+Assumptions!$K$80</f>
        <v>9912.5564350000004</v>
      </c>
      <c r="BN45" s="3">
        <f>Assumptions!$K$72+Assumptions!$K$77+Assumptions!$K$78+Assumptions!$K$79+Assumptions!$K$80</f>
        <v>9912.5564350000004</v>
      </c>
      <c r="BO45" s="3">
        <f>Assumptions!$K$72+Assumptions!$K$77+Assumptions!$K$78+Assumptions!$K$79+Assumptions!$K$80</f>
        <v>9912.5564350000004</v>
      </c>
      <c r="BP45" s="3">
        <f>Assumptions!$K$72+Assumptions!$K$77+Assumptions!$K$78+Assumptions!$K$79+Assumptions!$K$80</f>
        <v>9912.5564350000004</v>
      </c>
      <c r="BQ45" s="3">
        <f>Assumptions!$K$72+Assumptions!$K$77+Assumptions!$K$78+Assumptions!$K$79+Assumptions!$K$80</f>
        <v>9912.5564350000004</v>
      </c>
      <c r="BR45" s="37">
        <f t="shared" si="93"/>
        <v>118950.67722000003</v>
      </c>
      <c r="BS45" s="37">
        <f t="shared" si="94"/>
        <v>523710.06821999996</v>
      </c>
      <c r="BT45" s="3">
        <f>IF(BT$6&gt;=Assumptions!$B$76,Assumptions!$B$72*(1+Assumptions!$G$72)+Assumptions!$G$77,0)</f>
        <v>0</v>
      </c>
    </row>
    <row r="46" spans="1:72" ht="15.75" customHeight="1">
      <c r="A46" s="2"/>
      <c r="B46" s="21"/>
      <c r="C46" s="21" t="s">
        <v>56</v>
      </c>
      <c r="D46" s="24"/>
      <c r="E46" s="24"/>
      <c r="F46" s="3">
        <f>IF(G$9&gt;0,Assumptions!$B$81,0)</f>
        <v>20</v>
      </c>
      <c r="G46" s="3">
        <f>IF(H$9&gt;0,Assumptions!$B$81,0)</f>
        <v>20</v>
      </c>
      <c r="H46" s="3">
        <f>IF(I$9&gt;0,Assumptions!$B$81,0)</f>
        <v>20</v>
      </c>
      <c r="I46" s="3">
        <f>IF(J$9&gt;0,Assumptions!$B$81,0)</f>
        <v>20</v>
      </c>
      <c r="J46" s="3">
        <f>IF(K$9&gt;0,Assumptions!$B$81,0)</f>
        <v>20</v>
      </c>
      <c r="K46" s="3">
        <f>IF(L$9&gt;0,Assumptions!$B$81,0)</f>
        <v>20</v>
      </c>
      <c r="L46" s="3">
        <f>IF(M$9&gt;0,Assumptions!$B$81,0)</f>
        <v>20</v>
      </c>
      <c r="M46" s="3">
        <f>IF(N$9&gt;0,Assumptions!$B$81,0)</f>
        <v>20</v>
      </c>
      <c r="N46" s="3">
        <f>IF(O$9&gt;0,Assumptions!$B$81,0)</f>
        <v>20</v>
      </c>
      <c r="O46" s="3">
        <f>IF(P$9&gt;0,Assumptions!$B$81,0)</f>
        <v>20</v>
      </c>
      <c r="P46" s="3">
        <f>IF(Q$9&gt;0,Assumptions!$B$81,0)</f>
        <v>20</v>
      </c>
      <c r="Q46" s="3">
        <f>IF(R$9&gt;0,Assumptions!$B$81,0)</f>
        <v>20</v>
      </c>
      <c r="R46" s="37">
        <f t="shared" si="89"/>
        <v>240</v>
      </c>
      <c r="S46" s="3">
        <f>IF(T$9&gt;0,Assumptions!$B$81,0)</f>
        <v>20</v>
      </c>
      <c r="T46" s="3">
        <f>IF(U$9&gt;0,Assumptions!$B$81,0)</f>
        <v>20</v>
      </c>
      <c r="U46" s="3">
        <f>IF(V$9&gt;0,Assumptions!$B$81,0)</f>
        <v>20</v>
      </c>
      <c r="V46" s="3">
        <f>IF(W$9&gt;0,Assumptions!$B$81,0)</f>
        <v>20</v>
      </c>
      <c r="W46" s="3">
        <f>IF(X$9&gt;0,Assumptions!$B$81,0)</f>
        <v>20</v>
      </c>
      <c r="X46" s="3">
        <f>IF(Y$9&gt;0,Assumptions!$B$81,0)</f>
        <v>20</v>
      </c>
      <c r="Y46" s="3">
        <f>IF(Z$9&gt;0,Assumptions!$B$81,0)</f>
        <v>20</v>
      </c>
      <c r="Z46" s="3">
        <f>IF(AA$9&gt;0,Assumptions!$B$81,0)</f>
        <v>20</v>
      </c>
      <c r="AA46" s="3">
        <f>IF(AB$9&gt;0,Assumptions!$B$81,0)</f>
        <v>20</v>
      </c>
      <c r="AB46" s="3">
        <f>IF(AC$9&gt;0,Assumptions!$B$81,0)</f>
        <v>20</v>
      </c>
      <c r="AC46" s="3">
        <f>IF(AD$9&gt;0,Assumptions!$B$81,0)</f>
        <v>20</v>
      </c>
      <c r="AD46" s="3">
        <f>IF(AE$9&gt;0,Assumptions!$B$81,0)</f>
        <v>20</v>
      </c>
      <c r="AE46" s="37">
        <f t="shared" si="90"/>
        <v>240</v>
      </c>
      <c r="AF46" s="3">
        <f>IF(AG$9&gt;0,Assumptions!$B$81,0)</f>
        <v>20</v>
      </c>
      <c r="AG46" s="3">
        <f>IF(AH$9&gt;0,Assumptions!$B$81,0)</f>
        <v>20</v>
      </c>
      <c r="AH46" s="3">
        <f>IF(AI$9&gt;0,Assumptions!$B$81,0)</f>
        <v>20</v>
      </c>
      <c r="AI46" s="3">
        <f>IF(AJ$9&gt;0,Assumptions!$B$81,0)</f>
        <v>20</v>
      </c>
      <c r="AJ46" s="3">
        <f>IF(AK$9&gt;0,Assumptions!$B$81,0)</f>
        <v>20</v>
      </c>
      <c r="AK46" s="3">
        <f>IF(AL$9&gt;0,Assumptions!$B$81,0)</f>
        <v>20</v>
      </c>
      <c r="AL46" s="3">
        <f>IF(AM$9&gt;0,Assumptions!$B$81,0)</f>
        <v>20</v>
      </c>
      <c r="AM46" s="3">
        <f>IF(AN$9&gt;0,Assumptions!$B$81,0)</f>
        <v>20</v>
      </c>
      <c r="AN46" s="3">
        <f>IF(AO$9&gt;0,Assumptions!$B$81,0)</f>
        <v>20</v>
      </c>
      <c r="AO46" s="3">
        <f>IF(AP$9&gt;0,Assumptions!$B$81,0)</f>
        <v>20</v>
      </c>
      <c r="AP46" s="3">
        <f>IF(AQ$9&gt;0,Assumptions!$B$81,0)</f>
        <v>20</v>
      </c>
      <c r="AQ46" s="3">
        <f>IF(AR$9&gt;0,Assumptions!$B$81,0)</f>
        <v>20</v>
      </c>
      <c r="AR46" s="37">
        <f t="shared" si="91"/>
        <v>240</v>
      </c>
      <c r="AS46" s="3">
        <f>IF(AT$9&gt;0,Assumptions!$B$81,0)</f>
        <v>20</v>
      </c>
      <c r="AT46" s="3">
        <f>IF(AU$9&gt;0,Assumptions!$B$81,0)</f>
        <v>20</v>
      </c>
      <c r="AU46" s="3">
        <f>IF(AV$9&gt;0,Assumptions!$B$81,0)</f>
        <v>20</v>
      </c>
      <c r="AV46" s="3">
        <f>IF(AW$9&gt;0,Assumptions!$B$81,0)</f>
        <v>20</v>
      </c>
      <c r="AW46" s="3">
        <f>IF(AX$9&gt;0,Assumptions!$B$81,0)</f>
        <v>20</v>
      </c>
      <c r="AX46" s="3">
        <f>IF(AY$9&gt;0,Assumptions!$B$81,0)</f>
        <v>20</v>
      </c>
      <c r="AY46" s="3">
        <f>IF(AZ$9&gt;0,Assumptions!$B$81,0)</f>
        <v>20</v>
      </c>
      <c r="AZ46" s="3">
        <f>IF(BA$9&gt;0,Assumptions!$B$81,0)</f>
        <v>20</v>
      </c>
      <c r="BA46" s="3">
        <f>IF(BB$9&gt;0,Assumptions!$B$81,0)</f>
        <v>20</v>
      </c>
      <c r="BB46" s="3">
        <f>IF(BC$9&gt;0,Assumptions!$B$81,0)</f>
        <v>20</v>
      </c>
      <c r="BC46" s="3">
        <f>IF(BD$9&gt;0,Assumptions!$B$81,0)</f>
        <v>20</v>
      </c>
      <c r="BD46" s="3">
        <f>IF(BE$9&gt;0,Assumptions!$B$81,0)</f>
        <v>20</v>
      </c>
      <c r="BE46" s="37">
        <f t="shared" si="92"/>
        <v>240</v>
      </c>
      <c r="BF46" s="3">
        <f>IF(BG$9&gt;0,Assumptions!$B$81,0)</f>
        <v>20</v>
      </c>
      <c r="BG46" s="3">
        <f>IF(BH$9&gt;0,Assumptions!$B$81,0)</f>
        <v>20</v>
      </c>
      <c r="BH46" s="3">
        <f>IF(BI$9&gt;0,Assumptions!$B$81,0)</f>
        <v>20</v>
      </c>
      <c r="BI46" s="3">
        <f>IF(BJ$9&gt;0,Assumptions!$B$81,0)</f>
        <v>20</v>
      </c>
      <c r="BJ46" s="3">
        <f>IF(BK$9&gt;0,Assumptions!$B$81,0)</f>
        <v>20</v>
      </c>
      <c r="BK46" s="3">
        <f>IF(BL$9&gt;0,Assumptions!$B$81,0)</f>
        <v>20</v>
      </c>
      <c r="BL46" s="3">
        <f>IF(BM$9&gt;0,Assumptions!$B$81,0)</f>
        <v>20</v>
      </c>
      <c r="BM46" s="3">
        <f>IF(BN$9&gt;0,Assumptions!$B$81,0)</f>
        <v>20</v>
      </c>
      <c r="BN46" s="3">
        <f>IF(BO$9&gt;0,Assumptions!$B$81,0)</f>
        <v>20</v>
      </c>
      <c r="BO46" s="3">
        <f>IF(BP$9&gt;0,Assumptions!$B$81,0)</f>
        <v>20</v>
      </c>
      <c r="BP46" s="3">
        <f>IF(BQ$9&gt;0,Assumptions!$B$81,0)</f>
        <v>20</v>
      </c>
      <c r="BQ46" s="3">
        <f>IF(BR$9&gt;0,Assumptions!$B$81,0)</f>
        <v>20</v>
      </c>
      <c r="BR46" s="37">
        <f t="shared" si="93"/>
        <v>240</v>
      </c>
      <c r="BS46" s="37">
        <f t="shared" si="94"/>
        <v>1200</v>
      </c>
    </row>
    <row r="47" spans="1:72" ht="15.75" customHeight="1">
      <c r="A47" s="1"/>
      <c r="B47" s="21"/>
      <c r="C47" s="21" t="s">
        <v>57</v>
      </c>
      <c r="D47" s="24"/>
      <c r="E47" s="24"/>
      <c r="F47" s="3">
        <f>IF(G$9&gt;0,Assumptions!$B$82,0)</f>
        <v>400</v>
      </c>
      <c r="G47" s="3">
        <f>IF(H$9&gt;0,Assumptions!$B$82,0)</f>
        <v>400</v>
      </c>
      <c r="H47" s="3">
        <f>IF(I$9&gt;0,Assumptions!$B$82,0)</f>
        <v>400</v>
      </c>
      <c r="I47" s="3">
        <f>IF(J$9&gt;0,Assumptions!$B$82,0)</f>
        <v>400</v>
      </c>
      <c r="J47" s="3">
        <f>IF(K$9&gt;0,Assumptions!$B$82,0)</f>
        <v>400</v>
      </c>
      <c r="K47" s="3">
        <f>IF(L$9&gt;0,Assumptions!$B$82,0)</f>
        <v>400</v>
      </c>
      <c r="L47" s="3">
        <f>IF(M$9&gt;0,Assumptions!$B$82,0)</f>
        <v>400</v>
      </c>
      <c r="M47" s="3">
        <f>IF(N$9&gt;0,Assumptions!$B$82,0)</f>
        <v>400</v>
      </c>
      <c r="N47" s="3">
        <f>IF(O$9&gt;0,Assumptions!$B$82,0)</f>
        <v>400</v>
      </c>
      <c r="O47" s="3">
        <f>IF(P$9&gt;0,Assumptions!$B$82,0)</f>
        <v>400</v>
      </c>
      <c r="P47" s="3">
        <f>IF(Q$9&gt;0,Assumptions!$B$82,0)</f>
        <v>400</v>
      </c>
      <c r="Q47" s="3">
        <f>IF(R$9&gt;0,Assumptions!$B$82,0)</f>
        <v>400</v>
      </c>
      <c r="R47" s="37">
        <f t="shared" si="89"/>
        <v>4800</v>
      </c>
      <c r="S47" s="3">
        <f>IF(T$9&gt;0,Assumptions!$B$82,0)</f>
        <v>400</v>
      </c>
      <c r="T47" s="3">
        <f>IF(U$9&gt;0,Assumptions!$B$82,0)</f>
        <v>400</v>
      </c>
      <c r="U47" s="3">
        <f>IF(V$9&gt;0,Assumptions!$B$82,0)</f>
        <v>400</v>
      </c>
      <c r="V47" s="3">
        <f>IF(W$9&gt;0,Assumptions!$B$82,0)</f>
        <v>400</v>
      </c>
      <c r="W47" s="3">
        <f>IF(X$9&gt;0,Assumptions!$B$82,0)</f>
        <v>400</v>
      </c>
      <c r="X47" s="3">
        <f>IF(Y$9&gt;0,Assumptions!$B$82,0)</f>
        <v>400</v>
      </c>
      <c r="Y47" s="3">
        <f>IF(Z$9&gt;0,Assumptions!$B$82,0)</f>
        <v>400</v>
      </c>
      <c r="Z47" s="3">
        <f>IF(AA$9&gt;0,Assumptions!$B$82,0)</f>
        <v>400</v>
      </c>
      <c r="AA47" s="3">
        <f>IF(AB$9&gt;0,Assumptions!$B$82,0)</f>
        <v>400</v>
      </c>
      <c r="AB47" s="3">
        <f>IF(AC$9&gt;0,Assumptions!$B$82,0)</f>
        <v>400</v>
      </c>
      <c r="AC47" s="3">
        <f>IF(AD$9&gt;0,Assumptions!$B$82,0)</f>
        <v>400</v>
      </c>
      <c r="AD47" s="3">
        <f>IF(AE$9&gt;0,Assumptions!$B$82,0)</f>
        <v>400</v>
      </c>
      <c r="AE47" s="37">
        <f t="shared" si="90"/>
        <v>4800</v>
      </c>
      <c r="AF47" s="3">
        <f>IF(AG$9&gt;0,Assumptions!$B$82,0)</f>
        <v>400</v>
      </c>
      <c r="AG47" s="3">
        <f>IF(AH$9&gt;0,Assumptions!$B$82,0)</f>
        <v>400</v>
      </c>
      <c r="AH47" s="3">
        <f>IF(AI$9&gt;0,Assumptions!$B$82,0)</f>
        <v>400</v>
      </c>
      <c r="AI47" s="3">
        <f>IF(AJ$9&gt;0,Assumptions!$B$82,0)</f>
        <v>400</v>
      </c>
      <c r="AJ47" s="3">
        <f>IF(AK$9&gt;0,Assumptions!$B$82,0)</f>
        <v>400</v>
      </c>
      <c r="AK47" s="3">
        <f>IF(AL$9&gt;0,Assumptions!$B$82,0)</f>
        <v>400</v>
      </c>
      <c r="AL47" s="3">
        <f>IF(AM$9&gt;0,Assumptions!$B$82,0)</f>
        <v>400</v>
      </c>
      <c r="AM47" s="3">
        <f>IF(AN$9&gt;0,Assumptions!$B$82,0)</f>
        <v>400</v>
      </c>
      <c r="AN47" s="3">
        <f>IF(AO$9&gt;0,Assumptions!$B$82,0)</f>
        <v>400</v>
      </c>
      <c r="AO47" s="3">
        <f>IF(AP$9&gt;0,Assumptions!$B$82,0)</f>
        <v>400</v>
      </c>
      <c r="AP47" s="3">
        <f>IF(AQ$9&gt;0,Assumptions!$B$82,0)</f>
        <v>400</v>
      </c>
      <c r="AQ47" s="3">
        <f>IF(AR$9&gt;0,Assumptions!$B$82,0)</f>
        <v>400</v>
      </c>
      <c r="AR47" s="37">
        <f t="shared" si="91"/>
        <v>4800</v>
      </c>
      <c r="AS47" s="3">
        <f>IF(AT$9&gt;0,Assumptions!$B$82,0)</f>
        <v>400</v>
      </c>
      <c r="AT47" s="3">
        <f>IF(AU$9&gt;0,Assumptions!$B$82,0)</f>
        <v>400</v>
      </c>
      <c r="AU47" s="3">
        <f>IF(AV$9&gt;0,Assumptions!$B$82,0)</f>
        <v>400</v>
      </c>
      <c r="AV47" s="3">
        <f>IF(AW$9&gt;0,Assumptions!$B$82,0)</f>
        <v>400</v>
      </c>
      <c r="AW47" s="3">
        <f>IF(AX$9&gt;0,Assumptions!$B$82,0)</f>
        <v>400</v>
      </c>
      <c r="AX47" s="3">
        <f>IF(AY$9&gt;0,Assumptions!$B$82,0)</f>
        <v>400</v>
      </c>
      <c r="AY47" s="3">
        <f>IF(AZ$9&gt;0,Assumptions!$B$82,0)</f>
        <v>400</v>
      </c>
      <c r="AZ47" s="3">
        <f>IF(BA$9&gt;0,Assumptions!$B$82,0)</f>
        <v>400</v>
      </c>
      <c r="BA47" s="3">
        <f>IF(BB$9&gt;0,Assumptions!$B$82,0)</f>
        <v>400</v>
      </c>
      <c r="BB47" s="3">
        <f>IF(BC$9&gt;0,Assumptions!$B$82,0)</f>
        <v>400</v>
      </c>
      <c r="BC47" s="3">
        <f>IF(BD$9&gt;0,Assumptions!$B$82,0)</f>
        <v>400</v>
      </c>
      <c r="BD47" s="3">
        <f>IF(BE$9&gt;0,Assumptions!$B$82,0)</f>
        <v>400</v>
      </c>
      <c r="BE47" s="37">
        <f t="shared" si="92"/>
        <v>4800</v>
      </c>
      <c r="BF47" s="3">
        <f>IF(BG$9&gt;0,Assumptions!$B$82,0)</f>
        <v>400</v>
      </c>
      <c r="BG47" s="3">
        <f>IF(BH$9&gt;0,Assumptions!$B$82,0)</f>
        <v>400</v>
      </c>
      <c r="BH47" s="3">
        <f>IF(BI$9&gt;0,Assumptions!$B$82,0)</f>
        <v>400</v>
      </c>
      <c r="BI47" s="3">
        <f>IF(BJ$9&gt;0,Assumptions!$B$82,0)</f>
        <v>400</v>
      </c>
      <c r="BJ47" s="3">
        <f>IF(BK$9&gt;0,Assumptions!$B$82,0)</f>
        <v>400</v>
      </c>
      <c r="BK47" s="3">
        <f>IF(BL$9&gt;0,Assumptions!$B$82,0)</f>
        <v>400</v>
      </c>
      <c r="BL47" s="3">
        <f>IF(BM$9&gt;0,Assumptions!$B$82,0)</f>
        <v>400</v>
      </c>
      <c r="BM47" s="3">
        <f>IF(BN$9&gt;0,Assumptions!$B$82,0)</f>
        <v>400</v>
      </c>
      <c r="BN47" s="3">
        <f>IF(BO$9&gt;0,Assumptions!$B$82,0)</f>
        <v>400</v>
      </c>
      <c r="BO47" s="3">
        <f>IF(BP$9&gt;0,Assumptions!$B$82,0)</f>
        <v>400</v>
      </c>
      <c r="BP47" s="3">
        <f>IF(BQ$9&gt;0,Assumptions!$B$82,0)</f>
        <v>400</v>
      </c>
      <c r="BQ47" s="3">
        <f>IF(BR$9&gt;0,Assumptions!$B$82,0)</f>
        <v>400</v>
      </c>
      <c r="BR47" s="37">
        <f t="shared" si="93"/>
        <v>4800</v>
      </c>
      <c r="BS47" s="37">
        <f t="shared" si="94"/>
        <v>24000</v>
      </c>
    </row>
    <row r="48" spans="1:72" ht="15.75" customHeight="1">
      <c r="A48" s="2"/>
      <c r="B48" s="21"/>
      <c r="C48" s="21" t="s">
        <v>58</v>
      </c>
      <c r="D48" s="24"/>
      <c r="E48" s="24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7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7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7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7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7"/>
      <c r="BS48" s="37"/>
    </row>
    <row r="49" spans="1:72" ht="15.75" customHeight="1">
      <c r="A49" s="1"/>
      <c r="B49" s="21"/>
      <c r="C49" s="21"/>
      <c r="D49" s="2" t="s">
        <v>59</v>
      </c>
      <c r="E49" s="2"/>
      <c r="F49" s="3">
        <f>Assumptions!$B$83</f>
        <v>125</v>
      </c>
      <c r="G49" s="3">
        <f>Assumptions!$B$83</f>
        <v>125</v>
      </c>
      <c r="H49" s="3">
        <f>Assumptions!$B$83</f>
        <v>125</v>
      </c>
      <c r="I49" s="3">
        <f>Assumptions!$B$83</f>
        <v>125</v>
      </c>
      <c r="J49" s="3">
        <f>Assumptions!$B$83</f>
        <v>125</v>
      </c>
      <c r="K49" s="3">
        <f>Assumptions!$B$83</f>
        <v>125</v>
      </c>
      <c r="L49" s="3">
        <f>Assumptions!$B$83</f>
        <v>125</v>
      </c>
      <c r="M49" s="3">
        <f>Assumptions!$B$83</f>
        <v>125</v>
      </c>
      <c r="N49" s="3">
        <f>Assumptions!$B$83</f>
        <v>125</v>
      </c>
      <c r="O49" s="3">
        <f>Assumptions!$B$83</f>
        <v>125</v>
      </c>
      <c r="P49" s="3">
        <f>Assumptions!$B$83</f>
        <v>125</v>
      </c>
      <c r="Q49" s="3">
        <f>Assumptions!$B$83</f>
        <v>125</v>
      </c>
      <c r="R49" s="37">
        <f t="shared" ref="R49:R56" si="95">SUM(F49:Q49)</f>
        <v>1500</v>
      </c>
      <c r="S49" s="3">
        <f>Assumptions!$H$83</f>
        <v>137.5</v>
      </c>
      <c r="T49" s="3">
        <f>Assumptions!$H$83</f>
        <v>137.5</v>
      </c>
      <c r="U49" s="3">
        <f>Assumptions!$H$83</f>
        <v>137.5</v>
      </c>
      <c r="V49" s="3">
        <f>Assumptions!$H$83</f>
        <v>137.5</v>
      </c>
      <c r="W49" s="3">
        <f>Assumptions!$H$83</f>
        <v>137.5</v>
      </c>
      <c r="X49" s="3">
        <f>Assumptions!$H$83</f>
        <v>137.5</v>
      </c>
      <c r="Y49" s="3">
        <f>Assumptions!$H$83</f>
        <v>137.5</v>
      </c>
      <c r="Z49" s="3">
        <f>Assumptions!$H$83</f>
        <v>137.5</v>
      </c>
      <c r="AA49" s="3">
        <f>Assumptions!$H$83</f>
        <v>137.5</v>
      </c>
      <c r="AB49" s="3">
        <f>Assumptions!$H$83</f>
        <v>137.5</v>
      </c>
      <c r="AC49" s="3">
        <f>Assumptions!$H$83</f>
        <v>137.5</v>
      </c>
      <c r="AD49" s="3">
        <f>Assumptions!$H$83</f>
        <v>137.5</v>
      </c>
      <c r="AE49" s="37">
        <f t="shared" ref="AE49:AE56" si="96">SUM(S49:AD49)</f>
        <v>1650</v>
      </c>
      <c r="AF49" s="3">
        <f>Assumptions!$I$83</f>
        <v>147.8125</v>
      </c>
      <c r="AG49" s="3">
        <f>Assumptions!$I$83</f>
        <v>147.8125</v>
      </c>
      <c r="AH49" s="3">
        <f>Assumptions!$I$83</f>
        <v>147.8125</v>
      </c>
      <c r="AI49" s="3">
        <f>Assumptions!$I$83</f>
        <v>147.8125</v>
      </c>
      <c r="AJ49" s="3">
        <f>Assumptions!$I$83</f>
        <v>147.8125</v>
      </c>
      <c r="AK49" s="3">
        <f>Assumptions!$I$83</f>
        <v>147.8125</v>
      </c>
      <c r="AL49" s="3">
        <f>Assumptions!$I$83</f>
        <v>147.8125</v>
      </c>
      <c r="AM49" s="3">
        <f>Assumptions!$I$83</f>
        <v>147.8125</v>
      </c>
      <c r="AN49" s="3">
        <f>Assumptions!$I$83</f>
        <v>147.8125</v>
      </c>
      <c r="AO49" s="3">
        <f>Assumptions!$I$83</f>
        <v>147.8125</v>
      </c>
      <c r="AP49" s="3">
        <f>Assumptions!$I$83</f>
        <v>147.8125</v>
      </c>
      <c r="AQ49" s="3">
        <f>Assumptions!$I$83</f>
        <v>147.8125</v>
      </c>
      <c r="AR49" s="37">
        <f t="shared" ref="AR49:AR56" si="97">SUM(AF49:AQ49)</f>
        <v>1773.75</v>
      </c>
      <c r="AS49" s="3">
        <f>Assumptions!$J$83</f>
        <v>155.203125</v>
      </c>
      <c r="AT49" s="3">
        <f>Assumptions!$J$83</f>
        <v>155.203125</v>
      </c>
      <c r="AU49" s="3">
        <f>Assumptions!$J$83</f>
        <v>155.203125</v>
      </c>
      <c r="AV49" s="3">
        <f>Assumptions!$J$83</f>
        <v>155.203125</v>
      </c>
      <c r="AW49" s="3">
        <f>Assumptions!$J$83</f>
        <v>155.203125</v>
      </c>
      <c r="AX49" s="3">
        <f>Assumptions!$J$83</f>
        <v>155.203125</v>
      </c>
      <c r="AY49" s="3">
        <f>Assumptions!$J$83</f>
        <v>155.203125</v>
      </c>
      <c r="AZ49" s="3">
        <f>Assumptions!$J$83</f>
        <v>155.203125</v>
      </c>
      <c r="BA49" s="3">
        <f>Assumptions!$J$83</f>
        <v>155.203125</v>
      </c>
      <c r="BB49" s="3">
        <f>Assumptions!$J$83</f>
        <v>155.203125</v>
      </c>
      <c r="BC49" s="3">
        <f>Assumptions!$J$83</f>
        <v>155.203125</v>
      </c>
      <c r="BD49" s="3">
        <f>Assumptions!$J$83</f>
        <v>155.203125</v>
      </c>
      <c r="BE49" s="37">
        <f t="shared" ref="BE49:BE56" si="98">SUM(AS49:BD49)</f>
        <v>1862.4375</v>
      </c>
      <c r="BF49" s="3">
        <f>Assumptions!$K$83</f>
        <v>159.08320312499998</v>
      </c>
      <c r="BG49" s="3">
        <f>Assumptions!$K$83</f>
        <v>159.08320312499998</v>
      </c>
      <c r="BH49" s="3">
        <f>Assumptions!$K$83</f>
        <v>159.08320312499998</v>
      </c>
      <c r="BI49" s="3">
        <f>Assumptions!$K$83</f>
        <v>159.08320312499998</v>
      </c>
      <c r="BJ49" s="3">
        <f>Assumptions!$K$83</f>
        <v>159.08320312499998</v>
      </c>
      <c r="BK49" s="3">
        <f>Assumptions!$K$83</f>
        <v>159.08320312499998</v>
      </c>
      <c r="BL49" s="3">
        <f>Assumptions!$K$83</f>
        <v>159.08320312499998</v>
      </c>
      <c r="BM49" s="3">
        <f>Assumptions!$K$83</f>
        <v>159.08320312499998</v>
      </c>
      <c r="BN49" s="3">
        <f>Assumptions!$K$83</f>
        <v>159.08320312499998</v>
      </c>
      <c r="BO49" s="3">
        <f>Assumptions!$K$83</f>
        <v>159.08320312499998</v>
      </c>
      <c r="BP49" s="3">
        <f>Assumptions!$K$83</f>
        <v>159.08320312499998</v>
      </c>
      <c r="BQ49" s="3">
        <f>Assumptions!$K$83</f>
        <v>159.08320312499998</v>
      </c>
      <c r="BR49" s="37">
        <f t="shared" ref="BR49:BR56" si="99">SUM(BF49:BQ49)</f>
        <v>1908.9984374999997</v>
      </c>
      <c r="BS49" s="37">
        <f t="shared" ref="BS49:BS56" si="100">R49+AE49+AR49+BE49+BR49</f>
        <v>8695.1859375000004</v>
      </c>
    </row>
    <row r="50" spans="1:72" ht="15.75" customHeight="1">
      <c r="A50" s="2"/>
      <c r="B50" s="21"/>
      <c r="C50" s="21"/>
      <c r="D50" s="2" t="s">
        <v>60</v>
      </c>
      <c r="E50" s="2"/>
      <c r="F50" s="3">
        <f>Assumptions!$B$84++IF(Assumptions!$B$44="Yes",IF(F$6=Assumptions!$B$46,Assumptions!$B$45,0),0)</f>
        <v>5350</v>
      </c>
      <c r="G50" s="3">
        <f>Assumptions!$B$84++IF(Assumptions!$B$44="Yes",IF(G$6=Assumptions!$B$46,Assumptions!$B$45,0),0)</f>
        <v>350</v>
      </c>
      <c r="H50" s="3">
        <f>Assumptions!$B$84++IF(Assumptions!$B$44="Yes",IF(H$6=Assumptions!$B$46,Assumptions!$B$45,0),0)</f>
        <v>350</v>
      </c>
      <c r="I50" s="3">
        <f>Assumptions!$B$84++IF(Assumptions!$B$44="Yes",IF(I$6=Assumptions!$B$46,Assumptions!$B$45,0),0)</f>
        <v>350</v>
      </c>
      <c r="J50" s="3">
        <f>Assumptions!$B$84++IF(Assumptions!$B$44="Yes",IF(J$6=Assumptions!$B$46,Assumptions!$B$45,0),0)</f>
        <v>350</v>
      </c>
      <c r="K50" s="3">
        <f>Assumptions!$B$84++IF(Assumptions!$B$44="Yes",IF(K$6=Assumptions!$B$46,Assumptions!$B$45,0),0)</f>
        <v>350</v>
      </c>
      <c r="L50" s="3">
        <f>Assumptions!$B$84++IF(Assumptions!$B$44="Yes",IF(L$6=Assumptions!$B$46,Assumptions!$B$45,0),0)</f>
        <v>350</v>
      </c>
      <c r="M50" s="3">
        <f>Assumptions!$B$84++IF(Assumptions!$B$44="Yes",IF(M$6=Assumptions!$B$46,Assumptions!$B$45,0),0)</f>
        <v>350</v>
      </c>
      <c r="N50" s="3">
        <f>Assumptions!$B$84++IF(Assumptions!$B$44="Yes",IF(N$6=Assumptions!$B$46,Assumptions!$B$45,0),0)</f>
        <v>350</v>
      </c>
      <c r="O50" s="3">
        <f>Assumptions!$B$84++IF(Assumptions!$B$44="Yes",IF(O$6=Assumptions!$B$46,Assumptions!$B$45,0),0)</f>
        <v>350</v>
      </c>
      <c r="P50" s="3">
        <f>Assumptions!$B$84++IF(Assumptions!$B$44="Yes",IF(P$6=Assumptions!$B$46,Assumptions!$B$45,0),0)</f>
        <v>350</v>
      </c>
      <c r="Q50" s="3">
        <f>Assumptions!$B$84++IF(Assumptions!$B$44="Yes",IF(Q$6=Assumptions!$B$46,Assumptions!$B$45,0),0)</f>
        <v>350</v>
      </c>
      <c r="R50" s="37">
        <f t="shared" si="95"/>
        <v>9200</v>
      </c>
      <c r="S50" s="3">
        <f>Assumptions!$H$84</f>
        <v>367.5</v>
      </c>
      <c r="T50" s="3">
        <f>Assumptions!$H$84</f>
        <v>367.5</v>
      </c>
      <c r="U50" s="3">
        <f>Assumptions!$H$84</f>
        <v>367.5</v>
      </c>
      <c r="V50" s="3">
        <f>Assumptions!$H$84</f>
        <v>367.5</v>
      </c>
      <c r="W50" s="3">
        <f>Assumptions!$H$84</f>
        <v>367.5</v>
      </c>
      <c r="X50" s="3">
        <f>Assumptions!$H$84</f>
        <v>367.5</v>
      </c>
      <c r="Y50" s="3">
        <f>Assumptions!$H$84</f>
        <v>367.5</v>
      </c>
      <c r="Z50" s="3">
        <f>Assumptions!$H$84</f>
        <v>367.5</v>
      </c>
      <c r="AA50" s="3">
        <f>Assumptions!$H$84</f>
        <v>367.5</v>
      </c>
      <c r="AB50" s="3">
        <f>Assumptions!$H$84</f>
        <v>367.5</v>
      </c>
      <c r="AC50" s="3">
        <f>Assumptions!$H$84</f>
        <v>367.5</v>
      </c>
      <c r="AD50" s="3">
        <f>Assumptions!$H$84</f>
        <v>367.5</v>
      </c>
      <c r="AE50" s="37">
        <f t="shared" si="96"/>
        <v>4410</v>
      </c>
      <c r="AF50" s="3">
        <f>Assumptions!$I$84</f>
        <v>385.875</v>
      </c>
      <c r="AG50" s="3">
        <f>Assumptions!$I$84</f>
        <v>385.875</v>
      </c>
      <c r="AH50" s="3">
        <f>Assumptions!$I$84</f>
        <v>385.875</v>
      </c>
      <c r="AI50" s="3">
        <f>Assumptions!$I$84</f>
        <v>385.875</v>
      </c>
      <c r="AJ50" s="3">
        <f>Assumptions!$I$84</f>
        <v>385.875</v>
      </c>
      <c r="AK50" s="3">
        <f>Assumptions!$I$84</f>
        <v>385.875</v>
      </c>
      <c r="AL50" s="3">
        <f>Assumptions!$I$84</f>
        <v>385.875</v>
      </c>
      <c r="AM50" s="3">
        <f>Assumptions!$I$84</f>
        <v>385.875</v>
      </c>
      <c r="AN50" s="3">
        <f>Assumptions!$I$84</f>
        <v>385.875</v>
      </c>
      <c r="AO50" s="3">
        <f>Assumptions!$I$84</f>
        <v>385.875</v>
      </c>
      <c r="AP50" s="3">
        <f>Assumptions!$I$84</f>
        <v>385.875</v>
      </c>
      <c r="AQ50" s="3">
        <f>Assumptions!$I$84</f>
        <v>385.875</v>
      </c>
      <c r="AR50" s="37">
        <f t="shared" si="97"/>
        <v>4630.5</v>
      </c>
      <c r="AS50" s="3">
        <f>Assumptions!$J$84</f>
        <v>405.16875000000005</v>
      </c>
      <c r="AT50" s="3">
        <f>Assumptions!$J$84</f>
        <v>405.16875000000005</v>
      </c>
      <c r="AU50" s="3">
        <f>Assumptions!$J$84</f>
        <v>405.16875000000005</v>
      </c>
      <c r="AV50" s="3">
        <f>Assumptions!$J$84</f>
        <v>405.16875000000005</v>
      </c>
      <c r="AW50" s="3">
        <f>Assumptions!$J$84</f>
        <v>405.16875000000005</v>
      </c>
      <c r="AX50" s="3">
        <f>Assumptions!$J$84</f>
        <v>405.16875000000005</v>
      </c>
      <c r="AY50" s="3">
        <f>Assumptions!$J$84</f>
        <v>405.16875000000005</v>
      </c>
      <c r="AZ50" s="3">
        <f>Assumptions!$J$84</f>
        <v>405.16875000000005</v>
      </c>
      <c r="BA50" s="3">
        <f>Assumptions!$J$84</f>
        <v>405.16875000000005</v>
      </c>
      <c r="BB50" s="3">
        <f>Assumptions!$J$84</f>
        <v>405.16875000000005</v>
      </c>
      <c r="BC50" s="3">
        <f>Assumptions!$J$84</f>
        <v>405.16875000000005</v>
      </c>
      <c r="BD50" s="3">
        <f>Assumptions!$J$84</f>
        <v>405.16875000000005</v>
      </c>
      <c r="BE50" s="37">
        <f t="shared" si="98"/>
        <v>4862.0249999999996</v>
      </c>
      <c r="BF50" s="3">
        <f>Assumptions!$K$84</f>
        <v>425.42718750000006</v>
      </c>
      <c r="BG50" s="3">
        <f>Assumptions!$K$84</f>
        <v>425.42718750000006</v>
      </c>
      <c r="BH50" s="3">
        <f>Assumptions!$K$84</f>
        <v>425.42718750000006</v>
      </c>
      <c r="BI50" s="3">
        <f>Assumptions!$K$84</f>
        <v>425.42718750000006</v>
      </c>
      <c r="BJ50" s="3">
        <f>Assumptions!$K$84</f>
        <v>425.42718750000006</v>
      </c>
      <c r="BK50" s="3">
        <f>Assumptions!$K$84</f>
        <v>425.42718750000006</v>
      </c>
      <c r="BL50" s="3">
        <f>Assumptions!$K$84</f>
        <v>425.42718750000006</v>
      </c>
      <c r="BM50" s="3">
        <f>Assumptions!$K$84</f>
        <v>425.42718750000006</v>
      </c>
      <c r="BN50" s="3">
        <f>Assumptions!$K$84</f>
        <v>425.42718750000006</v>
      </c>
      <c r="BO50" s="3">
        <f>Assumptions!$K$84</f>
        <v>425.42718750000006</v>
      </c>
      <c r="BP50" s="3">
        <f>Assumptions!$K$84</f>
        <v>425.42718750000006</v>
      </c>
      <c r="BQ50" s="3">
        <f>Assumptions!$K$84</f>
        <v>425.42718750000006</v>
      </c>
      <c r="BR50" s="37">
        <f t="shared" si="99"/>
        <v>5105.1262500000012</v>
      </c>
      <c r="BS50" s="37">
        <f t="shared" si="100"/>
        <v>28207.651250000003</v>
      </c>
    </row>
    <row r="51" spans="1:72" ht="15.75" customHeight="1">
      <c r="A51" s="2"/>
      <c r="B51" s="21"/>
      <c r="C51" s="21"/>
      <c r="D51" s="2" t="s">
        <v>61</v>
      </c>
      <c r="E51" s="2"/>
      <c r="F51" s="3">
        <f>Assumptions!$B$85</f>
        <v>200</v>
      </c>
      <c r="G51" s="3">
        <f>Assumptions!$B$85</f>
        <v>200</v>
      </c>
      <c r="H51" s="3">
        <f>Assumptions!$B$85</f>
        <v>200</v>
      </c>
      <c r="I51" s="3">
        <f>Assumptions!$B$85</f>
        <v>200</v>
      </c>
      <c r="J51" s="3">
        <f>Assumptions!$B$85</f>
        <v>200</v>
      </c>
      <c r="K51" s="3">
        <f>Assumptions!$B$85</f>
        <v>200</v>
      </c>
      <c r="L51" s="3">
        <f>Assumptions!$B$85</f>
        <v>200</v>
      </c>
      <c r="M51" s="3">
        <f>Assumptions!$B$85</f>
        <v>200</v>
      </c>
      <c r="N51" s="3">
        <f>Assumptions!$B$85</f>
        <v>200</v>
      </c>
      <c r="O51" s="3">
        <f>Assumptions!$B$85</f>
        <v>200</v>
      </c>
      <c r="P51" s="3">
        <f>Assumptions!$B$85</f>
        <v>200</v>
      </c>
      <c r="Q51" s="3">
        <f>Assumptions!$B$85</f>
        <v>200</v>
      </c>
      <c r="R51" s="37">
        <f t="shared" si="95"/>
        <v>2400</v>
      </c>
      <c r="S51" s="3">
        <f>Assumptions!$H$85</f>
        <v>210</v>
      </c>
      <c r="T51" s="3">
        <f>Assumptions!$H$85</f>
        <v>210</v>
      </c>
      <c r="U51" s="3">
        <f>Assumptions!$H$85</f>
        <v>210</v>
      </c>
      <c r="V51" s="3">
        <f>Assumptions!$H$85</f>
        <v>210</v>
      </c>
      <c r="W51" s="3">
        <f>Assumptions!$H$85</f>
        <v>210</v>
      </c>
      <c r="X51" s="3">
        <f>Assumptions!$H$85</f>
        <v>210</v>
      </c>
      <c r="Y51" s="3">
        <f>Assumptions!$H$85</f>
        <v>210</v>
      </c>
      <c r="Z51" s="3">
        <f>Assumptions!$H$85</f>
        <v>210</v>
      </c>
      <c r="AA51" s="3">
        <f>Assumptions!$H$85</f>
        <v>210</v>
      </c>
      <c r="AB51" s="3">
        <f>Assumptions!$H$85</f>
        <v>210</v>
      </c>
      <c r="AC51" s="3">
        <f>Assumptions!$H$85</f>
        <v>210</v>
      </c>
      <c r="AD51" s="3">
        <f>Assumptions!$H$85</f>
        <v>210</v>
      </c>
      <c r="AE51" s="37">
        <f t="shared" si="96"/>
        <v>2520</v>
      </c>
      <c r="AF51" s="3">
        <f>Assumptions!$I$85</f>
        <v>220.5</v>
      </c>
      <c r="AG51" s="3">
        <f>Assumptions!$I$85</f>
        <v>220.5</v>
      </c>
      <c r="AH51" s="3">
        <f>Assumptions!$I$85</f>
        <v>220.5</v>
      </c>
      <c r="AI51" s="3">
        <f>Assumptions!$I$85</f>
        <v>220.5</v>
      </c>
      <c r="AJ51" s="3">
        <f>Assumptions!$I$85</f>
        <v>220.5</v>
      </c>
      <c r="AK51" s="3">
        <f>Assumptions!$I$85</f>
        <v>220.5</v>
      </c>
      <c r="AL51" s="3">
        <f>Assumptions!$I$85</f>
        <v>220.5</v>
      </c>
      <c r="AM51" s="3">
        <f>Assumptions!$I$85</f>
        <v>220.5</v>
      </c>
      <c r="AN51" s="3">
        <f>Assumptions!$I$85</f>
        <v>220.5</v>
      </c>
      <c r="AO51" s="3">
        <f>Assumptions!$I$85</f>
        <v>220.5</v>
      </c>
      <c r="AP51" s="3">
        <f>Assumptions!$I$85</f>
        <v>220.5</v>
      </c>
      <c r="AQ51" s="3">
        <f>Assumptions!$I$85</f>
        <v>220.5</v>
      </c>
      <c r="AR51" s="37">
        <f t="shared" si="97"/>
        <v>2646</v>
      </c>
      <c r="AS51" s="3">
        <f>Assumptions!$J$85</f>
        <v>231.52500000000001</v>
      </c>
      <c r="AT51" s="3">
        <f>Assumptions!$J$85</f>
        <v>231.52500000000001</v>
      </c>
      <c r="AU51" s="3">
        <f>Assumptions!$J$85</f>
        <v>231.52500000000001</v>
      </c>
      <c r="AV51" s="3">
        <f>Assumptions!$J$85</f>
        <v>231.52500000000001</v>
      </c>
      <c r="AW51" s="3">
        <f>Assumptions!$J$85</f>
        <v>231.52500000000001</v>
      </c>
      <c r="AX51" s="3">
        <f>Assumptions!$J$85</f>
        <v>231.52500000000001</v>
      </c>
      <c r="AY51" s="3">
        <f>Assumptions!$J$85</f>
        <v>231.52500000000001</v>
      </c>
      <c r="AZ51" s="3">
        <f>Assumptions!$J$85</f>
        <v>231.52500000000001</v>
      </c>
      <c r="BA51" s="3">
        <f>Assumptions!$J$85</f>
        <v>231.52500000000001</v>
      </c>
      <c r="BB51" s="3">
        <f>Assumptions!$J$85</f>
        <v>231.52500000000001</v>
      </c>
      <c r="BC51" s="3">
        <f>Assumptions!$J$85</f>
        <v>231.52500000000001</v>
      </c>
      <c r="BD51" s="3">
        <f>Assumptions!$J$85</f>
        <v>231.52500000000001</v>
      </c>
      <c r="BE51" s="37">
        <f t="shared" si="98"/>
        <v>2778.3000000000006</v>
      </c>
      <c r="BF51" s="3">
        <f>Assumptions!$K$85</f>
        <v>243.10125000000002</v>
      </c>
      <c r="BG51" s="3">
        <f>Assumptions!$K$85</f>
        <v>243.10125000000002</v>
      </c>
      <c r="BH51" s="3">
        <f>Assumptions!$K$85</f>
        <v>243.10125000000002</v>
      </c>
      <c r="BI51" s="3">
        <f>Assumptions!$K$85</f>
        <v>243.10125000000002</v>
      </c>
      <c r="BJ51" s="3">
        <f>Assumptions!$K$85</f>
        <v>243.10125000000002</v>
      </c>
      <c r="BK51" s="3">
        <f>Assumptions!$K$85</f>
        <v>243.10125000000002</v>
      </c>
      <c r="BL51" s="3">
        <f>Assumptions!$K$85</f>
        <v>243.10125000000002</v>
      </c>
      <c r="BM51" s="3">
        <f>Assumptions!$K$85</f>
        <v>243.10125000000002</v>
      </c>
      <c r="BN51" s="3">
        <f>Assumptions!$K$85</f>
        <v>243.10125000000002</v>
      </c>
      <c r="BO51" s="3">
        <f>Assumptions!$K$85</f>
        <v>243.10125000000002</v>
      </c>
      <c r="BP51" s="3">
        <f>Assumptions!$K$85</f>
        <v>243.10125000000002</v>
      </c>
      <c r="BQ51" s="3">
        <f>Assumptions!$K$85</f>
        <v>243.10125000000002</v>
      </c>
      <c r="BR51" s="37">
        <f t="shared" si="99"/>
        <v>2917.2150000000006</v>
      </c>
      <c r="BS51" s="37">
        <f t="shared" si="100"/>
        <v>13261.515000000001</v>
      </c>
    </row>
    <row r="52" spans="1:72" ht="15.75" customHeight="1">
      <c r="A52" s="2"/>
      <c r="B52" s="21"/>
      <c r="C52" s="21" t="s">
        <v>62</v>
      </c>
      <c r="D52" s="2"/>
      <c r="E52" s="2"/>
      <c r="F52" s="331">
        <f>Assumptions!$B$86</f>
        <v>50</v>
      </c>
      <c r="G52" s="331">
        <f>Assumptions!$B$86</f>
        <v>50</v>
      </c>
      <c r="H52" s="331">
        <f>Assumptions!$B$86</f>
        <v>50</v>
      </c>
      <c r="I52" s="331">
        <f>Assumptions!$B$86</f>
        <v>50</v>
      </c>
      <c r="J52" s="331">
        <f>Assumptions!$B$86</f>
        <v>50</v>
      </c>
      <c r="K52" s="331">
        <f>Assumptions!$B$86</f>
        <v>50</v>
      </c>
      <c r="L52" s="331">
        <f>Assumptions!$B$86</f>
        <v>50</v>
      </c>
      <c r="M52" s="331">
        <f>Assumptions!$B$86</f>
        <v>50</v>
      </c>
      <c r="N52" s="331">
        <f>Assumptions!$B$86</f>
        <v>50</v>
      </c>
      <c r="O52" s="331">
        <f>Assumptions!$B$86</f>
        <v>50</v>
      </c>
      <c r="P52" s="331">
        <f>Assumptions!$B$86</f>
        <v>50</v>
      </c>
      <c r="Q52" s="331">
        <f>Assumptions!$B$86</f>
        <v>50</v>
      </c>
      <c r="R52" s="37">
        <f t="shared" si="95"/>
        <v>600</v>
      </c>
      <c r="S52" s="331">
        <f>Assumptions!$H$86</f>
        <v>52.5</v>
      </c>
      <c r="T52" s="331">
        <f>Assumptions!$H$86</f>
        <v>52.5</v>
      </c>
      <c r="U52" s="331">
        <f>Assumptions!$H$86</f>
        <v>52.5</v>
      </c>
      <c r="V52" s="331">
        <f>Assumptions!$H$86</f>
        <v>52.5</v>
      </c>
      <c r="W52" s="331">
        <f>Assumptions!$H$86</f>
        <v>52.5</v>
      </c>
      <c r="X52" s="331">
        <f>Assumptions!$H$86</f>
        <v>52.5</v>
      </c>
      <c r="Y52" s="331">
        <f>Assumptions!$H$86</f>
        <v>52.5</v>
      </c>
      <c r="Z52" s="331">
        <f>Assumptions!$H$86</f>
        <v>52.5</v>
      </c>
      <c r="AA52" s="331">
        <f>Assumptions!$H$86</f>
        <v>52.5</v>
      </c>
      <c r="AB52" s="331">
        <f>Assumptions!$H$86</f>
        <v>52.5</v>
      </c>
      <c r="AC52" s="331">
        <f>Assumptions!$H$86</f>
        <v>52.5</v>
      </c>
      <c r="AD52" s="331">
        <f>Assumptions!$H$86</f>
        <v>52.5</v>
      </c>
      <c r="AE52" s="37">
        <f t="shared" si="96"/>
        <v>630</v>
      </c>
      <c r="AF52" s="331">
        <f>Assumptions!$I$86</f>
        <v>57.750000000000007</v>
      </c>
      <c r="AG52" s="331">
        <f>Assumptions!$I$86</f>
        <v>57.750000000000007</v>
      </c>
      <c r="AH52" s="331">
        <f>Assumptions!$I$86</f>
        <v>57.750000000000007</v>
      </c>
      <c r="AI52" s="331">
        <f>Assumptions!$I$86</f>
        <v>57.750000000000007</v>
      </c>
      <c r="AJ52" s="331">
        <f>Assumptions!$I$86</f>
        <v>57.750000000000007</v>
      </c>
      <c r="AK52" s="331">
        <f>Assumptions!$I$86</f>
        <v>57.750000000000007</v>
      </c>
      <c r="AL52" s="331">
        <f>Assumptions!$I$86</f>
        <v>57.750000000000007</v>
      </c>
      <c r="AM52" s="331">
        <f>Assumptions!$I$86</f>
        <v>57.750000000000007</v>
      </c>
      <c r="AN52" s="331">
        <f>Assumptions!$I$86</f>
        <v>57.750000000000007</v>
      </c>
      <c r="AO52" s="331">
        <f>Assumptions!$I$86</f>
        <v>57.750000000000007</v>
      </c>
      <c r="AP52" s="331">
        <f>Assumptions!$I$86</f>
        <v>57.750000000000007</v>
      </c>
      <c r="AQ52" s="331">
        <f>Assumptions!$I$86</f>
        <v>57.750000000000007</v>
      </c>
      <c r="AR52" s="37">
        <f t="shared" si="97"/>
        <v>693.00000000000011</v>
      </c>
      <c r="AS52" s="331">
        <f>Assumptions!$J$86</f>
        <v>64.968750000000014</v>
      </c>
      <c r="AT52" s="331">
        <f>Assumptions!$J$86</f>
        <v>64.968750000000014</v>
      </c>
      <c r="AU52" s="331">
        <f>Assumptions!$J$86</f>
        <v>64.968750000000014</v>
      </c>
      <c r="AV52" s="331">
        <f>Assumptions!$J$86</f>
        <v>64.968750000000014</v>
      </c>
      <c r="AW52" s="331">
        <f>Assumptions!$J$86</f>
        <v>64.968750000000014</v>
      </c>
      <c r="AX52" s="331">
        <f>Assumptions!$J$86</f>
        <v>64.968750000000014</v>
      </c>
      <c r="AY52" s="331">
        <f>Assumptions!$J$86</f>
        <v>64.968750000000014</v>
      </c>
      <c r="AZ52" s="331">
        <f>Assumptions!$J$86</f>
        <v>64.968750000000014</v>
      </c>
      <c r="BA52" s="331">
        <f>Assumptions!$J$86</f>
        <v>64.968750000000014</v>
      </c>
      <c r="BB52" s="331">
        <f>Assumptions!$J$86</f>
        <v>64.968750000000014</v>
      </c>
      <c r="BC52" s="331">
        <f>Assumptions!$J$86</f>
        <v>64.968750000000014</v>
      </c>
      <c r="BD52" s="331">
        <f>Assumptions!$J$86</f>
        <v>64.968750000000014</v>
      </c>
      <c r="BE52" s="37">
        <f t="shared" si="98"/>
        <v>779.62500000000011</v>
      </c>
      <c r="BF52" s="331">
        <f>Assumptions!$K$86</f>
        <v>74.714062500000011</v>
      </c>
      <c r="BG52" s="331">
        <f>Assumptions!$K$86</f>
        <v>74.714062500000011</v>
      </c>
      <c r="BH52" s="331">
        <f>Assumptions!$K$86</f>
        <v>74.714062500000011</v>
      </c>
      <c r="BI52" s="331">
        <f>Assumptions!$K$86</f>
        <v>74.714062500000011</v>
      </c>
      <c r="BJ52" s="331">
        <f>Assumptions!$K$86</f>
        <v>74.714062500000011</v>
      </c>
      <c r="BK52" s="331">
        <f>Assumptions!$K$86</f>
        <v>74.714062500000011</v>
      </c>
      <c r="BL52" s="331">
        <f>Assumptions!$K$86</f>
        <v>74.714062500000011</v>
      </c>
      <c r="BM52" s="331">
        <f>Assumptions!$K$86</f>
        <v>74.714062500000011</v>
      </c>
      <c r="BN52" s="331">
        <f>Assumptions!$K$86</f>
        <v>74.714062500000011</v>
      </c>
      <c r="BO52" s="331">
        <f>Assumptions!$K$86</f>
        <v>74.714062500000011</v>
      </c>
      <c r="BP52" s="331">
        <f>Assumptions!$K$86</f>
        <v>74.714062500000011</v>
      </c>
      <c r="BQ52" s="331">
        <f>Assumptions!$K$86</f>
        <v>74.714062500000011</v>
      </c>
      <c r="BR52" s="37">
        <f t="shared" si="99"/>
        <v>896.56874999999991</v>
      </c>
      <c r="BS52" s="37">
        <f t="shared" si="100"/>
        <v>3599.1937499999999</v>
      </c>
    </row>
    <row r="53" spans="1:72" ht="15.75" customHeight="1">
      <c r="A53" s="2"/>
      <c r="B53" s="21"/>
      <c r="C53" s="21" t="s">
        <v>63</v>
      </c>
      <c r="D53" s="2"/>
      <c r="E53" s="2"/>
      <c r="F53" s="3">
        <f>Assumptions!$B$87*F8</f>
        <v>0</v>
      </c>
      <c r="G53" s="3">
        <f>Assumptions!$B$87*G8</f>
        <v>0</v>
      </c>
      <c r="H53" s="3">
        <f>Assumptions!$B$87*H8</f>
        <v>0</v>
      </c>
      <c r="I53" s="3">
        <f>Assumptions!$B$87*I8</f>
        <v>0</v>
      </c>
      <c r="J53" s="3">
        <f>Assumptions!$B$87*J8</f>
        <v>0</v>
      </c>
      <c r="K53" s="3">
        <f>Assumptions!$B$87*K8</f>
        <v>0</v>
      </c>
      <c r="L53" s="3">
        <f>Assumptions!$B$87*L8</f>
        <v>0</v>
      </c>
      <c r="M53" s="3">
        <f>Assumptions!$B$87*M8</f>
        <v>0</v>
      </c>
      <c r="N53" s="3">
        <f>Assumptions!$B$87*N8</f>
        <v>0</v>
      </c>
      <c r="O53" s="3">
        <f>Assumptions!$B$87*O8</f>
        <v>0</v>
      </c>
      <c r="P53" s="3">
        <f>Assumptions!$B$87*P8</f>
        <v>0</v>
      </c>
      <c r="Q53" s="3">
        <f>Assumptions!$B$87*Q8</f>
        <v>0</v>
      </c>
      <c r="R53" s="37">
        <f t="shared" si="95"/>
        <v>0</v>
      </c>
      <c r="S53" s="3">
        <f>Assumptions!$H$87*S8</f>
        <v>0</v>
      </c>
      <c r="T53" s="3">
        <f>Assumptions!$H$87*T8</f>
        <v>0</v>
      </c>
      <c r="U53" s="3">
        <f>Assumptions!$H$87*U8</f>
        <v>0</v>
      </c>
      <c r="V53" s="3">
        <f>Assumptions!$H$87*V8</f>
        <v>0</v>
      </c>
      <c r="W53" s="3">
        <f>Assumptions!$H$87*W8</f>
        <v>0</v>
      </c>
      <c r="X53" s="3">
        <f>Assumptions!$H$87*X8</f>
        <v>0</v>
      </c>
      <c r="Y53" s="3">
        <f>Assumptions!$H$87*Y8</f>
        <v>0</v>
      </c>
      <c r="Z53" s="3">
        <f>Assumptions!$H$87*Z8</f>
        <v>0</v>
      </c>
      <c r="AA53" s="3">
        <f>Assumptions!$H$87*AA8</f>
        <v>0</v>
      </c>
      <c r="AB53" s="3">
        <f>Assumptions!$H$87*AB8</f>
        <v>0</v>
      </c>
      <c r="AC53" s="3">
        <f>Assumptions!$H$87*AC8</f>
        <v>0</v>
      </c>
      <c r="AD53" s="3">
        <f>Assumptions!$H$87*AD8</f>
        <v>0</v>
      </c>
      <c r="AE53" s="37">
        <f t="shared" si="96"/>
        <v>0</v>
      </c>
      <c r="AF53" s="3">
        <f>Assumptions!$I$87*AF8</f>
        <v>0</v>
      </c>
      <c r="AG53" s="3">
        <f>Assumptions!$I$87*AG8</f>
        <v>0</v>
      </c>
      <c r="AH53" s="3">
        <f>Assumptions!$I$87*AH8</f>
        <v>0</v>
      </c>
      <c r="AI53" s="3">
        <f>Assumptions!$I$87*AI8</f>
        <v>0</v>
      </c>
      <c r="AJ53" s="3">
        <f>Assumptions!$I$87*AJ8</f>
        <v>0</v>
      </c>
      <c r="AK53" s="3">
        <f>Assumptions!$I$87*AK8</f>
        <v>0</v>
      </c>
      <c r="AL53" s="3">
        <f>Assumptions!$I$87*AL8</f>
        <v>0</v>
      </c>
      <c r="AM53" s="3">
        <f>Assumptions!$I$87*AM8</f>
        <v>0</v>
      </c>
      <c r="AN53" s="3">
        <f>Assumptions!$I$87*AN8</f>
        <v>0</v>
      </c>
      <c r="AO53" s="3">
        <f>Assumptions!$I$87*AO8</f>
        <v>0</v>
      </c>
      <c r="AP53" s="3">
        <f>Assumptions!$I$87*AP8</f>
        <v>0</v>
      </c>
      <c r="AQ53" s="3">
        <f>Assumptions!$I$87*AQ8</f>
        <v>0</v>
      </c>
      <c r="AR53" s="37">
        <f t="shared" si="97"/>
        <v>0</v>
      </c>
      <c r="AS53" s="3">
        <f>Assumptions!$J$87*AS8</f>
        <v>0</v>
      </c>
      <c r="AT53" s="3">
        <f>Assumptions!$J$87*AT8</f>
        <v>0</v>
      </c>
      <c r="AU53" s="3">
        <f>Assumptions!$J$87*AU8</f>
        <v>0</v>
      </c>
      <c r="AV53" s="3">
        <f>Assumptions!$J$87*AV8</f>
        <v>0</v>
      </c>
      <c r="AW53" s="3">
        <f>Assumptions!$J$87*AW8</f>
        <v>0</v>
      </c>
      <c r="AX53" s="3">
        <f>Assumptions!$J$87*AX8</f>
        <v>0</v>
      </c>
      <c r="AY53" s="3">
        <f>Assumptions!$J$87*AY8</f>
        <v>0</v>
      </c>
      <c r="AZ53" s="3">
        <f>Assumptions!$J$87*AZ8</f>
        <v>0</v>
      </c>
      <c r="BA53" s="3">
        <f>Assumptions!$J$87*BA8</f>
        <v>0</v>
      </c>
      <c r="BB53" s="3">
        <f>Assumptions!$J$87*BB8</f>
        <v>0</v>
      </c>
      <c r="BC53" s="3">
        <f>Assumptions!$J$87*BC8</f>
        <v>0</v>
      </c>
      <c r="BD53" s="3">
        <f>Assumptions!$J$87*BD8</f>
        <v>0</v>
      </c>
      <c r="BE53" s="37">
        <f t="shared" si="98"/>
        <v>0</v>
      </c>
      <c r="BF53" s="3">
        <f>Assumptions!$K$87*BF8</f>
        <v>0</v>
      </c>
      <c r="BG53" s="3">
        <f>Assumptions!$K$87*BG8</f>
        <v>0</v>
      </c>
      <c r="BH53" s="3">
        <f>Assumptions!$K$87*BH8</f>
        <v>0</v>
      </c>
      <c r="BI53" s="3">
        <f>Assumptions!$K$87*BI8</f>
        <v>0</v>
      </c>
      <c r="BJ53" s="3">
        <f>Assumptions!$K$87*BJ8</f>
        <v>0</v>
      </c>
      <c r="BK53" s="3">
        <f>Assumptions!$K$87*BK8</f>
        <v>0</v>
      </c>
      <c r="BL53" s="3">
        <f>Assumptions!$K$87*BL8</f>
        <v>0</v>
      </c>
      <c r="BM53" s="3">
        <f>Assumptions!$K$87*BM8</f>
        <v>0</v>
      </c>
      <c r="BN53" s="3">
        <f>Assumptions!$K$87*BN8</f>
        <v>0</v>
      </c>
      <c r="BO53" s="3">
        <f>Assumptions!$K$87*BO8</f>
        <v>0</v>
      </c>
      <c r="BP53" s="3">
        <f>Assumptions!$K$87*BP8</f>
        <v>0</v>
      </c>
      <c r="BQ53" s="3">
        <f>Assumptions!$K$87*BQ8</f>
        <v>0</v>
      </c>
      <c r="BR53" s="37">
        <f t="shared" si="99"/>
        <v>0</v>
      </c>
      <c r="BS53" s="37">
        <f t="shared" si="100"/>
        <v>0</v>
      </c>
    </row>
    <row r="54" spans="1:72" ht="15.75" customHeight="1">
      <c r="A54" s="2"/>
      <c r="B54" s="21"/>
      <c r="C54" s="24" t="s">
        <v>64</v>
      </c>
      <c r="D54" s="24"/>
      <c r="E54" s="24"/>
      <c r="F54" s="3">
        <f>Assumptions!$B$88</f>
        <v>100</v>
      </c>
      <c r="G54" s="3">
        <f>Assumptions!$B$88</f>
        <v>100</v>
      </c>
      <c r="H54" s="3">
        <f>Assumptions!$B$88</f>
        <v>100</v>
      </c>
      <c r="I54" s="3">
        <f>Assumptions!$B$88</f>
        <v>100</v>
      </c>
      <c r="J54" s="3">
        <f>Assumptions!$B$88</f>
        <v>100</v>
      </c>
      <c r="K54" s="3">
        <f>Assumptions!$B$88</f>
        <v>100</v>
      </c>
      <c r="L54" s="3">
        <f>Assumptions!$B$88</f>
        <v>100</v>
      </c>
      <c r="M54" s="3">
        <f>Assumptions!$B$88</f>
        <v>100</v>
      </c>
      <c r="N54" s="3">
        <f>Assumptions!$B$88</f>
        <v>100</v>
      </c>
      <c r="O54" s="3">
        <f>Assumptions!$B$88</f>
        <v>100</v>
      </c>
      <c r="P54" s="3">
        <f>Assumptions!$B$88</f>
        <v>100</v>
      </c>
      <c r="Q54" s="3">
        <f>Assumptions!$B$88</f>
        <v>100</v>
      </c>
      <c r="R54" s="37">
        <f t="shared" si="95"/>
        <v>1200</v>
      </c>
      <c r="S54" s="3">
        <f>Assumptions!$H$88</f>
        <v>105</v>
      </c>
      <c r="T54" s="3">
        <f>Assumptions!$H$88</f>
        <v>105</v>
      </c>
      <c r="U54" s="3">
        <f>Assumptions!$H$88</f>
        <v>105</v>
      </c>
      <c r="V54" s="3">
        <f>Assumptions!$H$88</f>
        <v>105</v>
      </c>
      <c r="W54" s="3">
        <f>Assumptions!$H$88</f>
        <v>105</v>
      </c>
      <c r="X54" s="3">
        <f>Assumptions!$H$88</f>
        <v>105</v>
      </c>
      <c r="Y54" s="3">
        <f>Assumptions!$H$88</f>
        <v>105</v>
      </c>
      <c r="Z54" s="3">
        <f>Assumptions!$H$88</f>
        <v>105</v>
      </c>
      <c r="AA54" s="3">
        <f>Assumptions!$H$88</f>
        <v>105</v>
      </c>
      <c r="AB54" s="3">
        <f>Assumptions!$H$88</f>
        <v>105</v>
      </c>
      <c r="AC54" s="3">
        <f>Assumptions!$H$88</f>
        <v>105</v>
      </c>
      <c r="AD54" s="3">
        <f>Assumptions!$H$88</f>
        <v>105</v>
      </c>
      <c r="AE54" s="37">
        <f t="shared" si="96"/>
        <v>1260</v>
      </c>
      <c r="AF54" s="3">
        <f>Assumptions!$I$88</f>
        <v>109.2</v>
      </c>
      <c r="AG54" s="3">
        <f>Assumptions!$I$88</f>
        <v>109.2</v>
      </c>
      <c r="AH54" s="3">
        <f>Assumptions!$I$88</f>
        <v>109.2</v>
      </c>
      <c r="AI54" s="3">
        <f>Assumptions!$I$88</f>
        <v>109.2</v>
      </c>
      <c r="AJ54" s="3">
        <f>Assumptions!$I$88</f>
        <v>109.2</v>
      </c>
      <c r="AK54" s="3">
        <f>Assumptions!$I$88</f>
        <v>109.2</v>
      </c>
      <c r="AL54" s="3">
        <f>Assumptions!$I$88</f>
        <v>109.2</v>
      </c>
      <c r="AM54" s="3">
        <f>Assumptions!$I$88</f>
        <v>109.2</v>
      </c>
      <c r="AN54" s="3">
        <f>Assumptions!$I$88</f>
        <v>109.2</v>
      </c>
      <c r="AO54" s="3">
        <f>Assumptions!$I$88</f>
        <v>109.2</v>
      </c>
      <c r="AP54" s="3">
        <f>Assumptions!$I$88</f>
        <v>109.2</v>
      </c>
      <c r="AQ54" s="3">
        <f>Assumptions!$I$88</f>
        <v>109.2</v>
      </c>
      <c r="AR54" s="37">
        <f t="shared" si="97"/>
        <v>1310.4000000000003</v>
      </c>
      <c r="AS54" s="3">
        <f>Assumptions!$J$88</f>
        <v>112.476</v>
      </c>
      <c r="AT54" s="3">
        <f>Assumptions!$J$88</f>
        <v>112.476</v>
      </c>
      <c r="AU54" s="3">
        <f>Assumptions!$J$88</f>
        <v>112.476</v>
      </c>
      <c r="AV54" s="3">
        <f>Assumptions!$J$88</f>
        <v>112.476</v>
      </c>
      <c r="AW54" s="3">
        <f>Assumptions!$J$88</f>
        <v>112.476</v>
      </c>
      <c r="AX54" s="3">
        <f>Assumptions!$J$88</f>
        <v>112.476</v>
      </c>
      <c r="AY54" s="3">
        <f>Assumptions!$J$88</f>
        <v>112.476</v>
      </c>
      <c r="AZ54" s="3">
        <f>Assumptions!$J$88</f>
        <v>112.476</v>
      </c>
      <c r="BA54" s="3">
        <f>Assumptions!$J$88</f>
        <v>112.476</v>
      </c>
      <c r="BB54" s="3">
        <f>Assumptions!$J$88</f>
        <v>112.476</v>
      </c>
      <c r="BC54" s="3">
        <f>Assumptions!$J$88</f>
        <v>112.476</v>
      </c>
      <c r="BD54" s="3">
        <f>Assumptions!$J$88</f>
        <v>112.476</v>
      </c>
      <c r="BE54" s="37">
        <f t="shared" si="98"/>
        <v>1349.712</v>
      </c>
      <c r="BF54" s="3">
        <f>Assumptions!$K$88</f>
        <v>114.72552</v>
      </c>
      <c r="BG54" s="3">
        <f>Assumptions!$K$88</f>
        <v>114.72552</v>
      </c>
      <c r="BH54" s="3">
        <f>Assumptions!$K$88</f>
        <v>114.72552</v>
      </c>
      <c r="BI54" s="3">
        <f>Assumptions!$K$88</f>
        <v>114.72552</v>
      </c>
      <c r="BJ54" s="3">
        <f>Assumptions!$K$88</f>
        <v>114.72552</v>
      </c>
      <c r="BK54" s="3">
        <f>Assumptions!$K$88</f>
        <v>114.72552</v>
      </c>
      <c r="BL54" s="3">
        <f>Assumptions!$K$88</f>
        <v>114.72552</v>
      </c>
      <c r="BM54" s="3">
        <f>Assumptions!$K$88</f>
        <v>114.72552</v>
      </c>
      <c r="BN54" s="3">
        <f>Assumptions!$K$88</f>
        <v>114.72552</v>
      </c>
      <c r="BO54" s="3">
        <f>Assumptions!$K$88</f>
        <v>114.72552</v>
      </c>
      <c r="BP54" s="3">
        <f>Assumptions!$K$88</f>
        <v>114.72552</v>
      </c>
      <c r="BQ54" s="3">
        <f>Assumptions!$K$88</f>
        <v>114.72552</v>
      </c>
      <c r="BR54" s="37">
        <f t="shared" si="99"/>
        <v>1376.7062399999998</v>
      </c>
      <c r="BS54" s="37">
        <f t="shared" si="100"/>
        <v>6496.8182400000005</v>
      </c>
    </row>
    <row r="55" spans="1:72" ht="15.75" customHeight="1">
      <c r="A55" s="1"/>
      <c r="B55" s="21"/>
      <c r="C55" s="24" t="s">
        <v>65</v>
      </c>
      <c r="D55" s="2" t="s">
        <v>119</v>
      </c>
      <c r="E55" s="2"/>
      <c r="F55" s="3">
        <f>Assumptions!$B$89</f>
        <v>400</v>
      </c>
      <c r="G55" s="3">
        <f>Assumptions!$B$89</f>
        <v>400</v>
      </c>
      <c r="H55" s="3">
        <f>Assumptions!$B$89</f>
        <v>400</v>
      </c>
      <c r="I55" s="3">
        <f>Assumptions!$B$89</f>
        <v>400</v>
      </c>
      <c r="J55" s="3">
        <f>Assumptions!$B$89</f>
        <v>400</v>
      </c>
      <c r="K55" s="3">
        <f>Assumptions!$B$89</f>
        <v>400</v>
      </c>
      <c r="L55" s="3">
        <f>Assumptions!$B$89</f>
        <v>400</v>
      </c>
      <c r="M55" s="3">
        <f>Assumptions!$B$89</f>
        <v>400</v>
      </c>
      <c r="N55" s="3">
        <f>Assumptions!$B$89</f>
        <v>400</v>
      </c>
      <c r="O55" s="3">
        <f>Assumptions!$B$89</f>
        <v>400</v>
      </c>
      <c r="P55" s="3">
        <f>Assumptions!$B$89</f>
        <v>400</v>
      </c>
      <c r="Q55" s="3">
        <f>Assumptions!$B$89</f>
        <v>400</v>
      </c>
      <c r="R55" s="37">
        <f t="shared" si="95"/>
        <v>4800</v>
      </c>
      <c r="S55" s="3">
        <f>Assumptions!$H$89</f>
        <v>420</v>
      </c>
      <c r="T55" s="3">
        <f>Assumptions!$H$89</f>
        <v>420</v>
      </c>
      <c r="U55" s="3">
        <f>Assumptions!$H$89</f>
        <v>420</v>
      </c>
      <c r="V55" s="3">
        <f>Assumptions!$H$89</f>
        <v>420</v>
      </c>
      <c r="W55" s="3">
        <f>Assumptions!$H$89</f>
        <v>420</v>
      </c>
      <c r="X55" s="3">
        <f>Assumptions!$H$89</f>
        <v>420</v>
      </c>
      <c r="Y55" s="3">
        <f>Assumptions!$H$89</f>
        <v>420</v>
      </c>
      <c r="Z55" s="3">
        <f>Assumptions!$H$89</f>
        <v>420</v>
      </c>
      <c r="AA55" s="3">
        <f>Assumptions!$H$89</f>
        <v>420</v>
      </c>
      <c r="AB55" s="3">
        <f>Assumptions!$H$89</f>
        <v>420</v>
      </c>
      <c r="AC55" s="3">
        <f>Assumptions!$H$89</f>
        <v>420</v>
      </c>
      <c r="AD55" s="3">
        <f>Assumptions!$H$89</f>
        <v>420</v>
      </c>
      <c r="AE55" s="37">
        <f t="shared" si="96"/>
        <v>5040</v>
      </c>
      <c r="AF55" s="3">
        <f>Assumptions!$I$89</f>
        <v>436.8</v>
      </c>
      <c r="AG55" s="3">
        <f>Assumptions!$I$89</f>
        <v>436.8</v>
      </c>
      <c r="AH55" s="3">
        <f>Assumptions!$I$89</f>
        <v>436.8</v>
      </c>
      <c r="AI55" s="3">
        <f>Assumptions!$I$89</f>
        <v>436.8</v>
      </c>
      <c r="AJ55" s="3">
        <f>Assumptions!$I$89</f>
        <v>436.8</v>
      </c>
      <c r="AK55" s="3">
        <f>Assumptions!$I$89</f>
        <v>436.8</v>
      </c>
      <c r="AL55" s="3">
        <f>Assumptions!$I$89</f>
        <v>436.8</v>
      </c>
      <c r="AM55" s="3">
        <f>Assumptions!$I$89</f>
        <v>436.8</v>
      </c>
      <c r="AN55" s="3">
        <f>Assumptions!$I$89</f>
        <v>436.8</v>
      </c>
      <c r="AO55" s="3">
        <f>Assumptions!$I$89</f>
        <v>436.8</v>
      </c>
      <c r="AP55" s="3">
        <f>Assumptions!$I$89</f>
        <v>436.8</v>
      </c>
      <c r="AQ55" s="3">
        <f>Assumptions!$I$89</f>
        <v>436.8</v>
      </c>
      <c r="AR55" s="37">
        <f t="shared" si="97"/>
        <v>5241.6000000000013</v>
      </c>
      <c r="AS55" s="3">
        <f>Assumptions!$J$89</f>
        <v>447.71999999999997</v>
      </c>
      <c r="AT55" s="3">
        <f>Assumptions!$J$89</f>
        <v>447.71999999999997</v>
      </c>
      <c r="AU55" s="3">
        <f>Assumptions!$J$89</f>
        <v>447.71999999999997</v>
      </c>
      <c r="AV55" s="3">
        <f>Assumptions!$J$89</f>
        <v>447.71999999999997</v>
      </c>
      <c r="AW55" s="3">
        <f>Assumptions!$J$89</f>
        <v>447.71999999999997</v>
      </c>
      <c r="AX55" s="3">
        <f>Assumptions!$J$89</f>
        <v>447.71999999999997</v>
      </c>
      <c r="AY55" s="3">
        <f>Assumptions!$J$89</f>
        <v>447.71999999999997</v>
      </c>
      <c r="AZ55" s="3">
        <f>Assumptions!$J$89</f>
        <v>447.71999999999997</v>
      </c>
      <c r="BA55" s="3">
        <f>Assumptions!$J$89</f>
        <v>447.71999999999997</v>
      </c>
      <c r="BB55" s="3">
        <f>Assumptions!$J$89</f>
        <v>447.71999999999997</v>
      </c>
      <c r="BC55" s="3">
        <f>Assumptions!$J$89</f>
        <v>447.71999999999997</v>
      </c>
      <c r="BD55" s="3">
        <f>Assumptions!$J$89</f>
        <v>447.71999999999997</v>
      </c>
      <c r="BE55" s="37">
        <f t="shared" si="98"/>
        <v>5372.6399999999994</v>
      </c>
      <c r="BF55" s="3">
        <f>Assumptions!$K$89</f>
        <v>456.67439999999999</v>
      </c>
      <c r="BG55" s="3">
        <f>Assumptions!$K$89</f>
        <v>456.67439999999999</v>
      </c>
      <c r="BH55" s="3">
        <f>Assumptions!$K$89</f>
        <v>456.67439999999999</v>
      </c>
      <c r="BI55" s="3">
        <f>Assumptions!$K$89</f>
        <v>456.67439999999999</v>
      </c>
      <c r="BJ55" s="3">
        <f>Assumptions!$K$89</f>
        <v>456.67439999999999</v>
      </c>
      <c r="BK55" s="3">
        <f>Assumptions!$K$89</f>
        <v>456.67439999999999</v>
      </c>
      <c r="BL55" s="3">
        <f>Assumptions!$K$89</f>
        <v>456.67439999999999</v>
      </c>
      <c r="BM55" s="3">
        <f>Assumptions!$K$89</f>
        <v>456.67439999999999</v>
      </c>
      <c r="BN55" s="3">
        <f>Assumptions!$K$89</f>
        <v>456.67439999999999</v>
      </c>
      <c r="BO55" s="3">
        <f>Assumptions!$K$89</f>
        <v>456.67439999999999</v>
      </c>
      <c r="BP55" s="3">
        <f>Assumptions!$K$89</f>
        <v>456.67439999999999</v>
      </c>
      <c r="BQ55" s="3">
        <f>Assumptions!$K$89</f>
        <v>456.67439999999999</v>
      </c>
      <c r="BR55" s="37">
        <f t="shared" si="99"/>
        <v>5480.0927999999994</v>
      </c>
      <c r="BS55" s="37">
        <f t="shared" si="100"/>
        <v>25934.3328</v>
      </c>
    </row>
    <row r="56" spans="1:72" ht="15.75" customHeight="1">
      <c r="A56" s="1"/>
      <c r="B56" s="21"/>
      <c r="C56" s="24" t="s">
        <v>66</v>
      </c>
      <c r="D56" s="24"/>
      <c r="E56" s="2"/>
      <c r="F56" s="3">
        <f>Assumptions!$B$90</f>
        <v>150</v>
      </c>
      <c r="G56" s="3">
        <f>Assumptions!$B$90</f>
        <v>150</v>
      </c>
      <c r="H56" s="3">
        <f>Assumptions!$B$90</f>
        <v>150</v>
      </c>
      <c r="I56" s="3">
        <f>Assumptions!$B$90</f>
        <v>150</v>
      </c>
      <c r="J56" s="3">
        <f>Assumptions!$B$90</f>
        <v>150</v>
      </c>
      <c r="K56" s="3">
        <f>Assumptions!$B$90</f>
        <v>150</v>
      </c>
      <c r="L56" s="3">
        <f>Assumptions!$B$90</f>
        <v>150</v>
      </c>
      <c r="M56" s="3">
        <f>Assumptions!$B$90</f>
        <v>150</v>
      </c>
      <c r="N56" s="3">
        <f>Assumptions!$B$90</f>
        <v>150</v>
      </c>
      <c r="O56" s="3">
        <f>Assumptions!$B$90</f>
        <v>150</v>
      </c>
      <c r="P56" s="3">
        <f>Assumptions!$B$90</f>
        <v>150</v>
      </c>
      <c r="Q56" s="3">
        <f>Assumptions!$B$90</f>
        <v>150</v>
      </c>
      <c r="R56" s="37">
        <f t="shared" si="95"/>
        <v>1800</v>
      </c>
      <c r="S56" s="3">
        <f>Assumptions!$H$90</f>
        <v>162</v>
      </c>
      <c r="T56" s="3">
        <f>Assumptions!$H$90</f>
        <v>162</v>
      </c>
      <c r="U56" s="3">
        <f>Assumptions!$H$90</f>
        <v>162</v>
      </c>
      <c r="V56" s="3">
        <f>Assumptions!$H$90</f>
        <v>162</v>
      </c>
      <c r="W56" s="3">
        <f>Assumptions!$H$90</f>
        <v>162</v>
      </c>
      <c r="X56" s="3">
        <f>Assumptions!$H$90</f>
        <v>162</v>
      </c>
      <c r="Y56" s="3">
        <f>Assumptions!$H$90</f>
        <v>162</v>
      </c>
      <c r="Z56" s="3">
        <f>Assumptions!$H$90</f>
        <v>162</v>
      </c>
      <c r="AA56" s="3">
        <f>Assumptions!$H$90</f>
        <v>162</v>
      </c>
      <c r="AB56" s="3">
        <f>Assumptions!$H$90</f>
        <v>162</v>
      </c>
      <c r="AC56" s="3">
        <f>Assumptions!$H$90</f>
        <v>162</v>
      </c>
      <c r="AD56" s="3">
        <f>Assumptions!$H$90</f>
        <v>162</v>
      </c>
      <c r="AE56" s="37">
        <f t="shared" si="96"/>
        <v>1944</v>
      </c>
      <c r="AF56" s="3">
        <f>Assumptions!$I$90</f>
        <v>170.1</v>
      </c>
      <c r="AG56" s="3">
        <f>Assumptions!$I$90</f>
        <v>170.1</v>
      </c>
      <c r="AH56" s="3">
        <f>Assumptions!$I$90</f>
        <v>170.1</v>
      </c>
      <c r="AI56" s="3">
        <f>Assumptions!$I$90</f>
        <v>170.1</v>
      </c>
      <c r="AJ56" s="3">
        <f>Assumptions!$I$90</f>
        <v>170.1</v>
      </c>
      <c r="AK56" s="3">
        <f>Assumptions!$I$90</f>
        <v>170.1</v>
      </c>
      <c r="AL56" s="3">
        <f>Assumptions!$I$90</f>
        <v>170.1</v>
      </c>
      <c r="AM56" s="3">
        <f>Assumptions!$I$90</f>
        <v>170.1</v>
      </c>
      <c r="AN56" s="3">
        <f>Assumptions!$I$90</f>
        <v>170.1</v>
      </c>
      <c r="AO56" s="3">
        <f>Assumptions!$I$90</f>
        <v>170.1</v>
      </c>
      <c r="AP56" s="3">
        <f>Assumptions!$I$90</f>
        <v>170.1</v>
      </c>
      <c r="AQ56" s="3">
        <f>Assumptions!$I$90</f>
        <v>170.1</v>
      </c>
      <c r="AR56" s="37">
        <f t="shared" si="97"/>
        <v>2041.1999999999996</v>
      </c>
      <c r="AS56" s="3">
        <f>Assumptions!$J$90</f>
        <v>174.35249999999999</v>
      </c>
      <c r="AT56" s="3">
        <f>Assumptions!$J$90</f>
        <v>174.35249999999999</v>
      </c>
      <c r="AU56" s="3">
        <f>Assumptions!$J$90</f>
        <v>174.35249999999999</v>
      </c>
      <c r="AV56" s="3">
        <f>Assumptions!$J$90</f>
        <v>174.35249999999999</v>
      </c>
      <c r="AW56" s="3">
        <f>Assumptions!$J$90</f>
        <v>174.35249999999999</v>
      </c>
      <c r="AX56" s="3">
        <f>Assumptions!$J$90</f>
        <v>174.35249999999999</v>
      </c>
      <c r="AY56" s="3">
        <f>Assumptions!$J$90</f>
        <v>174.35249999999999</v>
      </c>
      <c r="AZ56" s="3">
        <f>Assumptions!$J$90</f>
        <v>174.35249999999999</v>
      </c>
      <c r="BA56" s="3">
        <f>Assumptions!$J$90</f>
        <v>174.35249999999999</v>
      </c>
      <c r="BB56" s="3">
        <f>Assumptions!$J$90</f>
        <v>174.35249999999999</v>
      </c>
      <c r="BC56" s="3">
        <f>Assumptions!$J$90</f>
        <v>174.35249999999999</v>
      </c>
      <c r="BD56" s="3">
        <f>Assumptions!$J$90</f>
        <v>174.35249999999999</v>
      </c>
      <c r="BE56" s="37">
        <f t="shared" si="98"/>
        <v>2092.23</v>
      </c>
      <c r="BF56" s="3">
        <f>Assumptions!$K$90</f>
        <v>177.83955</v>
      </c>
      <c r="BG56" s="3">
        <f>Assumptions!$K$90</f>
        <v>177.83955</v>
      </c>
      <c r="BH56" s="3">
        <f>Assumptions!$K$90</f>
        <v>177.83955</v>
      </c>
      <c r="BI56" s="3">
        <f>Assumptions!$K$90</f>
        <v>177.83955</v>
      </c>
      <c r="BJ56" s="3">
        <f>Assumptions!$K$90</f>
        <v>177.83955</v>
      </c>
      <c r="BK56" s="3">
        <f>Assumptions!$K$90</f>
        <v>177.83955</v>
      </c>
      <c r="BL56" s="3">
        <f>Assumptions!$K$90</f>
        <v>177.83955</v>
      </c>
      <c r="BM56" s="3">
        <f>Assumptions!$K$90</f>
        <v>177.83955</v>
      </c>
      <c r="BN56" s="3">
        <f>Assumptions!$K$90</f>
        <v>177.83955</v>
      </c>
      <c r="BO56" s="3">
        <f>Assumptions!$K$90</f>
        <v>177.83955</v>
      </c>
      <c r="BP56" s="3">
        <f>Assumptions!$K$90</f>
        <v>177.83955</v>
      </c>
      <c r="BQ56" s="3">
        <f>Assumptions!$K$90</f>
        <v>177.83955</v>
      </c>
      <c r="BR56" s="37">
        <f t="shared" si="99"/>
        <v>2134.0745999999995</v>
      </c>
      <c r="BS56" s="37">
        <f t="shared" si="100"/>
        <v>10011.5046</v>
      </c>
    </row>
    <row r="57" spans="1:72" ht="15.75" customHeight="1">
      <c r="A57" s="2"/>
      <c r="B57" s="27"/>
      <c r="C57" s="27"/>
      <c r="D57" s="27"/>
      <c r="E57" s="23" t="s">
        <v>67</v>
      </c>
      <c r="F57" s="18">
        <f t="shared" ref="F57:AK57" si="101">SUM(F32:F56)</f>
        <v>23791.564888976191</v>
      </c>
      <c r="G57" s="18">
        <f t="shared" si="101"/>
        <v>18946.367823270833</v>
      </c>
      <c r="H57" s="18">
        <f t="shared" si="101"/>
        <v>19692.43066679762</v>
      </c>
      <c r="I57" s="18">
        <f t="shared" si="101"/>
        <v>20209.873190119048</v>
      </c>
      <c r="J57" s="18">
        <f t="shared" si="101"/>
        <v>20593.296444619045</v>
      </c>
      <c r="K57" s="18">
        <f t="shared" si="101"/>
        <v>20648.969534226191</v>
      </c>
      <c r="L57" s="18">
        <f t="shared" si="101"/>
        <v>20743.440740922619</v>
      </c>
      <c r="M57" s="18">
        <f t="shared" si="101"/>
        <v>20593.296444619045</v>
      </c>
      <c r="N57" s="18">
        <f t="shared" si="101"/>
        <v>20209.873190119048</v>
      </c>
      <c r="O57" s="18">
        <f t="shared" si="101"/>
        <v>19992.719259404763</v>
      </c>
      <c r="P57" s="18">
        <f t="shared" si="101"/>
        <v>19624.41139797619</v>
      </c>
      <c r="Q57" s="18">
        <f t="shared" si="101"/>
        <v>19392.142074190477</v>
      </c>
      <c r="R57" s="18">
        <f t="shared" si="101"/>
        <v>244438.38565524109</v>
      </c>
      <c r="S57" s="18">
        <f t="shared" si="101"/>
        <v>20811.046855669047</v>
      </c>
      <c r="T57" s="18">
        <f t="shared" si="101"/>
        <v>21008.990670252082</v>
      </c>
      <c r="U57" s="18">
        <f t="shared" si="101"/>
        <v>21972.272366836907</v>
      </c>
      <c r="V57" s="18">
        <f t="shared" si="101"/>
        <v>22638.347647154762</v>
      </c>
      <c r="W57" s="18">
        <f t="shared" si="101"/>
        <v>23133.49787800476</v>
      </c>
      <c r="X57" s="18">
        <f t="shared" si="101"/>
        <v>23204.222894494051</v>
      </c>
      <c r="Y57" s="18">
        <f t="shared" si="101"/>
        <v>23327.035463199405</v>
      </c>
      <c r="Z57" s="18">
        <f t="shared" si="101"/>
        <v>23133.49787800476</v>
      </c>
      <c r="AA57" s="18">
        <f t="shared" si="101"/>
        <v>22638.347647154762</v>
      </c>
      <c r="AB57" s="18">
        <f t="shared" si="101"/>
        <v>22359.347537226189</v>
      </c>
      <c r="AC57" s="18">
        <f t="shared" si="101"/>
        <v>21883.847317369051</v>
      </c>
      <c r="AD57" s="18">
        <f t="shared" si="101"/>
        <v>21585.197196447618</v>
      </c>
      <c r="AE57" s="18">
        <f t="shared" si="101"/>
        <v>267695.65135181334</v>
      </c>
      <c r="AF57" s="18">
        <f t="shared" si="101"/>
        <v>26907.511860097577</v>
      </c>
      <c r="AG57" s="18">
        <f t="shared" si="101"/>
        <v>27136.013918407953</v>
      </c>
      <c r="AH57" s="18">
        <f t="shared" si="101"/>
        <v>28249.780810979701</v>
      </c>
      <c r="AI57" s="18">
        <f t="shared" si="101"/>
        <v>29019.529106624734</v>
      </c>
      <c r="AJ57" s="18">
        <f t="shared" si="101"/>
        <v>29592.049761861821</v>
      </c>
      <c r="AK57" s="18">
        <f t="shared" si="101"/>
        <v>29673.60480866447</v>
      </c>
      <c r="AL57" s="18">
        <f t="shared" ref="AL57:BQ57" si="102">SUM(AL32:AL56)</f>
        <v>29815.761253675508</v>
      </c>
      <c r="AM57" s="18">
        <f t="shared" si="102"/>
        <v>29592.049761861821</v>
      </c>
      <c r="AN57" s="18">
        <f t="shared" si="102"/>
        <v>29019.529106624734</v>
      </c>
      <c r="AO57" s="18">
        <f t="shared" si="102"/>
        <v>28697.203794607074</v>
      </c>
      <c r="AP57" s="18">
        <f t="shared" si="102"/>
        <v>28147.428170571751</v>
      </c>
      <c r="AQ57" s="18">
        <f t="shared" si="102"/>
        <v>27802.357827352324</v>
      </c>
      <c r="AR57" s="18">
        <f t="shared" si="102"/>
        <v>343652.82018132944</v>
      </c>
      <c r="AS57" s="18">
        <f t="shared" si="102"/>
        <v>27907.914419073491</v>
      </c>
      <c r="AT57" s="18">
        <f t="shared" si="102"/>
        <v>28161.105560586981</v>
      </c>
      <c r="AU57" s="18">
        <f t="shared" si="102"/>
        <v>29398.964783818567</v>
      </c>
      <c r="AV57" s="18">
        <f t="shared" si="102"/>
        <v>30253.669419323931</v>
      </c>
      <c r="AW57" s="18">
        <f t="shared" si="102"/>
        <v>30890.015148563642</v>
      </c>
      <c r="AX57" s="18">
        <f t="shared" si="102"/>
        <v>30980.19520065219</v>
      </c>
      <c r="AY57" s="18">
        <f t="shared" si="102"/>
        <v>31138.523542687821</v>
      </c>
      <c r="AZ57" s="18">
        <f t="shared" si="102"/>
        <v>30890.015148563642</v>
      </c>
      <c r="BA57" s="18">
        <f t="shared" si="102"/>
        <v>30253.669419323931</v>
      </c>
      <c r="BB57" s="18">
        <f t="shared" si="102"/>
        <v>29895.981572066925</v>
      </c>
      <c r="BC57" s="18">
        <f t="shared" si="102"/>
        <v>29284.968377552912</v>
      </c>
      <c r="BD57" s="18">
        <f t="shared" si="102"/>
        <v>28901.947995570205</v>
      </c>
      <c r="BE57" s="18">
        <f t="shared" si="102"/>
        <v>357956.97058778413</v>
      </c>
      <c r="BF57" s="18">
        <f t="shared" si="102"/>
        <v>30905.372244753558</v>
      </c>
      <c r="BG57" s="18">
        <f t="shared" si="102"/>
        <v>31185.965948480964</v>
      </c>
      <c r="BH57" s="18">
        <f t="shared" si="102"/>
        <v>32562.017915744927</v>
      </c>
      <c r="BI57" s="18">
        <f t="shared" si="102"/>
        <v>33511.236065966004</v>
      </c>
      <c r="BJ57" s="18">
        <f t="shared" si="102"/>
        <v>34218.663586736293</v>
      </c>
      <c r="BK57" s="18">
        <f t="shared" si="102"/>
        <v>34318.393588219886</v>
      </c>
      <c r="BL57" s="18">
        <f t="shared" si="102"/>
        <v>34494.771198568189</v>
      </c>
      <c r="BM57" s="18">
        <f t="shared" si="102"/>
        <v>34218.663586736293</v>
      </c>
      <c r="BN57" s="18">
        <f t="shared" si="102"/>
        <v>33511.236065966004</v>
      </c>
      <c r="BO57" s="18">
        <f t="shared" si="102"/>
        <v>33114.233139408709</v>
      </c>
      <c r="BP57" s="18">
        <f t="shared" si="102"/>
        <v>32435.026036294144</v>
      </c>
      <c r="BQ57" s="18">
        <f t="shared" si="102"/>
        <v>32009.802692081135</v>
      </c>
      <c r="BR57" s="18">
        <f t="shared" ref="BR57:BS57" si="103">SUM(BR32:BR56)</f>
        <v>396485.38206895621</v>
      </c>
      <c r="BS57" s="41">
        <f t="shared" si="103"/>
        <v>1554724.8598451244</v>
      </c>
    </row>
    <row r="58" spans="1:72" ht="15.75" customHeight="1">
      <c r="A58" s="2"/>
      <c r="B58" s="24"/>
      <c r="C58" s="24"/>
      <c r="D58" s="24"/>
      <c r="E58" s="2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7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7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7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7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7"/>
      <c r="BS58" s="37"/>
    </row>
    <row r="59" spans="1:72" ht="15.75" customHeight="1">
      <c r="A59" s="1"/>
      <c r="B59" s="23" t="s">
        <v>292</v>
      </c>
      <c r="C59" s="27"/>
      <c r="D59" s="27"/>
      <c r="E59" s="29"/>
      <c r="F59" s="37">
        <f t="shared" ref="F59:AK59" si="104">F29-F57</f>
        <v>-4710.1808150788711</v>
      </c>
      <c r="G59" s="37">
        <f t="shared" si="104"/>
        <v>2614.5956208861389</v>
      </c>
      <c r="H59" s="37">
        <f t="shared" si="104"/>
        <v>17392.645444048365</v>
      </c>
      <c r="I59" s="37">
        <f t="shared" si="104"/>
        <v>26865.292102279447</v>
      </c>
      <c r="J59" s="37">
        <f t="shared" si="104"/>
        <v>34495.471703175594</v>
      </c>
      <c r="K59" s="37">
        <f t="shared" si="104"/>
        <v>35153.627388953893</v>
      </c>
      <c r="L59" s="37">
        <f t="shared" si="104"/>
        <v>37345.942746363471</v>
      </c>
      <c r="M59" s="37">
        <f t="shared" si="104"/>
        <v>34495.471703175594</v>
      </c>
      <c r="N59" s="37">
        <f t="shared" si="104"/>
        <v>26865.292102279447</v>
      </c>
      <c r="O59" s="37">
        <f t="shared" si="104"/>
        <v>23093.587530424087</v>
      </c>
      <c r="P59" s="37">
        <f t="shared" si="104"/>
        <v>15814.178386713465</v>
      </c>
      <c r="Q59" s="37">
        <f t="shared" si="104"/>
        <v>11691.703357672621</v>
      </c>
      <c r="R59" s="37">
        <f t="shared" si="104"/>
        <v>261117.62727089296</v>
      </c>
      <c r="S59" s="37">
        <f t="shared" si="104"/>
        <v>7860.794577941444</v>
      </c>
      <c r="T59" s="37">
        <f t="shared" si="104"/>
        <v>10648.667359298852</v>
      </c>
      <c r="U59" s="37">
        <f t="shared" si="104"/>
        <v>30331.989783578851</v>
      </c>
      <c r="V59" s="37">
        <f t="shared" si="104"/>
        <v>42625.629089896102</v>
      </c>
      <c r="W59" s="37">
        <f t="shared" si="104"/>
        <v>52803.184989216221</v>
      </c>
      <c r="X59" s="37">
        <f t="shared" si="104"/>
        <v>53494.796124881912</v>
      </c>
      <c r="Y59" s="37">
        <f t="shared" si="104"/>
        <v>56548.384190155768</v>
      </c>
      <c r="Z59" s="37">
        <f t="shared" si="104"/>
        <v>52803.184989216221</v>
      </c>
      <c r="AA59" s="37">
        <f t="shared" si="104"/>
        <v>42625.629089896102</v>
      </c>
      <c r="AB59" s="37">
        <f t="shared" si="104"/>
        <v>37822.388185457952</v>
      </c>
      <c r="AC59" s="37">
        <f t="shared" si="104"/>
        <v>28133.406376581661</v>
      </c>
      <c r="AD59" s="37">
        <f t="shared" si="104"/>
        <v>22841.591381699713</v>
      </c>
      <c r="AE59" s="37">
        <f t="shared" si="104"/>
        <v>438539.64613782091</v>
      </c>
      <c r="AF59" s="37">
        <f t="shared" si="104"/>
        <v>2589.0122329436272</v>
      </c>
      <c r="AG59" s="37">
        <f t="shared" si="104"/>
        <v>5799.8819923388</v>
      </c>
      <c r="AH59" s="37">
        <f t="shared" si="104"/>
        <v>28469.005328582094</v>
      </c>
      <c r="AI59" s="37">
        <f t="shared" si="104"/>
        <v>42627.594284254781</v>
      </c>
      <c r="AJ59" s="37">
        <f t="shared" si="104"/>
        <v>54348.998424220583</v>
      </c>
      <c r="AK59" s="37">
        <f t="shared" si="104"/>
        <v>55145.580862789502</v>
      </c>
      <c r="AL59" s="37">
        <f t="shared" ref="AL59:BS59" si="105">AL29-AL57</f>
        <v>58662.33060682693</v>
      </c>
      <c r="AM59" s="37">
        <f t="shared" si="105"/>
        <v>54348.998424220583</v>
      </c>
      <c r="AN59" s="37">
        <f t="shared" si="105"/>
        <v>42627.594284254781</v>
      </c>
      <c r="AO59" s="37">
        <f t="shared" si="105"/>
        <v>37095.669693794916</v>
      </c>
      <c r="AP59" s="37">
        <f t="shared" si="105"/>
        <v>25936.945512875143</v>
      </c>
      <c r="AQ59" s="37">
        <f t="shared" si="105"/>
        <v>19842.340963369265</v>
      </c>
      <c r="AR59" s="37">
        <f t="shared" si="105"/>
        <v>427493.95261047123</v>
      </c>
      <c r="AS59" s="37">
        <f t="shared" si="105"/>
        <v>6261.1824467566948</v>
      </c>
      <c r="AT59" s="37">
        <f t="shared" si="105"/>
        <v>9825.9893599394672</v>
      </c>
      <c r="AU59" s="37">
        <f t="shared" si="105"/>
        <v>34989.180514926702</v>
      </c>
      <c r="AV59" s="37">
        <f t="shared" si="105"/>
        <v>50706.212116826377</v>
      </c>
      <c r="AW59" s="37">
        <f t="shared" si="105"/>
        <v>63717.178583096727</v>
      </c>
      <c r="AX59" s="37">
        <f t="shared" si="105"/>
        <v>64601.806544973137</v>
      </c>
      <c r="AY59" s="37">
        <f t="shared" si="105"/>
        <v>68505.178261125038</v>
      </c>
      <c r="AZ59" s="37">
        <f t="shared" si="105"/>
        <v>63717.178583096727</v>
      </c>
      <c r="BA59" s="37">
        <f t="shared" si="105"/>
        <v>50706.212116826377</v>
      </c>
      <c r="BB59" s="37">
        <f t="shared" si="105"/>
        <v>44565.179870983397</v>
      </c>
      <c r="BC59" s="37">
        <f t="shared" si="105"/>
        <v>32178.752879297375</v>
      </c>
      <c r="BD59" s="37">
        <f t="shared" si="105"/>
        <v>25413.181158870044</v>
      </c>
      <c r="BE59" s="37">
        <f t="shared" si="105"/>
        <v>515187.23243671801</v>
      </c>
      <c r="BF59" s="37">
        <f t="shared" si="105"/>
        <v>9522.7175522794823</v>
      </c>
      <c r="BG59" s="37">
        <f t="shared" si="105"/>
        <v>13477.372800784</v>
      </c>
      <c r="BH59" s="37">
        <f t="shared" si="105"/>
        <v>41387.616779804637</v>
      </c>
      <c r="BI59" s="37">
        <f t="shared" si="105"/>
        <v>58821.181315866823</v>
      </c>
      <c r="BJ59" s="37">
        <f t="shared" si="105"/>
        <v>73252.516007329788</v>
      </c>
      <c r="BK59" s="37">
        <f t="shared" si="105"/>
        <v>74234.126163862878</v>
      </c>
      <c r="BL59" s="37">
        <f t="shared" si="105"/>
        <v>78563.332545250654</v>
      </c>
      <c r="BM59" s="37">
        <f t="shared" si="105"/>
        <v>73252.516007329788</v>
      </c>
      <c r="BN59" s="37">
        <f t="shared" si="105"/>
        <v>58821.181315866823</v>
      </c>
      <c r="BO59" s="37">
        <f t="shared" si="105"/>
        <v>52009.249855646354</v>
      </c>
      <c r="BP59" s="37">
        <f t="shared" si="105"/>
        <v>38270.588185205444</v>
      </c>
      <c r="BQ59" s="37">
        <f t="shared" si="105"/>
        <v>30765.983703962931</v>
      </c>
      <c r="BR59" s="37">
        <f t="shared" si="105"/>
        <v>602378.38223318942</v>
      </c>
      <c r="BS59" s="37">
        <f t="shared" si="105"/>
        <v>2242864.2718905266</v>
      </c>
    </row>
    <row r="60" spans="1:72" ht="15.75" customHeight="1">
      <c r="A60" s="2"/>
      <c r="B60" s="28"/>
      <c r="C60" s="24"/>
      <c r="D60" s="24"/>
      <c r="E60" s="21"/>
      <c r="F60" s="42">
        <f t="shared" ref="F60:AK60" si="106">IF(F16&lt;&gt;0,F59/F16,"N/A")</f>
        <v>-9.9659694563401985E-2</v>
      </c>
      <c r="G60" s="42">
        <f t="shared" si="106"/>
        <v>5.1822152141155535E-2</v>
      </c>
      <c r="H60" s="42">
        <f t="shared" si="106"/>
        <v>0.24533321906374708</v>
      </c>
      <c r="I60" s="42">
        <f t="shared" si="106"/>
        <v>0.31993849364704136</v>
      </c>
      <c r="J60" s="42">
        <f t="shared" si="106"/>
        <v>0.36493377947969396</v>
      </c>
      <c r="K60" s="42">
        <f t="shared" si="106"/>
        <v>0.36840689184411923</v>
      </c>
      <c r="L60" s="42">
        <f t="shared" si="106"/>
        <v>0.37928584672960763</v>
      </c>
      <c r="M60" s="42">
        <f t="shared" si="106"/>
        <v>0.36493377947969396</v>
      </c>
      <c r="N60" s="42">
        <f t="shared" si="106"/>
        <v>0.31993849364704136</v>
      </c>
      <c r="O60" s="42">
        <f t="shared" si="106"/>
        <v>0.29317344323012562</v>
      </c>
      <c r="P60" s="42">
        <f t="shared" si="106"/>
        <v>0.23018220068948939</v>
      </c>
      <c r="Q60" s="42">
        <f t="shared" si="106"/>
        <v>0.18553293885577363</v>
      </c>
      <c r="R60" s="42">
        <f t="shared" si="106"/>
        <v>0.28077885686118514</v>
      </c>
      <c r="S60" s="42">
        <f t="shared" si="106"/>
        <v>0.12682431790477153</v>
      </c>
      <c r="T60" s="42">
        <f t="shared" si="106"/>
        <v>0.1615949560979951</v>
      </c>
      <c r="U60" s="42">
        <f t="shared" si="106"/>
        <v>0.32624640141694861</v>
      </c>
      <c r="V60" s="42">
        <f t="shared" si="106"/>
        <v>0.38761974715864417</v>
      </c>
      <c r="W60" s="42">
        <f t="shared" si="106"/>
        <v>0.42595744317303691</v>
      </c>
      <c r="X60" s="42">
        <f t="shared" si="106"/>
        <v>0.42808430083129667</v>
      </c>
      <c r="Y60" s="42">
        <f t="shared" si="106"/>
        <v>0.43792276818376746</v>
      </c>
      <c r="Z60" s="42">
        <f t="shared" si="106"/>
        <v>0.42595744317303691</v>
      </c>
      <c r="AA60" s="42">
        <f t="shared" si="106"/>
        <v>0.38761974715864417</v>
      </c>
      <c r="AB60" s="42">
        <f t="shared" si="106"/>
        <v>0.36613081811938381</v>
      </c>
      <c r="AC60" s="42">
        <f t="shared" si="106"/>
        <v>0.31268538850558375</v>
      </c>
      <c r="AD60" s="42">
        <f t="shared" si="106"/>
        <v>0.27639088053890432</v>
      </c>
      <c r="AE60" s="42">
        <f t="shared" si="106"/>
        <v>0.35983486907090045</v>
      </c>
      <c r="AF60" s="42">
        <f t="shared" si="106"/>
        <v>3.6090668850502841E-2</v>
      </c>
      <c r="AG60" s="42">
        <f t="shared" si="106"/>
        <v>7.6046010914172624E-2</v>
      </c>
      <c r="AH60" s="42">
        <f t="shared" si="106"/>
        <v>0.26457077097928855</v>
      </c>
      <c r="AI60" s="42">
        <f t="shared" si="106"/>
        <v>0.33492738314039538</v>
      </c>
      <c r="AJ60" s="42">
        <f t="shared" si="106"/>
        <v>0.37881082204368155</v>
      </c>
      <c r="AK60" s="42">
        <f t="shared" si="106"/>
        <v>0.38128807295416356</v>
      </c>
      <c r="AL60" s="42">
        <f t="shared" ref="AL60:BQ60" si="107">IF(AL16&lt;&gt;0,AL59/AL16,"N/A")</f>
        <v>0.39251962817140834</v>
      </c>
      <c r="AM60" s="42">
        <f t="shared" si="107"/>
        <v>0.37881082204368155</v>
      </c>
      <c r="AN60" s="42">
        <f t="shared" si="107"/>
        <v>0.33492738314039538</v>
      </c>
      <c r="AO60" s="42">
        <f t="shared" si="107"/>
        <v>0.31026679140504571</v>
      </c>
      <c r="AP60" s="42">
        <f t="shared" si="107"/>
        <v>0.24907425385563964</v>
      </c>
      <c r="AQ60" s="42">
        <f t="shared" si="107"/>
        <v>0.20745074544709205</v>
      </c>
      <c r="AR60" s="42">
        <f t="shared" si="107"/>
        <v>0.30307429206714087</v>
      </c>
      <c r="AS60" s="42">
        <f t="shared" si="107"/>
        <v>7.8382091757821293E-2</v>
      </c>
      <c r="AT60" s="42">
        <f t="shared" si="107"/>
        <v>0.11569996610441581</v>
      </c>
      <c r="AU60" s="42">
        <f t="shared" si="107"/>
        <v>0.29201354866258439</v>
      </c>
      <c r="AV60" s="42">
        <f t="shared" si="107"/>
        <v>0.35778379256500231</v>
      </c>
      <c r="AW60" s="42">
        <f t="shared" si="107"/>
        <v>0.39882927711496602</v>
      </c>
      <c r="AX60" s="42">
        <f t="shared" si="107"/>
        <v>0.40113155727513239</v>
      </c>
      <c r="AY60" s="42">
        <f t="shared" si="107"/>
        <v>0.41164716452925171</v>
      </c>
      <c r="AZ60" s="42">
        <f t="shared" si="107"/>
        <v>0.39882927711496602</v>
      </c>
      <c r="BA60" s="42">
        <f t="shared" si="107"/>
        <v>0.35778379256500231</v>
      </c>
      <c r="BB60" s="42">
        <f t="shared" si="107"/>
        <v>0.33473984004353713</v>
      </c>
      <c r="BC60" s="42">
        <f t="shared" si="107"/>
        <v>0.27751015421290975</v>
      </c>
      <c r="BD60" s="42">
        <f t="shared" si="107"/>
        <v>0.23860568443639371</v>
      </c>
      <c r="BE60" s="42">
        <f t="shared" si="107"/>
        <v>0.32800757802498265</v>
      </c>
      <c r="BF60" s="42">
        <f t="shared" si="107"/>
        <v>0.10703573761667218</v>
      </c>
      <c r="BG60" s="42">
        <f t="shared" si="107"/>
        <v>0.14248514766227396</v>
      </c>
      <c r="BH60" s="42">
        <f t="shared" si="107"/>
        <v>0.31013234516318194</v>
      </c>
      <c r="BI60" s="42">
        <f t="shared" si="107"/>
        <v>0.37264959168708722</v>
      </c>
      <c r="BJ60" s="42">
        <f t="shared" si="107"/>
        <v>0.41168064893643685</v>
      </c>
      <c r="BK60" s="42">
        <f t="shared" si="107"/>
        <v>0.41385973969106998</v>
      </c>
      <c r="BL60" s="42">
        <f t="shared" si="107"/>
        <v>0.42386644538922741</v>
      </c>
      <c r="BM60" s="42">
        <f t="shared" si="107"/>
        <v>0.41168064893643685</v>
      </c>
      <c r="BN60" s="42">
        <f t="shared" si="107"/>
        <v>0.37264959168708722</v>
      </c>
      <c r="BO60" s="42">
        <f t="shared" si="107"/>
        <v>0.35075166667248392</v>
      </c>
      <c r="BP60" s="42">
        <f t="shared" si="107"/>
        <v>0.29633450279082302</v>
      </c>
      <c r="BQ60" s="42">
        <f t="shared" si="107"/>
        <v>0.25935819327655457</v>
      </c>
      <c r="BR60" s="42">
        <f t="shared" ref="BR60:BS60" si="108">IF(BR16&lt;&gt;0,BR59/BR16,"N/A")</f>
        <v>0.34434642343200067</v>
      </c>
      <c r="BS60" s="43">
        <f t="shared" si="108"/>
        <v>0.58288618066519338</v>
      </c>
    </row>
    <row r="61" spans="1:72" ht="15.75" customHeight="1">
      <c r="A61" s="2"/>
      <c r="B61" s="23" t="s">
        <v>558</v>
      </c>
      <c r="C61" s="24"/>
      <c r="D61" s="24"/>
      <c r="E61" s="21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3"/>
    </row>
    <row r="62" spans="1:72" ht="15.75" customHeight="1">
      <c r="A62" s="1"/>
      <c r="B62" s="21"/>
      <c r="C62" s="24" t="s">
        <v>48</v>
      </c>
      <c r="D62" s="24"/>
      <c r="E62" s="2"/>
      <c r="F62" s="3">
        <f>Depreciation!H105</f>
        <v>2819</v>
      </c>
      <c r="G62" s="3">
        <f>Depreciation!I105</f>
        <v>2819</v>
      </c>
      <c r="H62" s="3">
        <f>Depreciation!J105</f>
        <v>2819</v>
      </c>
      <c r="I62" s="3">
        <f>Depreciation!K105</f>
        <v>2819</v>
      </c>
      <c r="J62" s="3">
        <f>Depreciation!L105</f>
        <v>2819</v>
      </c>
      <c r="K62" s="3">
        <f>Depreciation!M105</f>
        <v>2819</v>
      </c>
      <c r="L62" s="3">
        <f>Depreciation!N105</f>
        <v>2819</v>
      </c>
      <c r="M62" s="3">
        <f>Depreciation!O105</f>
        <v>2819</v>
      </c>
      <c r="N62" s="3">
        <f>Depreciation!P105</f>
        <v>2819</v>
      </c>
      <c r="O62" s="3">
        <f>Depreciation!Q105</f>
        <v>2819</v>
      </c>
      <c r="P62" s="3">
        <f>Depreciation!R105</f>
        <v>2819</v>
      </c>
      <c r="Q62" s="3">
        <f>Depreciation!S105</f>
        <v>2819</v>
      </c>
      <c r="R62" s="37">
        <f>SUM(F62:Q62)</f>
        <v>33828</v>
      </c>
      <c r="S62" s="3">
        <f>Depreciation!U105</f>
        <v>2819</v>
      </c>
      <c r="T62" s="3">
        <f>Depreciation!V105</f>
        <v>2819</v>
      </c>
      <c r="U62" s="3">
        <f>Depreciation!W105</f>
        <v>2819</v>
      </c>
      <c r="V62" s="3">
        <f>Depreciation!X105</f>
        <v>2819</v>
      </c>
      <c r="W62" s="3">
        <f>Depreciation!Y105</f>
        <v>2819</v>
      </c>
      <c r="X62" s="3">
        <f>Depreciation!Z105</f>
        <v>2819</v>
      </c>
      <c r="Y62" s="3">
        <f>Depreciation!AA105</f>
        <v>2819</v>
      </c>
      <c r="Z62" s="3">
        <f>Depreciation!AB105</f>
        <v>2819</v>
      </c>
      <c r="AA62" s="3">
        <f>Depreciation!AC105</f>
        <v>2819</v>
      </c>
      <c r="AB62" s="3">
        <f>Depreciation!AD105</f>
        <v>2819</v>
      </c>
      <c r="AC62" s="3">
        <f>Depreciation!AE105</f>
        <v>2819</v>
      </c>
      <c r="AD62" s="3">
        <f>Depreciation!AF105</f>
        <v>2819</v>
      </c>
      <c r="AE62" s="37">
        <f>SUM(S62:AD62)</f>
        <v>33828</v>
      </c>
      <c r="AF62" s="3">
        <f>Depreciation!AH105</f>
        <v>2819</v>
      </c>
      <c r="AG62" s="3">
        <f>Depreciation!AI105</f>
        <v>2819</v>
      </c>
      <c r="AH62" s="3">
        <f>Depreciation!AJ105</f>
        <v>2819</v>
      </c>
      <c r="AI62" s="3">
        <f>Depreciation!AK105</f>
        <v>2819</v>
      </c>
      <c r="AJ62" s="3">
        <f>Depreciation!AL105</f>
        <v>2819</v>
      </c>
      <c r="AK62" s="3">
        <f>Depreciation!AM105</f>
        <v>2819</v>
      </c>
      <c r="AL62" s="3">
        <f>Depreciation!AN105</f>
        <v>2819</v>
      </c>
      <c r="AM62" s="3">
        <f>Depreciation!AO105</f>
        <v>2819</v>
      </c>
      <c r="AN62" s="3">
        <f>Depreciation!AP105</f>
        <v>2819</v>
      </c>
      <c r="AO62" s="3">
        <f>Depreciation!AQ105</f>
        <v>2819</v>
      </c>
      <c r="AP62" s="3">
        <f>Depreciation!AR105</f>
        <v>2819</v>
      </c>
      <c r="AQ62" s="3">
        <f>Depreciation!AS105</f>
        <v>2819</v>
      </c>
      <c r="AR62" s="37">
        <f>SUM(AF62:AQ62)</f>
        <v>33828</v>
      </c>
      <c r="AS62" s="3">
        <f>Depreciation!AU105</f>
        <v>2819</v>
      </c>
      <c r="AT62" s="3">
        <f>Depreciation!AV105</f>
        <v>2819</v>
      </c>
      <c r="AU62" s="3">
        <f>Depreciation!AW105</f>
        <v>2819</v>
      </c>
      <c r="AV62" s="3">
        <f>Depreciation!AX105</f>
        <v>2819</v>
      </c>
      <c r="AW62" s="3">
        <f>Depreciation!AY105</f>
        <v>2819</v>
      </c>
      <c r="AX62" s="3">
        <f>Depreciation!AZ105</f>
        <v>2819</v>
      </c>
      <c r="AY62" s="3">
        <f>Depreciation!BA105</f>
        <v>2819</v>
      </c>
      <c r="AZ62" s="3">
        <f>Depreciation!BB105</f>
        <v>2819</v>
      </c>
      <c r="BA62" s="3">
        <f>Depreciation!BC105</f>
        <v>2819</v>
      </c>
      <c r="BB62" s="3">
        <f>Depreciation!BD105</f>
        <v>2819</v>
      </c>
      <c r="BC62" s="3">
        <f>Depreciation!BE105</f>
        <v>2819</v>
      </c>
      <c r="BD62" s="3">
        <f>Depreciation!BF105</f>
        <v>2819</v>
      </c>
      <c r="BE62" s="37">
        <f>SUM(AS62:BD62)</f>
        <v>33828</v>
      </c>
      <c r="BF62" s="3">
        <f>Depreciation!BH105</f>
        <v>2819</v>
      </c>
      <c r="BG62" s="3">
        <f>Depreciation!BI105</f>
        <v>2819</v>
      </c>
      <c r="BH62" s="3">
        <f>Depreciation!BJ105</f>
        <v>2819</v>
      </c>
      <c r="BI62" s="3">
        <f>Depreciation!BK105</f>
        <v>2819</v>
      </c>
      <c r="BJ62" s="3">
        <f>Depreciation!BL105</f>
        <v>2819</v>
      </c>
      <c r="BK62" s="3">
        <f>Depreciation!BM105</f>
        <v>2819</v>
      </c>
      <c r="BL62" s="3">
        <f>Depreciation!BN105</f>
        <v>2819</v>
      </c>
      <c r="BM62" s="3">
        <f>Depreciation!BO105</f>
        <v>2819</v>
      </c>
      <c r="BN62" s="3">
        <f>Depreciation!BP105</f>
        <v>2819</v>
      </c>
      <c r="BO62" s="3">
        <f>Depreciation!BQ105</f>
        <v>2819</v>
      </c>
      <c r="BP62" s="3">
        <f>Depreciation!BR105</f>
        <v>2819</v>
      </c>
      <c r="BQ62" s="3">
        <f>Depreciation!BS105</f>
        <v>2819</v>
      </c>
      <c r="BR62" s="37">
        <f>SUM(BF62:BQ62)</f>
        <v>33828</v>
      </c>
      <c r="BS62" s="37">
        <f>R62+AE62+AR62+BE62+BR62</f>
        <v>169140</v>
      </c>
    </row>
    <row r="63" spans="1:72" ht="15.75" customHeight="1">
      <c r="A63" s="2"/>
      <c r="B63" s="27"/>
      <c r="C63" s="27"/>
      <c r="D63" s="27" t="s">
        <v>564</v>
      </c>
      <c r="E63" s="23"/>
      <c r="F63" s="18">
        <f>SUM(F62)</f>
        <v>2819</v>
      </c>
      <c r="G63" s="18">
        <f t="shared" ref="G63:Q63" si="109">SUM(G62)</f>
        <v>2819</v>
      </c>
      <c r="H63" s="18">
        <f t="shared" si="109"/>
        <v>2819</v>
      </c>
      <c r="I63" s="18">
        <f t="shared" si="109"/>
        <v>2819</v>
      </c>
      <c r="J63" s="18">
        <f t="shared" si="109"/>
        <v>2819</v>
      </c>
      <c r="K63" s="18">
        <f t="shared" si="109"/>
        <v>2819</v>
      </c>
      <c r="L63" s="18">
        <f t="shared" si="109"/>
        <v>2819</v>
      </c>
      <c r="M63" s="18">
        <f t="shared" si="109"/>
        <v>2819</v>
      </c>
      <c r="N63" s="18">
        <f t="shared" si="109"/>
        <v>2819</v>
      </c>
      <c r="O63" s="18">
        <f t="shared" si="109"/>
        <v>2819</v>
      </c>
      <c r="P63" s="18">
        <f t="shared" si="109"/>
        <v>2819</v>
      </c>
      <c r="Q63" s="18">
        <f t="shared" si="109"/>
        <v>2819</v>
      </c>
      <c r="R63" s="18">
        <f>SUM(F63:Q63)</f>
        <v>33828</v>
      </c>
      <c r="S63" s="18">
        <f t="shared" ref="S63:AD63" si="110">SUM(S62)</f>
        <v>2819</v>
      </c>
      <c r="T63" s="18">
        <f t="shared" si="110"/>
        <v>2819</v>
      </c>
      <c r="U63" s="18">
        <f t="shared" si="110"/>
        <v>2819</v>
      </c>
      <c r="V63" s="18">
        <f t="shared" si="110"/>
        <v>2819</v>
      </c>
      <c r="W63" s="18">
        <f t="shared" si="110"/>
        <v>2819</v>
      </c>
      <c r="X63" s="18">
        <f t="shared" si="110"/>
        <v>2819</v>
      </c>
      <c r="Y63" s="18">
        <f t="shared" si="110"/>
        <v>2819</v>
      </c>
      <c r="Z63" s="18">
        <f t="shared" si="110"/>
        <v>2819</v>
      </c>
      <c r="AA63" s="18">
        <f t="shared" si="110"/>
        <v>2819</v>
      </c>
      <c r="AB63" s="18">
        <f t="shared" si="110"/>
        <v>2819</v>
      </c>
      <c r="AC63" s="18">
        <f t="shared" si="110"/>
        <v>2819</v>
      </c>
      <c r="AD63" s="18">
        <f t="shared" si="110"/>
        <v>2819</v>
      </c>
      <c r="AE63" s="18">
        <f>SUM(S63:AD63)</f>
        <v>33828</v>
      </c>
      <c r="AF63" s="18">
        <f t="shared" ref="AF63:AQ63" si="111">SUM(AF62)</f>
        <v>2819</v>
      </c>
      <c r="AG63" s="18">
        <f t="shared" si="111"/>
        <v>2819</v>
      </c>
      <c r="AH63" s="18">
        <f t="shared" si="111"/>
        <v>2819</v>
      </c>
      <c r="AI63" s="18">
        <f t="shared" si="111"/>
        <v>2819</v>
      </c>
      <c r="AJ63" s="18">
        <f t="shared" si="111"/>
        <v>2819</v>
      </c>
      <c r="AK63" s="18">
        <f t="shared" si="111"/>
        <v>2819</v>
      </c>
      <c r="AL63" s="18">
        <f t="shared" si="111"/>
        <v>2819</v>
      </c>
      <c r="AM63" s="18">
        <f t="shared" si="111"/>
        <v>2819</v>
      </c>
      <c r="AN63" s="18">
        <f t="shared" si="111"/>
        <v>2819</v>
      </c>
      <c r="AO63" s="18">
        <f t="shared" si="111"/>
        <v>2819</v>
      </c>
      <c r="AP63" s="18">
        <f t="shared" si="111"/>
        <v>2819</v>
      </c>
      <c r="AQ63" s="18">
        <f t="shared" si="111"/>
        <v>2819</v>
      </c>
      <c r="AR63" s="18">
        <f>SUM(AF63:AQ63)</f>
        <v>33828</v>
      </c>
      <c r="AS63" s="18">
        <f t="shared" ref="AS63:BD63" si="112">SUM(AS62)</f>
        <v>2819</v>
      </c>
      <c r="AT63" s="18">
        <f t="shared" si="112"/>
        <v>2819</v>
      </c>
      <c r="AU63" s="18">
        <f t="shared" si="112"/>
        <v>2819</v>
      </c>
      <c r="AV63" s="18">
        <f t="shared" si="112"/>
        <v>2819</v>
      </c>
      <c r="AW63" s="18">
        <f t="shared" si="112"/>
        <v>2819</v>
      </c>
      <c r="AX63" s="18">
        <f t="shared" si="112"/>
        <v>2819</v>
      </c>
      <c r="AY63" s="18">
        <f t="shared" si="112"/>
        <v>2819</v>
      </c>
      <c r="AZ63" s="18">
        <f t="shared" si="112"/>
        <v>2819</v>
      </c>
      <c r="BA63" s="18">
        <f t="shared" si="112"/>
        <v>2819</v>
      </c>
      <c r="BB63" s="18">
        <f t="shared" si="112"/>
        <v>2819</v>
      </c>
      <c r="BC63" s="18">
        <f t="shared" si="112"/>
        <v>2819</v>
      </c>
      <c r="BD63" s="18">
        <f t="shared" si="112"/>
        <v>2819</v>
      </c>
      <c r="BE63" s="18">
        <f>SUM(AS63:BD63)</f>
        <v>33828</v>
      </c>
      <c r="BF63" s="18">
        <f t="shared" ref="BF63:BQ63" si="113">SUM(BF62)</f>
        <v>2819</v>
      </c>
      <c r="BG63" s="18">
        <f t="shared" si="113"/>
        <v>2819</v>
      </c>
      <c r="BH63" s="18">
        <f t="shared" si="113"/>
        <v>2819</v>
      </c>
      <c r="BI63" s="18">
        <f t="shared" si="113"/>
        <v>2819</v>
      </c>
      <c r="BJ63" s="18">
        <f t="shared" si="113"/>
        <v>2819</v>
      </c>
      <c r="BK63" s="18">
        <f t="shared" si="113"/>
        <v>2819</v>
      </c>
      <c r="BL63" s="18">
        <f t="shared" si="113"/>
        <v>2819</v>
      </c>
      <c r="BM63" s="18">
        <f t="shared" si="113"/>
        <v>2819</v>
      </c>
      <c r="BN63" s="18">
        <f t="shared" si="113"/>
        <v>2819</v>
      </c>
      <c r="BO63" s="18">
        <f t="shared" si="113"/>
        <v>2819</v>
      </c>
      <c r="BP63" s="18">
        <f t="shared" si="113"/>
        <v>2819</v>
      </c>
      <c r="BQ63" s="18">
        <f t="shared" si="113"/>
        <v>2819</v>
      </c>
      <c r="BR63" s="18">
        <f>SUM(BF63:BQ63)</f>
        <v>33828</v>
      </c>
      <c r="BS63" s="41"/>
    </row>
    <row r="64" spans="1:72" ht="15.75" customHeight="1">
      <c r="A64" s="2"/>
      <c r="C64" s="24"/>
      <c r="D64" s="24"/>
      <c r="E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7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7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7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7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7"/>
      <c r="BS64" s="37"/>
      <c r="BT64" s="2"/>
    </row>
    <row r="65" spans="1:72" ht="15.75" customHeight="1">
      <c r="A65" s="2"/>
      <c r="B65" s="324" t="s">
        <v>559</v>
      </c>
      <c r="C65" s="24"/>
      <c r="D65" s="24"/>
      <c r="E65" s="2"/>
      <c r="F65" s="325">
        <f>F59-F63</f>
        <v>-7529.1808150788711</v>
      </c>
      <c r="G65" s="325">
        <f t="shared" ref="G65:R65" si="114">G59-G63</f>
        <v>-204.40437911386107</v>
      </c>
      <c r="H65" s="325">
        <f t="shared" si="114"/>
        <v>14573.645444048365</v>
      </c>
      <c r="I65" s="325">
        <f t="shared" si="114"/>
        <v>24046.292102279447</v>
      </c>
      <c r="J65" s="325">
        <f t="shared" si="114"/>
        <v>31676.471703175594</v>
      </c>
      <c r="K65" s="325">
        <f t="shared" si="114"/>
        <v>32334.627388953893</v>
      </c>
      <c r="L65" s="325">
        <f t="shared" si="114"/>
        <v>34526.942746363471</v>
      </c>
      <c r="M65" s="325">
        <f t="shared" si="114"/>
        <v>31676.471703175594</v>
      </c>
      <c r="N65" s="325">
        <f t="shared" si="114"/>
        <v>24046.292102279447</v>
      </c>
      <c r="O65" s="325">
        <f t="shared" si="114"/>
        <v>20274.587530424087</v>
      </c>
      <c r="P65" s="325">
        <f t="shared" si="114"/>
        <v>12995.178386713465</v>
      </c>
      <c r="Q65" s="325">
        <f t="shared" si="114"/>
        <v>8872.7033576726208</v>
      </c>
      <c r="R65" s="325">
        <f t="shared" si="114"/>
        <v>227289.62727089296</v>
      </c>
      <c r="S65" s="325">
        <f>S59-S63</f>
        <v>5041.794577941444</v>
      </c>
      <c r="T65" s="325">
        <f t="shared" ref="T65:AE65" si="115">T59-T63</f>
        <v>7829.6673592988518</v>
      </c>
      <c r="U65" s="325">
        <f t="shared" si="115"/>
        <v>27512.989783578851</v>
      </c>
      <c r="V65" s="325">
        <f t="shared" si="115"/>
        <v>39806.629089896102</v>
      </c>
      <c r="W65" s="325">
        <f t="shared" si="115"/>
        <v>49984.184989216221</v>
      </c>
      <c r="X65" s="325">
        <f t="shared" si="115"/>
        <v>50675.796124881912</v>
      </c>
      <c r="Y65" s="325">
        <f t="shared" si="115"/>
        <v>53729.384190155768</v>
      </c>
      <c r="Z65" s="325">
        <f t="shared" si="115"/>
        <v>49984.184989216221</v>
      </c>
      <c r="AA65" s="325">
        <f t="shared" si="115"/>
        <v>39806.629089896102</v>
      </c>
      <c r="AB65" s="325">
        <f t="shared" si="115"/>
        <v>35003.388185457952</v>
      </c>
      <c r="AC65" s="325">
        <f t="shared" si="115"/>
        <v>25314.406376581661</v>
      </c>
      <c r="AD65" s="325">
        <f t="shared" si="115"/>
        <v>20022.591381699713</v>
      </c>
      <c r="AE65" s="325">
        <f t="shared" si="115"/>
        <v>404711.64613782091</v>
      </c>
      <c r="AF65" s="325">
        <f>AF59-AF63</f>
        <v>-229.98776705637283</v>
      </c>
      <c r="AG65" s="325">
        <f t="shared" ref="AG65:AR65" si="116">AG59-AG63</f>
        <v>2980.8819923388</v>
      </c>
      <c r="AH65" s="325">
        <f t="shared" si="116"/>
        <v>25650.005328582094</v>
      </c>
      <c r="AI65" s="325">
        <f t="shared" si="116"/>
        <v>39808.594284254781</v>
      </c>
      <c r="AJ65" s="325">
        <f t="shared" si="116"/>
        <v>51529.998424220583</v>
      </c>
      <c r="AK65" s="325">
        <f t="shared" si="116"/>
        <v>52326.580862789502</v>
      </c>
      <c r="AL65" s="325">
        <f t="shared" si="116"/>
        <v>55843.33060682693</v>
      </c>
      <c r="AM65" s="325">
        <f t="shared" si="116"/>
        <v>51529.998424220583</v>
      </c>
      <c r="AN65" s="325">
        <f t="shared" si="116"/>
        <v>39808.594284254781</v>
      </c>
      <c r="AO65" s="325">
        <f t="shared" si="116"/>
        <v>34276.669693794916</v>
      </c>
      <c r="AP65" s="325">
        <f t="shared" si="116"/>
        <v>23117.945512875143</v>
      </c>
      <c r="AQ65" s="325">
        <f t="shared" si="116"/>
        <v>17023.340963369265</v>
      </c>
      <c r="AR65" s="325">
        <f t="shared" si="116"/>
        <v>393665.95261047123</v>
      </c>
      <c r="AS65" s="325">
        <f>AS59-AS63</f>
        <v>3442.1824467566948</v>
      </c>
      <c r="AT65" s="325">
        <f t="shared" ref="AT65:BE65" si="117">AT59-AT63</f>
        <v>7006.9893599394672</v>
      </c>
      <c r="AU65" s="325">
        <f t="shared" si="117"/>
        <v>32170.180514926702</v>
      </c>
      <c r="AV65" s="325">
        <f t="shared" si="117"/>
        <v>47887.212116826377</v>
      </c>
      <c r="AW65" s="325">
        <f t="shared" si="117"/>
        <v>60898.178583096727</v>
      </c>
      <c r="AX65" s="325">
        <f t="shared" si="117"/>
        <v>61782.806544973137</v>
      </c>
      <c r="AY65" s="325">
        <f t="shared" si="117"/>
        <v>65686.178261125038</v>
      </c>
      <c r="AZ65" s="325">
        <f t="shared" si="117"/>
        <v>60898.178583096727</v>
      </c>
      <c r="BA65" s="325">
        <f t="shared" si="117"/>
        <v>47887.212116826377</v>
      </c>
      <c r="BB65" s="325">
        <f t="shared" si="117"/>
        <v>41746.179870983397</v>
      </c>
      <c r="BC65" s="325">
        <f t="shared" si="117"/>
        <v>29359.752879297375</v>
      </c>
      <c r="BD65" s="325">
        <f t="shared" si="117"/>
        <v>22594.181158870044</v>
      </c>
      <c r="BE65" s="325">
        <f t="shared" si="117"/>
        <v>481359.23243671801</v>
      </c>
      <c r="BF65" s="325">
        <f>BF59-BF63</f>
        <v>6703.7175522794823</v>
      </c>
      <c r="BG65" s="325">
        <f t="shared" ref="BG65:BR65" si="118">BG59-BG63</f>
        <v>10658.372800784</v>
      </c>
      <c r="BH65" s="325">
        <f t="shared" si="118"/>
        <v>38568.616779804637</v>
      </c>
      <c r="BI65" s="325">
        <f t="shared" si="118"/>
        <v>56002.181315866823</v>
      </c>
      <c r="BJ65" s="325">
        <f t="shared" si="118"/>
        <v>70433.516007329788</v>
      </c>
      <c r="BK65" s="325">
        <f t="shared" si="118"/>
        <v>71415.126163862878</v>
      </c>
      <c r="BL65" s="325">
        <f t="shared" si="118"/>
        <v>75744.332545250654</v>
      </c>
      <c r="BM65" s="325">
        <f t="shared" si="118"/>
        <v>70433.516007329788</v>
      </c>
      <c r="BN65" s="325">
        <f t="shared" si="118"/>
        <v>56002.181315866823</v>
      </c>
      <c r="BO65" s="325">
        <f t="shared" si="118"/>
        <v>49190.249855646354</v>
      </c>
      <c r="BP65" s="325">
        <f t="shared" si="118"/>
        <v>35451.588185205444</v>
      </c>
      <c r="BQ65" s="325">
        <f t="shared" si="118"/>
        <v>27946.983703962931</v>
      </c>
      <c r="BR65" s="325">
        <f t="shared" si="118"/>
        <v>568550.38223318942</v>
      </c>
      <c r="BS65" s="37"/>
      <c r="BT65" s="2"/>
    </row>
    <row r="66" spans="1:72" ht="15.75" customHeight="1">
      <c r="A66" s="2"/>
      <c r="B66" s="324"/>
      <c r="C66" s="24"/>
      <c r="D66" s="24"/>
      <c r="E66" s="2"/>
      <c r="F66" s="42">
        <f t="shared" ref="F66:AK66" si="119">IF(F16&lt;&gt;0,F65/F16,"N/A")</f>
        <v>-0.15930510734136685</v>
      </c>
      <c r="G66" s="42">
        <f t="shared" si="119"/>
        <v>-4.05136256946949E-3</v>
      </c>
      <c r="H66" s="42">
        <f t="shared" si="119"/>
        <v>0.20556961054510384</v>
      </c>
      <c r="I66" s="42">
        <f t="shared" si="119"/>
        <v>0.28636705097828719</v>
      </c>
      <c r="J66" s="42">
        <f t="shared" si="119"/>
        <v>0.33511107309071153</v>
      </c>
      <c r="K66" s="42">
        <f t="shared" si="119"/>
        <v>0.33886402229561552</v>
      </c>
      <c r="L66" s="42">
        <f t="shared" si="119"/>
        <v>0.35065604859618449</v>
      </c>
      <c r="M66" s="42">
        <f t="shared" si="119"/>
        <v>0.33511107309071153</v>
      </c>
      <c r="N66" s="42">
        <f t="shared" si="119"/>
        <v>0.28636705097828719</v>
      </c>
      <c r="O66" s="42">
        <f t="shared" si="119"/>
        <v>0.25738619556334674</v>
      </c>
      <c r="P66" s="42">
        <f t="shared" si="119"/>
        <v>0.18915043742767867</v>
      </c>
      <c r="Q66" s="42">
        <f t="shared" si="119"/>
        <v>0.14079887927229998</v>
      </c>
      <c r="R66" s="42">
        <f t="shared" si="119"/>
        <v>0.24440372865106855</v>
      </c>
      <c r="S66" s="42">
        <f t="shared" si="119"/>
        <v>8.1343196546276961E-2</v>
      </c>
      <c r="T66" s="42">
        <f t="shared" si="119"/>
        <v>0.1188162528227486</v>
      </c>
      <c r="U66" s="42">
        <f t="shared" si="119"/>
        <v>0.29592565384461889</v>
      </c>
      <c r="V66" s="42">
        <f t="shared" si="119"/>
        <v>0.36198493330203813</v>
      </c>
      <c r="W66" s="42">
        <f t="shared" si="119"/>
        <v>0.40321688249378962</v>
      </c>
      <c r="X66" s="42">
        <f t="shared" si="119"/>
        <v>0.40552566463748335</v>
      </c>
      <c r="Y66" s="42">
        <f t="shared" si="119"/>
        <v>0.41609182993169008</v>
      </c>
      <c r="Z66" s="42">
        <f t="shared" si="119"/>
        <v>0.40321688249378962</v>
      </c>
      <c r="AA66" s="42">
        <f t="shared" si="119"/>
        <v>0.36198493330203813</v>
      </c>
      <c r="AB66" s="42">
        <f t="shared" si="119"/>
        <v>0.33884214530428702</v>
      </c>
      <c r="AC66" s="42">
        <f t="shared" si="119"/>
        <v>0.28135394934750974</v>
      </c>
      <c r="AD66" s="42">
        <f t="shared" si="119"/>
        <v>0.24228003952003338</v>
      </c>
      <c r="AE66" s="42">
        <f t="shared" si="119"/>
        <v>0.33207798538174604</v>
      </c>
      <c r="AF66" s="42">
        <f t="shared" si="119"/>
        <v>-3.2060151106589503E-3</v>
      </c>
      <c r="AG66" s="42">
        <f t="shared" si="119"/>
        <v>3.9084275304685417E-2</v>
      </c>
      <c r="AH66" s="42">
        <f t="shared" si="119"/>
        <v>0.23837298167184734</v>
      </c>
      <c r="AI66" s="42">
        <f t="shared" si="119"/>
        <v>0.31277834308955876</v>
      </c>
      <c r="AJ66" s="42">
        <f t="shared" si="119"/>
        <v>0.35916248006310064</v>
      </c>
      <c r="AK66" s="42">
        <f t="shared" si="119"/>
        <v>0.36179691770942729</v>
      </c>
      <c r="AL66" s="42">
        <f t="shared" ref="AL66:BQ66" si="120">IF(AL16&lt;&gt;0,AL65/AL16,"N/A")</f>
        <v>0.37365721987005068</v>
      </c>
      <c r="AM66" s="42">
        <f t="shared" si="120"/>
        <v>0.35916248006310064</v>
      </c>
      <c r="AN66" s="42">
        <f t="shared" si="120"/>
        <v>0.31277834308955876</v>
      </c>
      <c r="AO66" s="42">
        <f t="shared" si="120"/>
        <v>0.2866887810283486</v>
      </c>
      <c r="AP66" s="42">
        <f t="shared" si="120"/>
        <v>0.22200320490461709</v>
      </c>
      <c r="AQ66" s="42">
        <f t="shared" si="120"/>
        <v>0.17797823247622072</v>
      </c>
      <c r="AR66" s="42">
        <f t="shared" si="120"/>
        <v>0.27909173725100495</v>
      </c>
      <c r="AS66" s="42">
        <f t="shared" si="120"/>
        <v>4.3091774226864263E-2</v>
      </c>
      <c r="AT66" s="42">
        <f t="shared" si="120"/>
        <v>8.2506544811075694E-2</v>
      </c>
      <c r="AU66" s="42">
        <f t="shared" si="120"/>
        <v>0.26848667030861306</v>
      </c>
      <c r="AV66" s="42">
        <f t="shared" si="120"/>
        <v>0.33789288632028108</v>
      </c>
      <c r="AW66" s="42">
        <f t="shared" si="120"/>
        <v>0.38118411834948746</v>
      </c>
      <c r="AX66" s="42">
        <f t="shared" si="120"/>
        <v>0.38362755977977769</v>
      </c>
      <c r="AY66" s="42">
        <f t="shared" si="120"/>
        <v>0.39470781211439232</v>
      </c>
      <c r="AZ66" s="42">
        <f t="shared" si="120"/>
        <v>0.38118411834948746</v>
      </c>
      <c r="BA66" s="42">
        <f t="shared" si="120"/>
        <v>0.33789288632028108</v>
      </c>
      <c r="BB66" s="42">
        <f t="shared" si="120"/>
        <v>0.31356564952496291</v>
      </c>
      <c r="BC66" s="42">
        <f t="shared" si="120"/>
        <v>0.25319904658047271</v>
      </c>
      <c r="BD66" s="42">
        <f t="shared" si="120"/>
        <v>0.21213794628817592</v>
      </c>
      <c r="BE66" s="42">
        <f t="shared" si="120"/>
        <v>0.30647008708805024</v>
      </c>
      <c r="BF66" s="42">
        <f t="shared" si="120"/>
        <v>7.535006147591844E-2</v>
      </c>
      <c r="BG66" s="42">
        <f t="shared" si="120"/>
        <v>0.11268218552735515</v>
      </c>
      <c r="BH66" s="42">
        <f t="shared" si="120"/>
        <v>0.28900856106934614</v>
      </c>
      <c r="BI66" s="42">
        <f t="shared" si="120"/>
        <v>0.35479039240775329</v>
      </c>
      <c r="BJ66" s="42">
        <f t="shared" si="120"/>
        <v>0.39583781086605996</v>
      </c>
      <c r="BK66" s="42">
        <f t="shared" si="120"/>
        <v>0.39814364432525612</v>
      </c>
      <c r="BL66" s="42">
        <f t="shared" si="120"/>
        <v>0.40865732084166562</v>
      </c>
      <c r="BM66" s="42">
        <f t="shared" si="120"/>
        <v>0.39583781086605996</v>
      </c>
      <c r="BN66" s="42">
        <f t="shared" si="120"/>
        <v>0.35479039240775329</v>
      </c>
      <c r="BO66" s="42">
        <f t="shared" si="120"/>
        <v>0.33174026098803167</v>
      </c>
      <c r="BP66" s="42">
        <f t="shared" si="120"/>
        <v>0.27450659256052601</v>
      </c>
      <c r="BQ66" s="42">
        <f t="shared" si="120"/>
        <v>0.23559393617098928</v>
      </c>
      <c r="BR66" s="42">
        <f t="shared" ref="BR66" si="121">IF(BR16&lt;&gt;0,BR65/BR16,"N/A")</f>
        <v>0.32500882574352918</v>
      </c>
      <c r="BS66" s="37"/>
      <c r="BT66" s="2"/>
    </row>
    <row r="67" spans="1:72" ht="15.75" customHeight="1">
      <c r="A67" s="2"/>
      <c r="B67" s="28"/>
      <c r="C67" s="24"/>
      <c r="D67" s="24"/>
      <c r="E67" s="21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3"/>
    </row>
    <row r="68" spans="1:72" ht="15.75" customHeight="1">
      <c r="A68" s="2"/>
      <c r="B68" s="23" t="s">
        <v>69</v>
      </c>
      <c r="C68" s="24"/>
      <c r="D68" s="24"/>
      <c r="E68" s="2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7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7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7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7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7"/>
      <c r="BS68" s="37"/>
    </row>
    <row r="69" spans="1:72" ht="15.75" customHeight="1">
      <c r="A69" s="2"/>
      <c r="B69" s="28"/>
      <c r="C69" s="24" t="s">
        <v>70</v>
      </c>
      <c r="D69" s="24"/>
      <c r="E69" s="21"/>
      <c r="F69" s="38">
        <f>-IF(Assumptions!$B$36&gt;F$6,0,HLOOKUP(F$6,LoanPayCalc!$I$10:$BQ$13,4,FALSE))-IF(Assumptions!$B$40&gt;F$6,0,HLOOKUP(F$6,LoanPayCalc!$CC$10:$EK$13,4,FALSE))</f>
        <v>-6666.666666666667</v>
      </c>
      <c r="G69" s="38">
        <f>-IF(Assumptions!$B$36&gt;G$6,0,HLOOKUP(G$6,LoanPayCalc!$I$10:$BQ$13,4,FALSE))-IF(Assumptions!$B$40&gt;G$6,0,HLOOKUP(G$6,LoanPayCalc!$CC$10:$EK$13,4,FALSE))</f>
        <v>-6634.1217309677149</v>
      </c>
      <c r="H69" s="38">
        <f>-IF(Assumptions!$B$36&gt;H$6,0,HLOOKUP(H$6,LoanPayCalc!$I$10:$BQ$13,4,FALSE))-IF(Assumptions!$B$40&gt;H$6,0,HLOOKUP(H$6,LoanPayCalc!$CC$10:$EK$13,4,FALSE))</f>
        <v>-6601.3055874712718</v>
      </c>
      <c r="I69" s="38">
        <f>-IF(Assumptions!$B$36&gt;I$6,0,HLOOKUP(I$6,LoanPayCalc!$I$10:$BQ$13,4,FALSE))-IF(Assumptions!$B$40&gt;I$6,0,HLOOKUP(I$6,LoanPayCalc!$CC$10:$EK$13,4,FALSE))</f>
        <v>-6568.2159761123585</v>
      </c>
      <c r="J69" s="38">
        <f>-IF(Assumptions!$B$36&gt;J$6,0,HLOOKUP(J$6,LoanPayCalc!$I$10:$BQ$13,4,FALSE))-IF(Assumptions!$B$40&gt;J$6,0,HLOOKUP(J$6,LoanPayCalc!$CC$10:$EK$13,4,FALSE))</f>
        <v>-6534.8506179921205</v>
      </c>
      <c r="K69" s="38">
        <f>-IF(Assumptions!$B$36&gt;K$6,0,HLOOKUP(K$6,LoanPayCalc!$I$10:$BQ$13,4,FALSE))-IF(Assumptions!$B$40&gt;K$6,0,HLOOKUP(K$6,LoanPayCalc!$CC$10:$EK$13,4,FALSE))</f>
        <v>-6501.2072152208802</v>
      </c>
      <c r="L69" s="38">
        <f>-IF(Assumptions!$B$36&gt;L$6,0,HLOOKUP(L$6,LoanPayCalc!$I$10:$BQ$13,4,FALSE))-IF(Assumptions!$B$40&gt;L$6,0,HLOOKUP(L$6,LoanPayCalc!$CC$10:$EK$13,4,FALSE))</f>
        <v>-6467.2834507598791</v>
      </c>
      <c r="M69" s="38">
        <f>-IF(Assumptions!$B$36&gt;M$6,0,HLOOKUP(M$6,LoanPayCalc!$I$10:$BQ$13,4,FALSE))-IF(Assumptions!$B$40&gt;M$6,0,HLOOKUP(M$6,LoanPayCalc!$CC$10:$EK$13,4,FALSE))</f>
        <v>-6433.0769882617042</v>
      </c>
      <c r="N69" s="38">
        <f>-IF(Assumptions!$B$36&gt;N$6,0,HLOOKUP(N$6,LoanPayCalc!$I$10:$BQ$13,4,FALSE))-IF(Assumptions!$B$40&gt;N$6,0,HLOOKUP(N$6,LoanPayCalc!$CC$10:$EK$13,4,FALSE))</f>
        <v>-6398.5854719093777</v>
      </c>
      <c r="O69" s="38">
        <f>-IF(Assumptions!$B$36&gt;O$6,0,HLOOKUP(O$6,LoanPayCalc!$I$10:$BQ$13,4,FALSE))-IF(Assumptions!$B$40&gt;O$6,0,HLOOKUP(O$6,LoanPayCalc!$CC$10:$EK$13,4,FALSE))</f>
        <v>-6363.8065262541149</v>
      </c>
      <c r="P69" s="38">
        <f>-IF(Assumptions!$B$36&gt;P$6,0,HLOOKUP(P$6,LoanPayCalc!$I$10:$BQ$13,4,FALSE))-IF(Assumptions!$B$40&gt;P$6,0,HLOOKUP(P$6,LoanPayCalc!$CC$10:$EK$13,4,FALSE))</f>
        <v>-6328.7377560517243</v>
      </c>
      <c r="Q69" s="38">
        <f>-IF(Assumptions!$B$36&gt;Q$6,0,HLOOKUP(Q$6,LoanPayCalc!$I$10:$BQ$13,4,FALSE))-IF(Assumptions!$B$40&gt;Q$6,0,HLOOKUP(Q$6,LoanPayCalc!$CC$10:$EK$13,4,FALSE))</f>
        <v>-6293.3767460976478</v>
      </c>
      <c r="R69" s="37">
        <f>SUM(F69:Q69)</f>
        <v>-77791.234733765465</v>
      </c>
      <c r="S69" s="38">
        <f>-IF(Assumptions!$B$36&gt;S$6,0,HLOOKUP(S$6,LoanPayCalc!$I$10:$BQ$13,4,FALSE))-IF(Assumptions!$B$40&gt;S$6,0,HLOOKUP(S$6,LoanPayCalc!$CC$10:$EK$13,4,FALSE))</f>
        <v>-6257.7210610606198</v>
      </c>
      <c r="T69" s="38">
        <f>-IF(Assumptions!$B$36&gt;T$6,0,HLOOKUP(T$6,LoanPayCalc!$I$10:$BQ$13,4,FALSE))-IF(Assumptions!$B$40&gt;T$6,0,HLOOKUP(T$6,LoanPayCalc!$CC$10:$EK$13,4,FALSE))</f>
        <v>-6221.7682453149509</v>
      </c>
      <c r="U69" s="38">
        <f>-IF(Assumptions!$B$36&gt;U$6,0,HLOOKUP(U$6,LoanPayCalc!$I$10:$BQ$13,4,FALSE))-IF(Assumptions!$B$40&gt;U$6,0,HLOOKUP(U$6,LoanPayCalc!$CC$10:$EK$13,4,FALSE))</f>
        <v>-6185.515822771401</v>
      </c>
      <c r="V69" s="38">
        <f>-IF(Assumptions!$B$36&gt;V$6,0,HLOOKUP(V$6,LoanPayCalc!$I$10:$BQ$13,4,FALSE))-IF(Assumptions!$B$40&gt;V$6,0,HLOOKUP(V$6,LoanPayCalc!$CC$10:$EK$13,4,FALSE))</f>
        <v>-6148.961296706655</v>
      </c>
      <c r="W69" s="38">
        <f>-IF(Assumptions!$B$36&gt;W$6,0,HLOOKUP(W$6,LoanPayCalc!$I$10:$BQ$13,4,FALSE))-IF(Assumptions!$B$40&gt;W$6,0,HLOOKUP(W$6,LoanPayCalc!$CC$10:$EK$13,4,FALSE))</f>
        <v>-6112.1021495913701</v>
      </c>
      <c r="X69" s="38">
        <f>-IF(Assumptions!$B$36&gt;X$6,0,HLOOKUP(X$6,LoanPayCalc!$I$10:$BQ$13,4,FALSE))-IF(Assumptions!$B$40&gt;X$6,0,HLOOKUP(X$6,LoanPayCalc!$CC$10:$EK$13,4,FALSE))</f>
        <v>-6074.9358429167905</v>
      </c>
      <c r="Y69" s="38">
        <f>-IF(Assumptions!$B$36&gt;Y$6,0,HLOOKUP(Y$6,LoanPayCalc!$I$10:$BQ$13,4,FALSE))-IF(Assumptions!$B$40&gt;Y$6,0,HLOOKUP(Y$6,LoanPayCalc!$CC$10:$EK$13,4,FALSE))</f>
        <v>-6037.4598170199224</v>
      </c>
      <c r="Z69" s="38">
        <f>-IF(Assumptions!$B$36&gt;Z$6,0,HLOOKUP(Z$6,LoanPayCalc!$I$10:$BQ$13,4,FALSE))-IF(Assumptions!$B$40&gt;Z$6,0,HLOOKUP(Z$6,LoanPayCalc!$CC$10:$EK$13,4,FALSE))</f>
        <v>-5999.671490907248</v>
      </c>
      <c r="AA69" s="38">
        <f>-IF(Assumptions!$B$36&gt;AA$6,0,HLOOKUP(AA$6,LoanPayCalc!$I$10:$BQ$13,4,FALSE))-IF(Assumptions!$B$40&gt;AA$6,0,HLOOKUP(AA$6,LoanPayCalc!$CC$10:$EK$13,4,FALSE))</f>
        <v>-5961.5682620769676</v>
      </c>
      <c r="AB69" s="38">
        <f>-IF(Assumptions!$B$36&gt;AB$6,0,HLOOKUP(AB$6,LoanPayCalc!$I$10:$BQ$13,4,FALSE))-IF(Assumptions!$B$40&gt;AB$6,0,HLOOKUP(AB$6,LoanPayCalc!$CC$10:$EK$13,4,FALSE))</f>
        <v>-5923.1475063397684</v>
      </c>
      <c r="AC69" s="38">
        <f>-IF(Assumptions!$B$36&gt;AC$6,0,HLOOKUP(AC$6,LoanPayCalc!$I$10:$BQ$13,4,FALSE))-IF(Assumptions!$B$40&gt;AC$6,0,HLOOKUP(AC$6,LoanPayCalc!$CC$10:$EK$13,4,FALSE))</f>
        <v>-5884.4065776380921</v>
      </c>
      <c r="AD69" s="38">
        <f>-IF(Assumptions!$B$36&gt;AD$6,0,HLOOKUP(AD$6,LoanPayCalc!$I$10:$BQ$13,4,FALSE))-IF(Assumptions!$B$40&gt;AD$6,0,HLOOKUP(AD$6,LoanPayCalc!$CC$10:$EK$13,4,FALSE))</f>
        <v>-5845.3428078639017</v>
      </c>
      <c r="AE69" s="37">
        <f>SUM(S69:AD69)</f>
        <v>-72652.600880207683</v>
      </c>
      <c r="AF69" s="38">
        <f>-IF(Assumptions!$B$36&gt;AF$6,0,HLOOKUP(AF$6,LoanPayCalc!$I$10:$BQ$13,4,FALSE))-IF(Assumptions!$B$40&gt;AF$6,0,HLOOKUP(AF$6,LoanPayCalc!$CC$10:$EK$13,4,FALSE))</f>
        <v>-5805.9535066749268</v>
      </c>
      <c r="AG69" s="38">
        <f>-IF(Assumptions!$B$36&gt;AG$6,0,HLOOKUP(AG$6,LoanPayCalc!$I$10:$BQ$13,4,FALSE))-IF(Assumptions!$B$40&gt;AG$6,0,HLOOKUP(AG$6,LoanPayCalc!$CC$10:$EK$13,4,FALSE))</f>
        <v>-5766.2359613093768</v>
      </c>
      <c r="AH69" s="38">
        <f>-IF(Assumptions!$B$36&gt;AH$6,0,HLOOKUP(AH$6,LoanPayCalc!$I$10:$BQ$13,4,FALSE))-IF(Assumptions!$B$40&gt;AH$6,0,HLOOKUP(AH$6,LoanPayCalc!$CC$10:$EK$13,4,FALSE))</f>
        <v>-5726.1874363991137</v>
      </c>
      <c r="AI69" s="38">
        <f>-IF(Assumptions!$B$36&gt;AI$6,0,HLOOKUP(AI$6,LoanPayCalc!$I$10:$BQ$13,4,FALSE))-IF(Assumptions!$B$40&gt;AI$6,0,HLOOKUP(AI$6,LoanPayCalc!$CC$10:$EK$13,4,FALSE))</f>
        <v>-5685.8051737812657</v>
      </c>
      <c r="AJ69" s="38">
        <f>-IF(Assumptions!$B$36&gt;AJ$6,0,HLOOKUP(AJ$6,LoanPayCalc!$I$10:$BQ$13,4,FALSE))-IF(Assumptions!$B$40&gt;AJ$6,0,HLOOKUP(AJ$6,LoanPayCalc!$CC$10:$EK$13,4,FALSE))</f>
        <v>-5645.0863923082688</v>
      </c>
      <c r="AK69" s="38">
        <f>-IF(Assumptions!$B$36&gt;AK$6,0,HLOOKUP(AK$6,LoanPayCalc!$I$10:$BQ$13,4,FALSE))-IF(Assumptions!$B$40&gt;AK$6,0,HLOOKUP(AK$6,LoanPayCalc!$CC$10:$EK$13,4,FALSE))</f>
        <v>-5604.0282876563306</v>
      </c>
      <c r="AL69" s="38">
        <f>-IF(Assumptions!$B$36&gt;AL$6,0,HLOOKUP(AL$6,LoanPayCalc!$I$10:$BQ$13,4,FALSE))-IF(Assumptions!$B$40&gt;AL$6,0,HLOOKUP(AL$6,LoanPayCalc!$CC$10:$EK$13,4,FALSE))</f>
        <v>-5562.628032132292</v>
      </c>
      <c r="AM69" s="38">
        <f>-IF(Assumptions!$B$36&gt;AM$6,0,HLOOKUP(AM$6,LoanPayCalc!$I$10:$BQ$13,4,FALSE))-IF(Assumptions!$B$40&gt;AM$6,0,HLOOKUP(AM$6,LoanPayCalc!$CC$10:$EK$13,4,FALSE))</f>
        <v>-5520.8827744788869</v>
      </c>
      <c r="AN69" s="38">
        <f>-IF(Assumptions!$B$36&gt;AN$6,0,HLOOKUP(AN$6,LoanPayCalc!$I$10:$BQ$13,4,FALSE))-IF(Assumptions!$B$40&gt;AN$6,0,HLOOKUP(AN$6,LoanPayCalc!$CC$10:$EK$13,4,FALSE))</f>
        <v>-5478.789639678369</v>
      </c>
      <c r="AO69" s="38">
        <f>-IF(Assumptions!$B$36&gt;AO$6,0,HLOOKUP(AO$6,LoanPayCalc!$I$10:$BQ$13,4,FALSE))-IF(Assumptions!$B$40&gt;AO$6,0,HLOOKUP(AO$6,LoanPayCalc!$CC$10:$EK$13,4,FALSE))</f>
        <v>-5436.3457287545152</v>
      </c>
      <c r="AP69" s="38">
        <f>-IF(Assumptions!$B$36&gt;AP$6,0,HLOOKUP(AP$6,LoanPayCalc!$I$10:$BQ$13,4,FALSE))-IF(Assumptions!$B$40&gt;AP$6,0,HLOOKUP(AP$6,LoanPayCalc!$CC$10:$EK$13,4,FALSE))</f>
        <v>-5393.5481185729614</v>
      </c>
      <c r="AQ69" s="38">
        <f>-IF(Assumptions!$B$36&gt;AQ$6,0,HLOOKUP(AQ$6,LoanPayCalc!$I$10:$BQ$13,4,FALSE))-IF(Assumptions!$B$40&gt;AQ$6,0,HLOOKUP(AQ$6,LoanPayCalc!$CC$10:$EK$13,4,FALSE))</f>
        <v>-5350.3938616398955</v>
      </c>
      <c r="AR69" s="37">
        <f>SUM(AF69:AQ69)</f>
        <v>-66975.884913386195</v>
      </c>
      <c r="AS69" s="38">
        <f>-IF(Assumptions!$B$36&gt;AS$6,0,HLOOKUP(AS$6,LoanPayCalc!$I$10:$BQ$13,4,FALSE))-IF(Assumptions!$B$40&gt;AS$6,0,HLOOKUP(AS$6,LoanPayCalc!$CC$10:$EK$13,4,FALSE))</f>
        <v>-5306.8799858990533</v>
      </c>
      <c r="AT69" s="38">
        <f>-IF(Assumptions!$B$36&gt;AT$6,0,HLOOKUP(AT$6,LoanPayCalc!$I$10:$BQ$13,4,FALSE))-IF(Assumptions!$B$40&gt;AT$6,0,HLOOKUP(AT$6,LoanPayCalc!$CC$10:$EK$13,4,FALSE))</f>
        <v>-5263.0034945270372</v>
      </c>
      <c r="AU69" s="38">
        <f>-IF(Assumptions!$B$36&gt;AU$6,0,HLOOKUP(AU$6,LoanPayCalc!$I$10:$BQ$13,4,FALSE))-IF(Assumptions!$B$40&gt;AU$6,0,HLOOKUP(AU$6,LoanPayCalc!$CC$10:$EK$13,4,FALSE))</f>
        <v>-5218.7613657269221</v>
      </c>
      <c r="AV69" s="38">
        <f>-IF(Assumptions!$B$36&gt;AV$6,0,HLOOKUP(AV$6,LoanPayCalc!$I$10:$BQ$13,4,FALSE))-IF(Assumptions!$B$40&gt;AV$6,0,HLOOKUP(AV$6,LoanPayCalc!$CC$10:$EK$13,4,FALSE))</f>
        <v>-5174.1505525201383</v>
      </c>
      <c r="AW69" s="38">
        <f>-IF(Assumptions!$B$36&gt;AW$6,0,HLOOKUP(AW$6,LoanPayCalc!$I$10:$BQ$13,4,FALSE))-IF(Assumptions!$B$40&gt;AW$6,0,HLOOKUP(AW$6,LoanPayCalc!$CC$10:$EK$13,4,FALSE))</f>
        <v>-5129.1679825366318</v>
      </c>
      <c r="AX69" s="38">
        <f>-IF(Assumptions!$B$36&gt;AX$6,0,HLOOKUP(AX$6,LoanPayCalc!$I$10:$BQ$13,4,FALSE))-IF(Assumptions!$B$40&gt;AX$6,0,HLOOKUP(AX$6,LoanPayCalc!$CC$10:$EK$13,4,FALSE))</f>
        <v>-5083.8105578032628</v>
      </c>
      <c r="AY69" s="38">
        <f>-IF(Assumptions!$B$36&gt;AY$6,0,HLOOKUP(AY$6,LoanPayCalc!$I$10:$BQ$13,4,FALSE))-IF(Assumptions!$B$40&gt;AY$6,0,HLOOKUP(AY$6,LoanPayCalc!$CC$10:$EK$13,4,FALSE))</f>
        <v>-5038.0751545304493</v>
      </c>
      <c r="AZ69" s="38">
        <f>-IF(Assumptions!$B$36&gt;AZ$6,0,HLOOKUP(AZ$6,LoanPayCalc!$I$10:$BQ$13,4,FALSE))-IF(Assumptions!$B$40&gt;AZ$6,0,HLOOKUP(AZ$6,LoanPayCalc!$CC$10:$EK$13,4,FALSE))</f>
        <v>-4991.9586228970284</v>
      </c>
      <c r="BA69" s="38">
        <f>-IF(Assumptions!$B$36&gt;BA$6,0,HLOOKUP(BA$6,LoanPayCalc!$I$10:$BQ$13,4,FALSE))-IF(Assumptions!$B$40&gt;BA$6,0,HLOOKUP(BA$6,LoanPayCalc!$CC$10:$EK$13,4,FALSE))</f>
        <v>-4945.457786833329</v>
      </c>
      <c r="BB69" s="38">
        <f>-IF(Assumptions!$B$36&gt;BB$6,0,HLOOKUP(BB$6,LoanPayCalc!$I$10:$BQ$13,4,FALSE))-IF(Assumptions!$B$40&gt;BB$6,0,HLOOKUP(BB$6,LoanPayCalc!$CC$10:$EK$13,4,FALSE))</f>
        <v>-4898.5694438024329</v>
      </c>
      <c r="BC69" s="38">
        <f>-IF(Assumptions!$B$36&gt;BC$6,0,HLOOKUP(BC$6,LoanPayCalc!$I$10:$BQ$13,4,FALSE))-IF(Assumptions!$B$40&gt;BC$6,0,HLOOKUP(BC$6,LoanPayCalc!$CC$10:$EK$13,4,FALSE))</f>
        <v>-4851.2903645796123</v>
      </c>
      <c r="BD69" s="38">
        <f>-IF(Assumptions!$B$36&gt;BD$6,0,HLOOKUP(BD$6,LoanPayCalc!$I$10:$BQ$13,4,FALSE))-IF(Assumptions!$B$40&gt;BD$6,0,HLOOKUP(BD$6,LoanPayCalc!$CC$10:$EK$13,4,FALSE))</f>
        <v>-4803.6172930299344</v>
      </c>
      <c r="BE69" s="37">
        <f>SUM(AS69:BD69)</f>
        <v>-60704.742604685838</v>
      </c>
      <c r="BF69" s="38">
        <f>-IF(Assumptions!$B$36&gt;BF$6,0,HLOOKUP(BF$6,LoanPayCalc!$I$10:$BQ$13,4,FALSE))-IF(Assumptions!$B$40&gt;BF$6,0,HLOOKUP(BF$6,LoanPayCalc!$CC$10:$EK$13,4,FALSE))</f>
        <v>-4755.5469458840089</v>
      </c>
      <c r="BG69" s="38">
        <f>-IF(Assumptions!$B$36&gt;BG$6,0,HLOOKUP(BG$6,LoanPayCalc!$I$10:$BQ$13,4,FALSE))-IF(Assumptions!$B$40&gt;BG$6,0,HLOOKUP(BG$6,LoanPayCalc!$CC$10:$EK$13,4,FALSE))</f>
        <v>-4707.0760125118677</v>
      </c>
      <c r="BH69" s="38">
        <f>-IF(Assumptions!$B$36&gt;BH$6,0,HLOOKUP(BH$6,LoanPayCalc!$I$10:$BQ$13,4,FALSE))-IF(Assumptions!$B$40&gt;BH$6,0,HLOOKUP(BH$6,LoanPayCalc!$CC$10:$EK$13,4,FALSE))</f>
        <v>-4658.2011546949579</v>
      </c>
      <c r="BI69" s="38">
        <f>-IF(Assumptions!$B$36&gt;BI$6,0,HLOOKUP(BI$6,LoanPayCalc!$I$10:$BQ$13,4,FALSE))-IF(Assumptions!$B$40&gt;BI$6,0,HLOOKUP(BI$6,LoanPayCalc!$CC$10:$EK$13,4,FALSE))</f>
        <v>-4608.9190063962424</v>
      </c>
      <c r="BJ69" s="38">
        <f>-IF(Assumptions!$B$36&gt;BJ$6,0,HLOOKUP(BJ$6,LoanPayCalc!$I$10:$BQ$13,4,FALSE))-IF(Assumptions!$B$40&gt;BJ$6,0,HLOOKUP(BJ$6,LoanPayCalc!$CC$10:$EK$13,4,FALSE))</f>
        <v>-4559.2261735283701</v>
      </c>
      <c r="BK69" s="38">
        <f>-IF(Assumptions!$B$36&gt;BK$6,0,HLOOKUP(BK$6,LoanPayCalc!$I$10:$BQ$13,4,FALSE))-IF(Assumptions!$B$40&gt;BK$6,0,HLOOKUP(BK$6,LoanPayCalc!$CC$10:$EK$13,4,FALSE))</f>
        <v>-4509.1192337199318</v>
      </c>
      <c r="BL69" s="38">
        <f>-IF(Assumptions!$B$36&gt;BL$6,0,HLOOKUP(BL$6,LoanPayCalc!$I$10:$BQ$13,4,FALSE))-IF(Assumptions!$B$40&gt;BL$6,0,HLOOKUP(BL$6,LoanPayCalc!$CC$10:$EK$13,4,FALSE))</f>
        <v>-4458.5947360797572</v>
      </c>
      <c r="BM69" s="38">
        <f>-IF(Assumptions!$B$36&gt;BM$6,0,HLOOKUP(BM$6,LoanPayCalc!$I$10:$BQ$13,4,FALSE))-IF(Assumptions!$B$40&gt;BM$6,0,HLOOKUP(BM$6,LoanPayCalc!$CC$10:$EK$13,4,FALSE))</f>
        <v>-4407.6492009592475</v>
      </c>
      <c r="BN69" s="38">
        <f>-IF(Assumptions!$B$36&gt;BN$6,0,HLOOKUP(BN$6,LoanPayCalc!$I$10:$BQ$13,4,FALSE))-IF(Assumptions!$B$40&gt;BN$6,0,HLOOKUP(BN$6,LoanPayCalc!$CC$10:$EK$13,4,FALSE))</f>
        <v>-4356.2791197127335</v>
      </c>
      <c r="BO69" s="38">
        <f>-IF(Assumptions!$B$36&gt;BO$6,0,HLOOKUP(BO$6,LoanPayCalc!$I$10:$BQ$13,4,FALSE))-IF(Assumptions!$B$40&gt;BO$6,0,HLOOKUP(BO$6,LoanPayCalc!$CC$10:$EK$13,4,FALSE))</f>
        <v>-4304.480954455832</v>
      </c>
      <c r="BP69" s="38">
        <f>-IF(Assumptions!$B$36&gt;BP$6,0,HLOOKUP(BP$6,LoanPayCalc!$I$10:$BQ$13,4,FALSE))-IF(Assumptions!$B$40&gt;BP$6,0,HLOOKUP(BP$6,LoanPayCalc!$CC$10:$EK$13,4,FALSE))</f>
        <v>-4252.2511378217887</v>
      </c>
      <c r="BQ69" s="38">
        <f>-IF(Assumptions!$B$36&gt;BQ$6,0,HLOOKUP(BQ$6,LoanPayCalc!$I$10:$BQ$13,4,FALSE))-IF(Assumptions!$B$40&gt;BQ$6,0,HLOOKUP(BQ$6,LoanPayCalc!$CC$10:$EK$13,4,FALSE))</f>
        <v>-4199.586072715796</v>
      </c>
      <c r="BR69" s="37">
        <f>SUM(BF69:BQ69)</f>
        <v>-53776.929748480528</v>
      </c>
      <c r="BS69" s="37">
        <f>R69+AE69+AR69+BE69+BR69</f>
        <v>-331901.39288052567</v>
      </c>
      <c r="BT69" s="2"/>
    </row>
    <row r="70" spans="1:72" ht="15.75" customHeight="1">
      <c r="A70" s="2"/>
      <c r="B70" s="28"/>
      <c r="C70" s="24"/>
      <c r="D70" s="27" t="s">
        <v>71</v>
      </c>
      <c r="E70" s="21"/>
      <c r="F70" s="41">
        <f t="shared" ref="F70:BS70" si="122">SUM(F69)</f>
        <v>-6666.666666666667</v>
      </c>
      <c r="G70" s="41">
        <f t="shared" si="122"/>
        <v>-6634.1217309677149</v>
      </c>
      <c r="H70" s="41">
        <f t="shared" si="122"/>
        <v>-6601.3055874712718</v>
      </c>
      <c r="I70" s="41">
        <f t="shared" si="122"/>
        <v>-6568.2159761123585</v>
      </c>
      <c r="J70" s="41">
        <f t="shared" si="122"/>
        <v>-6534.8506179921205</v>
      </c>
      <c r="K70" s="41">
        <f t="shared" si="122"/>
        <v>-6501.2072152208802</v>
      </c>
      <c r="L70" s="41">
        <f t="shared" si="122"/>
        <v>-6467.2834507598791</v>
      </c>
      <c r="M70" s="41">
        <f t="shared" si="122"/>
        <v>-6433.0769882617042</v>
      </c>
      <c r="N70" s="41">
        <f t="shared" si="122"/>
        <v>-6398.5854719093777</v>
      </c>
      <c r="O70" s="41">
        <f t="shared" si="122"/>
        <v>-6363.8065262541149</v>
      </c>
      <c r="P70" s="41">
        <f t="shared" si="122"/>
        <v>-6328.7377560517243</v>
      </c>
      <c r="Q70" s="41">
        <f t="shared" si="122"/>
        <v>-6293.3767460976478</v>
      </c>
      <c r="R70" s="41">
        <f t="shared" si="122"/>
        <v>-77791.234733765465</v>
      </c>
      <c r="S70" s="41">
        <f t="shared" si="122"/>
        <v>-6257.7210610606198</v>
      </c>
      <c r="T70" s="41">
        <f t="shared" si="122"/>
        <v>-6221.7682453149509</v>
      </c>
      <c r="U70" s="41">
        <f t="shared" si="122"/>
        <v>-6185.515822771401</v>
      </c>
      <c r="V70" s="41">
        <f t="shared" si="122"/>
        <v>-6148.961296706655</v>
      </c>
      <c r="W70" s="41">
        <f t="shared" si="122"/>
        <v>-6112.1021495913701</v>
      </c>
      <c r="X70" s="41">
        <f t="shared" si="122"/>
        <v>-6074.9358429167905</v>
      </c>
      <c r="Y70" s="41">
        <f t="shared" si="122"/>
        <v>-6037.4598170199224</v>
      </c>
      <c r="Z70" s="41">
        <f t="shared" si="122"/>
        <v>-5999.671490907248</v>
      </c>
      <c r="AA70" s="41">
        <f t="shared" si="122"/>
        <v>-5961.5682620769676</v>
      </c>
      <c r="AB70" s="41">
        <f t="shared" si="122"/>
        <v>-5923.1475063397684</v>
      </c>
      <c r="AC70" s="41">
        <f t="shared" si="122"/>
        <v>-5884.4065776380921</v>
      </c>
      <c r="AD70" s="41">
        <f t="shared" si="122"/>
        <v>-5845.3428078639017</v>
      </c>
      <c r="AE70" s="41">
        <f t="shared" si="122"/>
        <v>-72652.600880207683</v>
      </c>
      <c r="AF70" s="41">
        <f t="shared" si="122"/>
        <v>-5805.9535066749268</v>
      </c>
      <c r="AG70" s="41">
        <f t="shared" si="122"/>
        <v>-5766.2359613093768</v>
      </c>
      <c r="AH70" s="41">
        <f t="shared" si="122"/>
        <v>-5726.1874363991137</v>
      </c>
      <c r="AI70" s="41">
        <f t="shared" si="122"/>
        <v>-5685.8051737812657</v>
      </c>
      <c r="AJ70" s="41">
        <f t="shared" si="122"/>
        <v>-5645.0863923082688</v>
      </c>
      <c r="AK70" s="41">
        <f t="shared" si="122"/>
        <v>-5604.0282876563306</v>
      </c>
      <c r="AL70" s="41">
        <f t="shared" si="122"/>
        <v>-5562.628032132292</v>
      </c>
      <c r="AM70" s="41">
        <f t="shared" si="122"/>
        <v>-5520.8827744788869</v>
      </c>
      <c r="AN70" s="41">
        <f t="shared" si="122"/>
        <v>-5478.789639678369</v>
      </c>
      <c r="AO70" s="41">
        <f t="shared" si="122"/>
        <v>-5436.3457287545152</v>
      </c>
      <c r="AP70" s="41">
        <f t="shared" si="122"/>
        <v>-5393.5481185729614</v>
      </c>
      <c r="AQ70" s="41">
        <f t="shared" si="122"/>
        <v>-5350.3938616398955</v>
      </c>
      <c r="AR70" s="41">
        <f t="shared" si="122"/>
        <v>-66975.884913386195</v>
      </c>
      <c r="AS70" s="41">
        <f t="shared" si="122"/>
        <v>-5306.8799858990533</v>
      </c>
      <c r="AT70" s="41">
        <f t="shared" si="122"/>
        <v>-5263.0034945270372</v>
      </c>
      <c r="AU70" s="41">
        <f t="shared" si="122"/>
        <v>-5218.7613657269221</v>
      </c>
      <c r="AV70" s="41">
        <f t="shared" si="122"/>
        <v>-5174.1505525201383</v>
      </c>
      <c r="AW70" s="41">
        <f t="shared" si="122"/>
        <v>-5129.1679825366318</v>
      </c>
      <c r="AX70" s="41">
        <f t="shared" si="122"/>
        <v>-5083.8105578032628</v>
      </c>
      <c r="AY70" s="41">
        <f t="shared" si="122"/>
        <v>-5038.0751545304493</v>
      </c>
      <c r="AZ70" s="41">
        <f t="shared" si="122"/>
        <v>-4991.9586228970284</v>
      </c>
      <c r="BA70" s="41">
        <f t="shared" si="122"/>
        <v>-4945.457786833329</v>
      </c>
      <c r="BB70" s="41">
        <f t="shared" si="122"/>
        <v>-4898.5694438024329</v>
      </c>
      <c r="BC70" s="41">
        <f t="shared" si="122"/>
        <v>-4851.2903645796123</v>
      </c>
      <c r="BD70" s="41">
        <f t="shared" si="122"/>
        <v>-4803.6172930299344</v>
      </c>
      <c r="BE70" s="41">
        <f t="shared" si="122"/>
        <v>-60704.742604685838</v>
      </c>
      <c r="BF70" s="41">
        <f t="shared" si="122"/>
        <v>-4755.5469458840089</v>
      </c>
      <c r="BG70" s="41">
        <f t="shared" si="122"/>
        <v>-4707.0760125118677</v>
      </c>
      <c r="BH70" s="41">
        <f t="shared" si="122"/>
        <v>-4658.2011546949579</v>
      </c>
      <c r="BI70" s="41">
        <f t="shared" si="122"/>
        <v>-4608.9190063962424</v>
      </c>
      <c r="BJ70" s="41">
        <f t="shared" si="122"/>
        <v>-4559.2261735283701</v>
      </c>
      <c r="BK70" s="41">
        <f t="shared" si="122"/>
        <v>-4509.1192337199318</v>
      </c>
      <c r="BL70" s="41">
        <f t="shared" si="122"/>
        <v>-4458.5947360797572</v>
      </c>
      <c r="BM70" s="41">
        <f t="shared" si="122"/>
        <v>-4407.6492009592475</v>
      </c>
      <c r="BN70" s="41">
        <f t="shared" si="122"/>
        <v>-4356.2791197127335</v>
      </c>
      <c r="BO70" s="41">
        <f t="shared" si="122"/>
        <v>-4304.480954455832</v>
      </c>
      <c r="BP70" s="41">
        <f t="shared" si="122"/>
        <v>-4252.2511378217887</v>
      </c>
      <c r="BQ70" s="41">
        <f t="shared" si="122"/>
        <v>-4199.586072715796</v>
      </c>
      <c r="BR70" s="41">
        <f t="shared" si="122"/>
        <v>-53776.929748480528</v>
      </c>
      <c r="BS70" s="41">
        <f t="shared" si="122"/>
        <v>-331901.39288052567</v>
      </c>
    </row>
    <row r="71" spans="1:72" ht="15.75" customHeight="1">
      <c r="A71" s="2"/>
      <c r="B71" s="28"/>
      <c r="C71" s="24"/>
      <c r="D71" s="24"/>
      <c r="E71" s="21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7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7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7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7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7"/>
      <c r="BS71" s="37"/>
    </row>
    <row r="72" spans="1:72" ht="15.75" customHeight="1">
      <c r="A72" s="2"/>
      <c r="B72" s="23" t="s">
        <v>72</v>
      </c>
      <c r="C72" s="24"/>
      <c r="D72" s="24"/>
      <c r="E72" s="21"/>
      <c r="F72" s="3">
        <f>F65+F70</f>
        <v>-14195.847481745539</v>
      </c>
      <c r="G72" s="3">
        <f t="shared" ref="G72:Q72" si="123">G65+G70</f>
        <v>-6838.526110081576</v>
      </c>
      <c r="H72" s="3">
        <f t="shared" si="123"/>
        <v>7972.3398565770931</v>
      </c>
      <c r="I72" s="3">
        <f t="shared" si="123"/>
        <v>17478.076126167089</v>
      </c>
      <c r="J72" s="3">
        <f t="shared" si="123"/>
        <v>25141.621085183473</v>
      </c>
      <c r="K72" s="3">
        <f t="shared" si="123"/>
        <v>25833.420173733015</v>
      </c>
      <c r="L72" s="3">
        <f t="shared" si="123"/>
        <v>28059.659295603593</v>
      </c>
      <c r="M72" s="3">
        <f t="shared" si="123"/>
        <v>25243.394714913891</v>
      </c>
      <c r="N72" s="3">
        <f t="shared" si="123"/>
        <v>17647.70663037007</v>
      </c>
      <c r="O72" s="3">
        <f t="shared" si="123"/>
        <v>13910.781004169972</v>
      </c>
      <c r="P72" s="3">
        <f t="shared" si="123"/>
        <v>6666.4406306617411</v>
      </c>
      <c r="Q72" s="3">
        <f t="shared" si="123"/>
        <v>2579.326611574973</v>
      </c>
      <c r="R72" s="3">
        <f>SUM(F72:Q72)</f>
        <v>149498.39253712777</v>
      </c>
      <c r="S72" s="3">
        <f>S65+S70</f>
        <v>-1215.9264831191758</v>
      </c>
      <c r="T72" s="3">
        <f t="shared" ref="T72:AD72" si="124">T65+T70</f>
        <v>1607.8991139839009</v>
      </c>
      <c r="U72" s="3">
        <f t="shared" si="124"/>
        <v>21327.473960807449</v>
      </c>
      <c r="V72" s="3">
        <f t="shared" si="124"/>
        <v>33657.667793189445</v>
      </c>
      <c r="W72" s="3">
        <f t="shared" si="124"/>
        <v>43872.082839624854</v>
      </c>
      <c r="X72" s="3">
        <f t="shared" si="124"/>
        <v>44600.860281965121</v>
      </c>
      <c r="Y72" s="3">
        <f t="shared" si="124"/>
        <v>47691.924373135844</v>
      </c>
      <c r="Z72" s="3">
        <f t="shared" si="124"/>
        <v>43984.513498308974</v>
      </c>
      <c r="AA72" s="3">
        <f t="shared" si="124"/>
        <v>33845.060827819136</v>
      </c>
      <c r="AB72" s="3">
        <f t="shared" si="124"/>
        <v>29080.240679118186</v>
      </c>
      <c r="AC72" s="3">
        <f t="shared" si="124"/>
        <v>19429.999798943569</v>
      </c>
      <c r="AD72" s="3">
        <f t="shared" si="124"/>
        <v>14177.248573835812</v>
      </c>
      <c r="AE72" s="3">
        <f>SUM(S72:AD72)</f>
        <v>332059.04525761312</v>
      </c>
      <c r="AF72" s="3">
        <f>AF65+AF70</f>
        <v>-6035.9412737312996</v>
      </c>
      <c r="AG72" s="3">
        <f t="shared" ref="AG72:AQ72" si="125">AG65+AG70</f>
        <v>-2785.3539689705767</v>
      </c>
      <c r="AH72" s="3">
        <f t="shared" si="125"/>
        <v>19923.817892182982</v>
      </c>
      <c r="AI72" s="3">
        <f t="shared" si="125"/>
        <v>34122.789110473517</v>
      </c>
      <c r="AJ72" s="3">
        <f t="shared" si="125"/>
        <v>45884.912031912318</v>
      </c>
      <c r="AK72" s="3">
        <f t="shared" si="125"/>
        <v>46722.552575133173</v>
      </c>
      <c r="AL72" s="3">
        <f t="shared" si="125"/>
        <v>50280.702574694638</v>
      </c>
      <c r="AM72" s="3">
        <f t="shared" si="125"/>
        <v>46009.115649741696</v>
      </c>
      <c r="AN72" s="3">
        <f t="shared" si="125"/>
        <v>34329.804644576412</v>
      </c>
      <c r="AO72" s="3">
        <f t="shared" si="125"/>
        <v>28840.323965040399</v>
      </c>
      <c r="AP72" s="3">
        <f t="shared" si="125"/>
        <v>17724.397394302181</v>
      </c>
      <c r="AQ72" s="3">
        <f t="shared" si="125"/>
        <v>11672.947101729369</v>
      </c>
      <c r="AR72" s="3">
        <f>SUM(AF72:AQ72)</f>
        <v>326690.06769708486</v>
      </c>
      <c r="AS72" s="3">
        <f>AS65+AS70</f>
        <v>-1864.6975391423584</v>
      </c>
      <c r="AT72" s="3">
        <f t="shared" ref="AT72:BD72" si="126">AT65+AT70</f>
        <v>1743.98586541243</v>
      </c>
      <c r="AU72" s="3">
        <f t="shared" si="126"/>
        <v>26951.419149199781</v>
      </c>
      <c r="AV72" s="3">
        <f t="shared" si="126"/>
        <v>42713.061564306241</v>
      </c>
      <c r="AW72" s="3">
        <f t="shared" si="126"/>
        <v>55769.010600560097</v>
      </c>
      <c r="AX72" s="3">
        <f t="shared" si="126"/>
        <v>56698.995987169874</v>
      </c>
      <c r="AY72" s="3">
        <f t="shared" si="126"/>
        <v>60648.103106594586</v>
      </c>
      <c r="AZ72" s="3">
        <f t="shared" si="126"/>
        <v>55906.219960199698</v>
      </c>
      <c r="BA72" s="3">
        <f t="shared" si="126"/>
        <v>42941.754329993048</v>
      </c>
      <c r="BB72" s="3">
        <f t="shared" si="126"/>
        <v>36847.61042718096</v>
      </c>
      <c r="BC72" s="3">
        <f t="shared" si="126"/>
        <v>24508.462514717765</v>
      </c>
      <c r="BD72" s="3">
        <f t="shared" si="126"/>
        <v>17790.563865840108</v>
      </c>
      <c r="BE72" s="3">
        <f>SUM(AS72:BD72)</f>
        <v>420654.48983203218</v>
      </c>
      <c r="BF72" s="3">
        <f>BF65+BF70</f>
        <v>1948.1706063954734</v>
      </c>
      <c r="BG72" s="3">
        <f t="shared" ref="BG72:BQ72" si="127">BG65+BG70</f>
        <v>5951.2967882721323</v>
      </c>
      <c r="BH72" s="3">
        <f t="shared" si="127"/>
        <v>33910.415625109679</v>
      </c>
      <c r="BI72" s="3">
        <f t="shared" si="127"/>
        <v>51393.262309470578</v>
      </c>
      <c r="BJ72" s="3">
        <f t="shared" si="127"/>
        <v>65874.28983380142</v>
      </c>
      <c r="BK72" s="3">
        <f t="shared" si="127"/>
        <v>66906.006930142947</v>
      </c>
      <c r="BL72" s="3">
        <f t="shared" si="127"/>
        <v>71285.737809170896</v>
      </c>
      <c r="BM72" s="3">
        <f t="shared" si="127"/>
        <v>66025.866806370541</v>
      </c>
      <c r="BN72" s="3">
        <f t="shared" si="127"/>
        <v>51645.902196154086</v>
      </c>
      <c r="BO72" s="3">
        <f t="shared" si="127"/>
        <v>44885.768901190524</v>
      </c>
      <c r="BP72" s="3">
        <f t="shared" si="127"/>
        <v>31199.337047383655</v>
      </c>
      <c r="BQ72" s="3">
        <f t="shared" si="127"/>
        <v>23747.397631247135</v>
      </c>
      <c r="BR72" s="3">
        <f>SUM(BF72:BQ72)</f>
        <v>514773.45248470909</v>
      </c>
      <c r="BS72" s="37">
        <f>BS59+BS70</f>
        <v>1910962.879010001</v>
      </c>
    </row>
    <row r="73" spans="1:72" ht="15.75" customHeight="1">
      <c r="A73" s="2"/>
      <c r="B73" s="23"/>
      <c r="C73" s="24"/>
      <c r="D73" s="24"/>
      <c r="E73" s="2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7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7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7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7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7"/>
      <c r="BS73" s="37"/>
    </row>
    <row r="74" spans="1:72" ht="15.75" customHeight="1">
      <c r="A74" s="2"/>
      <c r="B74" s="23" t="s">
        <v>73</v>
      </c>
      <c r="C74" s="24"/>
      <c r="D74" s="24"/>
      <c r="E74" s="21"/>
      <c r="F74" s="3">
        <f>IF($R$72&gt;0, F72*Assumptions!$C$50, 0)</f>
        <v>-3548.9618704363847</v>
      </c>
      <c r="G74" s="3">
        <f>IF($R$72&gt;0, G72*Assumptions!$C$50, 0)</f>
        <v>-1709.631527520394</v>
      </c>
      <c r="H74" s="3">
        <f>IF($R$72&gt;0, H72*Assumptions!$C$50, 0)</f>
        <v>1993.0849641442733</v>
      </c>
      <c r="I74" s="3">
        <f>IF($R$72&gt;0, I72*Assumptions!$C$50, 0)</f>
        <v>4369.5190315417722</v>
      </c>
      <c r="J74" s="3">
        <f>IF($R$72&gt;0, J72*Assumptions!$C$50, 0)</f>
        <v>6285.4052712958683</v>
      </c>
      <c r="K74" s="3">
        <f>IF($R$72&gt;0, K72*Assumptions!$C$50, 0)</f>
        <v>6458.3550434332537</v>
      </c>
      <c r="L74" s="3">
        <f>IF($R$72&gt;0, L72*Assumptions!$C$50, 0)</f>
        <v>7014.9148239008982</v>
      </c>
      <c r="M74" s="3">
        <f>IF($R$72&gt;0, M72*Assumptions!$C$50, 0)</f>
        <v>6310.8486787284728</v>
      </c>
      <c r="N74" s="3">
        <f>IF($R$72&gt;0, N72*Assumptions!$C$50, 0)</f>
        <v>4411.9266575925176</v>
      </c>
      <c r="O74" s="3">
        <f>IF($R$72&gt;0, O72*Assumptions!$C$50, 0)</f>
        <v>3477.6952510424931</v>
      </c>
      <c r="P74" s="3">
        <f>IF($R$72&gt;0, P72*Assumptions!$C$50, 0)</f>
        <v>1666.6101576654353</v>
      </c>
      <c r="Q74" s="3">
        <f>IF($R$72&gt;0, Q72*Assumptions!$C$50, 0)</f>
        <v>644.83165289374324</v>
      </c>
      <c r="R74" s="3">
        <f>SUM(F74:Q74)</f>
        <v>37374.598134281943</v>
      </c>
      <c r="S74" s="3">
        <f>IF($AE$72&gt;0, S72*Assumptions!$C$50, 0)</f>
        <v>-303.98162077979396</v>
      </c>
      <c r="T74" s="3">
        <f>IF($AE$72&gt;0, T72*Assumptions!$C$50, 0)</f>
        <v>401.97477849597522</v>
      </c>
      <c r="U74" s="3">
        <f>IF($AE$72&gt;0, U72*Assumptions!$C$50, 0)</f>
        <v>5331.8684902018622</v>
      </c>
      <c r="V74" s="3">
        <f>IF($AE$72&gt;0, V72*Assumptions!$C$50, 0)</f>
        <v>8414.4169482973612</v>
      </c>
      <c r="W74" s="3">
        <f>IF($AE$72&gt;0, W72*Assumptions!$C$50, 0)</f>
        <v>10968.020709906214</v>
      </c>
      <c r="X74" s="3">
        <f>IF($AE$72&gt;0, X72*Assumptions!$C$50, 0)</f>
        <v>11150.21507049128</v>
      </c>
      <c r="Y74" s="3">
        <f>IF($AE$72&gt;0, Y72*Assumptions!$C$50, 0)</f>
        <v>11922.981093283961</v>
      </c>
      <c r="Z74" s="3">
        <f>IF($AE$72&gt;0, Z72*Assumptions!$C$50, 0)</f>
        <v>10996.128374577243</v>
      </c>
      <c r="AA74" s="3">
        <f>IF($AE$72&gt;0, AA72*Assumptions!$C$50, 0)</f>
        <v>8461.2652069547839</v>
      </c>
      <c r="AB74" s="3">
        <f>IF($AE$72&gt;0, AB72*Assumptions!$C$50, 0)</f>
        <v>7270.0601697795464</v>
      </c>
      <c r="AC74" s="3">
        <f>IF($AE$72&gt;0, AC72*Assumptions!$C$50, 0)</f>
        <v>4857.4999497358922</v>
      </c>
      <c r="AD74" s="3">
        <f>IF($AE$72&gt;0, AD72*Assumptions!$C$50, 0)</f>
        <v>3544.312143458953</v>
      </c>
      <c r="AE74" s="3">
        <f>SUM(S74:AD74)</f>
        <v>83014.76131440328</v>
      </c>
      <c r="AF74" s="3">
        <f>IF($AR$72&gt;0, AF72*Assumptions!$C$50, 0)</f>
        <v>-1508.9853184328249</v>
      </c>
      <c r="AG74" s="3">
        <f>IF($AR$72&gt;0, AG72*Assumptions!$C$50, 0)</f>
        <v>-696.33849224264418</v>
      </c>
      <c r="AH74" s="3">
        <f>IF($AR$72&gt;0, AH72*Assumptions!$C$50, 0)</f>
        <v>4980.9544730457455</v>
      </c>
      <c r="AI74" s="3">
        <f>IF($AR$72&gt;0, AI72*Assumptions!$C$50, 0)</f>
        <v>8530.6972776183793</v>
      </c>
      <c r="AJ74" s="3">
        <f>IF($AR$72&gt;0, AJ72*Assumptions!$C$50, 0)</f>
        <v>11471.228007978079</v>
      </c>
      <c r="AK74" s="3">
        <f>IF($AR$72&gt;0, AK72*Assumptions!$C$50, 0)</f>
        <v>11680.638143783293</v>
      </c>
      <c r="AL74" s="3">
        <f>IF($AR$72&gt;0, AL72*Assumptions!$C$50, 0)</f>
        <v>12570.17564367366</v>
      </c>
      <c r="AM74" s="3">
        <f>IF($AR$72&gt;0, AM72*Assumptions!$C$50, 0)</f>
        <v>11502.278912435424</v>
      </c>
      <c r="AN74" s="3">
        <f>IF($AR$72&gt;0, AN72*Assumptions!$C$50, 0)</f>
        <v>8582.451161144103</v>
      </c>
      <c r="AO74" s="3">
        <f>IF($AR$72&gt;0, AO72*Assumptions!$C$50, 0)</f>
        <v>7210.0809912600998</v>
      </c>
      <c r="AP74" s="3">
        <f>IF($AR$72&gt;0, AP72*Assumptions!$C$50, 0)</f>
        <v>4431.0993485755453</v>
      </c>
      <c r="AQ74" s="3">
        <f>IF($AR$72&gt;0, AQ72*Assumptions!$C$50, 0)</f>
        <v>2918.2367754323423</v>
      </c>
      <c r="AR74" s="3">
        <f>SUM(AF74:AQ74)</f>
        <v>81672.516924271215</v>
      </c>
      <c r="AS74" s="3">
        <f>IF($BE$72&gt;0, AS72*Assumptions!$C$50, 0)</f>
        <v>-466.17438478558961</v>
      </c>
      <c r="AT74" s="3">
        <f>IF($BE$72&gt;0, AT72*Assumptions!$C$50, 0)</f>
        <v>435.99646635310751</v>
      </c>
      <c r="AU74" s="3">
        <f>IF($BE$72&gt;0, AU72*Assumptions!$C$50, 0)</f>
        <v>6737.8547872999452</v>
      </c>
      <c r="AV74" s="3">
        <f>IF($BE$72&gt;0, AV72*Assumptions!$C$50, 0)</f>
        <v>10678.26539107656</v>
      </c>
      <c r="AW74" s="3">
        <f>IF($BE$72&gt;0, AW72*Assumptions!$C$50, 0)</f>
        <v>13942.252650140024</v>
      </c>
      <c r="AX74" s="3">
        <f>IF($BE$72&gt;0, AX72*Assumptions!$C$50, 0)</f>
        <v>14174.748996792468</v>
      </c>
      <c r="AY74" s="3">
        <f>IF($BE$72&gt;0, AY72*Assumptions!$C$50, 0)</f>
        <v>15162.025776648647</v>
      </c>
      <c r="AZ74" s="3">
        <f>IF($BE$72&gt;0, AZ72*Assumptions!$C$50, 0)</f>
        <v>13976.554990049925</v>
      </c>
      <c r="BA74" s="3">
        <f>IF($BE$72&gt;0, BA72*Assumptions!$C$50, 0)</f>
        <v>10735.438582498262</v>
      </c>
      <c r="BB74" s="3">
        <f>IF($BE$72&gt;0, BB72*Assumptions!$C$50, 0)</f>
        <v>9211.90260679524</v>
      </c>
      <c r="BC74" s="3">
        <f>IF($BE$72&gt;0, BC72*Assumptions!$C$50, 0)</f>
        <v>6127.1156286794412</v>
      </c>
      <c r="BD74" s="3">
        <f>IF($BE$72&gt;0, BD72*Assumptions!$C$50, 0)</f>
        <v>4447.6409664600269</v>
      </c>
      <c r="BE74" s="3">
        <f>SUM(AS74:BD74)</f>
        <v>105163.62245800805</v>
      </c>
      <c r="BF74" s="3">
        <f>IF($BR$72&gt;0, BF72*Assumptions!$C$50, 0)</f>
        <v>487.04265159886836</v>
      </c>
      <c r="BG74" s="3">
        <f>IF($BR$72&gt;0, BG72*Assumptions!$C$50, 0)</f>
        <v>1487.8241970680331</v>
      </c>
      <c r="BH74" s="3">
        <f>IF($BR$72&gt;0, BH72*Assumptions!$C$50, 0)</f>
        <v>8477.6039062774198</v>
      </c>
      <c r="BI74" s="3">
        <f>IF($BR$72&gt;0, BI72*Assumptions!$C$50, 0)</f>
        <v>12848.315577367644</v>
      </c>
      <c r="BJ74" s="3">
        <f>IF($BR$72&gt;0, BJ72*Assumptions!$C$50, 0)</f>
        <v>16468.572458450355</v>
      </c>
      <c r="BK74" s="3">
        <f>IF($BR$72&gt;0, BK72*Assumptions!$C$50, 0)</f>
        <v>16726.501732535737</v>
      </c>
      <c r="BL74" s="3">
        <f>IF($BR$72&gt;0, BL72*Assumptions!$C$50, 0)</f>
        <v>17821.434452292724</v>
      </c>
      <c r="BM74" s="3">
        <f>IF($BR$72&gt;0, BM72*Assumptions!$C$50, 0)</f>
        <v>16506.466701592635</v>
      </c>
      <c r="BN74" s="3">
        <f>IF($BR$72&gt;0, BN72*Assumptions!$C$50, 0)</f>
        <v>12911.475549038521</v>
      </c>
      <c r="BO74" s="3">
        <f>IF($BR$72&gt;0, BO72*Assumptions!$C$50, 0)</f>
        <v>11221.442225297631</v>
      </c>
      <c r="BP74" s="3">
        <f>IF($BR$72&gt;0, BP72*Assumptions!$C$50, 0)</f>
        <v>7799.8342618459137</v>
      </c>
      <c r="BQ74" s="3">
        <f>IF($BR$72&gt;0, BQ72*Assumptions!$C$50, 0)</f>
        <v>5936.8494078117837</v>
      </c>
      <c r="BR74" s="3">
        <f>SUM(BF74:BQ74)</f>
        <v>128693.36312117727</v>
      </c>
      <c r="BS74" s="37">
        <f>R74+AE74+AR74+BE74+BR74</f>
        <v>435918.86195214174</v>
      </c>
    </row>
    <row r="75" spans="1:72" ht="15.75" customHeight="1">
      <c r="A75" s="2"/>
      <c r="B75" s="28"/>
      <c r="C75" s="24"/>
      <c r="D75" s="24"/>
      <c r="E75" s="2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7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7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7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7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7"/>
      <c r="BS75" s="37"/>
    </row>
    <row r="76" spans="1:72" ht="15.75" customHeight="1">
      <c r="A76" s="2"/>
      <c r="B76" s="23" t="s">
        <v>74</v>
      </c>
      <c r="C76" s="24"/>
      <c r="D76" s="24"/>
      <c r="E76" s="21"/>
      <c r="F76" s="19">
        <f t="shared" ref="F76:BS76" si="128">F72-F74</f>
        <v>-10646.885611309153</v>
      </c>
      <c r="G76" s="19">
        <f t="shared" si="128"/>
        <v>-5128.8945825611818</v>
      </c>
      <c r="H76" s="19">
        <f t="shared" si="128"/>
        <v>5979.2548924328203</v>
      </c>
      <c r="I76" s="19">
        <f t="shared" si="128"/>
        <v>13108.557094625317</v>
      </c>
      <c r="J76" s="19">
        <f t="shared" si="128"/>
        <v>18856.215813887604</v>
      </c>
      <c r="K76" s="19">
        <f t="shared" si="128"/>
        <v>19375.065130299761</v>
      </c>
      <c r="L76" s="19">
        <f t="shared" si="128"/>
        <v>21044.744471702696</v>
      </c>
      <c r="M76" s="19">
        <f t="shared" si="128"/>
        <v>18932.54603618542</v>
      </c>
      <c r="N76" s="19">
        <f t="shared" si="128"/>
        <v>13235.779972777553</v>
      </c>
      <c r="O76" s="19">
        <f t="shared" si="128"/>
        <v>10433.08575312748</v>
      </c>
      <c r="P76" s="19">
        <f t="shared" si="128"/>
        <v>4999.8304729963056</v>
      </c>
      <c r="Q76" s="19">
        <f t="shared" si="128"/>
        <v>1934.4949586812297</v>
      </c>
      <c r="R76" s="19">
        <f t="shared" si="128"/>
        <v>112123.79440284583</v>
      </c>
      <c r="S76" s="19">
        <f t="shared" si="128"/>
        <v>-911.94486233938187</v>
      </c>
      <c r="T76" s="19">
        <f t="shared" si="128"/>
        <v>1205.9243354879256</v>
      </c>
      <c r="U76" s="19">
        <f t="shared" si="128"/>
        <v>15995.605470605587</v>
      </c>
      <c r="V76" s="19">
        <f t="shared" si="128"/>
        <v>25243.250844892085</v>
      </c>
      <c r="W76" s="19">
        <f t="shared" si="128"/>
        <v>32904.062129718644</v>
      </c>
      <c r="X76" s="19">
        <f t="shared" si="128"/>
        <v>33450.645211473842</v>
      </c>
      <c r="Y76" s="19">
        <f t="shared" si="128"/>
        <v>35768.943279851883</v>
      </c>
      <c r="Z76" s="19">
        <f t="shared" si="128"/>
        <v>32988.385123731729</v>
      </c>
      <c r="AA76" s="19">
        <f t="shared" si="128"/>
        <v>25383.795620864352</v>
      </c>
      <c r="AB76" s="19">
        <f t="shared" si="128"/>
        <v>21810.180509338639</v>
      </c>
      <c r="AC76" s="19">
        <f t="shared" si="128"/>
        <v>14572.499849207677</v>
      </c>
      <c r="AD76" s="19">
        <f t="shared" si="128"/>
        <v>10632.93643037686</v>
      </c>
      <c r="AE76" s="19">
        <f t="shared" si="128"/>
        <v>249044.28394320986</v>
      </c>
      <c r="AF76" s="19">
        <f t="shared" ref="AF76:AR76" si="129">AF72-AF74</f>
        <v>-4526.9559552984747</v>
      </c>
      <c r="AG76" s="19">
        <f t="shared" si="129"/>
        <v>-2089.0154767279328</v>
      </c>
      <c r="AH76" s="19">
        <f t="shared" si="129"/>
        <v>14942.863419137237</v>
      </c>
      <c r="AI76" s="19">
        <f t="shared" si="129"/>
        <v>25592.091832855138</v>
      </c>
      <c r="AJ76" s="19">
        <f t="shared" si="129"/>
        <v>34413.684023934242</v>
      </c>
      <c r="AK76" s="19">
        <f t="shared" si="129"/>
        <v>35041.914431349884</v>
      </c>
      <c r="AL76" s="19">
        <f t="shared" si="129"/>
        <v>37710.526931020977</v>
      </c>
      <c r="AM76" s="19">
        <f t="shared" si="129"/>
        <v>34506.836737306272</v>
      </c>
      <c r="AN76" s="19">
        <f t="shared" si="129"/>
        <v>25747.353483432307</v>
      </c>
      <c r="AO76" s="19">
        <f t="shared" si="129"/>
        <v>21630.2429737803</v>
      </c>
      <c r="AP76" s="19">
        <f t="shared" si="129"/>
        <v>13293.298045726635</v>
      </c>
      <c r="AQ76" s="19">
        <f t="shared" si="129"/>
        <v>8754.7103262970268</v>
      </c>
      <c r="AR76" s="19">
        <f t="shared" si="129"/>
        <v>245017.55077281364</v>
      </c>
      <c r="AS76" s="19">
        <f t="shared" si="128"/>
        <v>-1398.5231543567688</v>
      </c>
      <c r="AT76" s="19">
        <f t="shared" si="128"/>
        <v>1307.9893990593225</v>
      </c>
      <c r="AU76" s="19">
        <f t="shared" si="128"/>
        <v>20213.564361899837</v>
      </c>
      <c r="AV76" s="19">
        <f t="shared" si="128"/>
        <v>32034.796173229683</v>
      </c>
      <c r="AW76" s="19">
        <f t="shared" si="128"/>
        <v>41826.757950420069</v>
      </c>
      <c r="AX76" s="19">
        <f t="shared" si="128"/>
        <v>42524.246990377404</v>
      </c>
      <c r="AY76" s="19">
        <f t="shared" si="128"/>
        <v>45486.07732994594</v>
      </c>
      <c r="AZ76" s="19">
        <f t="shared" si="128"/>
        <v>41929.664970149774</v>
      </c>
      <c r="BA76" s="19">
        <f t="shared" si="128"/>
        <v>32206.315747494788</v>
      </c>
      <c r="BB76" s="19">
        <f t="shared" si="128"/>
        <v>27635.70782038572</v>
      </c>
      <c r="BC76" s="19">
        <f t="shared" si="128"/>
        <v>18381.346886038322</v>
      </c>
      <c r="BD76" s="19">
        <f t="shared" si="128"/>
        <v>13342.922899380081</v>
      </c>
      <c r="BE76" s="19">
        <f t="shared" si="128"/>
        <v>315490.86737402412</v>
      </c>
      <c r="BF76" s="19">
        <f t="shared" si="128"/>
        <v>1461.1279547966051</v>
      </c>
      <c r="BG76" s="19">
        <f t="shared" si="128"/>
        <v>4463.4725912040994</v>
      </c>
      <c r="BH76" s="19">
        <f t="shared" si="128"/>
        <v>25432.811718832258</v>
      </c>
      <c r="BI76" s="19">
        <f t="shared" si="128"/>
        <v>38544.946732102937</v>
      </c>
      <c r="BJ76" s="19">
        <f t="shared" si="128"/>
        <v>49405.717375351065</v>
      </c>
      <c r="BK76" s="19">
        <f t="shared" si="128"/>
        <v>50179.505197607214</v>
      </c>
      <c r="BL76" s="19">
        <f t="shared" si="128"/>
        <v>53464.303356878168</v>
      </c>
      <c r="BM76" s="19">
        <f t="shared" si="128"/>
        <v>49519.400104777902</v>
      </c>
      <c r="BN76" s="19">
        <f t="shared" si="128"/>
        <v>38734.426647115564</v>
      </c>
      <c r="BO76" s="19">
        <f t="shared" si="128"/>
        <v>33664.326675892895</v>
      </c>
      <c r="BP76" s="19">
        <f t="shared" si="128"/>
        <v>23399.502785537741</v>
      </c>
      <c r="BQ76" s="19">
        <f t="shared" si="128"/>
        <v>17810.548223435351</v>
      </c>
      <c r="BR76" s="19">
        <f t="shared" si="128"/>
        <v>386080.08936353179</v>
      </c>
      <c r="BS76" s="44">
        <f t="shared" si="128"/>
        <v>1475044.0170578593</v>
      </c>
    </row>
    <row r="77" spans="1:72" ht="15.75" customHeight="1">
      <c r="A77" s="2"/>
      <c r="B77" s="28"/>
      <c r="C77" s="24"/>
      <c r="D77" s="24"/>
      <c r="E77" s="2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7"/>
    </row>
    <row r="78" spans="1:72" ht="15.75" customHeight="1">
      <c r="A78" s="2" t="s">
        <v>95</v>
      </c>
      <c r="B78" s="2"/>
      <c r="C78" s="2"/>
      <c r="D78" s="2"/>
      <c r="E78" s="2"/>
      <c r="F78" s="3"/>
      <c r="G78" s="3">
        <f>G76+F76</f>
        <v>-15775.780193870334</v>
      </c>
      <c r="H78" s="3">
        <f t="shared" ref="H78:Q78" si="130">H76+G78</f>
        <v>-9796.5253014375139</v>
      </c>
      <c r="I78" s="3">
        <f t="shared" si="130"/>
        <v>3312.0317931878035</v>
      </c>
      <c r="J78" s="3">
        <f t="shared" si="130"/>
        <v>22168.247607075406</v>
      </c>
      <c r="K78" s="3">
        <f t="shared" si="130"/>
        <v>41543.312737375163</v>
      </c>
      <c r="L78" s="3">
        <f t="shared" si="130"/>
        <v>62588.057209077859</v>
      </c>
      <c r="M78" s="3">
        <f t="shared" si="130"/>
        <v>81520.603245263279</v>
      </c>
      <c r="N78" s="3">
        <f t="shared" si="130"/>
        <v>94756.383218040835</v>
      </c>
      <c r="O78" s="3">
        <f t="shared" si="130"/>
        <v>105189.46897116832</v>
      </c>
      <c r="P78" s="3">
        <f t="shared" si="130"/>
        <v>110189.29944416462</v>
      </c>
      <c r="Q78" s="3">
        <f t="shared" si="130"/>
        <v>112123.79440284584</v>
      </c>
      <c r="R78" s="3"/>
      <c r="S78" s="3">
        <f>S76+Q78</f>
        <v>111211.84954050646</v>
      </c>
      <c r="T78" s="3">
        <f t="shared" ref="T78:AD78" si="131">T76+S78</f>
        <v>112417.77387599439</v>
      </c>
      <c r="U78" s="3">
        <f t="shared" si="131"/>
        <v>128413.37934659998</v>
      </c>
      <c r="V78" s="3">
        <f t="shared" si="131"/>
        <v>153656.63019149206</v>
      </c>
      <c r="W78" s="3">
        <f t="shared" si="131"/>
        <v>186560.69232121069</v>
      </c>
      <c r="X78" s="3">
        <f t="shared" si="131"/>
        <v>220011.33753268453</v>
      </c>
      <c r="Y78" s="3">
        <f t="shared" si="131"/>
        <v>255780.28081253642</v>
      </c>
      <c r="Z78" s="3">
        <f t="shared" si="131"/>
        <v>288768.66593626817</v>
      </c>
      <c r="AA78" s="3">
        <f t="shared" si="131"/>
        <v>314152.46155713254</v>
      </c>
      <c r="AB78" s="3">
        <f t="shared" si="131"/>
        <v>335962.64206647116</v>
      </c>
      <c r="AC78" s="3">
        <f t="shared" si="131"/>
        <v>350535.14191567886</v>
      </c>
      <c r="AD78" s="3">
        <f t="shared" si="131"/>
        <v>361168.0783460557</v>
      </c>
      <c r="AE78" s="3"/>
      <c r="AF78" s="3">
        <f>AF76+AD78</f>
        <v>356641.1223907572</v>
      </c>
      <c r="AG78" s="3">
        <f t="shared" ref="AG78:AQ78" si="132">AG76+AF78</f>
        <v>354552.10691402928</v>
      </c>
      <c r="AH78" s="3">
        <f t="shared" si="132"/>
        <v>369494.97033316654</v>
      </c>
      <c r="AI78" s="3">
        <f t="shared" si="132"/>
        <v>395087.06216602167</v>
      </c>
      <c r="AJ78" s="3">
        <f t="shared" si="132"/>
        <v>429500.74618995591</v>
      </c>
      <c r="AK78" s="3">
        <f t="shared" si="132"/>
        <v>464542.66062130581</v>
      </c>
      <c r="AL78" s="3">
        <f t="shared" si="132"/>
        <v>502253.18755232677</v>
      </c>
      <c r="AM78" s="3">
        <f t="shared" si="132"/>
        <v>536760.02428963303</v>
      </c>
      <c r="AN78" s="3">
        <f t="shared" si="132"/>
        <v>562507.37777306535</v>
      </c>
      <c r="AO78" s="3">
        <f t="shared" si="132"/>
        <v>584137.62074684561</v>
      </c>
      <c r="AP78" s="3">
        <f t="shared" si="132"/>
        <v>597430.91879257222</v>
      </c>
      <c r="AQ78" s="3">
        <f t="shared" si="132"/>
        <v>606185.6291188692</v>
      </c>
      <c r="AR78" s="3"/>
      <c r="AS78" s="3">
        <f>AS76+AQ78</f>
        <v>604787.10596451245</v>
      </c>
      <c r="AT78" s="3">
        <f t="shared" ref="AT78:BD78" si="133">AT76+AS78</f>
        <v>606095.09536357177</v>
      </c>
      <c r="AU78" s="3">
        <f t="shared" si="133"/>
        <v>626308.65972547163</v>
      </c>
      <c r="AV78" s="3">
        <f t="shared" si="133"/>
        <v>658343.45589870133</v>
      </c>
      <c r="AW78" s="3">
        <f t="shared" si="133"/>
        <v>700170.21384912136</v>
      </c>
      <c r="AX78" s="3">
        <f t="shared" si="133"/>
        <v>742694.46083949879</v>
      </c>
      <c r="AY78" s="3">
        <f t="shared" si="133"/>
        <v>788180.53816944477</v>
      </c>
      <c r="AZ78" s="3">
        <f t="shared" si="133"/>
        <v>830110.20313959452</v>
      </c>
      <c r="BA78" s="3">
        <f t="shared" si="133"/>
        <v>862316.51888708933</v>
      </c>
      <c r="BB78" s="3">
        <f t="shared" si="133"/>
        <v>889952.22670747503</v>
      </c>
      <c r="BC78" s="3">
        <f t="shared" si="133"/>
        <v>908333.57359351334</v>
      </c>
      <c r="BD78" s="3">
        <f t="shared" si="133"/>
        <v>921676.49649289344</v>
      </c>
      <c r="BE78" s="3"/>
      <c r="BF78" s="3">
        <f>BF76+BD78</f>
        <v>923137.62444769009</v>
      </c>
      <c r="BG78" s="3">
        <f t="shared" ref="BG78:BQ78" si="134">BG76+BF78</f>
        <v>927601.09703889419</v>
      </c>
      <c r="BH78" s="3">
        <f t="shared" si="134"/>
        <v>953033.90875772643</v>
      </c>
      <c r="BI78" s="3">
        <f t="shared" si="134"/>
        <v>991578.85548982932</v>
      </c>
      <c r="BJ78" s="3">
        <f t="shared" si="134"/>
        <v>1040984.5728651804</v>
      </c>
      <c r="BK78" s="3">
        <f t="shared" si="134"/>
        <v>1091164.0780627877</v>
      </c>
      <c r="BL78" s="3">
        <f t="shared" si="134"/>
        <v>1144628.3814196659</v>
      </c>
      <c r="BM78" s="3">
        <f t="shared" si="134"/>
        <v>1194147.7815244438</v>
      </c>
      <c r="BN78" s="3">
        <f t="shared" si="134"/>
        <v>1232882.2081715593</v>
      </c>
      <c r="BO78" s="3">
        <f t="shared" si="134"/>
        <v>1266546.5348474521</v>
      </c>
      <c r="BP78" s="3">
        <f t="shared" si="134"/>
        <v>1289946.0376329897</v>
      </c>
      <c r="BQ78" s="3">
        <f t="shared" si="134"/>
        <v>1307756.5858564251</v>
      </c>
      <c r="BR78" s="3"/>
      <c r="BS78" s="37"/>
    </row>
    <row r="79" spans="1:72" ht="15.75" customHeight="1">
      <c r="A79" s="2" t="s">
        <v>115</v>
      </c>
      <c r="B79" s="2"/>
      <c r="C79" s="2"/>
      <c r="D79" s="2"/>
      <c r="E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7"/>
    </row>
    <row r="80" spans="1:72" ht="15.75" customHeight="1">
      <c r="A80" s="2"/>
      <c r="B80" s="2"/>
      <c r="C80" s="2"/>
      <c r="D80" s="2"/>
      <c r="E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7"/>
    </row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</sheetData>
  <sheetProtection sheet="1" objects="1" scenarios="1"/>
  <protectedRanges>
    <protectedRange sqref="B14 B22:B24" name="Range1"/>
  </protectedRanges>
  <pageMargins left="0.7" right="0.7" top="0.75" bottom="0.75" header="0" footer="0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L1004"/>
  <sheetViews>
    <sheetView tabSelected="1" workbookViewId="0">
      <selection activeCell="B18" sqref="B18"/>
    </sheetView>
  </sheetViews>
  <sheetFormatPr defaultColWidth="14.42578125" defaultRowHeight="15" customHeight="1"/>
  <cols>
    <col min="1" max="1" width="8.7109375" customWidth="1"/>
    <col min="2" max="2" width="30.28515625" customWidth="1"/>
    <col min="3" max="3" width="14.5703125" customWidth="1"/>
    <col min="4" max="4" width="7.85546875" customWidth="1"/>
    <col min="5" max="5" width="14.5703125" customWidth="1"/>
    <col min="6" max="6" width="7.85546875" customWidth="1"/>
    <col min="7" max="7" width="14.5703125" customWidth="1"/>
    <col min="8" max="8" width="7.85546875" customWidth="1"/>
    <col min="9" max="9" width="14.5703125" customWidth="1"/>
    <col min="10" max="10" width="7.85546875" customWidth="1"/>
    <col min="11" max="11" width="14.5703125" customWidth="1"/>
    <col min="12" max="12" width="7.85546875" customWidth="1"/>
    <col min="13" max="26" width="17.28515625" customWidth="1"/>
  </cols>
  <sheetData>
    <row r="1" spans="1:12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>
      <c r="A2" s="1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</row>
    <row r="4" spans="1:12"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>
      <c r="B7" s="152" t="s">
        <v>283</v>
      </c>
      <c r="C7" s="141" t="s">
        <v>284</v>
      </c>
      <c r="D7" s="143"/>
      <c r="E7" s="141" t="s">
        <v>285</v>
      </c>
      <c r="F7" s="143"/>
      <c r="G7" s="141" t="s">
        <v>286</v>
      </c>
      <c r="H7" s="143"/>
      <c r="I7" s="141" t="s">
        <v>287</v>
      </c>
      <c r="J7" s="143"/>
      <c r="K7" s="141" t="s">
        <v>288</v>
      </c>
      <c r="L7" s="143"/>
    </row>
    <row r="8" spans="1:12">
      <c r="B8" s="153"/>
      <c r="C8" s="62" t="s">
        <v>289</v>
      </c>
      <c r="D8" s="62" t="s">
        <v>244</v>
      </c>
      <c r="E8" s="62" t="s">
        <v>289</v>
      </c>
      <c r="F8" s="62" t="s">
        <v>244</v>
      </c>
      <c r="G8" s="62" t="s">
        <v>289</v>
      </c>
      <c r="H8" s="62" t="s">
        <v>244</v>
      </c>
      <c r="I8" s="62" t="s">
        <v>289</v>
      </c>
      <c r="J8" s="62" t="s">
        <v>244</v>
      </c>
      <c r="K8" s="62" t="s">
        <v>289</v>
      </c>
      <c r="L8" s="62" t="s">
        <v>244</v>
      </c>
    </row>
    <row r="9" spans="1:12">
      <c r="B9" s="154" t="s">
        <v>575</v>
      </c>
      <c r="C9" s="155">
        <f>SOO!R16</f>
        <v>929976.10357815318</v>
      </c>
      <c r="D9" s="156">
        <f t="shared" ref="D9:D18" si="0">C9/C$9</f>
        <v>1</v>
      </c>
      <c r="E9" s="155">
        <f>SOO!AE16</f>
        <v>1218724.7091148712</v>
      </c>
      <c r="F9" s="156">
        <f t="shared" ref="F9:F18" si="1">E9/E$9</f>
        <v>1</v>
      </c>
      <c r="G9" s="155">
        <f>SOO!AR16</f>
        <v>1410525.2863735713</v>
      </c>
      <c r="H9" s="156">
        <f t="shared" ref="H9:H18" si="2">G9/G$9</f>
        <v>1</v>
      </c>
      <c r="I9" s="155">
        <f>SOO!BE16</f>
        <v>1570656.4937883199</v>
      </c>
      <c r="J9" s="156">
        <f t="shared" ref="J9:J18" si="3">I9/I$9</f>
        <v>1</v>
      </c>
      <c r="K9" s="155">
        <f>SOO!BR16</f>
        <v>1749338.2862219368</v>
      </c>
      <c r="L9" s="156">
        <f t="shared" ref="L9:L18" si="4">K9/K$9</f>
        <v>1</v>
      </c>
    </row>
    <row r="10" spans="1:12">
      <c r="B10" s="157" t="s">
        <v>290</v>
      </c>
      <c r="C10" s="130">
        <f>SOO!R27</f>
        <v>424420.09065201913</v>
      </c>
      <c r="D10" s="158">
        <f t="shared" si="0"/>
        <v>0.45637741552608807</v>
      </c>
      <c r="E10" s="130">
        <f>SOO!AE27</f>
        <v>512489.41162523697</v>
      </c>
      <c r="F10" s="158">
        <f t="shared" si="1"/>
        <v>0.42051285888627382</v>
      </c>
      <c r="G10" s="130">
        <f>SOO!AR27</f>
        <v>639378.51358177059</v>
      </c>
      <c r="H10" s="158">
        <f t="shared" si="2"/>
        <v>0.45329106805706287</v>
      </c>
      <c r="I10" s="130">
        <f>SOO!BE27</f>
        <v>697512.29076381773</v>
      </c>
      <c r="J10" s="158">
        <f t="shared" si="3"/>
        <v>0.4440896488330584</v>
      </c>
      <c r="K10" s="130">
        <f>SOO!BR27</f>
        <v>750474.52191979112</v>
      </c>
      <c r="L10" s="158">
        <f t="shared" si="4"/>
        <v>0.42900480017538423</v>
      </c>
    </row>
    <row r="11" spans="1:12">
      <c r="B11" s="157" t="s">
        <v>291</v>
      </c>
      <c r="C11" s="130">
        <f>C9-C10</f>
        <v>505556.01292613405</v>
      </c>
      <c r="D11" s="158">
        <f t="shared" si="0"/>
        <v>0.54362258447391187</v>
      </c>
      <c r="E11" s="130">
        <f>E9-E10</f>
        <v>706235.29748963425</v>
      </c>
      <c r="F11" s="158">
        <f t="shared" si="1"/>
        <v>0.57948714111372612</v>
      </c>
      <c r="G11" s="130">
        <f>G9-G10</f>
        <v>771146.77279180067</v>
      </c>
      <c r="H11" s="158">
        <f t="shared" si="2"/>
        <v>0.54670893194293713</v>
      </c>
      <c r="I11" s="130">
        <f>I9-I10</f>
        <v>873144.20302450215</v>
      </c>
      <c r="J11" s="158">
        <f t="shared" si="3"/>
        <v>0.55591035116694165</v>
      </c>
      <c r="K11" s="130">
        <f>K9-K10</f>
        <v>998863.76430214569</v>
      </c>
      <c r="L11" s="158">
        <f t="shared" si="4"/>
        <v>0.57099519982461577</v>
      </c>
    </row>
    <row r="12" spans="1:12">
      <c r="B12" s="157" t="s">
        <v>576</v>
      </c>
      <c r="C12" s="130">
        <f>SOO!R57</f>
        <v>244438.38565524109</v>
      </c>
      <c r="D12" s="158">
        <f t="shared" si="0"/>
        <v>0.26284372761272679</v>
      </c>
      <c r="E12" s="130">
        <f>SOO!AE57</f>
        <v>267695.65135181334</v>
      </c>
      <c r="F12" s="158">
        <f t="shared" si="1"/>
        <v>0.21965227204282572</v>
      </c>
      <c r="G12" s="130">
        <f>SOO!AR57</f>
        <v>343652.82018132944</v>
      </c>
      <c r="H12" s="158">
        <f t="shared" si="2"/>
        <v>0.24363463987579628</v>
      </c>
      <c r="I12" s="130">
        <f>SOO!BE57</f>
        <v>357956.97058778413</v>
      </c>
      <c r="J12" s="158">
        <f t="shared" si="3"/>
        <v>0.22790277314195895</v>
      </c>
      <c r="K12" s="130">
        <f>SOO!BR57</f>
        <v>396485.38206895621</v>
      </c>
      <c r="L12" s="158">
        <f t="shared" si="4"/>
        <v>0.22664877639261508</v>
      </c>
    </row>
    <row r="13" spans="1:12">
      <c r="B13" s="157" t="s">
        <v>292</v>
      </c>
      <c r="C13" s="130">
        <f>C11-C12</f>
        <v>261117.62727089296</v>
      </c>
      <c r="D13" s="158">
        <f t="shared" si="0"/>
        <v>0.28077885686118514</v>
      </c>
      <c r="E13" s="130">
        <f>E11-E12</f>
        <v>438539.64613782091</v>
      </c>
      <c r="F13" s="158">
        <f t="shared" si="1"/>
        <v>0.35983486907090045</v>
      </c>
      <c r="G13" s="130">
        <f>G11-G12</f>
        <v>427493.95261047123</v>
      </c>
      <c r="H13" s="158">
        <f t="shared" si="2"/>
        <v>0.30307429206714087</v>
      </c>
      <c r="I13" s="130">
        <f>I11-I12</f>
        <v>515187.23243671801</v>
      </c>
      <c r="J13" s="158">
        <f t="shared" si="3"/>
        <v>0.32800757802498265</v>
      </c>
      <c r="K13" s="130">
        <f>K11-K12</f>
        <v>602378.38223318942</v>
      </c>
      <c r="L13" s="158">
        <f t="shared" si="4"/>
        <v>0.34434642343200067</v>
      </c>
    </row>
    <row r="14" spans="1:12">
      <c r="B14" s="157" t="s">
        <v>645</v>
      </c>
      <c r="C14" s="130">
        <f>SOO!R63</f>
        <v>33828</v>
      </c>
      <c r="D14" s="158">
        <f t="shared" si="0"/>
        <v>3.6375128210116604E-2</v>
      </c>
      <c r="E14" s="130">
        <f>SOO!AE63</f>
        <v>33828</v>
      </c>
      <c r="F14" s="158">
        <f t="shared" si="1"/>
        <v>2.7756883689154393E-2</v>
      </c>
      <c r="G14" s="130">
        <f>SOO!AR63</f>
        <v>33828</v>
      </c>
      <c r="H14" s="158">
        <f t="shared" si="2"/>
        <v>2.3982554816135929E-2</v>
      </c>
      <c r="I14" s="130">
        <f>SOO!BE63</f>
        <v>33828</v>
      </c>
      <c r="J14" s="158">
        <f t="shared" si="3"/>
        <v>2.1537490936932427E-2</v>
      </c>
      <c r="K14" s="130">
        <f>SOO!BR63</f>
        <v>33828</v>
      </c>
      <c r="L14" s="158">
        <f t="shared" si="4"/>
        <v>1.933759768847149E-2</v>
      </c>
    </row>
    <row r="15" spans="1:12">
      <c r="B15" s="336" t="s">
        <v>559</v>
      </c>
      <c r="C15" s="337">
        <f>C13-C14</f>
        <v>227289.62727089296</v>
      </c>
      <c r="D15" s="338">
        <f>C15/C9</f>
        <v>0.24440372865106855</v>
      </c>
      <c r="E15" s="337">
        <f>E13-E14</f>
        <v>404711.64613782091</v>
      </c>
      <c r="F15" s="338">
        <f>E15/E9</f>
        <v>0.33207798538174604</v>
      </c>
      <c r="G15" s="337">
        <f>G13-G14</f>
        <v>393665.95261047123</v>
      </c>
      <c r="H15" s="338">
        <f>G15/G9</f>
        <v>0.27909173725100495</v>
      </c>
      <c r="I15" s="337">
        <f>I13-I14</f>
        <v>481359.23243671801</v>
      </c>
      <c r="J15" s="338">
        <f>I15/I9</f>
        <v>0.30647008708805024</v>
      </c>
      <c r="K15" s="337">
        <f>K13-K14</f>
        <v>568550.38223318942</v>
      </c>
      <c r="L15" s="338">
        <f>K15/K9</f>
        <v>0.32500882574352918</v>
      </c>
    </row>
    <row r="16" spans="1:12">
      <c r="B16" s="336" t="s">
        <v>309</v>
      </c>
      <c r="C16" s="337">
        <f>-SOO!R70</f>
        <v>77791.234733765465</v>
      </c>
      <c r="D16" s="338">
        <f>C16/C9</f>
        <v>8.3648638319261989E-2</v>
      </c>
      <c r="E16" s="337">
        <f>-SOO!AE70</f>
        <v>72652.600880207683</v>
      </c>
      <c r="F16" s="338">
        <f>E16/E9</f>
        <v>5.9613627537734443E-2</v>
      </c>
      <c r="G16" s="337">
        <f>-SOO!AR70</f>
        <v>66975.884913386195</v>
      </c>
      <c r="H16" s="338">
        <f>G16/G9</f>
        <v>4.7482938136883521E-2</v>
      </c>
      <c r="I16" s="337">
        <f>-SOO!BE70</f>
        <v>60704.742604685838</v>
      </c>
      <c r="J16" s="338">
        <f>I16/I9</f>
        <v>3.864927999518851E-2</v>
      </c>
      <c r="K16" s="337">
        <f>-SOO!BR70</f>
        <v>53776.929748480528</v>
      </c>
      <c r="L16" s="338">
        <f>K16/K9</f>
        <v>3.074129810799665E-2</v>
      </c>
    </row>
    <row r="17" spans="2:12">
      <c r="B17" s="336" t="s">
        <v>603</v>
      </c>
      <c r="C17" s="337">
        <f>SOO!R74</f>
        <v>37374.598134281943</v>
      </c>
      <c r="D17" s="158">
        <f t="shared" si="0"/>
        <v>4.0188772582951712E-2</v>
      </c>
      <c r="E17" s="337">
        <f>SOO!AE74</f>
        <v>83014.76131440328</v>
      </c>
      <c r="F17" s="158">
        <f t="shared" si="1"/>
        <v>6.8116089461002879E-2</v>
      </c>
      <c r="G17" s="337">
        <f>SOO!AR74</f>
        <v>81672.516924271215</v>
      </c>
      <c r="H17" s="158">
        <f t="shared" si="2"/>
        <v>5.7902199778530318E-2</v>
      </c>
      <c r="I17" s="337">
        <f>SOO!BE74</f>
        <v>105163.62245800805</v>
      </c>
      <c r="J17" s="158">
        <f t="shared" si="3"/>
        <v>6.6955201773215428E-2</v>
      </c>
      <c r="K17" s="337">
        <f>SOO!BR74</f>
        <v>128693.36312117727</v>
      </c>
      <c r="L17" s="158">
        <f t="shared" si="4"/>
        <v>7.3566881908883164E-2</v>
      </c>
    </row>
    <row r="18" spans="2:12">
      <c r="B18" s="157" t="s">
        <v>293</v>
      </c>
      <c r="C18" s="130">
        <f>C15-C16-C17</f>
        <v>112123.79440284554</v>
      </c>
      <c r="D18" s="158">
        <f t="shared" si="0"/>
        <v>0.12056631774885482</v>
      </c>
      <c r="E18" s="130">
        <f>E13-E14-E17</f>
        <v>321696.88482341764</v>
      </c>
      <c r="F18" s="158">
        <f t="shared" si="1"/>
        <v>0.26396189592074315</v>
      </c>
      <c r="G18" s="130">
        <f>G13-G14-G17</f>
        <v>311993.43568620004</v>
      </c>
      <c r="H18" s="158">
        <f t="shared" si="2"/>
        <v>0.22118953747247463</v>
      </c>
      <c r="I18" s="130">
        <f>I13-I14-I17</f>
        <v>376195.60997870995</v>
      </c>
      <c r="J18" s="158">
        <f t="shared" si="3"/>
        <v>0.23951488531483478</v>
      </c>
      <c r="K18" s="130">
        <f>K13-K14-K17</f>
        <v>439857.01911201212</v>
      </c>
      <c r="L18" s="158">
        <f t="shared" si="4"/>
        <v>0.25144194383464602</v>
      </c>
    </row>
    <row r="19" spans="2:12">
      <c r="B19" s="336" t="s">
        <v>604</v>
      </c>
      <c r="C19" s="337">
        <f>-SUM(SOCF!G37:R37)</f>
        <v>100000</v>
      </c>
      <c r="D19" s="338"/>
      <c r="E19" s="337">
        <f>-SUM(SOCF!T37:AE37)</f>
        <v>300000</v>
      </c>
      <c r="F19" s="338"/>
      <c r="G19" s="337">
        <f>-SUM(SOCF!AG37:AR37)</f>
        <v>200000</v>
      </c>
      <c r="H19" s="338"/>
      <c r="I19" s="337">
        <f>-SUM(SOCF!AT37:BE37)</f>
        <v>300000</v>
      </c>
      <c r="J19" s="338"/>
      <c r="K19" s="337">
        <f>-SUM(SOCF!BG37:BR37)</f>
        <v>400000</v>
      </c>
      <c r="L19" s="338"/>
    </row>
    <row r="20" spans="2:12">
      <c r="B20" s="153" t="s">
        <v>294</v>
      </c>
      <c r="C20" s="140">
        <f>SOCF!R43</f>
        <v>127028.72899517168</v>
      </c>
      <c r="D20" s="159"/>
      <c r="E20" s="140">
        <f>SOCF!AE43</f>
        <v>71365.665462587727</v>
      </c>
      <c r="F20" s="159"/>
      <c r="G20" s="140">
        <f>SOCF!AR43</f>
        <v>102137.35348095003</v>
      </c>
      <c r="H20" s="159"/>
      <c r="I20" s="140">
        <f>SOCF!BE43</f>
        <v>95682.808042634162</v>
      </c>
      <c r="J20" s="159"/>
      <c r="K20" s="140">
        <f>SOCF!BR43</f>
        <v>55003.628733279009</v>
      </c>
      <c r="L20" s="159"/>
    </row>
    <row r="21" spans="2:12">
      <c r="B21" s="2"/>
      <c r="C21" s="3"/>
      <c r="D21" s="5"/>
      <c r="E21" s="3"/>
      <c r="F21" s="5"/>
      <c r="G21" s="3"/>
      <c r="H21" s="5"/>
      <c r="I21" s="3"/>
      <c r="J21" s="5"/>
      <c r="K21" s="3"/>
      <c r="L21" s="5"/>
    </row>
    <row r="22" spans="2:12"/>
    <row r="23" spans="2:12"/>
    <row r="24" spans="2:12">
      <c r="B24" s="2"/>
      <c r="C24" s="3">
        <v>2</v>
      </c>
      <c r="D24" s="2">
        <v>3</v>
      </c>
      <c r="E24" s="3">
        <v>4</v>
      </c>
      <c r="F24" s="2">
        <v>5</v>
      </c>
      <c r="G24" s="3">
        <v>6</v>
      </c>
      <c r="H24" s="2">
        <v>7</v>
      </c>
      <c r="I24" s="3">
        <v>8</v>
      </c>
      <c r="J24" s="2">
        <v>9</v>
      </c>
      <c r="K24" s="3">
        <v>10</v>
      </c>
      <c r="L24" s="2">
        <v>11</v>
      </c>
    </row>
    <row r="25" spans="2:12" ht="15.75" customHeight="1">
      <c r="B25" s="2" t="s">
        <v>294</v>
      </c>
      <c r="C25" s="3">
        <f t="shared" ref="C25:L25" si="5">VLOOKUP($B$25,$B$9:$L$20,C24,0)</f>
        <v>127028.72899517168</v>
      </c>
      <c r="D25" s="3">
        <f t="shared" si="5"/>
        <v>0</v>
      </c>
      <c r="E25" s="3">
        <f t="shared" si="5"/>
        <v>71365.665462587727</v>
      </c>
      <c r="F25" s="3">
        <f t="shared" si="5"/>
        <v>0</v>
      </c>
      <c r="G25" s="3">
        <f t="shared" si="5"/>
        <v>102137.35348095003</v>
      </c>
      <c r="H25" s="3">
        <f t="shared" si="5"/>
        <v>0</v>
      </c>
      <c r="I25" s="3">
        <f t="shared" si="5"/>
        <v>95682.808042634162</v>
      </c>
      <c r="J25" s="3">
        <f t="shared" si="5"/>
        <v>0</v>
      </c>
      <c r="K25" s="3">
        <f t="shared" si="5"/>
        <v>55003.628733279009</v>
      </c>
      <c r="L25" s="3">
        <f t="shared" si="5"/>
        <v>0</v>
      </c>
    </row>
    <row r="26" spans="2:12" ht="15.75" customHeight="1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2:12" ht="15.75" customHeight="1">
      <c r="D27" s="269" t="s">
        <v>2</v>
      </c>
      <c r="E27" s="269" t="s">
        <v>3</v>
      </c>
      <c r="F27" s="269" t="s">
        <v>4</v>
      </c>
      <c r="G27" s="269" t="s">
        <v>5</v>
      </c>
      <c r="H27" s="269" t="s">
        <v>6</v>
      </c>
    </row>
    <row r="28" spans="2:12" ht="15.75" customHeight="1">
      <c r="C28" t="str">
        <f>B25</f>
        <v>Cash Position</v>
      </c>
      <c r="D28" s="356">
        <f>C25</f>
        <v>127028.72899517168</v>
      </c>
      <c r="E28" s="356">
        <f>E25</f>
        <v>71365.665462587727</v>
      </c>
      <c r="F28" s="356">
        <f>G25</f>
        <v>102137.35348095003</v>
      </c>
      <c r="G28" s="356">
        <f>I25</f>
        <v>95682.808042634162</v>
      </c>
      <c r="H28" s="356">
        <f>K25</f>
        <v>55003.628733279009</v>
      </c>
    </row>
    <row r="29" spans="2:12" ht="15.75" customHeight="1"/>
    <row r="30" spans="2:12" ht="15.75" customHeight="1"/>
    <row r="31" spans="2:12" ht="15.75" customHeight="1"/>
    <row r="32" spans="2:1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sheetProtection sheet="1" objects="1" scenarios="1"/>
  <protectedRanges>
    <protectedRange sqref="B25" name="Range1"/>
  </protectedRanges>
  <dataValidations count="1">
    <dataValidation type="list" allowBlank="1" showInputMessage="1" showErrorMessage="1" sqref="B25" xr:uid="{4F0C2501-F344-45F0-918E-49979E438B91}">
      <formula1>$B$9:$B$20</formula1>
    </dataValidation>
  </dataValidation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BT1000"/>
  <sheetViews>
    <sheetView zoomScale="90" zoomScaleNormal="90" workbookViewId="0">
      <pane xSplit="6" ySplit="6" topLeftCell="G78" activePane="bottomRight" state="frozen"/>
      <selection activeCell="J35" sqref="J35"/>
      <selection pane="topRight" activeCell="J35" sqref="J35"/>
      <selection pane="bottomLeft" activeCell="J35" sqref="J35"/>
      <selection pane="bottomRight" activeCell="J35" sqref="J35"/>
    </sheetView>
  </sheetViews>
  <sheetFormatPr defaultColWidth="14.42578125" defaultRowHeight="15" customHeight="1"/>
  <cols>
    <col min="1" max="1" width="3.7109375" customWidth="1"/>
    <col min="2" max="3" width="6.28515625" customWidth="1"/>
    <col min="4" max="4" width="3.7109375" customWidth="1"/>
    <col min="5" max="5" width="9.140625" customWidth="1"/>
    <col min="6" max="6" width="26.7109375" customWidth="1"/>
    <col min="7" max="7" width="10.7109375" customWidth="1"/>
    <col min="8" max="8" width="11.140625" customWidth="1"/>
    <col min="9" max="9" width="11.28515625" customWidth="1"/>
    <col min="10" max="10" width="11.5703125" customWidth="1"/>
    <col min="11" max="11" width="11.28515625" customWidth="1"/>
    <col min="12" max="18" width="12.28515625" customWidth="1"/>
    <col min="19" max="19" width="11.28515625" customWidth="1"/>
    <col min="20" max="20" width="10.28515625" customWidth="1"/>
    <col min="21" max="25" width="11.28515625" customWidth="1"/>
    <col min="26" max="68" width="12.28515625" customWidth="1"/>
    <col min="69" max="72" width="14" customWidth="1"/>
  </cols>
  <sheetData>
    <row r="1" spans="1:72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1"/>
    </row>
    <row r="2" spans="1:72">
      <c r="A2" s="2" t="s">
        <v>173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1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1"/>
    </row>
    <row r="3" spans="1:72" ht="15.75" customHeight="1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6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1"/>
    </row>
    <row r="4" spans="1:72">
      <c r="A4" s="11"/>
      <c r="B4" s="11"/>
      <c r="C4" s="11"/>
      <c r="D4" s="11"/>
      <c r="E4" s="11"/>
      <c r="F4" s="11"/>
      <c r="G4" s="31"/>
      <c r="H4" s="32"/>
      <c r="I4" s="32"/>
      <c r="J4" s="32"/>
      <c r="K4" s="32"/>
      <c r="L4" s="32"/>
      <c r="M4" s="33" t="s">
        <v>98</v>
      </c>
      <c r="N4" s="32"/>
      <c r="O4" s="32"/>
      <c r="P4" s="32"/>
      <c r="Q4" s="32"/>
      <c r="R4" s="32"/>
      <c r="S4" s="72"/>
      <c r="T4" s="31"/>
      <c r="U4" s="32"/>
      <c r="V4" s="32"/>
      <c r="W4" s="32"/>
      <c r="X4" s="32"/>
      <c r="Y4" s="32"/>
      <c r="Z4" s="33" t="s">
        <v>99</v>
      </c>
      <c r="AA4" s="32"/>
      <c r="AB4" s="32"/>
      <c r="AC4" s="32"/>
      <c r="AD4" s="32"/>
      <c r="AE4" s="32"/>
      <c r="AF4" s="34"/>
      <c r="AG4" s="31"/>
      <c r="AH4" s="32"/>
      <c r="AI4" s="32"/>
      <c r="AJ4" s="32"/>
      <c r="AK4" s="32"/>
      <c r="AL4" s="32"/>
      <c r="AM4" s="33" t="s">
        <v>100</v>
      </c>
      <c r="AN4" s="32"/>
      <c r="AO4" s="32"/>
      <c r="AP4" s="32"/>
      <c r="AQ4" s="32"/>
      <c r="AR4" s="32"/>
      <c r="AS4" s="34"/>
      <c r="AT4" s="31"/>
      <c r="AU4" s="32"/>
      <c r="AV4" s="32"/>
      <c r="AW4" s="32"/>
      <c r="AX4" s="32"/>
      <c r="AY4" s="32"/>
      <c r="AZ4" s="33" t="s">
        <v>101</v>
      </c>
      <c r="BA4" s="32"/>
      <c r="BB4" s="32"/>
      <c r="BC4" s="32"/>
      <c r="BD4" s="32"/>
      <c r="BE4" s="32"/>
      <c r="BF4" s="34"/>
      <c r="BG4" s="31"/>
      <c r="BH4" s="32"/>
      <c r="BI4" s="32"/>
      <c r="BJ4" s="32"/>
      <c r="BK4" s="32"/>
      <c r="BL4" s="32"/>
      <c r="BM4" s="33" t="s">
        <v>102</v>
      </c>
      <c r="BN4" s="32"/>
      <c r="BO4" s="32"/>
      <c r="BP4" s="32"/>
      <c r="BQ4" s="32"/>
      <c r="BR4" s="32"/>
      <c r="BS4" s="34"/>
      <c r="BT4" s="1"/>
    </row>
    <row r="5" spans="1:72">
      <c r="A5" s="1"/>
      <c r="B5" s="1"/>
      <c r="C5" s="1"/>
      <c r="D5" s="1"/>
      <c r="E5" s="1"/>
      <c r="F5" s="1"/>
      <c r="G5" s="35" t="str">
        <f>SOFP!F5</f>
        <v>Jan</v>
      </c>
      <c r="H5" s="35" t="str">
        <f>SOFP!G5</f>
        <v>Feb</v>
      </c>
      <c r="I5" s="35" t="str">
        <f>SOFP!H5</f>
        <v>Mar</v>
      </c>
      <c r="J5" s="35" t="str">
        <f>SOFP!I5</f>
        <v>Apr</v>
      </c>
      <c r="K5" s="35" t="str">
        <f>SOFP!J5</f>
        <v>May</v>
      </c>
      <c r="L5" s="35" t="str">
        <f>SOFP!K5</f>
        <v>Jun</v>
      </c>
      <c r="M5" s="35" t="str">
        <f>SOFP!L5</f>
        <v>Jul</v>
      </c>
      <c r="N5" s="35" t="str">
        <f>SOFP!M5</f>
        <v>Aug</v>
      </c>
      <c r="O5" s="35" t="str">
        <f>SOFP!N5</f>
        <v>Sep</v>
      </c>
      <c r="P5" s="35" t="str">
        <f>SOFP!O5</f>
        <v>Oct</v>
      </c>
      <c r="Q5" s="35" t="str">
        <f>SOFP!P5</f>
        <v>Nov</v>
      </c>
      <c r="R5" s="35" t="str">
        <f>SOFP!Q5</f>
        <v>Dec</v>
      </c>
      <c r="S5" s="36" t="s">
        <v>116</v>
      </c>
      <c r="T5" s="35" t="str">
        <f t="shared" ref="T5:AE5" si="0">G5</f>
        <v>Jan</v>
      </c>
      <c r="U5" s="35" t="str">
        <f t="shared" si="0"/>
        <v>Feb</v>
      </c>
      <c r="V5" s="35" t="str">
        <f t="shared" si="0"/>
        <v>Mar</v>
      </c>
      <c r="W5" s="35" t="str">
        <f t="shared" si="0"/>
        <v>Apr</v>
      </c>
      <c r="X5" s="35" t="str">
        <f t="shared" si="0"/>
        <v>May</v>
      </c>
      <c r="Y5" s="35" t="str">
        <f t="shared" si="0"/>
        <v>Jun</v>
      </c>
      <c r="Z5" s="35" t="str">
        <f t="shared" si="0"/>
        <v>Jul</v>
      </c>
      <c r="AA5" s="35" t="str">
        <f t="shared" si="0"/>
        <v>Aug</v>
      </c>
      <c r="AB5" s="35" t="str">
        <f t="shared" si="0"/>
        <v>Sep</v>
      </c>
      <c r="AC5" s="35" t="str">
        <f t="shared" si="0"/>
        <v>Oct</v>
      </c>
      <c r="AD5" s="35" t="str">
        <f t="shared" si="0"/>
        <v>Nov</v>
      </c>
      <c r="AE5" s="35" t="str">
        <f t="shared" si="0"/>
        <v>Dec</v>
      </c>
      <c r="AF5" s="36" t="s">
        <v>116</v>
      </c>
      <c r="AG5" s="35" t="str">
        <f t="shared" ref="AG5:AR5" si="1">T5</f>
        <v>Jan</v>
      </c>
      <c r="AH5" s="35" t="str">
        <f t="shared" si="1"/>
        <v>Feb</v>
      </c>
      <c r="AI5" s="35" t="str">
        <f t="shared" si="1"/>
        <v>Mar</v>
      </c>
      <c r="AJ5" s="35" t="str">
        <f t="shared" si="1"/>
        <v>Apr</v>
      </c>
      <c r="AK5" s="35" t="str">
        <f t="shared" si="1"/>
        <v>May</v>
      </c>
      <c r="AL5" s="35" t="str">
        <f t="shared" si="1"/>
        <v>Jun</v>
      </c>
      <c r="AM5" s="35" t="str">
        <f t="shared" si="1"/>
        <v>Jul</v>
      </c>
      <c r="AN5" s="35" t="str">
        <f t="shared" si="1"/>
        <v>Aug</v>
      </c>
      <c r="AO5" s="35" t="str">
        <f t="shared" si="1"/>
        <v>Sep</v>
      </c>
      <c r="AP5" s="35" t="str">
        <f t="shared" si="1"/>
        <v>Oct</v>
      </c>
      <c r="AQ5" s="35" t="str">
        <f t="shared" si="1"/>
        <v>Nov</v>
      </c>
      <c r="AR5" s="35" t="str">
        <f t="shared" si="1"/>
        <v>Dec</v>
      </c>
      <c r="AS5" s="36" t="s">
        <v>116</v>
      </c>
      <c r="AT5" s="35" t="str">
        <f t="shared" ref="AT5:BE5" si="2">AG5</f>
        <v>Jan</v>
      </c>
      <c r="AU5" s="35" t="str">
        <f t="shared" si="2"/>
        <v>Feb</v>
      </c>
      <c r="AV5" s="35" t="str">
        <f t="shared" si="2"/>
        <v>Mar</v>
      </c>
      <c r="AW5" s="35" t="str">
        <f t="shared" si="2"/>
        <v>Apr</v>
      </c>
      <c r="AX5" s="35" t="str">
        <f t="shared" si="2"/>
        <v>May</v>
      </c>
      <c r="AY5" s="35" t="str">
        <f t="shared" si="2"/>
        <v>Jun</v>
      </c>
      <c r="AZ5" s="35" t="str">
        <f t="shared" si="2"/>
        <v>Jul</v>
      </c>
      <c r="BA5" s="35" t="str">
        <f t="shared" si="2"/>
        <v>Aug</v>
      </c>
      <c r="BB5" s="35" t="str">
        <f t="shared" si="2"/>
        <v>Sep</v>
      </c>
      <c r="BC5" s="35" t="str">
        <f t="shared" si="2"/>
        <v>Oct</v>
      </c>
      <c r="BD5" s="35" t="str">
        <f t="shared" si="2"/>
        <v>Nov</v>
      </c>
      <c r="BE5" s="35" t="str">
        <f t="shared" si="2"/>
        <v>Dec</v>
      </c>
      <c r="BF5" s="36" t="s">
        <v>116</v>
      </c>
      <c r="BG5" s="35" t="str">
        <f t="shared" ref="BG5:BR5" si="3">AT5</f>
        <v>Jan</v>
      </c>
      <c r="BH5" s="35" t="str">
        <f t="shared" si="3"/>
        <v>Feb</v>
      </c>
      <c r="BI5" s="35" t="str">
        <f t="shared" si="3"/>
        <v>Mar</v>
      </c>
      <c r="BJ5" s="35" t="str">
        <f t="shared" si="3"/>
        <v>Apr</v>
      </c>
      <c r="BK5" s="35" t="str">
        <f t="shared" si="3"/>
        <v>May</v>
      </c>
      <c r="BL5" s="35" t="str">
        <f t="shared" si="3"/>
        <v>Jun</v>
      </c>
      <c r="BM5" s="35" t="str">
        <f t="shared" si="3"/>
        <v>Jul</v>
      </c>
      <c r="BN5" s="35" t="str">
        <f t="shared" si="3"/>
        <v>Aug</v>
      </c>
      <c r="BO5" s="35" t="str">
        <f t="shared" si="3"/>
        <v>Sep</v>
      </c>
      <c r="BP5" s="35" t="str">
        <f t="shared" si="3"/>
        <v>Oct</v>
      </c>
      <c r="BQ5" s="35" t="str">
        <f t="shared" si="3"/>
        <v>Nov</v>
      </c>
      <c r="BR5" s="35" t="str">
        <f t="shared" si="3"/>
        <v>Dec</v>
      </c>
      <c r="BS5" s="36" t="s">
        <v>116</v>
      </c>
      <c r="BT5" s="36" t="s">
        <v>117</v>
      </c>
    </row>
    <row r="6" spans="1:72">
      <c r="A6" s="1"/>
      <c r="B6" s="2"/>
      <c r="C6" s="2"/>
      <c r="D6" s="2"/>
      <c r="E6" s="2"/>
      <c r="F6" s="2"/>
      <c r="G6" s="3">
        <v>1</v>
      </c>
      <c r="H6" s="3">
        <v>2</v>
      </c>
      <c r="I6" s="3">
        <v>3</v>
      </c>
      <c r="J6" s="3">
        <v>4</v>
      </c>
      <c r="K6" s="3">
        <v>5</v>
      </c>
      <c r="L6" s="3">
        <v>6</v>
      </c>
      <c r="M6" s="3">
        <v>7</v>
      </c>
      <c r="N6" s="3">
        <v>8</v>
      </c>
      <c r="O6" s="3">
        <v>9</v>
      </c>
      <c r="P6" s="3">
        <v>10</v>
      </c>
      <c r="Q6" s="3">
        <v>11</v>
      </c>
      <c r="R6" s="3">
        <v>12</v>
      </c>
      <c r="S6" s="37"/>
      <c r="T6" s="3">
        <v>13</v>
      </c>
      <c r="U6" s="3">
        <v>14</v>
      </c>
      <c r="V6" s="3">
        <v>15</v>
      </c>
      <c r="W6" s="3">
        <v>16</v>
      </c>
      <c r="X6" s="3">
        <v>17</v>
      </c>
      <c r="Y6" s="3">
        <v>18</v>
      </c>
      <c r="Z6" s="3">
        <v>19</v>
      </c>
      <c r="AA6" s="3">
        <v>20</v>
      </c>
      <c r="AB6" s="3">
        <v>21</v>
      </c>
      <c r="AC6" s="3">
        <v>22</v>
      </c>
      <c r="AD6" s="3">
        <v>23</v>
      </c>
      <c r="AE6" s="3">
        <v>24</v>
      </c>
      <c r="AF6" s="37"/>
      <c r="AG6" s="3">
        <v>25</v>
      </c>
      <c r="AH6" s="3">
        <v>26</v>
      </c>
      <c r="AI6" s="3">
        <v>27</v>
      </c>
      <c r="AJ6" s="3">
        <v>28</v>
      </c>
      <c r="AK6" s="3">
        <v>29</v>
      </c>
      <c r="AL6" s="3">
        <v>30</v>
      </c>
      <c r="AM6" s="3">
        <v>31</v>
      </c>
      <c r="AN6" s="3">
        <v>32</v>
      </c>
      <c r="AO6" s="3">
        <v>33</v>
      </c>
      <c r="AP6" s="3">
        <v>34</v>
      </c>
      <c r="AQ6" s="3">
        <v>35</v>
      </c>
      <c r="AR6" s="3">
        <v>36</v>
      </c>
      <c r="AS6" s="37"/>
      <c r="AT6" s="3">
        <v>37</v>
      </c>
      <c r="AU6" s="3">
        <v>38</v>
      </c>
      <c r="AV6" s="3">
        <v>39</v>
      </c>
      <c r="AW6" s="3">
        <v>40</v>
      </c>
      <c r="AX6" s="3">
        <v>41</v>
      </c>
      <c r="AY6" s="3">
        <v>42</v>
      </c>
      <c r="AZ6" s="3">
        <v>43</v>
      </c>
      <c r="BA6" s="3">
        <v>44</v>
      </c>
      <c r="BB6" s="3">
        <v>45</v>
      </c>
      <c r="BC6" s="3">
        <v>46</v>
      </c>
      <c r="BD6" s="3">
        <v>47</v>
      </c>
      <c r="BE6" s="3">
        <v>48</v>
      </c>
      <c r="BF6" s="37"/>
      <c r="BG6" s="3">
        <v>49</v>
      </c>
      <c r="BH6" s="3">
        <v>50</v>
      </c>
      <c r="BI6" s="3">
        <v>51</v>
      </c>
      <c r="BJ6" s="3">
        <v>52</v>
      </c>
      <c r="BK6" s="3">
        <v>53</v>
      </c>
      <c r="BL6" s="3">
        <v>54</v>
      </c>
      <c r="BM6" s="3">
        <v>55</v>
      </c>
      <c r="BN6" s="3">
        <v>56</v>
      </c>
      <c r="BO6" s="3">
        <v>57</v>
      </c>
      <c r="BP6" s="3">
        <v>58</v>
      </c>
      <c r="BQ6" s="3">
        <v>59</v>
      </c>
      <c r="BR6" s="3">
        <v>60</v>
      </c>
      <c r="BS6" s="37"/>
      <c r="BT6" s="1"/>
    </row>
    <row r="7" spans="1:72">
      <c r="A7" s="1" t="s">
        <v>174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1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1"/>
    </row>
    <row r="8" spans="1:72">
      <c r="A8" s="2"/>
      <c r="B8" s="2"/>
      <c r="C8" s="2" t="s">
        <v>175</v>
      </c>
      <c r="D8" s="2"/>
      <c r="E8" s="2"/>
      <c r="F8" s="2"/>
      <c r="G8" s="38">
        <v>10</v>
      </c>
      <c r="H8" s="38">
        <v>0</v>
      </c>
      <c r="I8" s="38">
        <v>10</v>
      </c>
      <c r="J8" s="38"/>
      <c r="K8" s="38">
        <v>10</v>
      </c>
      <c r="M8" s="38"/>
      <c r="N8" s="38">
        <v>10</v>
      </c>
      <c r="O8" s="38"/>
      <c r="P8" s="38"/>
      <c r="Q8" s="38">
        <v>10</v>
      </c>
      <c r="R8" s="38"/>
      <c r="S8" s="37">
        <f>SUM(G8:R8)</f>
        <v>50</v>
      </c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">
        <f>SUM(T8:AE8)</f>
        <v>0</v>
      </c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">
        <f>SUM(AG8:AR8)</f>
        <v>0</v>
      </c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">
        <f>SUM(AT8:BE8)</f>
        <v>0</v>
      </c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">
        <f>SUM(BG8:BR8)</f>
        <v>0</v>
      </c>
      <c r="BT8" s="37">
        <f>S8+AF8+AS8+BF8+BS8</f>
        <v>50</v>
      </c>
    </row>
    <row r="9" spans="1:72">
      <c r="A9" s="2"/>
      <c r="B9" s="2"/>
      <c r="C9" s="2" t="s">
        <v>176</v>
      </c>
      <c r="D9" s="2"/>
      <c r="E9" s="2"/>
      <c r="F9" s="2"/>
      <c r="G9" s="2"/>
      <c r="H9" s="38">
        <v>10</v>
      </c>
      <c r="I9" s="2"/>
      <c r="J9" s="38">
        <v>10</v>
      </c>
      <c r="K9" s="38"/>
      <c r="L9" s="38">
        <v>10</v>
      </c>
      <c r="M9" s="2"/>
      <c r="N9" s="2"/>
      <c r="O9" s="38">
        <v>10</v>
      </c>
      <c r="P9" s="38"/>
      <c r="Q9" s="38">
        <v>10</v>
      </c>
      <c r="R9" s="38"/>
      <c r="S9" s="37">
        <f>SUM(H9:R9)</f>
        <v>50</v>
      </c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"/>
      <c r="BT9" s="37"/>
    </row>
    <row r="10" spans="1:72">
      <c r="A10" s="2"/>
      <c r="B10" s="2"/>
      <c r="C10" s="2" t="s">
        <v>177</v>
      </c>
      <c r="D10" s="2"/>
      <c r="E10" s="2"/>
      <c r="F10" s="2"/>
      <c r="G10" s="38">
        <v>10</v>
      </c>
      <c r="H10" s="38">
        <v>0</v>
      </c>
      <c r="I10" s="38">
        <v>10</v>
      </c>
      <c r="J10" s="38"/>
      <c r="K10" s="38"/>
      <c r="L10" s="2"/>
      <c r="M10" s="38">
        <v>10</v>
      </c>
      <c r="N10" s="2"/>
      <c r="O10" s="38"/>
      <c r="P10" s="38">
        <v>10</v>
      </c>
      <c r="Q10" s="2"/>
      <c r="R10" s="38">
        <v>10</v>
      </c>
      <c r="S10" s="37">
        <f t="shared" ref="S10:S33" si="4">SUM(G10:R10)</f>
        <v>50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"/>
      <c r="BT10" s="37"/>
    </row>
    <row r="11" spans="1:72">
      <c r="A11" s="2"/>
      <c r="B11" s="2"/>
      <c r="C11" s="2" t="s">
        <v>178</v>
      </c>
      <c r="D11" s="2"/>
      <c r="E11" s="2"/>
      <c r="F11" s="2"/>
      <c r="G11" s="38">
        <v>10</v>
      </c>
      <c r="H11" s="38">
        <v>0</v>
      </c>
      <c r="I11" s="2"/>
      <c r="J11" s="38">
        <v>10</v>
      </c>
      <c r="K11" s="38"/>
      <c r="L11" s="38">
        <v>10</v>
      </c>
      <c r="M11" s="38"/>
      <c r="N11" s="38">
        <v>10</v>
      </c>
      <c r="O11" s="38"/>
      <c r="P11" s="38"/>
      <c r="Q11" s="38">
        <v>10</v>
      </c>
      <c r="R11" s="38"/>
      <c r="S11" s="37">
        <f t="shared" si="4"/>
        <v>50</v>
      </c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"/>
      <c r="BT11" s="37"/>
    </row>
    <row r="12" spans="1:72">
      <c r="A12" s="2"/>
      <c r="B12" s="2"/>
      <c r="C12" s="2" t="s">
        <v>179</v>
      </c>
      <c r="D12" s="2"/>
      <c r="E12" s="2"/>
      <c r="F12" s="2"/>
      <c r="G12" s="38"/>
      <c r="H12" s="38">
        <v>10</v>
      </c>
      <c r="I12" s="2"/>
      <c r="J12" s="38"/>
      <c r="K12" s="2">
        <v>10</v>
      </c>
      <c r="L12" s="2"/>
      <c r="M12" s="38"/>
      <c r="N12" s="2"/>
      <c r="O12" s="38"/>
      <c r="P12" s="2"/>
      <c r="Q12" s="38">
        <v>10</v>
      </c>
      <c r="R12" s="38"/>
      <c r="S12" s="37">
        <f t="shared" si="4"/>
        <v>30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"/>
      <c r="BT12" s="37"/>
    </row>
    <row r="13" spans="1:72">
      <c r="A13" s="2"/>
      <c r="B13" s="2"/>
      <c r="C13" s="2" t="s">
        <v>180</v>
      </c>
      <c r="D13" s="2"/>
      <c r="E13" s="2"/>
      <c r="F13" s="2"/>
      <c r="G13" s="38"/>
      <c r="H13" s="38"/>
      <c r="I13" s="38">
        <v>10</v>
      </c>
      <c r="J13" s="38"/>
      <c r="K13" s="38"/>
      <c r="L13" s="2"/>
      <c r="M13" s="38"/>
      <c r="N13" s="38"/>
      <c r="O13" s="2"/>
      <c r="P13" s="38"/>
      <c r="Q13" s="38"/>
      <c r="R13" s="2"/>
      <c r="S13" s="37">
        <f t="shared" si="4"/>
        <v>10</v>
      </c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"/>
      <c r="BT13" s="37"/>
    </row>
    <row r="14" spans="1:72">
      <c r="A14" s="2"/>
      <c r="B14" s="2"/>
      <c r="C14" s="2" t="s">
        <v>181</v>
      </c>
      <c r="D14" s="2"/>
      <c r="E14" s="2"/>
      <c r="F14" s="2"/>
      <c r="G14" s="38"/>
      <c r="H14" s="38"/>
      <c r="I14" s="38"/>
      <c r="J14" s="38"/>
      <c r="K14" s="38"/>
      <c r="L14" s="38">
        <v>10</v>
      </c>
      <c r="M14" s="38"/>
      <c r="N14" s="38"/>
      <c r="O14" s="38"/>
      <c r="P14" s="38"/>
      <c r="Q14" s="38"/>
      <c r="R14" s="38"/>
      <c r="S14" s="37">
        <f t="shared" si="4"/>
        <v>10</v>
      </c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"/>
      <c r="BT14" s="37"/>
    </row>
    <row r="15" spans="1:72">
      <c r="A15" s="2"/>
      <c r="B15" s="2"/>
      <c r="C15" s="2" t="s">
        <v>182</v>
      </c>
      <c r="D15" s="2"/>
      <c r="E15" s="2"/>
      <c r="F15" s="2"/>
      <c r="G15" s="38"/>
      <c r="H15" s="38"/>
      <c r="I15" s="38"/>
      <c r="J15" s="38"/>
      <c r="K15" s="38"/>
      <c r="L15" s="38"/>
      <c r="M15" s="38"/>
      <c r="N15" s="38"/>
      <c r="O15" s="38">
        <v>10</v>
      </c>
      <c r="P15" s="38"/>
      <c r="Q15" s="38"/>
      <c r="R15" s="38"/>
      <c r="S15" s="37">
        <f t="shared" si="4"/>
        <v>10</v>
      </c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"/>
      <c r="BT15" s="37"/>
    </row>
    <row r="16" spans="1:72">
      <c r="A16" s="2"/>
      <c r="B16" s="2"/>
      <c r="C16" s="2" t="s">
        <v>183</v>
      </c>
      <c r="D16" s="2"/>
      <c r="E16" s="2"/>
      <c r="F16" s="2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>
        <v>10</v>
      </c>
      <c r="S16" s="37">
        <f t="shared" si="4"/>
        <v>10</v>
      </c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"/>
      <c r="BT16" s="37"/>
    </row>
    <row r="17" spans="1:72">
      <c r="A17" s="2"/>
      <c r="B17" s="2"/>
      <c r="C17" s="2" t="s">
        <v>184</v>
      </c>
      <c r="D17" s="2"/>
      <c r="E17" s="2"/>
      <c r="F17" s="2"/>
      <c r="G17" s="38"/>
      <c r="H17" s="38"/>
      <c r="I17" s="2"/>
      <c r="J17" s="2"/>
      <c r="K17" s="2"/>
      <c r="L17" s="2"/>
      <c r="M17" s="2"/>
      <c r="N17" s="2"/>
      <c r="O17" s="2"/>
      <c r="P17" s="38"/>
      <c r="Q17" s="38"/>
      <c r="R17" s="38">
        <v>10</v>
      </c>
      <c r="S17" s="37">
        <f t="shared" si="4"/>
        <v>10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"/>
      <c r="BT17" s="37"/>
    </row>
    <row r="18" spans="1:72">
      <c r="A18" s="2"/>
      <c r="B18" s="2"/>
      <c r="C18" s="2" t="s">
        <v>185</v>
      </c>
      <c r="D18" s="2"/>
      <c r="E18" s="2"/>
      <c r="F18" s="2"/>
      <c r="G18" s="38"/>
      <c r="H18" s="38"/>
      <c r="I18" s="38">
        <v>10</v>
      </c>
      <c r="J18" s="38"/>
      <c r="K18" s="38"/>
      <c r="L18" s="38"/>
      <c r="M18" s="38"/>
      <c r="N18" s="38"/>
      <c r="O18" s="38"/>
      <c r="P18" s="38"/>
      <c r="Q18" s="38"/>
      <c r="R18" s="38"/>
      <c r="S18" s="37">
        <f t="shared" si="4"/>
        <v>10</v>
      </c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"/>
      <c r="BT18" s="37"/>
    </row>
    <row r="19" spans="1:72">
      <c r="A19" s="2"/>
      <c r="B19" s="2"/>
      <c r="C19" s="2" t="s">
        <v>186</v>
      </c>
      <c r="D19" s="2"/>
      <c r="E19" s="2"/>
      <c r="F19" s="2"/>
      <c r="G19" s="38"/>
      <c r="H19" s="38"/>
      <c r="I19" s="38"/>
      <c r="J19" s="38"/>
      <c r="K19" s="38">
        <v>10</v>
      </c>
      <c r="L19" s="38"/>
      <c r="M19" s="38"/>
      <c r="N19" s="38"/>
      <c r="O19" s="38"/>
      <c r="P19" s="38"/>
      <c r="Q19" s="38"/>
      <c r="R19" s="38"/>
      <c r="S19" s="37">
        <f t="shared" si="4"/>
        <v>10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"/>
      <c r="BT19" s="37"/>
    </row>
    <row r="20" spans="1:72">
      <c r="A20" s="2"/>
      <c r="B20" s="2"/>
      <c r="C20" s="2" t="s">
        <v>187</v>
      </c>
      <c r="D20" s="2"/>
      <c r="E20" s="2"/>
      <c r="F20" s="2"/>
      <c r="G20" s="38"/>
      <c r="H20" s="38"/>
      <c r="I20" s="38"/>
      <c r="J20" s="38"/>
      <c r="K20" s="38"/>
      <c r="L20" s="38"/>
      <c r="M20" s="38">
        <v>10</v>
      </c>
      <c r="N20" s="38"/>
      <c r="O20" s="38"/>
      <c r="P20" s="38"/>
      <c r="Q20" s="38"/>
      <c r="R20" s="38"/>
      <c r="S20" s="37">
        <f t="shared" si="4"/>
        <v>10</v>
      </c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"/>
      <c r="BT20" s="37"/>
    </row>
    <row r="21" spans="1:72" ht="15.75" customHeight="1">
      <c r="A21" s="2"/>
      <c r="B21" s="2"/>
      <c r="C21" s="2" t="s">
        <v>188</v>
      </c>
      <c r="D21" s="2"/>
      <c r="E21" s="2"/>
      <c r="F21" s="2"/>
      <c r="G21" s="38"/>
      <c r="H21" s="38"/>
      <c r="I21" s="38"/>
      <c r="J21" s="38"/>
      <c r="K21" s="38"/>
      <c r="L21" s="38"/>
      <c r="M21" s="38"/>
      <c r="N21" s="38"/>
      <c r="O21" s="38">
        <v>10</v>
      </c>
      <c r="P21" s="38"/>
      <c r="Q21" s="38"/>
      <c r="R21" s="38"/>
      <c r="S21" s="37">
        <f t="shared" si="4"/>
        <v>10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"/>
      <c r="BT21" s="37"/>
    </row>
    <row r="22" spans="1:72" ht="15.75" customHeight="1">
      <c r="A22" s="2"/>
      <c r="B22" s="2"/>
      <c r="C22" s="2" t="s">
        <v>189</v>
      </c>
      <c r="D22" s="2"/>
      <c r="E22" s="2"/>
      <c r="F22" s="2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10</v>
      </c>
      <c r="S22" s="37">
        <f t="shared" si="4"/>
        <v>10</v>
      </c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"/>
      <c r="BT22" s="37"/>
    </row>
    <row r="23" spans="1:72" ht="15.75" customHeight="1">
      <c r="A23" s="2"/>
      <c r="B23" s="2"/>
      <c r="C23" s="2" t="s">
        <v>190</v>
      </c>
      <c r="D23" s="2"/>
      <c r="E23" s="2"/>
      <c r="F23" s="2"/>
      <c r="G23" s="38"/>
      <c r="H23" s="2">
        <v>10</v>
      </c>
      <c r="I23" s="38"/>
      <c r="J23" s="38"/>
      <c r="K23" s="38"/>
      <c r="L23" s="38"/>
      <c r="M23" s="38"/>
      <c r="N23" s="38"/>
      <c r="O23" s="38"/>
      <c r="P23" s="2"/>
      <c r="Q23" s="38"/>
      <c r="R23" s="38"/>
      <c r="S23" s="37">
        <f t="shared" si="4"/>
        <v>10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"/>
      <c r="BT23" s="37"/>
    </row>
    <row r="24" spans="1:72" ht="15.75" customHeight="1">
      <c r="A24" s="2"/>
      <c r="B24" s="2"/>
      <c r="C24" s="2" t="s">
        <v>191</v>
      </c>
      <c r="D24" s="2"/>
      <c r="E24" s="2"/>
      <c r="F24" s="2"/>
      <c r="G24" s="38"/>
      <c r="H24" s="2"/>
      <c r="I24" s="38"/>
      <c r="J24" s="38">
        <v>10</v>
      </c>
      <c r="K24" s="38"/>
      <c r="L24" s="38"/>
      <c r="M24" s="38"/>
      <c r="N24" s="38"/>
      <c r="O24" s="38"/>
      <c r="P24" s="2"/>
      <c r="Q24" s="38"/>
      <c r="R24" s="38"/>
      <c r="S24" s="37">
        <f t="shared" si="4"/>
        <v>10</v>
      </c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"/>
      <c r="BT24" s="37"/>
    </row>
    <row r="25" spans="1:72" ht="15.75" customHeight="1">
      <c r="A25" s="2"/>
      <c r="B25" s="2"/>
      <c r="C25" s="2" t="s">
        <v>192</v>
      </c>
      <c r="D25" s="2"/>
      <c r="E25" s="2"/>
      <c r="F25" s="2"/>
      <c r="G25" s="38"/>
      <c r="H25" s="2"/>
      <c r="I25" s="38"/>
      <c r="J25" s="38"/>
      <c r="K25" s="38">
        <v>10</v>
      </c>
      <c r="L25" s="38"/>
      <c r="M25" s="38"/>
      <c r="N25" s="38"/>
      <c r="O25" s="38"/>
      <c r="P25" s="2"/>
      <c r="Q25" s="38"/>
      <c r="R25" s="38"/>
      <c r="S25" s="37">
        <f t="shared" si="4"/>
        <v>10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"/>
      <c r="BT25" s="37"/>
    </row>
    <row r="26" spans="1:72" ht="15.75" customHeight="1">
      <c r="A26" s="2"/>
      <c r="B26" s="2"/>
      <c r="C26" s="2" t="s">
        <v>193</v>
      </c>
      <c r="D26" s="2"/>
      <c r="E26" s="2"/>
      <c r="F26" s="2"/>
      <c r="G26" s="38"/>
      <c r="H26" s="2"/>
      <c r="I26" s="38"/>
      <c r="J26" s="38"/>
      <c r="K26" s="38"/>
      <c r="L26" s="38">
        <v>10</v>
      </c>
      <c r="M26" s="38"/>
      <c r="N26" s="38"/>
      <c r="O26" s="38"/>
      <c r="P26" s="2"/>
      <c r="Q26" s="38"/>
      <c r="R26" s="38"/>
      <c r="S26" s="37">
        <f t="shared" si="4"/>
        <v>10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"/>
      <c r="BT26" s="37"/>
    </row>
    <row r="27" spans="1:72" ht="15.75" customHeight="1">
      <c r="A27" s="2"/>
      <c r="B27" s="2"/>
      <c r="C27" s="2" t="s">
        <v>194</v>
      </c>
      <c r="D27" s="2"/>
      <c r="E27" s="2"/>
      <c r="F27" s="2"/>
      <c r="G27" s="38"/>
      <c r="H27" s="2"/>
      <c r="I27" s="38"/>
      <c r="J27" s="38"/>
      <c r="K27" s="38"/>
      <c r="L27" s="38"/>
      <c r="M27" s="38">
        <v>10</v>
      </c>
      <c r="N27" s="38"/>
      <c r="O27" s="38"/>
      <c r="P27" s="2"/>
      <c r="Q27" s="38"/>
      <c r="R27" s="38"/>
      <c r="S27" s="37">
        <f t="shared" si="4"/>
        <v>10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"/>
      <c r="BT27" s="37"/>
    </row>
    <row r="28" spans="1:72" ht="15.75" customHeight="1">
      <c r="A28" s="2"/>
      <c r="B28" s="2"/>
      <c r="C28" s="2" t="s">
        <v>195</v>
      </c>
      <c r="D28" s="2"/>
      <c r="E28" s="2"/>
      <c r="F28" s="2"/>
      <c r="G28" s="38"/>
      <c r="H28" s="2"/>
      <c r="I28" s="38"/>
      <c r="J28" s="38"/>
      <c r="K28" s="38"/>
      <c r="L28" s="38"/>
      <c r="M28" s="38"/>
      <c r="N28" s="38">
        <v>10</v>
      </c>
      <c r="O28" s="38"/>
      <c r="P28" s="2"/>
      <c r="Q28" s="38"/>
      <c r="R28" s="38"/>
      <c r="S28" s="37">
        <f t="shared" si="4"/>
        <v>10</v>
      </c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"/>
      <c r="BT28" s="37"/>
    </row>
    <row r="29" spans="1:72" ht="15.75" customHeight="1">
      <c r="A29" s="2"/>
      <c r="B29" s="2"/>
      <c r="C29" s="2" t="s">
        <v>196</v>
      </c>
      <c r="D29" s="2"/>
      <c r="E29" s="2"/>
      <c r="F29" s="2"/>
      <c r="G29" s="38"/>
      <c r="H29" s="2"/>
      <c r="I29" s="38"/>
      <c r="J29" s="38"/>
      <c r="K29" s="38"/>
      <c r="L29" s="38"/>
      <c r="M29" s="38"/>
      <c r="N29" s="38"/>
      <c r="O29" s="38"/>
      <c r="P29" s="2">
        <v>10</v>
      </c>
      <c r="Q29" s="38"/>
      <c r="R29" s="38"/>
      <c r="S29" s="37">
        <f t="shared" si="4"/>
        <v>10</v>
      </c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"/>
      <c r="BT29" s="37"/>
    </row>
    <row r="30" spans="1:72" ht="15.75" customHeight="1">
      <c r="A30" s="2"/>
      <c r="B30" s="2"/>
      <c r="C30" s="2" t="s">
        <v>197</v>
      </c>
      <c r="D30" s="2"/>
      <c r="E30" s="2"/>
      <c r="F30" s="2"/>
      <c r="G30" s="38">
        <v>10</v>
      </c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7">
        <f t="shared" si="4"/>
        <v>10</v>
      </c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"/>
      <c r="BT30" s="37"/>
    </row>
    <row r="31" spans="1:72" ht="15.75" customHeight="1">
      <c r="A31" s="2"/>
      <c r="B31" s="2"/>
      <c r="C31" s="2" t="s">
        <v>198</v>
      </c>
      <c r="D31" s="2"/>
      <c r="E31" s="2"/>
      <c r="F31" s="2"/>
      <c r="G31" s="38"/>
      <c r="H31" s="38"/>
      <c r="I31" s="38"/>
      <c r="J31" s="38">
        <v>10</v>
      </c>
      <c r="K31" s="38"/>
      <c r="L31" s="38"/>
      <c r="M31" s="38"/>
      <c r="N31" s="38"/>
      <c r="O31" s="38"/>
      <c r="P31" s="38"/>
      <c r="Q31" s="38"/>
      <c r="R31" s="38"/>
      <c r="S31" s="37">
        <f t="shared" si="4"/>
        <v>10</v>
      </c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"/>
      <c r="BT31" s="37"/>
    </row>
    <row r="32" spans="1:72" ht="15.75" customHeight="1">
      <c r="A32" s="2"/>
      <c r="B32" s="2"/>
      <c r="C32" s="2" t="s">
        <v>199</v>
      </c>
      <c r="D32" s="2"/>
      <c r="E32" s="2"/>
      <c r="F32" s="2"/>
      <c r="G32" s="38"/>
      <c r="H32" s="38"/>
      <c r="I32" s="38"/>
      <c r="J32" s="38"/>
      <c r="K32" s="38"/>
      <c r="L32" s="38"/>
      <c r="M32" s="38">
        <v>10</v>
      </c>
      <c r="N32" s="38"/>
      <c r="O32" s="38"/>
      <c r="P32" s="38"/>
      <c r="Q32" s="38"/>
      <c r="R32" s="38"/>
      <c r="S32" s="37">
        <f t="shared" si="4"/>
        <v>10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"/>
      <c r="BT32" s="37"/>
    </row>
    <row r="33" spans="1:72" ht="15.75" customHeight="1">
      <c r="A33" s="2"/>
      <c r="B33" s="2"/>
      <c r="C33" s="2" t="s">
        <v>200</v>
      </c>
      <c r="D33" s="2"/>
      <c r="E33" s="2"/>
      <c r="F33" s="2"/>
      <c r="G33" s="38"/>
      <c r="H33" s="38"/>
      <c r="I33" s="38"/>
      <c r="J33" s="38"/>
      <c r="K33" s="38"/>
      <c r="L33" s="38"/>
      <c r="M33" s="38"/>
      <c r="N33" s="38"/>
      <c r="O33" s="38"/>
      <c r="P33" s="38">
        <v>10</v>
      </c>
      <c r="Q33" s="38"/>
      <c r="R33" s="38"/>
      <c r="S33" s="37">
        <f t="shared" si="4"/>
        <v>10</v>
      </c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"/>
      <c r="BT33" s="37"/>
    </row>
    <row r="34" spans="1:72" ht="15.75" customHeight="1">
      <c r="A34" s="2"/>
      <c r="B34" s="2"/>
      <c r="C34" s="2" t="s">
        <v>201</v>
      </c>
      <c r="D34" s="2"/>
      <c r="E34" s="2"/>
      <c r="F34" s="2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>
        <v>10</v>
      </c>
      <c r="R34" s="2"/>
      <c r="S34" s="37">
        <f>SUM(G34:Q34)</f>
        <v>10</v>
      </c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"/>
      <c r="BT34" s="37"/>
    </row>
    <row r="35" spans="1:72" ht="15.75" customHeight="1">
      <c r="A35" s="2"/>
      <c r="B35" s="2"/>
      <c r="C35" s="2" t="s">
        <v>202</v>
      </c>
      <c r="D35" s="2"/>
      <c r="E35" s="2"/>
      <c r="F35" s="2"/>
      <c r="G35" s="38"/>
      <c r="H35" s="38"/>
      <c r="I35" s="38">
        <v>10</v>
      </c>
      <c r="J35" s="38"/>
      <c r="K35" s="38"/>
      <c r="L35" s="38"/>
      <c r="M35" s="38"/>
      <c r="N35" s="38"/>
      <c r="O35" s="38"/>
      <c r="P35" s="38"/>
      <c r="Q35" s="38"/>
      <c r="R35" s="2"/>
      <c r="S35" s="37">
        <f t="shared" ref="S35:S43" si="5">SUM(G35:R35)</f>
        <v>10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"/>
      <c r="BT35" s="37"/>
    </row>
    <row r="36" spans="1:72" ht="15.75" customHeight="1">
      <c r="A36" s="2"/>
      <c r="B36" s="2"/>
      <c r="C36" s="2" t="s">
        <v>203</v>
      </c>
      <c r="D36" s="2"/>
      <c r="E36" s="2"/>
      <c r="F36" s="2"/>
      <c r="G36" s="38"/>
      <c r="H36" s="38"/>
      <c r="I36" s="38"/>
      <c r="J36" s="38"/>
      <c r="K36" s="38"/>
      <c r="L36" s="38">
        <v>10</v>
      </c>
      <c r="M36" s="38"/>
      <c r="N36" s="38"/>
      <c r="O36" s="38"/>
      <c r="P36" s="38"/>
      <c r="Q36" s="38"/>
      <c r="R36" s="38"/>
      <c r="S36" s="37">
        <f t="shared" si="5"/>
        <v>10</v>
      </c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"/>
      <c r="BT36" s="37"/>
    </row>
    <row r="37" spans="1:72" ht="15.75" customHeight="1">
      <c r="A37" s="2"/>
      <c r="B37" s="2"/>
      <c r="C37" s="2" t="s">
        <v>204</v>
      </c>
      <c r="D37" s="2"/>
      <c r="E37" s="2"/>
      <c r="F37" s="2"/>
      <c r="G37" s="38"/>
      <c r="H37" s="38"/>
      <c r="I37" s="38"/>
      <c r="J37" s="38"/>
      <c r="K37" s="38"/>
      <c r="L37" s="38"/>
      <c r="M37" s="38"/>
      <c r="N37" s="38"/>
      <c r="O37" s="38">
        <v>10</v>
      </c>
      <c r="P37" s="38"/>
      <c r="Q37" s="38"/>
      <c r="R37" s="38"/>
      <c r="S37" s="37">
        <f t="shared" si="5"/>
        <v>10</v>
      </c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"/>
      <c r="BT37" s="37"/>
    </row>
    <row r="38" spans="1:72" ht="15.75" customHeight="1">
      <c r="A38" s="2"/>
      <c r="B38" s="2"/>
      <c r="C38" s="2" t="s">
        <v>205</v>
      </c>
      <c r="D38" s="2"/>
      <c r="E38" s="2"/>
      <c r="F38" s="2"/>
      <c r="G38" s="38"/>
      <c r="H38" s="38"/>
      <c r="I38" s="38"/>
      <c r="J38" s="38"/>
      <c r="K38" s="38"/>
      <c r="L38" s="38"/>
      <c r="M38" s="38"/>
      <c r="N38" s="38"/>
      <c r="O38" s="38">
        <v>10</v>
      </c>
      <c r="P38" s="38"/>
      <c r="Q38" s="38"/>
      <c r="R38" s="38"/>
      <c r="S38" s="37">
        <f t="shared" si="5"/>
        <v>10</v>
      </c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"/>
      <c r="BT38" s="37"/>
    </row>
    <row r="39" spans="1:72" ht="15.75" customHeight="1">
      <c r="A39" s="2"/>
      <c r="B39" s="2"/>
      <c r="C39" s="2" t="s">
        <v>206</v>
      </c>
      <c r="D39" s="2"/>
      <c r="E39" s="2"/>
      <c r="F39" s="2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10</v>
      </c>
      <c r="S39" s="37">
        <f t="shared" si="5"/>
        <v>10</v>
      </c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"/>
      <c r="BT39" s="37"/>
    </row>
    <row r="40" spans="1:72" ht="15.75" customHeight="1">
      <c r="A40" s="2"/>
      <c r="B40" s="2"/>
      <c r="C40" s="2" t="s">
        <v>207</v>
      </c>
      <c r="D40" s="2"/>
      <c r="E40" s="2"/>
      <c r="F40" s="2"/>
      <c r="G40" s="38">
        <v>10</v>
      </c>
      <c r="H40" s="38"/>
      <c r="I40" s="38"/>
      <c r="J40" s="38">
        <v>10</v>
      </c>
      <c r="K40" s="38"/>
      <c r="L40" s="38"/>
      <c r="M40" s="38">
        <v>10</v>
      </c>
      <c r="N40" s="38"/>
      <c r="O40" s="38"/>
      <c r="P40" s="38">
        <v>10</v>
      </c>
      <c r="Q40" s="38"/>
      <c r="R40" s="38"/>
      <c r="S40" s="37">
        <f t="shared" si="5"/>
        <v>40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"/>
      <c r="BT40" s="37"/>
    </row>
    <row r="41" spans="1:72" ht="15.75" customHeight="1">
      <c r="A41" s="2"/>
      <c r="B41" s="2"/>
      <c r="C41" s="2" t="s">
        <v>208</v>
      </c>
      <c r="D41" s="2"/>
      <c r="E41" s="2"/>
      <c r="F41" s="2"/>
      <c r="G41" s="38"/>
      <c r="H41" s="38">
        <v>10</v>
      </c>
      <c r="I41" s="38"/>
      <c r="J41" s="38"/>
      <c r="K41" s="2"/>
      <c r="L41" s="38"/>
      <c r="M41" s="38"/>
      <c r="N41" s="38">
        <v>10</v>
      </c>
      <c r="O41" s="38"/>
      <c r="P41" s="38"/>
      <c r="Q41" s="38"/>
      <c r="R41" s="38"/>
      <c r="S41" s="37">
        <f t="shared" si="5"/>
        <v>20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"/>
      <c r="BT41" s="37"/>
    </row>
    <row r="42" spans="1:72" ht="15.75" customHeight="1">
      <c r="A42" s="2"/>
      <c r="B42" s="2"/>
      <c r="C42" s="2" t="s">
        <v>209</v>
      </c>
      <c r="D42" s="2"/>
      <c r="E42" s="2"/>
      <c r="F42" s="2"/>
      <c r="G42" s="38"/>
      <c r="H42" s="38"/>
      <c r="I42" s="38"/>
      <c r="J42" s="38"/>
      <c r="K42" s="38">
        <v>10</v>
      </c>
      <c r="L42" s="38"/>
      <c r="M42" s="38"/>
      <c r="N42" s="38"/>
      <c r="O42" s="38"/>
      <c r="P42" s="38"/>
      <c r="Q42" s="38"/>
      <c r="R42" s="38"/>
      <c r="S42" s="37">
        <f t="shared" si="5"/>
        <v>10</v>
      </c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"/>
      <c r="BT42" s="37"/>
    </row>
    <row r="43" spans="1:72" ht="15.75" customHeight="1">
      <c r="A43" s="2"/>
      <c r="B43" s="2"/>
      <c r="C43" s="32" t="s">
        <v>210</v>
      </c>
      <c r="D43" s="32"/>
      <c r="E43" s="32"/>
      <c r="F43" s="32"/>
      <c r="G43" s="73"/>
      <c r="H43" s="73">
        <v>0</v>
      </c>
      <c r="I43" s="73"/>
      <c r="J43" s="73"/>
      <c r="K43" s="73">
        <v>0</v>
      </c>
      <c r="L43" s="73"/>
      <c r="M43" s="73"/>
      <c r="N43" s="73"/>
      <c r="O43" s="73"/>
      <c r="P43" s="73">
        <v>10</v>
      </c>
      <c r="Q43" s="73"/>
      <c r="R43" s="73"/>
      <c r="S43" s="74">
        <f t="shared" si="5"/>
        <v>10</v>
      </c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"/>
      <c r="BT43" s="37"/>
    </row>
    <row r="44" spans="1:72" ht="15.75" customHeight="1">
      <c r="A44" s="2"/>
      <c r="B44" s="2"/>
      <c r="C44" s="2"/>
      <c r="D44" s="2"/>
      <c r="E44" s="2"/>
      <c r="F44" s="2"/>
      <c r="G44" s="38">
        <v>0</v>
      </c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</row>
    <row r="45" spans="1:72" ht="15.75" customHeight="1">
      <c r="A45" s="1"/>
      <c r="B45" s="1" t="str">
        <f>CONCATENATE("Total ",A7)</f>
        <v xml:space="preserve">Total Brewed (bbls) </v>
      </c>
      <c r="C45" s="1"/>
      <c r="D45" s="1"/>
      <c r="E45" s="1"/>
      <c r="F45" s="1"/>
      <c r="G45" s="44">
        <f t="shared" ref="G45:BT45" si="6">SUM(G8:G43)</f>
        <v>50</v>
      </c>
      <c r="H45" s="44">
        <f t="shared" si="6"/>
        <v>40</v>
      </c>
      <c r="I45" s="44">
        <f t="shared" si="6"/>
        <v>50</v>
      </c>
      <c r="J45" s="44">
        <f t="shared" si="6"/>
        <v>50</v>
      </c>
      <c r="K45" s="44">
        <f>SUM(K8:K43)</f>
        <v>50</v>
      </c>
      <c r="L45" s="44">
        <f t="shared" si="6"/>
        <v>50</v>
      </c>
      <c r="M45" s="44">
        <f t="shared" si="6"/>
        <v>50</v>
      </c>
      <c r="N45" s="44">
        <f t="shared" si="6"/>
        <v>40</v>
      </c>
      <c r="O45" s="44">
        <f t="shared" si="6"/>
        <v>50</v>
      </c>
      <c r="P45" s="44">
        <f t="shared" si="6"/>
        <v>50</v>
      </c>
      <c r="Q45" s="44">
        <f t="shared" si="6"/>
        <v>50</v>
      </c>
      <c r="R45" s="44">
        <f t="shared" si="6"/>
        <v>50</v>
      </c>
      <c r="S45" s="44">
        <f t="shared" si="6"/>
        <v>580</v>
      </c>
      <c r="T45" s="44">
        <f t="shared" si="6"/>
        <v>0</v>
      </c>
      <c r="U45" s="44">
        <f t="shared" si="6"/>
        <v>0</v>
      </c>
      <c r="V45" s="44">
        <f t="shared" si="6"/>
        <v>0</v>
      </c>
      <c r="W45" s="44">
        <f t="shared" si="6"/>
        <v>0</v>
      </c>
      <c r="X45" s="44">
        <f t="shared" si="6"/>
        <v>0</v>
      </c>
      <c r="Y45" s="44">
        <f t="shared" si="6"/>
        <v>0</v>
      </c>
      <c r="Z45" s="44">
        <f t="shared" si="6"/>
        <v>0</v>
      </c>
      <c r="AA45" s="44">
        <f t="shared" si="6"/>
        <v>0</v>
      </c>
      <c r="AB45" s="44">
        <f t="shared" si="6"/>
        <v>0</v>
      </c>
      <c r="AC45" s="44">
        <f t="shared" si="6"/>
        <v>0</v>
      </c>
      <c r="AD45" s="44">
        <f t="shared" si="6"/>
        <v>0</v>
      </c>
      <c r="AE45" s="44">
        <f t="shared" si="6"/>
        <v>0</v>
      </c>
      <c r="AF45" s="44">
        <f t="shared" si="6"/>
        <v>0</v>
      </c>
      <c r="AG45" s="44">
        <f t="shared" si="6"/>
        <v>0</v>
      </c>
      <c r="AH45" s="44">
        <f t="shared" si="6"/>
        <v>0</v>
      </c>
      <c r="AI45" s="44">
        <f t="shared" si="6"/>
        <v>0</v>
      </c>
      <c r="AJ45" s="44">
        <f t="shared" si="6"/>
        <v>0</v>
      </c>
      <c r="AK45" s="44">
        <f t="shared" si="6"/>
        <v>0</v>
      </c>
      <c r="AL45" s="44">
        <f t="shared" si="6"/>
        <v>0</v>
      </c>
      <c r="AM45" s="44">
        <f t="shared" si="6"/>
        <v>0</v>
      </c>
      <c r="AN45" s="44">
        <f t="shared" si="6"/>
        <v>0</v>
      </c>
      <c r="AO45" s="44">
        <f t="shared" si="6"/>
        <v>0</v>
      </c>
      <c r="AP45" s="44">
        <f t="shared" si="6"/>
        <v>0</v>
      </c>
      <c r="AQ45" s="44">
        <f t="shared" si="6"/>
        <v>0</v>
      </c>
      <c r="AR45" s="44">
        <f t="shared" si="6"/>
        <v>0</v>
      </c>
      <c r="AS45" s="44">
        <f t="shared" si="6"/>
        <v>0</v>
      </c>
      <c r="AT45" s="44">
        <f t="shared" si="6"/>
        <v>0</v>
      </c>
      <c r="AU45" s="44">
        <f t="shared" si="6"/>
        <v>0</v>
      </c>
      <c r="AV45" s="44">
        <f t="shared" si="6"/>
        <v>0</v>
      </c>
      <c r="AW45" s="44">
        <f t="shared" si="6"/>
        <v>0</v>
      </c>
      <c r="AX45" s="44">
        <f t="shared" si="6"/>
        <v>0</v>
      </c>
      <c r="AY45" s="44">
        <f t="shared" si="6"/>
        <v>0</v>
      </c>
      <c r="AZ45" s="44">
        <f t="shared" si="6"/>
        <v>0</v>
      </c>
      <c r="BA45" s="44">
        <f t="shared" si="6"/>
        <v>0</v>
      </c>
      <c r="BB45" s="44">
        <f t="shared" si="6"/>
        <v>0</v>
      </c>
      <c r="BC45" s="44">
        <f t="shared" si="6"/>
        <v>0</v>
      </c>
      <c r="BD45" s="44">
        <f t="shared" si="6"/>
        <v>0</v>
      </c>
      <c r="BE45" s="44">
        <f t="shared" si="6"/>
        <v>0</v>
      </c>
      <c r="BF45" s="44">
        <f t="shared" si="6"/>
        <v>0</v>
      </c>
      <c r="BG45" s="44">
        <f t="shared" si="6"/>
        <v>0</v>
      </c>
      <c r="BH45" s="44">
        <f t="shared" si="6"/>
        <v>0</v>
      </c>
      <c r="BI45" s="44">
        <f t="shared" si="6"/>
        <v>0</v>
      </c>
      <c r="BJ45" s="44">
        <f t="shared" si="6"/>
        <v>0</v>
      </c>
      <c r="BK45" s="44">
        <f t="shared" si="6"/>
        <v>0</v>
      </c>
      <c r="BL45" s="44">
        <f t="shared" si="6"/>
        <v>0</v>
      </c>
      <c r="BM45" s="44">
        <f t="shared" si="6"/>
        <v>0</v>
      </c>
      <c r="BN45" s="44">
        <f t="shared" si="6"/>
        <v>0</v>
      </c>
      <c r="BO45" s="44">
        <f t="shared" si="6"/>
        <v>0</v>
      </c>
      <c r="BP45" s="44">
        <f t="shared" si="6"/>
        <v>0</v>
      </c>
      <c r="BQ45" s="44">
        <f t="shared" si="6"/>
        <v>0</v>
      </c>
      <c r="BR45" s="44">
        <f t="shared" si="6"/>
        <v>0</v>
      </c>
      <c r="BS45" s="44">
        <f t="shared" si="6"/>
        <v>0</v>
      </c>
      <c r="BT45" s="44">
        <f t="shared" si="6"/>
        <v>50</v>
      </c>
    </row>
    <row r="46" spans="1:72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1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1"/>
    </row>
    <row r="47" spans="1:72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1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1"/>
    </row>
    <row r="48" spans="1:72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1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1"/>
    </row>
    <row r="49" spans="1:72" ht="15.75" customHeight="1">
      <c r="A49" s="2"/>
      <c r="B49" s="1" t="s">
        <v>211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1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1"/>
    </row>
    <row r="50" spans="1:72" ht="15.75" customHeight="1">
      <c r="A50" s="2"/>
      <c r="B50" s="75" t="s">
        <v>212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1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1"/>
    </row>
    <row r="51" spans="1:72" ht="15.75" customHeight="1">
      <c r="A51" s="2"/>
      <c r="B51" s="63"/>
      <c r="C51" s="2" t="s">
        <v>213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1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1"/>
    </row>
    <row r="52" spans="1:72" ht="15.75" customHeight="1">
      <c r="A52" s="2"/>
      <c r="B52" s="63"/>
      <c r="C52" s="2"/>
      <c r="D52" s="2" t="s">
        <v>214</v>
      </c>
      <c r="E52" s="2"/>
      <c r="F52" s="2"/>
      <c r="G52" s="76">
        <v>6.75</v>
      </c>
      <c r="H52" s="77">
        <f t="shared" ref="H52:R52" si="7">G55</f>
        <v>6.75</v>
      </c>
      <c r="I52" s="77">
        <f t="shared" si="7"/>
        <v>46.75</v>
      </c>
      <c r="J52" s="77">
        <f t="shared" si="7"/>
        <v>96.75</v>
      </c>
      <c r="K52" s="77">
        <f t="shared" si="7"/>
        <v>146.75</v>
      </c>
      <c r="L52" s="77">
        <f t="shared" si="7"/>
        <v>196.75</v>
      </c>
      <c r="M52" s="77">
        <f t="shared" si="7"/>
        <v>246.75</v>
      </c>
      <c r="N52" s="77">
        <f t="shared" si="7"/>
        <v>296.75</v>
      </c>
      <c r="O52" s="77">
        <f t="shared" si="7"/>
        <v>336.75</v>
      </c>
      <c r="P52" s="77">
        <f t="shared" si="7"/>
        <v>386.75</v>
      </c>
      <c r="Q52" s="77">
        <f t="shared" si="7"/>
        <v>436.75</v>
      </c>
      <c r="R52" s="77">
        <f t="shared" si="7"/>
        <v>486.75</v>
      </c>
      <c r="S52" s="78">
        <f>G52</f>
        <v>6.75</v>
      </c>
      <c r="T52" s="77">
        <f t="shared" ref="T52:AE52" si="8">R55</f>
        <v>536.75</v>
      </c>
      <c r="U52" s="77">
        <f t="shared" si="8"/>
        <v>536.75</v>
      </c>
      <c r="V52" s="77">
        <f t="shared" si="8"/>
        <v>356.75</v>
      </c>
      <c r="W52" s="77">
        <f t="shared" si="8"/>
        <v>356.75</v>
      </c>
      <c r="X52" s="77">
        <f t="shared" si="8"/>
        <v>176.75</v>
      </c>
      <c r="Y52" s="77">
        <f t="shared" si="8"/>
        <v>176.75</v>
      </c>
      <c r="Z52" s="77">
        <f t="shared" si="8"/>
        <v>-3.25</v>
      </c>
      <c r="AA52" s="77">
        <f t="shared" si="8"/>
        <v>-3.25</v>
      </c>
      <c r="AB52" s="77">
        <f t="shared" si="8"/>
        <v>-183.25</v>
      </c>
      <c r="AC52" s="77">
        <f t="shared" si="8"/>
        <v>-183.25</v>
      </c>
      <c r="AD52" s="77">
        <f t="shared" si="8"/>
        <v>-363.25</v>
      </c>
      <c r="AE52" s="77">
        <f t="shared" si="8"/>
        <v>-363.25</v>
      </c>
      <c r="AF52" s="78">
        <f>T52</f>
        <v>536.75</v>
      </c>
      <c r="AG52" s="77">
        <f t="shared" ref="AG52:AR52" si="9">AE55</f>
        <v>-543.25</v>
      </c>
      <c r="AH52" s="77">
        <f t="shared" si="9"/>
        <v>-1623.25</v>
      </c>
      <c r="AI52" s="77">
        <f t="shared" si="9"/>
        <v>-783.25</v>
      </c>
      <c r="AJ52" s="77">
        <f t="shared" si="9"/>
        <v>-1863.25</v>
      </c>
      <c r="AK52" s="77">
        <f t="shared" si="9"/>
        <v>-1023.25</v>
      </c>
      <c r="AL52" s="77">
        <f t="shared" si="9"/>
        <v>-2103.25</v>
      </c>
      <c r="AM52" s="77">
        <f t="shared" si="9"/>
        <v>-1263.25</v>
      </c>
      <c r="AN52" s="77">
        <f t="shared" si="9"/>
        <v>-2343.25</v>
      </c>
      <c r="AO52" s="77">
        <f t="shared" si="9"/>
        <v>-1503.25</v>
      </c>
      <c r="AP52" s="77">
        <f t="shared" si="9"/>
        <v>-2583.25</v>
      </c>
      <c r="AQ52" s="77">
        <f t="shared" si="9"/>
        <v>-1743.25</v>
      </c>
      <c r="AR52" s="77">
        <f t="shared" si="9"/>
        <v>-2823.25</v>
      </c>
      <c r="AS52" s="78">
        <f>AG52</f>
        <v>-543.25</v>
      </c>
      <c r="AT52" s="77">
        <f t="shared" ref="AT52:BE52" si="10">AR55</f>
        <v>-3063.25</v>
      </c>
      <c r="AU52" s="77">
        <f t="shared" si="10"/>
        <v>-3423.25</v>
      </c>
      <c r="AV52" s="77">
        <f t="shared" si="10"/>
        <v>-3403.25</v>
      </c>
      <c r="AW52" s="77">
        <f t="shared" si="10"/>
        <v>-3763.25</v>
      </c>
      <c r="AX52" s="77">
        <f t="shared" si="10"/>
        <v>-3743.25</v>
      </c>
      <c r="AY52" s="77">
        <f t="shared" si="10"/>
        <v>-4103.25</v>
      </c>
      <c r="AZ52" s="77">
        <f t="shared" si="10"/>
        <v>-4083.25</v>
      </c>
      <c r="BA52" s="77">
        <f t="shared" si="10"/>
        <v>-4443.25</v>
      </c>
      <c r="BB52" s="77">
        <f t="shared" si="10"/>
        <v>-4423.25</v>
      </c>
      <c r="BC52" s="77">
        <f t="shared" si="10"/>
        <v>-4783.25</v>
      </c>
      <c r="BD52" s="77">
        <f t="shared" si="10"/>
        <v>-4763.25</v>
      </c>
      <c r="BE52" s="77">
        <f t="shared" si="10"/>
        <v>-5123.25</v>
      </c>
      <c r="BF52" s="78">
        <f>AT52</f>
        <v>-3063.25</v>
      </c>
      <c r="BG52" s="77">
        <f t="shared" ref="BG52:BR52" si="11">BE55</f>
        <v>-5463.25</v>
      </c>
      <c r="BH52" s="77">
        <f t="shared" si="11"/>
        <v>-7143.25</v>
      </c>
      <c r="BI52" s="77">
        <f t="shared" si="11"/>
        <v>-5863.25</v>
      </c>
      <c r="BJ52" s="77">
        <f t="shared" si="11"/>
        <v>-7543.25</v>
      </c>
      <c r="BK52" s="77">
        <f t="shared" si="11"/>
        <v>-6263.25</v>
      </c>
      <c r="BL52" s="77">
        <f t="shared" si="11"/>
        <v>-7943.25</v>
      </c>
      <c r="BM52" s="77">
        <f t="shared" si="11"/>
        <v>-6663.25</v>
      </c>
      <c r="BN52" s="77">
        <f t="shared" si="11"/>
        <v>-8343.25</v>
      </c>
      <c r="BO52" s="77">
        <f t="shared" si="11"/>
        <v>-7063.25</v>
      </c>
      <c r="BP52" s="77">
        <f t="shared" si="11"/>
        <v>-8743.25</v>
      </c>
      <c r="BQ52" s="77">
        <f t="shared" si="11"/>
        <v>-7463.25</v>
      </c>
      <c r="BR52" s="77">
        <f t="shared" si="11"/>
        <v>-9143.25</v>
      </c>
      <c r="BS52" s="78">
        <f>BG52</f>
        <v>-5463.25</v>
      </c>
      <c r="BT52" s="78">
        <f>G52</f>
        <v>6.75</v>
      </c>
    </row>
    <row r="53" spans="1:72" ht="15.75" customHeight="1">
      <c r="A53" s="2"/>
      <c r="B53" s="79"/>
      <c r="C53" s="2"/>
      <c r="D53" s="2" t="s">
        <v>215</v>
      </c>
      <c r="E53" s="2"/>
      <c r="F53" s="2"/>
      <c r="G53" s="80">
        <f t="shared" ref="G53:R53" si="12">G45</f>
        <v>50</v>
      </c>
      <c r="H53" s="80">
        <f t="shared" si="12"/>
        <v>40</v>
      </c>
      <c r="I53" s="80">
        <f t="shared" si="12"/>
        <v>50</v>
      </c>
      <c r="J53" s="80">
        <f t="shared" si="12"/>
        <v>50</v>
      </c>
      <c r="K53" s="80">
        <f t="shared" si="12"/>
        <v>50</v>
      </c>
      <c r="L53" s="80">
        <f t="shared" si="12"/>
        <v>50</v>
      </c>
      <c r="M53" s="80">
        <f t="shared" si="12"/>
        <v>50</v>
      </c>
      <c r="N53" s="80">
        <f t="shared" si="12"/>
        <v>40</v>
      </c>
      <c r="O53" s="80">
        <f t="shared" si="12"/>
        <v>50</v>
      </c>
      <c r="P53" s="80">
        <f t="shared" si="12"/>
        <v>50</v>
      </c>
      <c r="Q53" s="80">
        <f t="shared" si="12"/>
        <v>50</v>
      </c>
      <c r="R53" s="80">
        <f t="shared" si="12"/>
        <v>50</v>
      </c>
      <c r="S53" s="78">
        <f>SUM(G53:R53)</f>
        <v>580</v>
      </c>
      <c r="T53" s="80">
        <f t="shared" ref="T53:AE53" si="13">T45</f>
        <v>0</v>
      </c>
      <c r="U53" s="80">
        <f t="shared" si="13"/>
        <v>0</v>
      </c>
      <c r="V53" s="80">
        <f t="shared" si="13"/>
        <v>0</v>
      </c>
      <c r="W53" s="80">
        <f t="shared" si="13"/>
        <v>0</v>
      </c>
      <c r="X53" s="80">
        <f t="shared" si="13"/>
        <v>0</v>
      </c>
      <c r="Y53" s="80">
        <f t="shared" si="13"/>
        <v>0</v>
      </c>
      <c r="Z53" s="80">
        <f t="shared" si="13"/>
        <v>0</v>
      </c>
      <c r="AA53" s="80">
        <f t="shared" si="13"/>
        <v>0</v>
      </c>
      <c r="AB53" s="80">
        <f t="shared" si="13"/>
        <v>0</v>
      </c>
      <c r="AC53" s="80">
        <f t="shared" si="13"/>
        <v>0</v>
      </c>
      <c r="AD53" s="80">
        <f t="shared" si="13"/>
        <v>0</v>
      </c>
      <c r="AE53" s="80">
        <f t="shared" si="13"/>
        <v>0</v>
      </c>
      <c r="AF53" s="78">
        <f>SUM(T53:AE53)</f>
        <v>0</v>
      </c>
      <c r="AG53" s="80">
        <f t="shared" ref="AG53:AR53" si="14">AG45</f>
        <v>0</v>
      </c>
      <c r="AH53" s="80">
        <f t="shared" si="14"/>
        <v>0</v>
      </c>
      <c r="AI53" s="80">
        <f t="shared" si="14"/>
        <v>0</v>
      </c>
      <c r="AJ53" s="80">
        <f t="shared" si="14"/>
        <v>0</v>
      </c>
      <c r="AK53" s="80">
        <f t="shared" si="14"/>
        <v>0</v>
      </c>
      <c r="AL53" s="80">
        <f t="shared" si="14"/>
        <v>0</v>
      </c>
      <c r="AM53" s="80">
        <f t="shared" si="14"/>
        <v>0</v>
      </c>
      <c r="AN53" s="80">
        <f t="shared" si="14"/>
        <v>0</v>
      </c>
      <c r="AO53" s="80">
        <f t="shared" si="14"/>
        <v>0</v>
      </c>
      <c r="AP53" s="80">
        <f t="shared" si="14"/>
        <v>0</v>
      </c>
      <c r="AQ53" s="80">
        <f t="shared" si="14"/>
        <v>0</v>
      </c>
      <c r="AR53" s="80">
        <f t="shared" si="14"/>
        <v>0</v>
      </c>
      <c r="AS53" s="78">
        <f>SUM(AG53:AR53)</f>
        <v>0</v>
      </c>
      <c r="AT53" s="80">
        <f t="shared" ref="AT53:BE53" si="15">AT45</f>
        <v>0</v>
      </c>
      <c r="AU53" s="80">
        <f t="shared" si="15"/>
        <v>0</v>
      </c>
      <c r="AV53" s="80">
        <f t="shared" si="15"/>
        <v>0</v>
      </c>
      <c r="AW53" s="80">
        <f t="shared" si="15"/>
        <v>0</v>
      </c>
      <c r="AX53" s="80">
        <f t="shared" si="15"/>
        <v>0</v>
      </c>
      <c r="AY53" s="80">
        <f t="shared" si="15"/>
        <v>0</v>
      </c>
      <c r="AZ53" s="80">
        <f t="shared" si="15"/>
        <v>0</v>
      </c>
      <c r="BA53" s="80">
        <f t="shared" si="15"/>
        <v>0</v>
      </c>
      <c r="BB53" s="80">
        <f t="shared" si="15"/>
        <v>0</v>
      </c>
      <c r="BC53" s="80">
        <f t="shared" si="15"/>
        <v>0</v>
      </c>
      <c r="BD53" s="80">
        <f t="shared" si="15"/>
        <v>0</v>
      </c>
      <c r="BE53" s="80">
        <f t="shared" si="15"/>
        <v>0</v>
      </c>
      <c r="BF53" s="78">
        <f>SUM(AT53:BE53)</f>
        <v>0</v>
      </c>
      <c r="BG53" s="80">
        <f t="shared" ref="BG53:BR53" si="16">BG45</f>
        <v>0</v>
      </c>
      <c r="BH53" s="80">
        <f t="shared" si="16"/>
        <v>0</v>
      </c>
      <c r="BI53" s="80">
        <f t="shared" si="16"/>
        <v>0</v>
      </c>
      <c r="BJ53" s="80">
        <f t="shared" si="16"/>
        <v>0</v>
      </c>
      <c r="BK53" s="80">
        <f t="shared" si="16"/>
        <v>0</v>
      </c>
      <c r="BL53" s="80">
        <f t="shared" si="16"/>
        <v>0</v>
      </c>
      <c r="BM53" s="80">
        <f t="shared" si="16"/>
        <v>0</v>
      </c>
      <c r="BN53" s="80">
        <f t="shared" si="16"/>
        <v>0</v>
      </c>
      <c r="BO53" s="80">
        <f t="shared" si="16"/>
        <v>0</v>
      </c>
      <c r="BP53" s="80">
        <f t="shared" si="16"/>
        <v>0</v>
      </c>
      <c r="BQ53" s="80">
        <f t="shared" si="16"/>
        <v>0</v>
      </c>
      <c r="BR53" s="80">
        <f t="shared" si="16"/>
        <v>0</v>
      </c>
      <c r="BS53" s="78">
        <f>SUM(BG53:BR53)</f>
        <v>0</v>
      </c>
      <c r="BT53" s="37">
        <f>S53+AF53+AS53+BF53+BS53</f>
        <v>580</v>
      </c>
    </row>
    <row r="54" spans="1:72" ht="15.75" customHeight="1">
      <c r="A54" s="2"/>
      <c r="B54" s="79"/>
      <c r="C54" s="2"/>
      <c r="D54" s="2" t="s">
        <v>216</v>
      </c>
      <c r="E54" s="2"/>
      <c r="F54" s="2"/>
      <c r="G54" s="81">
        <f t="shared" ref="G54:R54" si="17">-G56-G57-G58</f>
        <v>-50</v>
      </c>
      <c r="H54" s="81">
        <f t="shared" si="17"/>
        <v>0</v>
      </c>
      <c r="I54" s="81">
        <f t="shared" si="17"/>
        <v>0</v>
      </c>
      <c r="J54" s="81">
        <f t="shared" si="17"/>
        <v>0</v>
      </c>
      <c r="K54" s="81">
        <f t="shared" si="17"/>
        <v>0</v>
      </c>
      <c r="L54" s="81">
        <f t="shared" si="17"/>
        <v>0</v>
      </c>
      <c r="M54" s="81">
        <f t="shared" si="17"/>
        <v>0</v>
      </c>
      <c r="N54" s="81">
        <f t="shared" si="17"/>
        <v>0</v>
      </c>
      <c r="O54" s="81">
        <f t="shared" si="17"/>
        <v>0</v>
      </c>
      <c r="P54" s="81">
        <f t="shared" si="17"/>
        <v>0</v>
      </c>
      <c r="Q54" s="81">
        <f t="shared" si="17"/>
        <v>0</v>
      </c>
      <c r="R54" s="81">
        <f t="shared" si="17"/>
        <v>0</v>
      </c>
      <c r="S54" s="78">
        <f>SUM(G54:R54)</f>
        <v>-50</v>
      </c>
      <c r="T54" s="81">
        <f t="shared" ref="T54:AE54" si="18">-T56-T57-T58</f>
        <v>-180</v>
      </c>
      <c r="U54" s="81">
        <f t="shared" si="18"/>
        <v>-180</v>
      </c>
      <c r="V54" s="81">
        <f t="shared" si="18"/>
        <v>-180</v>
      </c>
      <c r="W54" s="81">
        <f t="shared" si="18"/>
        <v>-180</v>
      </c>
      <c r="X54" s="81">
        <f t="shared" si="18"/>
        <v>-180</v>
      </c>
      <c r="Y54" s="81">
        <f t="shared" si="18"/>
        <v>-180</v>
      </c>
      <c r="Z54" s="81">
        <f t="shared" si="18"/>
        <v>-180</v>
      </c>
      <c r="AA54" s="81">
        <f t="shared" si="18"/>
        <v>-180</v>
      </c>
      <c r="AB54" s="81">
        <f t="shared" si="18"/>
        <v>-180</v>
      </c>
      <c r="AC54" s="81">
        <f t="shared" si="18"/>
        <v>-180</v>
      </c>
      <c r="AD54" s="81">
        <f t="shared" si="18"/>
        <v>-180</v>
      </c>
      <c r="AE54" s="81">
        <f t="shared" si="18"/>
        <v>-180</v>
      </c>
      <c r="AF54" s="78">
        <f>SUM(T54:AE54)</f>
        <v>-2160</v>
      </c>
      <c r="AG54" s="81">
        <f t="shared" ref="AG54:AR54" si="19">-AG56-AG57-AG58</f>
        <v>-240</v>
      </c>
      <c r="AH54" s="81">
        <f t="shared" si="19"/>
        <v>-240</v>
      </c>
      <c r="AI54" s="81">
        <f t="shared" si="19"/>
        <v>-240</v>
      </c>
      <c r="AJ54" s="81">
        <f t="shared" si="19"/>
        <v>-240</v>
      </c>
      <c r="AK54" s="81">
        <f t="shared" si="19"/>
        <v>-240</v>
      </c>
      <c r="AL54" s="81">
        <f t="shared" si="19"/>
        <v>-240</v>
      </c>
      <c r="AM54" s="81">
        <f t="shared" si="19"/>
        <v>-240</v>
      </c>
      <c r="AN54" s="81">
        <f t="shared" si="19"/>
        <v>-240</v>
      </c>
      <c r="AO54" s="81">
        <f t="shared" si="19"/>
        <v>-240</v>
      </c>
      <c r="AP54" s="81">
        <f t="shared" si="19"/>
        <v>-240</v>
      </c>
      <c r="AQ54" s="81">
        <f t="shared" si="19"/>
        <v>-240</v>
      </c>
      <c r="AR54" s="81">
        <f t="shared" si="19"/>
        <v>-240</v>
      </c>
      <c r="AS54" s="78">
        <f>SUM(AG54:AR54)</f>
        <v>-2880</v>
      </c>
      <c r="AT54" s="81">
        <f t="shared" ref="AT54:BE54" si="20">-AT56-AT57-AT58</f>
        <v>-340</v>
      </c>
      <c r="AU54" s="81">
        <f t="shared" si="20"/>
        <v>-340</v>
      </c>
      <c r="AV54" s="81">
        <f t="shared" si="20"/>
        <v>-340</v>
      </c>
      <c r="AW54" s="81">
        <f t="shared" si="20"/>
        <v>-340</v>
      </c>
      <c r="AX54" s="81">
        <f t="shared" si="20"/>
        <v>-340</v>
      </c>
      <c r="AY54" s="81">
        <f t="shared" si="20"/>
        <v>-340</v>
      </c>
      <c r="AZ54" s="81">
        <f t="shared" si="20"/>
        <v>-340</v>
      </c>
      <c r="BA54" s="81">
        <f t="shared" si="20"/>
        <v>-340</v>
      </c>
      <c r="BB54" s="81">
        <f t="shared" si="20"/>
        <v>-340</v>
      </c>
      <c r="BC54" s="81">
        <f t="shared" si="20"/>
        <v>-340</v>
      </c>
      <c r="BD54" s="81">
        <f t="shared" si="20"/>
        <v>-340</v>
      </c>
      <c r="BE54" s="81">
        <f t="shared" si="20"/>
        <v>-340</v>
      </c>
      <c r="BF54" s="78">
        <f>SUM(AT54:BE54)</f>
        <v>-4080</v>
      </c>
      <c r="BG54" s="81">
        <f t="shared" ref="BG54:BR54" si="21">-BG56-BG57-BG58</f>
        <v>-400</v>
      </c>
      <c r="BH54" s="81">
        <f t="shared" si="21"/>
        <v>-400</v>
      </c>
      <c r="BI54" s="81">
        <f t="shared" si="21"/>
        <v>-400</v>
      </c>
      <c r="BJ54" s="81">
        <f t="shared" si="21"/>
        <v>-400</v>
      </c>
      <c r="BK54" s="81">
        <f t="shared" si="21"/>
        <v>-400</v>
      </c>
      <c r="BL54" s="81">
        <f t="shared" si="21"/>
        <v>-400</v>
      </c>
      <c r="BM54" s="81">
        <f t="shared" si="21"/>
        <v>-400</v>
      </c>
      <c r="BN54" s="81">
        <f t="shared" si="21"/>
        <v>-400</v>
      </c>
      <c r="BO54" s="81">
        <f t="shared" si="21"/>
        <v>-400</v>
      </c>
      <c r="BP54" s="81">
        <f t="shared" si="21"/>
        <v>-400</v>
      </c>
      <c r="BQ54" s="81">
        <f t="shared" si="21"/>
        <v>-400</v>
      </c>
      <c r="BR54" s="81">
        <f t="shared" si="21"/>
        <v>-400</v>
      </c>
      <c r="BS54" s="78">
        <f>SUM(BG54:BR54)</f>
        <v>-4800</v>
      </c>
      <c r="BT54" s="37">
        <f>S54+AF54+AS54+BF54+BS54</f>
        <v>-13970</v>
      </c>
    </row>
    <row r="55" spans="1:72" ht="15.75" customHeight="1">
      <c r="A55" s="82"/>
      <c r="B55" s="83"/>
      <c r="C55" s="82"/>
      <c r="D55" s="82"/>
      <c r="E55" s="82" t="s">
        <v>217</v>
      </c>
      <c r="F55" s="82"/>
      <c r="G55" s="84">
        <f t="shared" ref="G55:BT55" si="22">SUM(G52:G54)</f>
        <v>6.75</v>
      </c>
      <c r="H55" s="84">
        <f t="shared" si="22"/>
        <v>46.75</v>
      </c>
      <c r="I55" s="84">
        <f t="shared" si="22"/>
        <v>96.75</v>
      </c>
      <c r="J55" s="84">
        <f t="shared" si="22"/>
        <v>146.75</v>
      </c>
      <c r="K55" s="84">
        <f t="shared" si="22"/>
        <v>196.75</v>
      </c>
      <c r="L55" s="84">
        <f t="shared" si="22"/>
        <v>246.75</v>
      </c>
      <c r="M55" s="84">
        <f t="shared" si="22"/>
        <v>296.75</v>
      </c>
      <c r="N55" s="84">
        <f t="shared" si="22"/>
        <v>336.75</v>
      </c>
      <c r="O55" s="84">
        <f t="shared" si="22"/>
        <v>386.75</v>
      </c>
      <c r="P55" s="84">
        <f t="shared" si="22"/>
        <v>436.75</v>
      </c>
      <c r="Q55" s="84">
        <f t="shared" si="22"/>
        <v>486.75</v>
      </c>
      <c r="R55" s="84">
        <f t="shared" si="22"/>
        <v>536.75</v>
      </c>
      <c r="S55" s="85">
        <f t="shared" si="22"/>
        <v>536.75</v>
      </c>
      <c r="T55" s="84">
        <f t="shared" si="22"/>
        <v>356.75</v>
      </c>
      <c r="U55" s="84">
        <f t="shared" si="22"/>
        <v>356.75</v>
      </c>
      <c r="V55" s="84">
        <f t="shared" si="22"/>
        <v>176.75</v>
      </c>
      <c r="W55" s="84">
        <f t="shared" si="22"/>
        <v>176.75</v>
      </c>
      <c r="X55" s="84">
        <f t="shared" si="22"/>
        <v>-3.25</v>
      </c>
      <c r="Y55" s="84">
        <f t="shared" si="22"/>
        <v>-3.25</v>
      </c>
      <c r="Z55" s="84">
        <f t="shared" si="22"/>
        <v>-183.25</v>
      </c>
      <c r="AA55" s="84">
        <f t="shared" si="22"/>
        <v>-183.25</v>
      </c>
      <c r="AB55" s="84">
        <f t="shared" si="22"/>
        <v>-363.25</v>
      </c>
      <c r="AC55" s="84">
        <f t="shared" si="22"/>
        <v>-363.25</v>
      </c>
      <c r="AD55" s="84">
        <f t="shared" si="22"/>
        <v>-543.25</v>
      </c>
      <c r="AE55" s="84">
        <f t="shared" si="22"/>
        <v>-543.25</v>
      </c>
      <c r="AF55" s="85">
        <f t="shared" si="22"/>
        <v>-1623.25</v>
      </c>
      <c r="AG55" s="84">
        <f t="shared" si="22"/>
        <v>-783.25</v>
      </c>
      <c r="AH55" s="84">
        <f t="shared" si="22"/>
        <v>-1863.25</v>
      </c>
      <c r="AI55" s="84">
        <f t="shared" si="22"/>
        <v>-1023.25</v>
      </c>
      <c r="AJ55" s="84">
        <f t="shared" si="22"/>
        <v>-2103.25</v>
      </c>
      <c r="AK55" s="84">
        <f t="shared" si="22"/>
        <v>-1263.25</v>
      </c>
      <c r="AL55" s="84">
        <f t="shared" si="22"/>
        <v>-2343.25</v>
      </c>
      <c r="AM55" s="84">
        <f t="shared" si="22"/>
        <v>-1503.25</v>
      </c>
      <c r="AN55" s="84">
        <f t="shared" si="22"/>
        <v>-2583.25</v>
      </c>
      <c r="AO55" s="84">
        <f t="shared" si="22"/>
        <v>-1743.25</v>
      </c>
      <c r="AP55" s="84">
        <f t="shared" si="22"/>
        <v>-2823.25</v>
      </c>
      <c r="AQ55" s="84">
        <f t="shared" si="22"/>
        <v>-1983.25</v>
      </c>
      <c r="AR55" s="84">
        <f t="shared" si="22"/>
        <v>-3063.25</v>
      </c>
      <c r="AS55" s="85">
        <f t="shared" si="22"/>
        <v>-3423.25</v>
      </c>
      <c r="AT55" s="84">
        <f t="shared" si="22"/>
        <v>-3403.25</v>
      </c>
      <c r="AU55" s="84">
        <f t="shared" si="22"/>
        <v>-3763.25</v>
      </c>
      <c r="AV55" s="84">
        <f t="shared" si="22"/>
        <v>-3743.25</v>
      </c>
      <c r="AW55" s="84">
        <f t="shared" si="22"/>
        <v>-4103.25</v>
      </c>
      <c r="AX55" s="84">
        <f t="shared" si="22"/>
        <v>-4083.25</v>
      </c>
      <c r="AY55" s="84">
        <f t="shared" si="22"/>
        <v>-4443.25</v>
      </c>
      <c r="AZ55" s="84">
        <f t="shared" si="22"/>
        <v>-4423.25</v>
      </c>
      <c r="BA55" s="84">
        <f t="shared" si="22"/>
        <v>-4783.25</v>
      </c>
      <c r="BB55" s="84">
        <f t="shared" si="22"/>
        <v>-4763.25</v>
      </c>
      <c r="BC55" s="84">
        <f t="shared" si="22"/>
        <v>-5123.25</v>
      </c>
      <c r="BD55" s="84">
        <f t="shared" si="22"/>
        <v>-5103.25</v>
      </c>
      <c r="BE55" s="84">
        <f t="shared" si="22"/>
        <v>-5463.25</v>
      </c>
      <c r="BF55" s="85">
        <f t="shared" si="22"/>
        <v>-7143.25</v>
      </c>
      <c r="BG55" s="84">
        <f t="shared" si="22"/>
        <v>-5863.25</v>
      </c>
      <c r="BH55" s="84">
        <f t="shared" si="22"/>
        <v>-7543.25</v>
      </c>
      <c r="BI55" s="84">
        <f t="shared" si="22"/>
        <v>-6263.25</v>
      </c>
      <c r="BJ55" s="84">
        <f t="shared" si="22"/>
        <v>-7943.25</v>
      </c>
      <c r="BK55" s="84">
        <f t="shared" si="22"/>
        <v>-6663.25</v>
      </c>
      <c r="BL55" s="84">
        <f t="shared" si="22"/>
        <v>-8343.25</v>
      </c>
      <c r="BM55" s="84">
        <f t="shared" si="22"/>
        <v>-7063.25</v>
      </c>
      <c r="BN55" s="84">
        <f t="shared" si="22"/>
        <v>-8743.25</v>
      </c>
      <c r="BO55" s="84">
        <f t="shared" si="22"/>
        <v>-7463.25</v>
      </c>
      <c r="BP55" s="84">
        <f t="shared" si="22"/>
        <v>-9143.25</v>
      </c>
      <c r="BQ55" s="84">
        <f t="shared" si="22"/>
        <v>-7863.25</v>
      </c>
      <c r="BR55" s="84">
        <f t="shared" si="22"/>
        <v>-9543.25</v>
      </c>
      <c r="BS55" s="85">
        <f t="shared" si="22"/>
        <v>-10263.25</v>
      </c>
      <c r="BT55" s="85">
        <f t="shared" si="22"/>
        <v>-13383.25</v>
      </c>
    </row>
    <row r="56" spans="1:72" ht="15.75" customHeight="1">
      <c r="A56" s="2"/>
      <c r="B56" s="79"/>
      <c r="C56" s="2" t="s">
        <v>218</v>
      </c>
      <c r="D56" s="2"/>
      <c r="E56" s="2"/>
      <c r="F56" s="2"/>
      <c r="G56" s="81">
        <v>22.6</v>
      </c>
      <c r="H56" s="81">
        <v>0</v>
      </c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78">
        <f>SUM(G56:R56)</f>
        <v>22.6</v>
      </c>
      <c r="T56" s="81">
        <v>40</v>
      </c>
      <c r="U56" s="81">
        <v>40</v>
      </c>
      <c r="V56" s="81">
        <v>40</v>
      </c>
      <c r="W56" s="81">
        <v>40</v>
      </c>
      <c r="X56" s="81">
        <v>40</v>
      </c>
      <c r="Y56" s="81">
        <v>40</v>
      </c>
      <c r="Z56" s="81">
        <v>40</v>
      </c>
      <c r="AA56" s="81">
        <v>40</v>
      </c>
      <c r="AB56" s="81">
        <v>40</v>
      </c>
      <c r="AC56" s="81">
        <v>40</v>
      </c>
      <c r="AD56" s="81">
        <v>40</v>
      </c>
      <c r="AE56" s="81">
        <v>40</v>
      </c>
      <c r="AF56" s="78">
        <f>SUM(T56:AE56)</f>
        <v>480</v>
      </c>
      <c r="AG56" s="81">
        <v>80</v>
      </c>
      <c r="AH56" s="81">
        <v>80</v>
      </c>
      <c r="AI56" s="81">
        <v>80</v>
      </c>
      <c r="AJ56" s="81">
        <v>80</v>
      </c>
      <c r="AK56" s="81">
        <v>80</v>
      </c>
      <c r="AL56" s="81">
        <v>80</v>
      </c>
      <c r="AM56" s="81">
        <v>80</v>
      </c>
      <c r="AN56" s="81">
        <v>80</v>
      </c>
      <c r="AO56" s="81">
        <v>80</v>
      </c>
      <c r="AP56" s="81">
        <v>80</v>
      </c>
      <c r="AQ56" s="81">
        <v>80</v>
      </c>
      <c r="AR56" s="81">
        <v>80</v>
      </c>
      <c r="AS56" s="78">
        <f>SUM(AG56:AR56)</f>
        <v>960</v>
      </c>
      <c r="AT56" s="81">
        <v>100</v>
      </c>
      <c r="AU56" s="81">
        <v>100</v>
      </c>
      <c r="AV56" s="81">
        <v>100</v>
      </c>
      <c r="AW56" s="81">
        <v>100</v>
      </c>
      <c r="AX56" s="81">
        <v>100</v>
      </c>
      <c r="AY56" s="81">
        <v>100</v>
      </c>
      <c r="AZ56" s="81">
        <v>100</v>
      </c>
      <c r="BA56" s="81">
        <v>100</v>
      </c>
      <c r="BB56" s="81">
        <v>100</v>
      </c>
      <c r="BC56" s="81">
        <v>100</v>
      </c>
      <c r="BD56" s="81">
        <v>100</v>
      </c>
      <c r="BE56" s="81">
        <v>100</v>
      </c>
      <c r="BF56" s="78">
        <f>SUM(AT56:BE56)</f>
        <v>1200</v>
      </c>
      <c r="BG56" s="81">
        <v>120</v>
      </c>
      <c r="BH56" s="81">
        <v>120</v>
      </c>
      <c r="BI56" s="81">
        <v>120</v>
      </c>
      <c r="BJ56" s="81">
        <v>120</v>
      </c>
      <c r="BK56" s="81">
        <v>120</v>
      </c>
      <c r="BL56" s="81">
        <v>120</v>
      </c>
      <c r="BM56" s="81">
        <v>120</v>
      </c>
      <c r="BN56" s="81">
        <v>120</v>
      </c>
      <c r="BO56" s="81">
        <v>120</v>
      </c>
      <c r="BP56" s="81">
        <v>120</v>
      </c>
      <c r="BQ56" s="81">
        <v>120</v>
      </c>
      <c r="BR56" s="81">
        <v>120</v>
      </c>
      <c r="BS56" s="78">
        <f>SUM(BG56:BR56)</f>
        <v>1440</v>
      </c>
      <c r="BT56" s="37">
        <f>S56+AF56+AS56+BF56+BS56</f>
        <v>4102.6000000000004</v>
      </c>
    </row>
    <row r="57" spans="1:72" ht="15.75" customHeight="1">
      <c r="A57" s="2"/>
      <c r="B57" s="79"/>
      <c r="C57" s="2" t="s">
        <v>219</v>
      </c>
      <c r="D57" s="2"/>
      <c r="E57" s="2"/>
      <c r="F57" s="2"/>
      <c r="G57" s="81">
        <v>0</v>
      </c>
      <c r="H57" s="81">
        <v>0</v>
      </c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78">
        <f>SUM(G57:R57)</f>
        <v>0</v>
      </c>
      <c r="T57" s="81">
        <v>50</v>
      </c>
      <c r="U57" s="81">
        <v>50</v>
      </c>
      <c r="V57" s="81">
        <v>50</v>
      </c>
      <c r="W57" s="81">
        <v>50</v>
      </c>
      <c r="X57" s="81">
        <v>50</v>
      </c>
      <c r="Y57" s="81">
        <v>50</v>
      </c>
      <c r="Z57" s="81">
        <v>50</v>
      </c>
      <c r="AA57" s="81">
        <v>50</v>
      </c>
      <c r="AB57" s="81">
        <v>50</v>
      </c>
      <c r="AC57" s="81">
        <v>50</v>
      </c>
      <c r="AD57" s="81">
        <v>50</v>
      </c>
      <c r="AE57" s="81">
        <v>50</v>
      </c>
      <c r="AF57" s="78">
        <f>SUM(T57:AE57)</f>
        <v>600</v>
      </c>
      <c r="AG57" s="81">
        <v>60</v>
      </c>
      <c r="AH57" s="81">
        <v>60</v>
      </c>
      <c r="AI57" s="81">
        <v>60</v>
      </c>
      <c r="AJ57" s="81">
        <v>60</v>
      </c>
      <c r="AK57" s="81">
        <v>60</v>
      </c>
      <c r="AL57" s="81">
        <v>60</v>
      </c>
      <c r="AM57" s="81">
        <v>60</v>
      </c>
      <c r="AN57" s="81">
        <v>60</v>
      </c>
      <c r="AO57" s="81">
        <v>60</v>
      </c>
      <c r="AP57" s="81">
        <v>60</v>
      </c>
      <c r="AQ57" s="81">
        <v>60</v>
      </c>
      <c r="AR57" s="81">
        <v>60</v>
      </c>
      <c r="AS57" s="78">
        <f>SUM(AG57:AR57)</f>
        <v>720</v>
      </c>
      <c r="AT57" s="81">
        <v>80</v>
      </c>
      <c r="AU57" s="81">
        <v>80</v>
      </c>
      <c r="AV57" s="81">
        <v>80</v>
      </c>
      <c r="AW57" s="81">
        <v>80</v>
      </c>
      <c r="AX57" s="81">
        <v>80</v>
      </c>
      <c r="AY57" s="81">
        <v>80</v>
      </c>
      <c r="AZ57" s="81">
        <v>80</v>
      </c>
      <c r="BA57" s="81">
        <v>80</v>
      </c>
      <c r="BB57" s="81">
        <v>80</v>
      </c>
      <c r="BC57" s="81">
        <v>80</v>
      </c>
      <c r="BD57" s="81">
        <v>80</v>
      </c>
      <c r="BE57" s="81">
        <v>80</v>
      </c>
      <c r="BF57" s="78">
        <f>SUM(AT57:BE57)</f>
        <v>960</v>
      </c>
      <c r="BG57" s="81">
        <v>90</v>
      </c>
      <c r="BH57" s="81">
        <v>90</v>
      </c>
      <c r="BI57" s="81">
        <v>90</v>
      </c>
      <c r="BJ57" s="81">
        <v>90</v>
      </c>
      <c r="BK57" s="81">
        <v>90</v>
      </c>
      <c r="BL57" s="81">
        <v>90</v>
      </c>
      <c r="BM57" s="81">
        <v>90</v>
      </c>
      <c r="BN57" s="81">
        <v>90</v>
      </c>
      <c r="BO57" s="81">
        <v>90</v>
      </c>
      <c r="BP57" s="81">
        <v>90</v>
      </c>
      <c r="BQ57" s="81">
        <v>90</v>
      </c>
      <c r="BR57" s="81">
        <v>90</v>
      </c>
      <c r="BS57" s="78">
        <f>SUM(BG57:BR57)</f>
        <v>1080</v>
      </c>
      <c r="BT57" s="37">
        <f>S57+AF57+AS57+BF57+BS57</f>
        <v>3360</v>
      </c>
    </row>
    <row r="58" spans="1:72" ht="15.75" customHeight="1">
      <c r="A58" s="2"/>
      <c r="B58" s="86"/>
      <c r="C58" s="2" t="s">
        <v>220</v>
      </c>
      <c r="D58" s="2"/>
      <c r="E58" s="2"/>
      <c r="F58" s="2"/>
      <c r="G58" s="81">
        <v>27.4</v>
      </c>
      <c r="H58" s="81">
        <v>0</v>
      </c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7">
        <f>SUM(G58:R58)</f>
        <v>27.4</v>
      </c>
      <c r="T58" s="81">
        <v>90</v>
      </c>
      <c r="U58" s="81">
        <v>90</v>
      </c>
      <c r="V58" s="81">
        <v>90</v>
      </c>
      <c r="W58" s="81">
        <v>90</v>
      </c>
      <c r="X58" s="81">
        <v>90</v>
      </c>
      <c r="Y58" s="81">
        <v>90</v>
      </c>
      <c r="Z58" s="81">
        <v>90</v>
      </c>
      <c r="AA58" s="81">
        <v>90</v>
      </c>
      <c r="AB58" s="81">
        <v>90</v>
      </c>
      <c r="AC58" s="81">
        <v>90</v>
      </c>
      <c r="AD58" s="81">
        <v>90</v>
      </c>
      <c r="AE58" s="81">
        <v>90</v>
      </c>
      <c r="AF58" s="87">
        <f>SUM(T58:AE58)</f>
        <v>1080</v>
      </c>
      <c r="AG58" s="81">
        <v>100</v>
      </c>
      <c r="AH58" s="81">
        <v>100</v>
      </c>
      <c r="AI58" s="81">
        <v>100</v>
      </c>
      <c r="AJ58" s="81">
        <v>100</v>
      </c>
      <c r="AK58" s="81">
        <v>100</v>
      </c>
      <c r="AL58" s="81">
        <v>100</v>
      </c>
      <c r="AM58" s="81">
        <v>100</v>
      </c>
      <c r="AN58" s="81">
        <v>100</v>
      </c>
      <c r="AO58" s="81">
        <v>100</v>
      </c>
      <c r="AP58" s="81">
        <v>100</v>
      </c>
      <c r="AQ58" s="81">
        <v>100</v>
      </c>
      <c r="AR58" s="81">
        <v>100</v>
      </c>
      <c r="AS58" s="87">
        <f>SUM(AG58:AR58)</f>
        <v>1200</v>
      </c>
      <c r="AT58" s="81">
        <v>160</v>
      </c>
      <c r="AU58" s="81">
        <v>160</v>
      </c>
      <c r="AV58" s="81">
        <v>160</v>
      </c>
      <c r="AW58" s="81">
        <v>160</v>
      </c>
      <c r="AX58" s="81">
        <v>160</v>
      </c>
      <c r="AY58" s="81">
        <v>160</v>
      </c>
      <c r="AZ58" s="81">
        <v>160</v>
      </c>
      <c r="BA58" s="81">
        <v>160</v>
      </c>
      <c r="BB58" s="81">
        <v>160</v>
      </c>
      <c r="BC58" s="81">
        <v>160</v>
      </c>
      <c r="BD58" s="81">
        <v>160</v>
      </c>
      <c r="BE58" s="81">
        <v>160</v>
      </c>
      <c r="BF58" s="87">
        <f>SUM(AT58:BE58)</f>
        <v>1920</v>
      </c>
      <c r="BG58" s="81">
        <v>190</v>
      </c>
      <c r="BH58" s="81">
        <v>190</v>
      </c>
      <c r="BI58" s="81">
        <v>190</v>
      </c>
      <c r="BJ58" s="81">
        <v>190</v>
      </c>
      <c r="BK58" s="81">
        <v>190</v>
      </c>
      <c r="BL58" s="81">
        <v>190</v>
      </c>
      <c r="BM58" s="81">
        <v>190</v>
      </c>
      <c r="BN58" s="81">
        <v>190</v>
      </c>
      <c r="BO58" s="81">
        <v>190</v>
      </c>
      <c r="BP58" s="81">
        <v>190</v>
      </c>
      <c r="BQ58" s="81">
        <v>190</v>
      </c>
      <c r="BR58" s="81">
        <v>190</v>
      </c>
      <c r="BS58" s="87">
        <f>SUM(BG58:BR58)</f>
        <v>2280</v>
      </c>
      <c r="BT58" s="37">
        <f>S58+AF58+AS58+BF58+BS58</f>
        <v>6507.4</v>
      </c>
    </row>
    <row r="59" spans="1:72" ht="15.75" customHeight="1">
      <c r="A59" s="2"/>
      <c r="B59" s="2"/>
      <c r="C59" s="2"/>
      <c r="D59" s="2"/>
      <c r="E59" s="2"/>
      <c r="F59" s="2" t="s">
        <v>221</v>
      </c>
      <c r="G59" s="77">
        <f t="shared" ref="G59:R59" si="23">SUM(G56:G58)</f>
        <v>50</v>
      </c>
      <c r="H59" s="77">
        <f t="shared" si="23"/>
        <v>0</v>
      </c>
      <c r="I59" s="77">
        <f t="shared" si="23"/>
        <v>0</v>
      </c>
      <c r="J59" s="77">
        <f t="shared" si="23"/>
        <v>0</v>
      </c>
      <c r="K59" s="77">
        <f t="shared" si="23"/>
        <v>0</v>
      </c>
      <c r="L59" s="77">
        <f t="shared" si="23"/>
        <v>0</v>
      </c>
      <c r="M59" s="77">
        <f t="shared" si="23"/>
        <v>0</v>
      </c>
      <c r="N59" s="77">
        <f t="shared" si="23"/>
        <v>0</v>
      </c>
      <c r="O59" s="77">
        <f t="shared" si="23"/>
        <v>0</v>
      </c>
      <c r="P59" s="77">
        <f t="shared" si="23"/>
        <v>0</v>
      </c>
      <c r="Q59" s="77">
        <f t="shared" si="23"/>
        <v>0</v>
      </c>
      <c r="R59" s="77">
        <f t="shared" si="23"/>
        <v>0</v>
      </c>
      <c r="S59" s="78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8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8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8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8"/>
      <c r="BT59" s="1"/>
    </row>
    <row r="60" spans="1:72" ht="15.75" customHeight="1">
      <c r="A60" s="2"/>
      <c r="B60" s="2"/>
      <c r="C60" s="2"/>
      <c r="D60" s="2"/>
      <c r="E60" s="2"/>
      <c r="F60" s="2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8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8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8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8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8"/>
      <c r="BT60" s="1"/>
    </row>
    <row r="61" spans="1:72" ht="15.75" customHeight="1">
      <c r="A61" s="2"/>
      <c r="B61" s="1" t="s">
        <v>222</v>
      </c>
      <c r="C61" s="2"/>
      <c r="D61" s="2"/>
      <c r="E61" s="2"/>
      <c r="F61" s="2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8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8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8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8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8"/>
      <c r="BT61" s="1"/>
    </row>
    <row r="62" spans="1:72" ht="15.75" customHeight="1">
      <c r="A62" s="2"/>
      <c r="B62" s="63"/>
      <c r="C62" s="2"/>
      <c r="D62" s="2"/>
      <c r="E62" s="2"/>
      <c r="F62" s="2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8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8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8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8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8"/>
      <c r="BT62" s="1"/>
    </row>
    <row r="63" spans="1:72" ht="15.75" customHeight="1">
      <c r="A63" s="2"/>
      <c r="B63" s="2"/>
      <c r="C63" s="2" t="s">
        <v>223</v>
      </c>
      <c r="D63" s="2"/>
      <c r="E63" s="2"/>
      <c r="F63" s="2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8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8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8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8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8"/>
      <c r="BT63" s="1"/>
    </row>
    <row r="64" spans="1:72" ht="15.75" customHeight="1">
      <c r="A64" s="2"/>
      <c r="B64" s="2"/>
      <c r="C64" s="2"/>
      <c r="D64" s="2" t="s">
        <v>214</v>
      </c>
      <c r="E64" s="2"/>
      <c r="F64" s="2"/>
      <c r="G64" s="77">
        <v>0</v>
      </c>
      <c r="H64" s="77" t="e">
        <f t="shared" ref="H64:R64" si="24">G68</f>
        <v>#REF!</v>
      </c>
      <c r="I64" s="77" t="e">
        <f t="shared" si="24"/>
        <v>#REF!</v>
      </c>
      <c r="J64" s="77" t="e">
        <f t="shared" si="24"/>
        <v>#REF!</v>
      </c>
      <c r="K64" s="77" t="e">
        <f t="shared" si="24"/>
        <v>#REF!</v>
      </c>
      <c r="L64" s="77" t="e">
        <f t="shared" si="24"/>
        <v>#REF!</v>
      </c>
      <c r="M64" s="77" t="e">
        <f t="shared" si="24"/>
        <v>#REF!</v>
      </c>
      <c r="N64" s="77" t="e">
        <f t="shared" si="24"/>
        <v>#REF!</v>
      </c>
      <c r="O64" s="77" t="e">
        <f t="shared" si="24"/>
        <v>#REF!</v>
      </c>
      <c r="P64" s="77" t="e">
        <f t="shared" si="24"/>
        <v>#REF!</v>
      </c>
      <c r="Q64" s="77" t="e">
        <f t="shared" si="24"/>
        <v>#REF!</v>
      </c>
      <c r="R64" s="77" t="e">
        <f t="shared" si="24"/>
        <v>#REF!</v>
      </c>
      <c r="S64" s="78">
        <f>G64</f>
        <v>0</v>
      </c>
      <c r="T64" s="77" t="e">
        <f>R68</f>
        <v>#REF!</v>
      </c>
      <c r="U64" s="77" t="e">
        <f t="shared" ref="U64:AE64" si="25">T68</f>
        <v>#REF!</v>
      </c>
      <c r="V64" s="77" t="e">
        <f t="shared" si="25"/>
        <v>#REF!</v>
      </c>
      <c r="W64" s="77" t="e">
        <f t="shared" si="25"/>
        <v>#REF!</v>
      </c>
      <c r="X64" s="77" t="e">
        <f t="shared" si="25"/>
        <v>#REF!</v>
      </c>
      <c r="Y64" s="77" t="e">
        <f t="shared" si="25"/>
        <v>#REF!</v>
      </c>
      <c r="Z64" s="77" t="e">
        <f t="shared" si="25"/>
        <v>#REF!</v>
      </c>
      <c r="AA64" s="77" t="e">
        <f t="shared" si="25"/>
        <v>#REF!</v>
      </c>
      <c r="AB64" s="77" t="e">
        <f t="shared" si="25"/>
        <v>#REF!</v>
      </c>
      <c r="AC64" s="77" t="e">
        <f t="shared" si="25"/>
        <v>#REF!</v>
      </c>
      <c r="AD64" s="77" t="e">
        <f t="shared" si="25"/>
        <v>#REF!</v>
      </c>
      <c r="AE64" s="77" t="e">
        <f t="shared" si="25"/>
        <v>#REF!</v>
      </c>
      <c r="AF64" s="78" t="e">
        <f>T64</f>
        <v>#REF!</v>
      </c>
      <c r="AG64" s="77" t="e">
        <f>AE68</f>
        <v>#REF!</v>
      </c>
      <c r="AH64" s="77" t="e">
        <f t="shared" ref="AH64:AR64" si="26">AG68</f>
        <v>#REF!</v>
      </c>
      <c r="AI64" s="77" t="e">
        <f t="shared" si="26"/>
        <v>#REF!</v>
      </c>
      <c r="AJ64" s="77" t="e">
        <f t="shared" si="26"/>
        <v>#REF!</v>
      </c>
      <c r="AK64" s="77" t="e">
        <f t="shared" si="26"/>
        <v>#REF!</v>
      </c>
      <c r="AL64" s="77" t="e">
        <f t="shared" si="26"/>
        <v>#REF!</v>
      </c>
      <c r="AM64" s="77" t="e">
        <f t="shared" si="26"/>
        <v>#REF!</v>
      </c>
      <c r="AN64" s="77" t="e">
        <f t="shared" si="26"/>
        <v>#REF!</v>
      </c>
      <c r="AO64" s="77" t="e">
        <f t="shared" si="26"/>
        <v>#REF!</v>
      </c>
      <c r="AP64" s="77" t="e">
        <f t="shared" si="26"/>
        <v>#REF!</v>
      </c>
      <c r="AQ64" s="77" t="e">
        <f t="shared" si="26"/>
        <v>#REF!</v>
      </c>
      <c r="AR64" s="77" t="e">
        <f t="shared" si="26"/>
        <v>#REF!</v>
      </c>
      <c r="AS64" s="78" t="e">
        <f>AG64</f>
        <v>#REF!</v>
      </c>
      <c r="AT64" s="77" t="e">
        <f>AR68</f>
        <v>#REF!</v>
      </c>
      <c r="AU64" s="77" t="e">
        <f t="shared" ref="AU64:BE64" si="27">AT68</f>
        <v>#REF!</v>
      </c>
      <c r="AV64" s="77" t="e">
        <f t="shared" si="27"/>
        <v>#REF!</v>
      </c>
      <c r="AW64" s="77" t="e">
        <f t="shared" si="27"/>
        <v>#REF!</v>
      </c>
      <c r="AX64" s="77" t="e">
        <f t="shared" si="27"/>
        <v>#REF!</v>
      </c>
      <c r="AY64" s="77" t="e">
        <f t="shared" si="27"/>
        <v>#REF!</v>
      </c>
      <c r="AZ64" s="77" t="e">
        <f t="shared" si="27"/>
        <v>#REF!</v>
      </c>
      <c r="BA64" s="77" t="e">
        <f t="shared" si="27"/>
        <v>#REF!</v>
      </c>
      <c r="BB64" s="77" t="e">
        <f t="shared" si="27"/>
        <v>#REF!</v>
      </c>
      <c r="BC64" s="77" t="e">
        <f t="shared" si="27"/>
        <v>#REF!</v>
      </c>
      <c r="BD64" s="77" t="e">
        <f t="shared" si="27"/>
        <v>#REF!</v>
      </c>
      <c r="BE64" s="77" t="e">
        <f t="shared" si="27"/>
        <v>#REF!</v>
      </c>
      <c r="BF64" s="78" t="e">
        <f>AT64</f>
        <v>#REF!</v>
      </c>
      <c r="BG64" s="77" t="e">
        <f>BE68</f>
        <v>#REF!</v>
      </c>
      <c r="BH64" s="77" t="e">
        <f t="shared" ref="BH64:BR64" si="28">BG68</f>
        <v>#REF!</v>
      </c>
      <c r="BI64" s="77" t="e">
        <f t="shared" si="28"/>
        <v>#REF!</v>
      </c>
      <c r="BJ64" s="77" t="e">
        <f t="shared" si="28"/>
        <v>#REF!</v>
      </c>
      <c r="BK64" s="77" t="e">
        <f t="shared" si="28"/>
        <v>#REF!</v>
      </c>
      <c r="BL64" s="77" t="e">
        <f t="shared" si="28"/>
        <v>#REF!</v>
      </c>
      <c r="BM64" s="77" t="e">
        <f t="shared" si="28"/>
        <v>#REF!</v>
      </c>
      <c r="BN64" s="77" t="e">
        <f t="shared" si="28"/>
        <v>#REF!</v>
      </c>
      <c r="BO64" s="77" t="e">
        <f t="shared" si="28"/>
        <v>#REF!</v>
      </c>
      <c r="BP64" s="77" t="e">
        <f t="shared" si="28"/>
        <v>#REF!</v>
      </c>
      <c r="BQ64" s="77" t="e">
        <f t="shared" si="28"/>
        <v>#REF!</v>
      </c>
      <c r="BR64" s="77" t="e">
        <f t="shared" si="28"/>
        <v>#REF!</v>
      </c>
      <c r="BS64" s="78" t="e">
        <f>BG64</f>
        <v>#REF!</v>
      </c>
      <c r="BT64" s="78">
        <f>G64</f>
        <v>0</v>
      </c>
    </row>
    <row r="65" spans="1:72" ht="15.75" customHeight="1">
      <c r="A65" s="2"/>
      <c r="B65" s="2"/>
      <c r="C65" s="2"/>
      <c r="D65" s="2" t="s">
        <v>224</v>
      </c>
      <c r="E65" s="2"/>
      <c r="F65" s="2"/>
      <c r="G65" s="77">
        <f>G$56/(Lists!$D$7)</f>
        <v>233.54345354965383</v>
      </c>
      <c r="H65" s="77">
        <f>H$56*(Lists!$D$7/12)</f>
        <v>0</v>
      </c>
      <c r="I65" s="77">
        <f>I$56*(Lists!$D$7/12)</f>
        <v>0</v>
      </c>
      <c r="J65" s="77">
        <f>J$56*(Lists!$D$7/12)</f>
        <v>0</v>
      </c>
      <c r="K65" s="77">
        <f>K$56*(Lists!$D$7/12)</f>
        <v>0</v>
      </c>
      <c r="L65" s="77">
        <f>L$56*(Lists!$D$7/12)</f>
        <v>0</v>
      </c>
      <c r="M65" s="77">
        <f>M$56*(Lists!$D$7/12)</f>
        <v>0</v>
      </c>
      <c r="N65" s="77">
        <f>N$56*(Lists!$D$7/12)</f>
        <v>0</v>
      </c>
      <c r="O65" s="77">
        <f>O$56*(Lists!$D$7/12)</f>
        <v>0</v>
      </c>
      <c r="P65" s="77">
        <f>P$56*(Lists!$D$7/12)</f>
        <v>0</v>
      </c>
      <c r="Q65" s="77">
        <f>Q$56*(Lists!$D$7/12)</f>
        <v>0</v>
      </c>
      <c r="R65" s="77">
        <f>R$56*(Lists!$D$7/12)</f>
        <v>0</v>
      </c>
      <c r="S65" s="78">
        <f>SUM(G65:R65)</f>
        <v>233.54345354965383</v>
      </c>
      <c r="T65" s="77">
        <f>T$56*(Lists!$D$7/12)</f>
        <v>0.32256666666666661</v>
      </c>
      <c r="U65" s="77">
        <f>U$56*(Lists!$D$7/12)</f>
        <v>0.32256666666666661</v>
      </c>
      <c r="V65" s="77">
        <f>V$56*(Lists!$D$7/12)</f>
        <v>0.32256666666666661</v>
      </c>
      <c r="W65" s="77">
        <f>W$56*(Lists!$D$7/12)</f>
        <v>0.32256666666666661</v>
      </c>
      <c r="X65" s="77">
        <f>X$56*(Lists!$D$7/12)</f>
        <v>0.32256666666666661</v>
      </c>
      <c r="Y65" s="77">
        <f>Y$56*(Lists!$D$7/12)</f>
        <v>0.32256666666666661</v>
      </c>
      <c r="Z65" s="77">
        <f>Z$56*(Lists!$D$7/12)</f>
        <v>0.32256666666666661</v>
      </c>
      <c r="AA65" s="77">
        <f>AA$56*(Lists!$D$7/12)</f>
        <v>0.32256666666666661</v>
      </c>
      <c r="AB65" s="77">
        <f>AB$56*(Lists!$D$7/12)</f>
        <v>0.32256666666666661</v>
      </c>
      <c r="AC65" s="77">
        <f>AC$56*(Lists!$D$7/12)</f>
        <v>0.32256666666666661</v>
      </c>
      <c r="AD65" s="77">
        <f>AD$56*(Lists!$D$7/12)</f>
        <v>0.32256666666666661</v>
      </c>
      <c r="AE65" s="77">
        <f>AE$56*(Lists!$D$7/12)</f>
        <v>0.32256666666666661</v>
      </c>
      <c r="AF65" s="78">
        <f>SUM(T65:AE65)</f>
        <v>3.8707999999999987</v>
      </c>
      <c r="AG65" s="77">
        <f>AG$56*(Lists!$D$7/12)</f>
        <v>0.64513333333333323</v>
      </c>
      <c r="AH65" s="77">
        <f>AH$56*(Lists!$D$7/12)</f>
        <v>0.64513333333333323</v>
      </c>
      <c r="AI65" s="77">
        <f>AI$56*(Lists!$D$7/12)</f>
        <v>0.64513333333333323</v>
      </c>
      <c r="AJ65" s="77">
        <f>AJ$56*(Lists!$D$7/12)</f>
        <v>0.64513333333333323</v>
      </c>
      <c r="AK65" s="77">
        <f>AK$56*(Lists!$D$7/12)</f>
        <v>0.64513333333333323</v>
      </c>
      <c r="AL65" s="77">
        <f>AL$56*(Lists!$D$7/12)</f>
        <v>0.64513333333333323</v>
      </c>
      <c r="AM65" s="77">
        <f>AM$56*(Lists!$D$7/12)</f>
        <v>0.64513333333333323</v>
      </c>
      <c r="AN65" s="77">
        <f>AN$56*(Lists!$D$7/12)</f>
        <v>0.64513333333333323</v>
      </c>
      <c r="AO65" s="77">
        <f>AO$56*(Lists!$D$7/12)</f>
        <v>0.64513333333333323</v>
      </c>
      <c r="AP65" s="77">
        <f>AP$56*(Lists!$D$7/12)</f>
        <v>0.64513333333333323</v>
      </c>
      <c r="AQ65" s="77">
        <f>AQ$56*(Lists!$D$7/12)</f>
        <v>0.64513333333333323</v>
      </c>
      <c r="AR65" s="77">
        <f>AR$56*(Lists!$D$7/12)</f>
        <v>0.64513333333333323</v>
      </c>
      <c r="AS65" s="78">
        <f>SUM(AG65:AR65)</f>
        <v>7.7415999999999974</v>
      </c>
      <c r="AT65" s="77">
        <f>AT$56*(Lists!$D$7/12)</f>
        <v>0.80641666666666656</v>
      </c>
      <c r="AU65" s="77">
        <f>AU$56*(Lists!$D$7/12)</f>
        <v>0.80641666666666656</v>
      </c>
      <c r="AV65" s="77">
        <f>AV$56*(Lists!$D$7/12)</f>
        <v>0.80641666666666656</v>
      </c>
      <c r="AW65" s="77">
        <f>AW$56*(Lists!$D$7/12)</f>
        <v>0.80641666666666656</v>
      </c>
      <c r="AX65" s="77">
        <f>AX$56*(Lists!$D$7/12)</f>
        <v>0.80641666666666656</v>
      </c>
      <c r="AY65" s="77">
        <f>AY$56*(Lists!$D$7/12)</f>
        <v>0.80641666666666656</v>
      </c>
      <c r="AZ65" s="77">
        <f>AZ$56*(Lists!$D$7/12)</f>
        <v>0.80641666666666656</v>
      </c>
      <c r="BA65" s="77">
        <f>BA$56*(Lists!$D$7/12)</f>
        <v>0.80641666666666656</v>
      </c>
      <c r="BB65" s="77">
        <f>BB$56*(Lists!$D$7/12)</f>
        <v>0.80641666666666656</v>
      </c>
      <c r="BC65" s="77">
        <f>BC$56*(Lists!$D$7/12)</f>
        <v>0.80641666666666656</v>
      </c>
      <c r="BD65" s="77">
        <f>BD$56*(Lists!$D$7/12)</f>
        <v>0.80641666666666656</v>
      </c>
      <c r="BE65" s="77">
        <f>BE$56*(Lists!$D$7/12)</f>
        <v>0.80641666666666656</v>
      </c>
      <c r="BF65" s="78">
        <f>SUM(AT65:BE65)</f>
        <v>9.6769999999999996</v>
      </c>
      <c r="BG65" s="77">
        <f>BG$56*(Lists!$D$7/12)</f>
        <v>0.96769999999999989</v>
      </c>
      <c r="BH65" s="77">
        <f>BH$56*(Lists!$D$7/12)</f>
        <v>0.96769999999999989</v>
      </c>
      <c r="BI65" s="77">
        <f>BI$56*(Lists!$D$7/12)</f>
        <v>0.96769999999999989</v>
      </c>
      <c r="BJ65" s="77">
        <f>BJ$56*(Lists!$D$7/12)</f>
        <v>0.96769999999999989</v>
      </c>
      <c r="BK65" s="77">
        <f>BK$56*(Lists!$D$7/12)</f>
        <v>0.96769999999999989</v>
      </c>
      <c r="BL65" s="77">
        <f>BL$56*(Lists!$D$7/12)</f>
        <v>0.96769999999999989</v>
      </c>
      <c r="BM65" s="77">
        <f>BM$56*(Lists!$D$7/12)</f>
        <v>0.96769999999999989</v>
      </c>
      <c r="BN65" s="77">
        <f>BN$56*(Lists!$D$7/12)</f>
        <v>0.96769999999999989</v>
      </c>
      <c r="BO65" s="77">
        <f>BO$56*(Lists!$D$7/12)</f>
        <v>0.96769999999999989</v>
      </c>
      <c r="BP65" s="77">
        <f>BP$56*(Lists!$D$7/12)</f>
        <v>0.96769999999999989</v>
      </c>
      <c r="BQ65" s="77">
        <f>BQ$56*(Lists!$D$7/12)</f>
        <v>0.96769999999999989</v>
      </c>
      <c r="BR65" s="77">
        <f>BR$56*(Lists!$D$7/12)</f>
        <v>0.96769999999999989</v>
      </c>
      <c r="BS65" s="78">
        <f>SUM(BG65:BR65)</f>
        <v>11.612400000000001</v>
      </c>
      <c r="BT65" s="37">
        <f>S65+AF65+AS65+BF65+BS65</f>
        <v>266.44525354965384</v>
      </c>
    </row>
    <row r="66" spans="1:72" ht="15.75" customHeight="1">
      <c r="A66" s="2"/>
      <c r="B66" s="2"/>
      <c r="C66" s="2"/>
      <c r="D66" s="2" t="s">
        <v>225</v>
      </c>
      <c r="E66" s="2"/>
      <c r="F66" s="2"/>
      <c r="G66" s="77" t="e">
        <f>'Beer Revenue'!#REF!/6</f>
        <v>#REF!</v>
      </c>
      <c r="H66" s="77" t="e">
        <f>'Beer Revenue'!#REF!/6</f>
        <v>#REF!</v>
      </c>
      <c r="I66" s="77" t="e">
        <f>'Beer Revenue'!#REF!/6</f>
        <v>#REF!</v>
      </c>
      <c r="J66" s="77" t="e">
        <f>'Beer Revenue'!#REF!/6</f>
        <v>#REF!</v>
      </c>
      <c r="K66" s="77" t="e">
        <f>'Beer Revenue'!#REF!/6</f>
        <v>#REF!</v>
      </c>
      <c r="L66" s="77" t="e">
        <f>'Beer Revenue'!#REF!/6</f>
        <v>#REF!</v>
      </c>
      <c r="M66" s="77" t="e">
        <f>'Beer Revenue'!#REF!/6</f>
        <v>#REF!</v>
      </c>
      <c r="N66" s="77" t="e">
        <f>'Beer Revenue'!#REF!/6</f>
        <v>#REF!</v>
      </c>
      <c r="O66" s="77" t="e">
        <f>'Beer Revenue'!#REF!/6</f>
        <v>#REF!</v>
      </c>
      <c r="P66" s="77" t="e">
        <f>'Beer Revenue'!#REF!/6</f>
        <v>#REF!</v>
      </c>
      <c r="Q66" s="77" t="e">
        <f>'Beer Revenue'!#REF!/6</f>
        <v>#REF!</v>
      </c>
      <c r="R66" s="77" t="e">
        <f>'Beer Revenue'!#REF!/6</f>
        <v>#REF!</v>
      </c>
      <c r="S66" s="78" t="e">
        <f>SUM(G66:R66)</f>
        <v>#REF!</v>
      </c>
      <c r="T66" s="77" t="e">
        <f>'Beer Revenue'!#REF!</f>
        <v>#REF!</v>
      </c>
      <c r="U66" s="77" t="e">
        <f>'Beer Revenue'!#REF!</f>
        <v>#REF!</v>
      </c>
      <c r="V66" s="77" t="e">
        <f>'Beer Revenue'!#REF!</f>
        <v>#REF!</v>
      </c>
      <c r="W66" s="77" t="e">
        <f>'Beer Revenue'!#REF!</f>
        <v>#REF!</v>
      </c>
      <c r="X66" s="77" t="e">
        <f>'Beer Revenue'!#REF!</f>
        <v>#REF!</v>
      </c>
      <c r="Y66" s="77" t="e">
        <f>'Beer Revenue'!#REF!</f>
        <v>#REF!</v>
      </c>
      <c r="Z66" s="77" t="e">
        <f>'Beer Revenue'!#REF!</f>
        <v>#REF!</v>
      </c>
      <c r="AA66" s="77" t="e">
        <f>'Beer Revenue'!#REF!</f>
        <v>#REF!</v>
      </c>
      <c r="AB66" s="77" t="e">
        <f>'Beer Revenue'!#REF!</f>
        <v>#REF!</v>
      </c>
      <c r="AC66" s="77" t="e">
        <f>'Beer Revenue'!#REF!</f>
        <v>#REF!</v>
      </c>
      <c r="AD66" s="77" t="e">
        <f>'Beer Revenue'!#REF!</f>
        <v>#REF!</v>
      </c>
      <c r="AE66" s="77" t="e">
        <f>'Beer Revenue'!#REF!</f>
        <v>#REF!</v>
      </c>
      <c r="AF66" s="78" t="e">
        <f>SUM(T66:AE66)</f>
        <v>#REF!</v>
      </c>
      <c r="AG66" s="77" t="e">
        <f>'Beer Revenue'!#REF!</f>
        <v>#REF!</v>
      </c>
      <c r="AH66" s="77" t="e">
        <f>'Beer Revenue'!#REF!</f>
        <v>#REF!</v>
      </c>
      <c r="AI66" s="77" t="e">
        <f>'Beer Revenue'!#REF!</f>
        <v>#REF!</v>
      </c>
      <c r="AJ66" s="77" t="e">
        <f>'Beer Revenue'!#REF!</f>
        <v>#REF!</v>
      </c>
      <c r="AK66" s="77" t="e">
        <f>'Beer Revenue'!#REF!</f>
        <v>#REF!</v>
      </c>
      <c r="AL66" s="77" t="e">
        <f>'Beer Revenue'!#REF!</f>
        <v>#REF!</v>
      </c>
      <c r="AM66" s="77" t="e">
        <f>'Beer Revenue'!#REF!</f>
        <v>#REF!</v>
      </c>
      <c r="AN66" s="77" t="e">
        <f>'Beer Revenue'!#REF!</f>
        <v>#REF!</v>
      </c>
      <c r="AO66" s="77" t="e">
        <f>'Beer Revenue'!#REF!</f>
        <v>#REF!</v>
      </c>
      <c r="AP66" s="77" t="e">
        <f>'Beer Revenue'!#REF!</f>
        <v>#REF!</v>
      </c>
      <c r="AQ66" s="77" t="e">
        <f>'Beer Revenue'!#REF!</f>
        <v>#REF!</v>
      </c>
      <c r="AR66" s="77" t="e">
        <f>'Beer Revenue'!#REF!</f>
        <v>#REF!</v>
      </c>
      <c r="AS66" s="78" t="e">
        <f>SUM(AG66:AR66)</f>
        <v>#REF!</v>
      </c>
      <c r="AT66" s="77" t="e">
        <f>'Beer Revenue'!#REF!</f>
        <v>#REF!</v>
      </c>
      <c r="AU66" s="77" t="e">
        <f>'Beer Revenue'!#REF!</f>
        <v>#REF!</v>
      </c>
      <c r="AV66" s="77" t="e">
        <f>'Beer Revenue'!#REF!</f>
        <v>#REF!</v>
      </c>
      <c r="AW66" s="77" t="e">
        <f>'Beer Revenue'!#REF!</f>
        <v>#REF!</v>
      </c>
      <c r="AX66" s="77" t="e">
        <f>'Beer Revenue'!#REF!</f>
        <v>#REF!</v>
      </c>
      <c r="AY66" s="77" t="e">
        <f>'Beer Revenue'!#REF!</f>
        <v>#REF!</v>
      </c>
      <c r="AZ66" s="77" t="e">
        <f>'Beer Revenue'!#REF!</f>
        <v>#REF!</v>
      </c>
      <c r="BA66" s="77" t="e">
        <f>'Beer Revenue'!#REF!</f>
        <v>#REF!</v>
      </c>
      <c r="BB66" s="77" t="e">
        <f>'Beer Revenue'!#REF!</f>
        <v>#REF!</v>
      </c>
      <c r="BC66" s="77" t="e">
        <f>'Beer Revenue'!#REF!</f>
        <v>#REF!</v>
      </c>
      <c r="BD66" s="77" t="e">
        <f>'Beer Revenue'!#REF!</f>
        <v>#REF!</v>
      </c>
      <c r="BE66" s="77" t="e">
        <f>'Beer Revenue'!#REF!</f>
        <v>#REF!</v>
      </c>
      <c r="BF66" s="78" t="e">
        <f>SUM(AT66:BE66)</f>
        <v>#REF!</v>
      </c>
      <c r="BG66" s="77" t="e">
        <f>'Beer Revenue'!#REF!</f>
        <v>#REF!</v>
      </c>
      <c r="BH66" s="77" t="e">
        <f>'Beer Revenue'!#REF!</f>
        <v>#REF!</v>
      </c>
      <c r="BI66" s="77" t="e">
        <f>'Beer Revenue'!#REF!</f>
        <v>#REF!</v>
      </c>
      <c r="BJ66" s="77" t="e">
        <f>'Beer Revenue'!#REF!</f>
        <v>#REF!</v>
      </c>
      <c r="BK66" s="77" t="e">
        <f>'Beer Revenue'!#REF!</f>
        <v>#REF!</v>
      </c>
      <c r="BL66" s="77" t="e">
        <f>'Beer Revenue'!#REF!</f>
        <v>#REF!</v>
      </c>
      <c r="BM66" s="77" t="e">
        <f>'Beer Revenue'!#REF!</f>
        <v>#REF!</v>
      </c>
      <c r="BN66" s="77" t="e">
        <f>'Beer Revenue'!#REF!</f>
        <v>#REF!</v>
      </c>
      <c r="BO66" s="77" t="e">
        <f>'Beer Revenue'!#REF!</f>
        <v>#REF!</v>
      </c>
      <c r="BP66" s="77" t="e">
        <f>'Beer Revenue'!#REF!</f>
        <v>#REF!</v>
      </c>
      <c r="BQ66" s="77" t="e">
        <f>'Beer Revenue'!#REF!</f>
        <v>#REF!</v>
      </c>
      <c r="BR66" s="77" t="e">
        <f>'Beer Revenue'!#REF!</f>
        <v>#REF!</v>
      </c>
      <c r="BS66" s="78" t="e">
        <f>SUM(BG66:BR66)</f>
        <v>#REF!</v>
      </c>
      <c r="BT66" s="37" t="e">
        <f>S66+AF66+AS66+BF66+BS66</f>
        <v>#REF!</v>
      </c>
    </row>
    <row r="67" spans="1:72" ht="15.75" customHeight="1">
      <c r="A67" s="2"/>
      <c r="B67" s="2"/>
      <c r="C67" s="2"/>
      <c r="D67" s="2" t="s">
        <v>226</v>
      </c>
      <c r="E67" s="2"/>
      <c r="F67" s="2"/>
      <c r="G67" s="77">
        <v>0</v>
      </c>
      <c r="H67" s="77">
        <v>0</v>
      </c>
      <c r="I67" s="77">
        <v>0</v>
      </c>
      <c r="J67" s="77">
        <v>0</v>
      </c>
      <c r="K67" s="77">
        <v>0</v>
      </c>
      <c r="L67" s="77">
        <v>0</v>
      </c>
      <c r="M67" s="77">
        <v>0</v>
      </c>
      <c r="N67" s="77">
        <v>0</v>
      </c>
      <c r="O67" s="77">
        <v>0</v>
      </c>
      <c r="P67" s="77">
        <v>0</v>
      </c>
      <c r="Q67" s="77">
        <v>0</v>
      </c>
      <c r="R67" s="77">
        <v>0</v>
      </c>
      <c r="S67" s="78">
        <f>SUM(G67:R67)</f>
        <v>0</v>
      </c>
      <c r="T67" s="77" t="e">
        <f>'Beer Revenue'!#REF!</f>
        <v>#REF!</v>
      </c>
      <c r="U67" s="77" t="e">
        <f>'Beer Revenue'!#REF!</f>
        <v>#REF!</v>
      </c>
      <c r="V67" s="77" t="e">
        <f>'Beer Revenue'!#REF!</f>
        <v>#REF!</v>
      </c>
      <c r="W67" s="77" t="e">
        <f>'Beer Revenue'!#REF!</f>
        <v>#REF!</v>
      </c>
      <c r="X67" s="77" t="e">
        <f>'Beer Revenue'!#REF!</f>
        <v>#REF!</v>
      </c>
      <c r="Y67" s="77" t="e">
        <f>'Beer Revenue'!#REF!</f>
        <v>#REF!</v>
      </c>
      <c r="Z67" s="77" t="e">
        <f>'Beer Revenue'!#REF!</f>
        <v>#REF!</v>
      </c>
      <c r="AA67" s="77" t="e">
        <f>'Beer Revenue'!#REF!</f>
        <v>#REF!</v>
      </c>
      <c r="AB67" s="77" t="e">
        <f>'Beer Revenue'!#REF!</f>
        <v>#REF!</v>
      </c>
      <c r="AC67" s="77" t="e">
        <f>'Beer Revenue'!#REF!</f>
        <v>#REF!</v>
      </c>
      <c r="AD67" s="77" t="e">
        <f>'Beer Revenue'!#REF!</f>
        <v>#REF!</v>
      </c>
      <c r="AE67" s="77" t="e">
        <f>'Beer Revenue'!#REF!</f>
        <v>#REF!</v>
      </c>
      <c r="AF67" s="78" t="e">
        <f>SUM(T67:AE67)</f>
        <v>#REF!</v>
      </c>
      <c r="AG67" s="77" t="e">
        <f>'Beer Revenue'!#REF!</f>
        <v>#REF!</v>
      </c>
      <c r="AH67" s="77" t="e">
        <f>'Beer Revenue'!#REF!</f>
        <v>#REF!</v>
      </c>
      <c r="AI67" s="77" t="e">
        <f>'Beer Revenue'!#REF!</f>
        <v>#REF!</v>
      </c>
      <c r="AJ67" s="77" t="e">
        <f>'Beer Revenue'!#REF!</f>
        <v>#REF!</v>
      </c>
      <c r="AK67" s="77" t="e">
        <f>'Beer Revenue'!#REF!</f>
        <v>#REF!</v>
      </c>
      <c r="AL67" s="77" t="e">
        <f>'Beer Revenue'!#REF!</f>
        <v>#REF!</v>
      </c>
      <c r="AM67" s="77" t="e">
        <f>'Beer Revenue'!#REF!</f>
        <v>#REF!</v>
      </c>
      <c r="AN67" s="77" t="e">
        <f>'Beer Revenue'!#REF!</f>
        <v>#REF!</v>
      </c>
      <c r="AO67" s="77" t="e">
        <f>'Beer Revenue'!#REF!</f>
        <v>#REF!</v>
      </c>
      <c r="AP67" s="77" t="e">
        <f>'Beer Revenue'!#REF!</f>
        <v>#REF!</v>
      </c>
      <c r="AQ67" s="77" t="e">
        <f>'Beer Revenue'!#REF!</f>
        <v>#REF!</v>
      </c>
      <c r="AR67" s="77" t="e">
        <f>'Beer Revenue'!#REF!</f>
        <v>#REF!</v>
      </c>
      <c r="AS67" s="78" t="e">
        <f>SUM(AG67:AR67)</f>
        <v>#REF!</v>
      </c>
      <c r="AT67" s="77" t="e">
        <f>'Beer Revenue'!#REF!</f>
        <v>#REF!</v>
      </c>
      <c r="AU67" s="77" t="e">
        <f>'Beer Revenue'!#REF!</f>
        <v>#REF!</v>
      </c>
      <c r="AV67" s="77" t="e">
        <f>'Beer Revenue'!#REF!</f>
        <v>#REF!</v>
      </c>
      <c r="AW67" s="77" t="e">
        <f>'Beer Revenue'!#REF!</f>
        <v>#REF!</v>
      </c>
      <c r="AX67" s="77" t="e">
        <f>'Beer Revenue'!#REF!</f>
        <v>#REF!</v>
      </c>
      <c r="AY67" s="77" t="e">
        <f>'Beer Revenue'!#REF!</f>
        <v>#REF!</v>
      </c>
      <c r="AZ67" s="77" t="e">
        <f>'Beer Revenue'!#REF!</f>
        <v>#REF!</v>
      </c>
      <c r="BA67" s="77" t="e">
        <f>'Beer Revenue'!#REF!</f>
        <v>#REF!</v>
      </c>
      <c r="BB67" s="77" t="e">
        <f>'Beer Revenue'!#REF!</f>
        <v>#REF!</v>
      </c>
      <c r="BC67" s="77" t="e">
        <f>'Beer Revenue'!#REF!</f>
        <v>#REF!</v>
      </c>
      <c r="BD67" s="77" t="e">
        <f>'Beer Revenue'!#REF!</f>
        <v>#REF!</v>
      </c>
      <c r="BE67" s="77" t="e">
        <f>'Beer Revenue'!#REF!</f>
        <v>#REF!</v>
      </c>
      <c r="BF67" s="78" t="e">
        <f>SUM(AT67:BE67)</f>
        <v>#REF!</v>
      </c>
      <c r="BG67" s="77" t="e">
        <f>'Beer Revenue'!#REF!</f>
        <v>#REF!</v>
      </c>
      <c r="BH67" s="77" t="e">
        <f>'Beer Revenue'!#REF!</f>
        <v>#REF!</v>
      </c>
      <c r="BI67" s="77" t="e">
        <f>'Beer Revenue'!#REF!</f>
        <v>#REF!</v>
      </c>
      <c r="BJ67" s="77" t="e">
        <f>'Beer Revenue'!#REF!</f>
        <v>#REF!</v>
      </c>
      <c r="BK67" s="77" t="e">
        <f>'Beer Revenue'!#REF!</f>
        <v>#REF!</v>
      </c>
      <c r="BL67" s="77" t="e">
        <f>'Beer Revenue'!#REF!</f>
        <v>#REF!</v>
      </c>
      <c r="BM67" s="77" t="e">
        <f>'Beer Revenue'!#REF!</f>
        <v>#REF!</v>
      </c>
      <c r="BN67" s="77" t="e">
        <f>'Beer Revenue'!#REF!</f>
        <v>#REF!</v>
      </c>
      <c r="BO67" s="77" t="e">
        <f>'Beer Revenue'!#REF!</f>
        <v>#REF!</v>
      </c>
      <c r="BP67" s="77" t="e">
        <f>'Beer Revenue'!#REF!</f>
        <v>#REF!</v>
      </c>
      <c r="BQ67" s="77" t="e">
        <f>'Beer Revenue'!#REF!</f>
        <v>#REF!</v>
      </c>
      <c r="BR67" s="77" t="e">
        <f>'Beer Revenue'!#REF!</f>
        <v>#REF!</v>
      </c>
      <c r="BS67" s="78" t="e">
        <f>SUM(BG67:BR67)</f>
        <v>#REF!</v>
      </c>
      <c r="BT67" s="37" t="e">
        <f>S67+AF67+AS67+BF67+BS67</f>
        <v>#REF!</v>
      </c>
    </row>
    <row r="68" spans="1:72" ht="15.75" customHeight="1">
      <c r="A68" s="2"/>
      <c r="B68" s="2"/>
      <c r="C68" s="2"/>
      <c r="D68" s="2" t="s">
        <v>227</v>
      </c>
      <c r="E68" s="2"/>
      <c r="F68" s="2"/>
      <c r="G68" s="77" t="e">
        <f t="shared" ref="G68:BT68" si="29">G64+G65-G66-G67</f>
        <v>#REF!</v>
      </c>
      <c r="H68" s="77" t="e">
        <f t="shared" si="29"/>
        <v>#REF!</v>
      </c>
      <c r="I68" s="77" t="e">
        <f t="shared" si="29"/>
        <v>#REF!</v>
      </c>
      <c r="J68" s="77" t="e">
        <f t="shared" si="29"/>
        <v>#REF!</v>
      </c>
      <c r="K68" s="77" t="e">
        <f t="shared" si="29"/>
        <v>#REF!</v>
      </c>
      <c r="L68" s="77" t="e">
        <f t="shared" si="29"/>
        <v>#REF!</v>
      </c>
      <c r="M68" s="77" t="e">
        <f t="shared" si="29"/>
        <v>#REF!</v>
      </c>
      <c r="N68" s="77" t="e">
        <f t="shared" si="29"/>
        <v>#REF!</v>
      </c>
      <c r="O68" s="77" t="e">
        <f t="shared" si="29"/>
        <v>#REF!</v>
      </c>
      <c r="P68" s="77" t="e">
        <f t="shared" si="29"/>
        <v>#REF!</v>
      </c>
      <c r="Q68" s="77" t="e">
        <f t="shared" si="29"/>
        <v>#REF!</v>
      </c>
      <c r="R68" s="77" t="e">
        <f t="shared" si="29"/>
        <v>#REF!</v>
      </c>
      <c r="S68" s="78" t="e">
        <f t="shared" si="29"/>
        <v>#REF!</v>
      </c>
      <c r="T68" s="77" t="e">
        <f t="shared" si="29"/>
        <v>#REF!</v>
      </c>
      <c r="U68" s="77" t="e">
        <f t="shared" si="29"/>
        <v>#REF!</v>
      </c>
      <c r="V68" s="77" t="e">
        <f t="shared" si="29"/>
        <v>#REF!</v>
      </c>
      <c r="W68" s="77" t="e">
        <f t="shared" si="29"/>
        <v>#REF!</v>
      </c>
      <c r="X68" s="77" t="e">
        <f t="shared" si="29"/>
        <v>#REF!</v>
      </c>
      <c r="Y68" s="77" t="e">
        <f t="shared" si="29"/>
        <v>#REF!</v>
      </c>
      <c r="Z68" s="77" t="e">
        <f t="shared" si="29"/>
        <v>#REF!</v>
      </c>
      <c r="AA68" s="77" t="e">
        <f t="shared" si="29"/>
        <v>#REF!</v>
      </c>
      <c r="AB68" s="77" t="e">
        <f t="shared" si="29"/>
        <v>#REF!</v>
      </c>
      <c r="AC68" s="77" t="e">
        <f t="shared" si="29"/>
        <v>#REF!</v>
      </c>
      <c r="AD68" s="77" t="e">
        <f t="shared" si="29"/>
        <v>#REF!</v>
      </c>
      <c r="AE68" s="77" t="e">
        <f t="shared" si="29"/>
        <v>#REF!</v>
      </c>
      <c r="AF68" s="78" t="e">
        <f t="shared" si="29"/>
        <v>#REF!</v>
      </c>
      <c r="AG68" s="77" t="e">
        <f t="shared" si="29"/>
        <v>#REF!</v>
      </c>
      <c r="AH68" s="77" t="e">
        <f t="shared" si="29"/>
        <v>#REF!</v>
      </c>
      <c r="AI68" s="77" t="e">
        <f t="shared" si="29"/>
        <v>#REF!</v>
      </c>
      <c r="AJ68" s="77" t="e">
        <f t="shared" si="29"/>
        <v>#REF!</v>
      </c>
      <c r="AK68" s="77" t="e">
        <f t="shared" si="29"/>
        <v>#REF!</v>
      </c>
      <c r="AL68" s="77" t="e">
        <f t="shared" si="29"/>
        <v>#REF!</v>
      </c>
      <c r="AM68" s="77" t="e">
        <f t="shared" si="29"/>
        <v>#REF!</v>
      </c>
      <c r="AN68" s="77" t="e">
        <f t="shared" si="29"/>
        <v>#REF!</v>
      </c>
      <c r="AO68" s="77" t="e">
        <f t="shared" si="29"/>
        <v>#REF!</v>
      </c>
      <c r="AP68" s="77" t="e">
        <f t="shared" si="29"/>
        <v>#REF!</v>
      </c>
      <c r="AQ68" s="77" t="e">
        <f t="shared" si="29"/>
        <v>#REF!</v>
      </c>
      <c r="AR68" s="77" t="e">
        <f t="shared" si="29"/>
        <v>#REF!</v>
      </c>
      <c r="AS68" s="78" t="e">
        <f t="shared" si="29"/>
        <v>#REF!</v>
      </c>
      <c r="AT68" s="77" t="e">
        <f t="shared" si="29"/>
        <v>#REF!</v>
      </c>
      <c r="AU68" s="77" t="e">
        <f t="shared" si="29"/>
        <v>#REF!</v>
      </c>
      <c r="AV68" s="77" t="e">
        <f t="shared" si="29"/>
        <v>#REF!</v>
      </c>
      <c r="AW68" s="77" t="e">
        <f t="shared" si="29"/>
        <v>#REF!</v>
      </c>
      <c r="AX68" s="77" t="e">
        <f t="shared" si="29"/>
        <v>#REF!</v>
      </c>
      <c r="AY68" s="77" t="e">
        <f t="shared" si="29"/>
        <v>#REF!</v>
      </c>
      <c r="AZ68" s="77" t="e">
        <f t="shared" si="29"/>
        <v>#REF!</v>
      </c>
      <c r="BA68" s="77" t="e">
        <f t="shared" si="29"/>
        <v>#REF!</v>
      </c>
      <c r="BB68" s="77" t="e">
        <f t="shared" si="29"/>
        <v>#REF!</v>
      </c>
      <c r="BC68" s="77" t="e">
        <f t="shared" si="29"/>
        <v>#REF!</v>
      </c>
      <c r="BD68" s="77" t="e">
        <f t="shared" si="29"/>
        <v>#REF!</v>
      </c>
      <c r="BE68" s="77" t="e">
        <f t="shared" si="29"/>
        <v>#REF!</v>
      </c>
      <c r="BF68" s="78" t="e">
        <f t="shared" si="29"/>
        <v>#REF!</v>
      </c>
      <c r="BG68" s="77" t="e">
        <f t="shared" si="29"/>
        <v>#REF!</v>
      </c>
      <c r="BH68" s="77" t="e">
        <f t="shared" si="29"/>
        <v>#REF!</v>
      </c>
      <c r="BI68" s="77" t="e">
        <f t="shared" si="29"/>
        <v>#REF!</v>
      </c>
      <c r="BJ68" s="77" t="e">
        <f t="shared" si="29"/>
        <v>#REF!</v>
      </c>
      <c r="BK68" s="77" t="e">
        <f t="shared" si="29"/>
        <v>#REF!</v>
      </c>
      <c r="BL68" s="77" t="e">
        <f t="shared" si="29"/>
        <v>#REF!</v>
      </c>
      <c r="BM68" s="77" t="e">
        <f t="shared" si="29"/>
        <v>#REF!</v>
      </c>
      <c r="BN68" s="77" t="e">
        <f t="shared" si="29"/>
        <v>#REF!</v>
      </c>
      <c r="BO68" s="77" t="e">
        <f t="shared" si="29"/>
        <v>#REF!</v>
      </c>
      <c r="BP68" s="77" t="e">
        <f t="shared" si="29"/>
        <v>#REF!</v>
      </c>
      <c r="BQ68" s="77" t="e">
        <f t="shared" si="29"/>
        <v>#REF!</v>
      </c>
      <c r="BR68" s="77" t="e">
        <f t="shared" si="29"/>
        <v>#REF!</v>
      </c>
      <c r="BS68" s="78" t="e">
        <f t="shared" si="29"/>
        <v>#REF!</v>
      </c>
      <c r="BT68" s="78" t="e">
        <f t="shared" si="29"/>
        <v>#REF!</v>
      </c>
    </row>
    <row r="69" spans="1:72" ht="15.75" customHeight="1">
      <c r="A69" s="2"/>
      <c r="B69" s="2"/>
      <c r="C69" s="2"/>
      <c r="D69" s="2"/>
      <c r="E69" s="2"/>
      <c r="F69" s="2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8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8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8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8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8"/>
      <c r="BT69" s="1"/>
    </row>
    <row r="70" spans="1:72" ht="15.75" customHeight="1">
      <c r="A70" s="2"/>
      <c r="B70" s="2"/>
      <c r="C70" s="2" t="s">
        <v>228</v>
      </c>
      <c r="D70" s="2"/>
      <c r="E70" s="2"/>
      <c r="F70" s="2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8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8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8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8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8"/>
      <c r="BT70" s="1"/>
    </row>
    <row r="71" spans="1:72" ht="15.75" customHeight="1">
      <c r="A71" s="2"/>
      <c r="B71" s="2"/>
      <c r="C71" s="2"/>
      <c r="D71" s="2" t="s">
        <v>214</v>
      </c>
      <c r="E71" s="2"/>
      <c r="F71" s="2"/>
      <c r="G71" s="77">
        <v>0</v>
      </c>
      <c r="H71" s="77" t="e">
        <f t="shared" ref="H71:R71" si="30">G75</f>
        <v>#REF!</v>
      </c>
      <c r="I71" s="77" t="e">
        <f t="shared" si="30"/>
        <v>#REF!</v>
      </c>
      <c r="J71" s="77" t="e">
        <f t="shared" si="30"/>
        <v>#REF!</v>
      </c>
      <c r="K71" s="77" t="e">
        <f t="shared" si="30"/>
        <v>#REF!</v>
      </c>
      <c r="L71" s="77" t="e">
        <f t="shared" si="30"/>
        <v>#REF!</v>
      </c>
      <c r="M71" s="77" t="e">
        <f t="shared" si="30"/>
        <v>#REF!</v>
      </c>
      <c r="N71" s="77" t="e">
        <f t="shared" si="30"/>
        <v>#REF!</v>
      </c>
      <c r="O71" s="77" t="e">
        <f t="shared" si="30"/>
        <v>#REF!</v>
      </c>
      <c r="P71" s="77" t="e">
        <f t="shared" si="30"/>
        <v>#REF!</v>
      </c>
      <c r="Q71" s="77" t="e">
        <f t="shared" si="30"/>
        <v>#REF!</v>
      </c>
      <c r="R71" s="77" t="e">
        <f t="shared" si="30"/>
        <v>#REF!</v>
      </c>
      <c r="S71" s="78">
        <f>G71</f>
        <v>0</v>
      </c>
      <c r="T71" s="77" t="e">
        <f>R75</f>
        <v>#REF!</v>
      </c>
      <c r="U71" s="77" t="e">
        <f t="shared" ref="U71:AE71" si="31">T75</f>
        <v>#REF!</v>
      </c>
      <c r="V71" s="77" t="e">
        <f t="shared" si="31"/>
        <v>#REF!</v>
      </c>
      <c r="W71" s="77" t="e">
        <f t="shared" si="31"/>
        <v>#REF!</v>
      </c>
      <c r="X71" s="77" t="e">
        <f t="shared" si="31"/>
        <v>#REF!</v>
      </c>
      <c r="Y71" s="77" t="e">
        <f t="shared" si="31"/>
        <v>#REF!</v>
      </c>
      <c r="Z71" s="77" t="e">
        <f t="shared" si="31"/>
        <v>#REF!</v>
      </c>
      <c r="AA71" s="77" t="e">
        <f t="shared" si="31"/>
        <v>#REF!</v>
      </c>
      <c r="AB71" s="77" t="e">
        <f t="shared" si="31"/>
        <v>#REF!</v>
      </c>
      <c r="AC71" s="77" t="e">
        <f t="shared" si="31"/>
        <v>#REF!</v>
      </c>
      <c r="AD71" s="77" t="e">
        <f t="shared" si="31"/>
        <v>#REF!</v>
      </c>
      <c r="AE71" s="77" t="e">
        <f t="shared" si="31"/>
        <v>#REF!</v>
      </c>
      <c r="AF71" s="78" t="e">
        <f>T71</f>
        <v>#REF!</v>
      </c>
      <c r="AG71" s="77" t="e">
        <f>AE75</f>
        <v>#REF!</v>
      </c>
      <c r="AH71" s="77" t="e">
        <f t="shared" ref="AH71:AR71" si="32">AG75</f>
        <v>#REF!</v>
      </c>
      <c r="AI71" s="77" t="e">
        <f t="shared" si="32"/>
        <v>#REF!</v>
      </c>
      <c r="AJ71" s="77" t="e">
        <f t="shared" si="32"/>
        <v>#REF!</v>
      </c>
      <c r="AK71" s="77" t="e">
        <f t="shared" si="32"/>
        <v>#REF!</v>
      </c>
      <c r="AL71" s="77" t="e">
        <f t="shared" si="32"/>
        <v>#REF!</v>
      </c>
      <c r="AM71" s="77" t="e">
        <f t="shared" si="32"/>
        <v>#REF!</v>
      </c>
      <c r="AN71" s="77" t="e">
        <f t="shared" si="32"/>
        <v>#REF!</v>
      </c>
      <c r="AO71" s="77" t="e">
        <f t="shared" si="32"/>
        <v>#REF!</v>
      </c>
      <c r="AP71" s="77" t="e">
        <f t="shared" si="32"/>
        <v>#REF!</v>
      </c>
      <c r="AQ71" s="77" t="e">
        <f t="shared" si="32"/>
        <v>#REF!</v>
      </c>
      <c r="AR71" s="77" t="e">
        <f t="shared" si="32"/>
        <v>#REF!</v>
      </c>
      <c r="AS71" s="78" t="e">
        <f>AG71</f>
        <v>#REF!</v>
      </c>
      <c r="AT71" s="77" t="e">
        <f>AR75</f>
        <v>#REF!</v>
      </c>
      <c r="AU71" s="77" t="e">
        <f t="shared" ref="AU71:BE71" si="33">AT75</f>
        <v>#REF!</v>
      </c>
      <c r="AV71" s="77" t="e">
        <f t="shared" si="33"/>
        <v>#REF!</v>
      </c>
      <c r="AW71" s="77" t="e">
        <f t="shared" si="33"/>
        <v>#REF!</v>
      </c>
      <c r="AX71" s="77" t="e">
        <f t="shared" si="33"/>
        <v>#REF!</v>
      </c>
      <c r="AY71" s="77" t="e">
        <f t="shared" si="33"/>
        <v>#REF!</v>
      </c>
      <c r="AZ71" s="77" t="e">
        <f t="shared" si="33"/>
        <v>#REF!</v>
      </c>
      <c r="BA71" s="77" t="e">
        <f t="shared" si="33"/>
        <v>#REF!</v>
      </c>
      <c r="BB71" s="77" t="e">
        <f t="shared" si="33"/>
        <v>#REF!</v>
      </c>
      <c r="BC71" s="77" t="e">
        <f t="shared" si="33"/>
        <v>#REF!</v>
      </c>
      <c r="BD71" s="77" t="e">
        <f t="shared" si="33"/>
        <v>#REF!</v>
      </c>
      <c r="BE71" s="77" t="e">
        <f t="shared" si="33"/>
        <v>#REF!</v>
      </c>
      <c r="BF71" s="78" t="e">
        <f>AT71</f>
        <v>#REF!</v>
      </c>
      <c r="BG71" s="77" t="e">
        <f>BE75</f>
        <v>#REF!</v>
      </c>
      <c r="BH71" s="77" t="e">
        <f t="shared" ref="BH71:BR71" si="34">BG75</f>
        <v>#REF!</v>
      </c>
      <c r="BI71" s="77" t="e">
        <f t="shared" si="34"/>
        <v>#REF!</v>
      </c>
      <c r="BJ71" s="77" t="e">
        <f t="shared" si="34"/>
        <v>#REF!</v>
      </c>
      <c r="BK71" s="77" t="e">
        <f t="shared" si="34"/>
        <v>#REF!</v>
      </c>
      <c r="BL71" s="77" t="e">
        <f t="shared" si="34"/>
        <v>#REF!</v>
      </c>
      <c r="BM71" s="77" t="e">
        <f t="shared" si="34"/>
        <v>#REF!</v>
      </c>
      <c r="BN71" s="77" t="e">
        <f t="shared" si="34"/>
        <v>#REF!</v>
      </c>
      <c r="BO71" s="77" t="e">
        <f t="shared" si="34"/>
        <v>#REF!</v>
      </c>
      <c r="BP71" s="77" t="e">
        <f t="shared" si="34"/>
        <v>#REF!</v>
      </c>
      <c r="BQ71" s="77" t="e">
        <f t="shared" si="34"/>
        <v>#REF!</v>
      </c>
      <c r="BR71" s="77" t="e">
        <f t="shared" si="34"/>
        <v>#REF!</v>
      </c>
      <c r="BS71" s="78" t="e">
        <f>BG71</f>
        <v>#REF!</v>
      </c>
      <c r="BT71" s="78">
        <f>G71</f>
        <v>0</v>
      </c>
    </row>
    <row r="72" spans="1:72" ht="15.75" customHeight="1">
      <c r="A72" s="2"/>
      <c r="B72" s="2"/>
      <c r="C72" s="2"/>
      <c r="D72" s="2" t="s">
        <v>224</v>
      </c>
      <c r="E72" s="2"/>
      <c r="F72" s="2"/>
      <c r="G72" s="77">
        <f>G$57*Lists!$D$8</f>
        <v>0</v>
      </c>
      <c r="H72" s="77">
        <f>H$57*Lists!$D$8</f>
        <v>0</v>
      </c>
      <c r="I72" s="77">
        <f>I$57*Lists!$D$8</f>
        <v>0</v>
      </c>
      <c r="J72" s="77">
        <f>J$57*Lists!$D$8</f>
        <v>0</v>
      </c>
      <c r="K72" s="77">
        <f>K$57*Lists!$D$8</f>
        <v>0</v>
      </c>
      <c r="L72" s="77">
        <f>L$57*Lists!$D$8</f>
        <v>0</v>
      </c>
      <c r="M72" s="77">
        <f>M$57*Lists!$D$8</f>
        <v>0</v>
      </c>
      <c r="N72" s="77">
        <f>N$57*Lists!$D$8</f>
        <v>0</v>
      </c>
      <c r="O72" s="77">
        <f>O$57*Lists!$D$8</f>
        <v>0</v>
      </c>
      <c r="P72" s="77">
        <f>P$57*Lists!$D$8</f>
        <v>0</v>
      </c>
      <c r="Q72" s="77">
        <f>Q$57*Lists!$D$8</f>
        <v>0</v>
      </c>
      <c r="R72" s="77">
        <f>R$57*Lists!$D$8</f>
        <v>0</v>
      </c>
      <c r="S72" s="78">
        <f>SUM(G72:R72)</f>
        <v>0</v>
      </c>
      <c r="T72" s="77">
        <f>T$57*Lists!$D$8</f>
        <v>300</v>
      </c>
      <c r="U72" s="77">
        <f>U$57*Lists!$D$8</f>
        <v>300</v>
      </c>
      <c r="V72" s="77">
        <f>V$57*Lists!$D$8</f>
        <v>300</v>
      </c>
      <c r="W72" s="77">
        <f>W$57*Lists!$D$8</f>
        <v>300</v>
      </c>
      <c r="X72" s="77">
        <f>X$57*Lists!$D$8</f>
        <v>300</v>
      </c>
      <c r="Y72" s="77">
        <f>Y$57*Lists!$D$8</f>
        <v>300</v>
      </c>
      <c r="Z72" s="77">
        <f>Z$57*Lists!$D$8</f>
        <v>300</v>
      </c>
      <c r="AA72" s="77">
        <f>AA$57*Lists!$D$8</f>
        <v>300</v>
      </c>
      <c r="AB72" s="77">
        <f>AB$57*Lists!$D$8</f>
        <v>300</v>
      </c>
      <c r="AC72" s="77">
        <f>AC$57*Lists!$D$8</f>
        <v>300</v>
      </c>
      <c r="AD72" s="77">
        <f>AD$57*Lists!$D$8</f>
        <v>300</v>
      </c>
      <c r="AE72" s="77">
        <f>AE$57*Lists!$D$8</f>
        <v>300</v>
      </c>
      <c r="AF72" s="78">
        <f>SUM(T72:AE72)</f>
        <v>3600</v>
      </c>
      <c r="AG72" s="77">
        <f>AG$57*Lists!$D$8</f>
        <v>360</v>
      </c>
      <c r="AH72" s="77">
        <f>AH$57*Lists!$D$8</f>
        <v>360</v>
      </c>
      <c r="AI72" s="77">
        <f>AI$57*Lists!$D$8</f>
        <v>360</v>
      </c>
      <c r="AJ72" s="77">
        <f>AJ$57*Lists!$D$8</f>
        <v>360</v>
      </c>
      <c r="AK72" s="77">
        <f>AK$57*Lists!$D$8</f>
        <v>360</v>
      </c>
      <c r="AL72" s="77">
        <f>AL$57*Lists!$D$8</f>
        <v>360</v>
      </c>
      <c r="AM72" s="77">
        <f>AM$57*Lists!$D$8</f>
        <v>360</v>
      </c>
      <c r="AN72" s="77">
        <f>AN$57*Lists!$D$8</f>
        <v>360</v>
      </c>
      <c r="AO72" s="77">
        <f>AO$57*Lists!$D$8</f>
        <v>360</v>
      </c>
      <c r="AP72" s="77">
        <f>AP$57*Lists!$D$8</f>
        <v>360</v>
      </c>
      <c r="AQ72" s="77">
        <f>AQ$57*Lists!$D$8</f>
        <v>360</v>
      </c>
      <c r="AR72" s="77">
        <f>AR$57*Lists!$D$8</f>
        <v>360</v>
      </c>
      <c r="AS72" s="78">
        <f>SUM(AG72:AR72)</f>
        <v>4320</v>
      </c>
      <c r="AT72" s="77">
        <f>AT$57*Lists!$D$8</f>
        <v>480</v>
      </c>
      <c r="AU72" s="77">
        <f>AU$57*Lists!$D$8</f>
        <v>480</v>
      </c>
      <c r="AV72" s="77">
        <f>AV$57*Lists!$D$8</f>
        <v>480</v>
      </c>
      <c r="AW72" s="77">
        <f>AW$57*Lists!$D$8</f>
        <v>480</v>
      </c>
      <c r="AX72" s="77">
        <f>AX$57*Lists!$D$8</f>
        <v>480</v>
      </c>
      <c r="AY72" s="77">
        <f>AY$57*Lists!$D$8</f>
        <v>480</v>
      </c>
      <c r="AZ72" s="77">
        <f>AZ$57*Lists!$D$8</f>
        <v>480</v>
      </c>
      <c r="BA72" s="77">
        <f>BA$57*Lists!$D$8</f>
        <v>480</v>
      </c>
      <c r="BB72" s="77">
        <f>BB$57*Lists!$D$8</f>
        <v>480</v>
      </c>
      <c r="BC72" s="77">
        <f>BC$57*Lists!$D$8</f>
        <v>480</v>
      </c>
      <c r="BD72" s="77">
        <f>BD$57*Lists!$D$8</f>
        <v>480</v>
      </c>
      <c r="BE72" s="77">
        <f>BE$57*Lists!$D$8</f>
        <v>480</v>
      </c>
      <c r="BF72" s="78">
        <f>SUM(AT72:BE72)</f>
        <v>5760</v>
      </c>
      <c r="BG72" s="77">
        <f>BG$57*Lists!$D$8</f>
        <v>540</v>
      </c>
      <c r="BH72" s="77">
        <f>BH$57*Lists!$D$8</f>
        <v>540</v>
      </c>
      <c r="BI72" s="77">
        <f>BI$57*Lists!$D$8</f>
        <v>540</v>
      </c>
      <c r="BJ72" s="77">
        <f>BJ$57*Lists!$D$8</f>
        <v>540</v>
      </c>
      <c r="BK72" s="77">
        <f>BK$57*Lists!$D$8</f>
        <v>540</v>
      </c>
      <c r="BL72" s="77">
        <f>BL$57*Lists!$D$8</f>
        <v>540</v>
      </c>
      <c r="BM72" s="77">
        <f>BM$57*Lists!$D$8</f>
        <v>540</v>
      </c>
      <c r="BN72" s="77">
        <f>BN$57*Lists!$D$8</f>
        <v>540</v>
      </c>
      <c r="BO72" s="77">
        <f>BO$57*Lists!$D$8</f>
        <v>540</v>
      </c>
      <c r="BP72" s="77">
        <f>BP$57*Lists!$D$8</f>
        <v>540</v>
      </c>
      <c r="BQ72" s="77">
        <f>BQ$57*Lists!$D$8</f>
        <v>540</v>
      </c>
      <c r="BR72" s="77">
        <f>BR$57*Lists!$D$8</f>
        <v>540</v>
      </c>
      <c r="BS72" s="78">
        <f>SUM(BG72:BR72)</f>
        <v>6480</v>
      </c>
      <c r="BT72" s="37">
        <f>S72+AF72+AS72+BF72+BS72</f>
        <v>20160</v>
      </c>
    </row>
    <row r="73" spans="1:72" ht="15.75" customHeight="1">
      <c r="A73" s="2"/>
      <c r="B73" s="2"/>
      <c r="C73" s="2"/>
      <c r="D73" s="2" t="s">
        <v>229</v>
      </c>
      <c r="E73" s="2"/>
      <c r="F73" s="2"/>
      <c r="G73" s="88">
        <f>G57*6</f>
        <v>0</v>
      </c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78">
        <f>SUM(G73:R73)</f>
        <v>0</v>
      </c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78">
        <f>SUM(T73:AE73)</f>
        <v>0</v>
      </c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78">
        <f>SUM(AG73:AR73)</f>
        <v>0</v>
      </c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78">
        <f>SUM(AT73:BE73)</f>
        <v>0</v>
      </c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78">
        <f>SUM(BG73:BR73)</f>
        <v>0</v>
      </c>
      <c r="BT73" s="37">
        <f>S73+AF73+AS73+BF73+BS73</f>
        <v>0</v>
      </c>
    </row>
    <row r="74" spans="1:72" ht="15.75" customHeight="1">
      <c r="A74" s="2"/>
      <c r="B74" s="2"/>
      <c r="C74" s="2"/>
      <c r="D74" s="2" t="s">
        <v>226</v>
      </c>
      <c r="E74" s="2"/>
      <c r="F74" s="2"/>
      <c r="G74" s="77" t="e">
        <f>'Beer Revenue'!#REF!</f>
        <v>#REF!</v>
      </c>
      <c r="H74" s="77" t="e">
        <f>'Beer Revenue'!#REF!</f>
        <v>#REF!</v>
      </c>
      <c r="I74" s="77" t="e">
        <f>'Beer Revenue'!#REF!</f>
        <v>#REF!</v>
      </c>
      <c r="J74" s="77" t="e">
        <f>'Beer Revenue'!#REF!</f>
        <v>#REF!</v>
      </c>
      <c r="K74" s="77" t="e">
        <f>'Beer Revenue'!#REF!</f>
        <v>#REF!</v>
      </c>
      <c r="L74" s="77" t="e">
        <f>'Beer Revenue'!#REF!</f>
        <v>#REF!</v>
      </c>
      <c r="M74" s="77" t="e">
        <f>'Beer Revenue'!#REF!</f>
        <v>#REF!</v>
      </c>
      <c r="N74" s="77" t="e">
        <f>'Beer Revenue'!#REF!</f>
        <v>#REF!</v>
      </c>
      <c r="O74" s="77" t="e">
        <f>'Beer Revenue'!#REF!</f>
        <v>#REF!</v>
      </c>
      <c r="P74" s="77" t="e">
        <f>'Beer Revenue'!#REF!</f>
        <v>#REF!</v>
      </c>
      <c r="Q74" s="77" t="e">
        <f>'Beer Revenue'!#REF!</f>
        <v>#REF!</v>
      </c>
      <c r="R74" s="77" t="e">
        <f>'Beer Revenue'!#REF!</f>
        <v>#REF!</v>
      </c>
      <c r="S74" s="78" t="e">
        <f>SUM(G74:R74)</f>
        <v>#REF!</v>
      </c>
      <c r="T74" s="77" t="e">
        <f>'Beer Revenue'!#REF!</f>
        <v>#REF!</v>
      </c>
      <c r="U74" s="77" t="e">
        <f>'Beer Revenue'!#REF!</f>
        <v>#REF!</v>
      </c>
      <c r="V74" s="77" t="e">
        <f>'Beer Revenue'!#REF!</f>
        <v>#REF!</v>
      </c>
      <c r="W74" s="77" t="e">
        <f>'Beer Revenue'!#REF!</f>
        <v>#REF!</v>
      </c>
      <c r="X74" s="77" t="e">
        <f>'Beer Revenue'!#REF!</f>
        <v>#REF!</v>
      </c>
      <c r="Y74" s="77" t="e">
        <f>'Beer Revenue'!#REF!</f>
        <v>#REF!</v>
      </c>
      <c r="Z74" s="77" t="e">
        <f>'Beer Revenue'!#REF!</f>
        <v>#REF!</v>
      </c>
      <c r="AA74" s="77" t="e">
        <f>'Beer Revenue'!#REF!</f>
        <v>#REF!</v>
      </c>
      <c r="AB74" s="77" t="e">
        <f>'Beer Revenue'!#REF!</f>
        <v>#REF!</v>
      </c>
      <c r="AC74" s="77" t="e">
        <f>'Beer Revenue'!#REF!</f>
        <v>#REF!</v>
      </c>
      <c r="AD74" s="77" t="e">
        <f>'Beer Revenue'!#REF!</f>
        <v>#REF!</v>
      </c>
      <c r="AE74" s="77" t="e">
        <f>'Beer Revenue'!#REF!</f>
        <v>#REF!</v>
      </c>
      <c r="AF74" s="78" t="e">
        <f>SUM(T74:AE74)</f>
        <v>#REF!</v>
      </c>
      <c r="AG74" s="77" t="e">
        <f>'Beer Revenue'!#REF!</f>
        <v>#REF!</v>
      </c>
      <c r="AH74" s="77" t="e">
        <f>'Beer Revenue'!#REF!</f>
        <v>#REF!</v>
      </c>
      <c r="AI74" s="77" t="e">
        <f>'Beer Revenue'!#REF!</f>
        <v>#REF!</v>
      </c>
      <c r="AJ74" s="77" t="e">
        <f>'Beer Revenue'!#REF!</f>
        <v>#REF!</v>
      </c>
      <c r="AK74" s="77" t="e">
        <f>'Beer Revenue'!#REF!</f>
        <v>#REF!</v>
      </c>
      <c r="AL74" s="77" t="e">
        <f>'Beer Revenue'!#REF!</f>
        <v>#REF!</v>
      </c>
      <c r="AM74" s="77" t="e">
        <f>'Beer Revenue'!#REF!</f>
        <v>#REF!</v>
      </c>
      <c r="AN74" s="77" t="e">
        <f>'Beer Revenue'!#REF!</f>
        <v>#REF!</v>
      </c>
      <c r="AO74" s="77" t="e">
        <f>'Beer Revenue'!#REF!</f>
        <v>#REF!</v>
      </c>
      <c r="AP74" s="77" t="e">
        <f>'Beer Revenue'!#REF!</f>
        <v>#REF!</v>
      </c>
      <c r="AQ74" s="77" t="e">
        <f>'Beer Revenue'!#REF!</f>
        <v>#REF!</v>
      </c>
      <c r="AR74" s="77" t="e">
        <f>'Beer Revenue'!#REF!</f>
        <v>#REF!</v>
      </c>
      <c r="AS74" s="78" t="e">
        <f>SUM(AG74:AR74)</f>
        <v>#REF!</v>
      </c>
      <c r="AT74" s="77" t="e">
        <f>'Beer Revenue'!#REF!</f>
        <v>#REF!</v>
      </c>
      <c r="AU74" s="77" t="e">
        <f>'Beer Revenue'!#REF!</f>
        <v>#REF!</v>
      </c>
      <c r="AV74" s="77" t="e">
        <f>'Beer Revenue'!#REF!</f>
        <v>#REF!</v>
      </c>
      <c r="AW74" s="77" t="e">
        <f>'Beer Revenue'!#REF!</f>
        <v>#REF!</v>
      </c>
      <c r="AX74" s="77" t="e">
        <f>'Beer Revenue'!#REF!</f>
        <v>#REF!</v>
      </c>
      <c r="AY74" s="77" t="e">
        <f>'Beer Revenue'!#REF!</f>
        <v>#REF!</v>
      </c>
      <c r="AZ74" s="77" t="e">
        <f>'Beer Revenue'!#REF!</f>
        <v>#REF!</v>
      </c>
      <c r="BA74" s="77" t="e">
        <f>'Beer Revenue'!#REF!</f>
        <v>#REF!</v>
      </c>
      <c r="BB74" s="77" t="e">
        <f>'Beer Revenue'!#REF!</f>
        <v>#REF!</v>
      </c>
      <c r="BC74" s="77" t="e">
        <f>'Beer Revenue'!#REF!</f>
        <v>#REF!</v>
      </c>
      <c r="BD74" s="77" t="e">
        <f>'Beer Revenue'!#REF!</f>
        <v>#REF!</v>
      </c>
      <c r="BE74" s="77" t="e">
        <f>'Beer Revenue'!#REF!</f>
        <v>#REF!</v>
      </c>
      <c r="BF74" s="78" t="e">
        <f>SUM(AT74:BE74)</f>
        <v>#REF!</v>
      </c>
      <c r="BG74" s="77" t="e">
        <f>'Beer Revenue'!#REF!</f>
        <v>#REF!</v>
      </c>
      <c r="BH74" s="77" t="e">
        <f>'Beer Revenue'!#REF!</f>
        <v>#REF!</v>
      </c>
      <c r="BI74" s="77" t="e">
        <f>'Beer Revenue'!#REF!</f>
        <v>#REF!</v>
      </c>
      <c r="BJ74" s="77" t="e">
        <f>'Beer Revenue'!#REF!</f>
        <v>#REF!</v>
      </c>
      <c r="BK74" s="77" t="e">
        <f>'Beer Revenue'!#REF!</f>
        <v>#REF!</v>
      </c>
      <c r="BL74" s="77" t="e">
        <f>'Beer Revenue'!#REF!</f>
        <v>#REF!</v>
      </c>
      <c r="BM74" s="77" t="e">
        <f>'Beer Revenue'!#REF!</f>
        <v>#REF!</v>
      </c>
      <c r="BN74" s="77" t="e">
        <f>'Beer Revenue'!#REF!</f>
        <v>#REF!</v>
      </c>
      <c r="BO74" s="77" t="e">
        <f>'Beer Revenue'!#REF!</f>
        <v>#REF!</v>
      </c>
      <c r="BP74" s="77" t="e">
        <f>'Beer Revenue'!#REF!</f>
        <v>#REF!</v>
      </c>
      <c r="BQ74" s="77" t="e">
        <f>'Beer Revenue'!#REF!</f>
        <v>#REF!</v>
      </c>
      <c r="BR74" s="77" t="e">
        <f>'Beer Revenue'!#REF!</f>
        <v>#REF!</v>
      </c>
      <c r="BS74" s="78" t="e">
        <f>SUM(BG74:BR74)</f>
        <v>#REF!</v>
      </c>
      <c r="BT74" s="37" t="e">
        <f>S74+AF74+AS74+BF74+BS74</f>
        <v>#REF!</v>
      </c>
    </row>
    <row r="75" spans="1:72" ht="15.75" customHeight="1">
      <c r="A75" s="2"/>
      <c r="B75" s="2"/>
      <c r="C75" s="2"/>
      <c r="D75" s="2" t="s">
        <v>227</v>
      </c>
      <c r="E75" s="2"/>
      <c r="F75" s="2"/>
      <c r="G75" s="77" t="e">
        <f t="shared" ref="G75:BT75" si="35">G71+G72-G73-G74</f>
        <v>#REF!</v>
      </c>
      <c r="H75" s="77" t="e">
        <f t="shared" si="35"/>
        <v>#REF!</v>
      </c>
      <c r="I75" s="77" t="e">
        <f t="shared" si="35"/>
        <v>#REF!</v>
      </c>
      <c r="J75" s="77" t="e">
        <f t="shared" si="35"/>
        <v>#REF!</v>
      </c>
      <c r="K75" s="77" t="e">
        <f t="shared" si="35"/>
        <v>#REF!</v>
      </c>
      <c r="L75" s="77" t="e">
        <f t="shared" si="35"/>
        <v>#REF!</v>
      </c>
      <c r="M75" s="77" t="e">
        <f t="shared" si="35"/>
        <v>#REF!</v>
      </c>
      <c r="N75" s="77" t="e">
        <f t="shared" si="35"/>
        <v>#REF!</v>
      </c>
      <c r="O75" s="77" t="e">
        <f t="shared" si="35"/>
        <v>#REF!</v>
      </c>
      <c r="P75" s="77" t="e">
        <f t="shared" si="35"/>
        <v>#REF!</v>
      </c>
      <c r="Q75" s="77" t="e">
        <f t="shared" si="35"/>
        <v>#REF!</v>
      </c>
      <c r="R75" s="77" t="e">
        <f t="shared" si="35"/>
        <v>#REF!</v>
      </c>
      <c r="S75" s="78" t="e">
        <f t="shared" si="35"/>
        <v>#REF!</v>
      </c>
      <c r="T75" s="77" t="e">
        <f t="shared" si="35"/>
        <v>#REF!</v>
      </c>
      <c r="U75" s="77" t="e">
        <f t="shared" si="35"/>
        <v>#REF!</v>
      </c>
      <c r="V75" s="77" t="e">
        <f t="shared" si="35"/>
        <v>#REF!</v>
      </c>
      <c r="W75" s="77" t="e">
        <f t="shared" si="35"/>
        <v>#REF!</v>
      </c>
      <c r="X75" s="77" t="e">
        <f t="shared" si="35"/>
        <v>#REF!</v>
      </c>
      <c r="Y75" s="77" t="e">
        <f t="shared" si="35"/>
        <v>#REF!</v>
      </c>
      <c r="Z75" s="77" t="e">
        <f t="shared" si="35"/>
        <v>#REF!</v>
      </c>
      <c r="AA75" s="77" t="e">
        <f t="shared" si="35"/>
        <v>#REF!</v>
      </c>
      <c r="AB75" s="77" t="e">
        <f t="shared" si="35"/>
        <v>#REF!</v>
      </c>
      <c r="AC75" s="77" t="e">
        <f t="shared" si="35"/>
        <v>#REF!</v>
      </c>
      <c r="AD75" s="77" t="e">
        <f t="shared" si="35"/>
        <v>#REF!</v>
      </c>
      <c r="AE75" s="77" t="e">
        <f t="shared" si="35"/>
        <v>#REF!</v>
      </c>
      <c r="AF75" s="78" t="e">
        <f t="shared" si="35"/>
        <v>#REF!</v>
      </c>
      <c r="AG75" s="77" t="e">
        <f t="shared" si="35"/>
        <v>#REF!</v>
      </c>
      <c r="AH75" s="77" t="e">
        <f t="shared" si="35"/>
        <v>#REF!</v>
      </c>
      <c r="AI75" s="77" t="e">
        <f t="shared" si="35"/>
        <v>#REF!</v>
      </c>
      <c r="AJ75" s="77" t="e">
        <f t="shared" si="35"/>
        <v>#REF!</v>
      </c>
      <c r="AK75" s="77" t="e">
        <f t="shared" si="35"/>
        <v>#REF!</v>
      </c>
      <c r="AL75" s="77" t="e">
        <f t="shared" si="35"/>
        <v>#REF!</v>
      </c>
      <c r="AM75" s="77" t="e">
        <f t="shared" si="35"/>
        <v>#REF!</v>
      </c>
      <c r="AN75" s="77" t="e">
        <f t="shared" si="35"/>
        <v>#REF!</v>
      </c>
      <c r="AO75" s="77" t="e">
        <f t="shared" si="35"/>
        <v>#REF!</v>
      </c>
      <c r="AP75" s="77" t="e">
        <f t="shared" si="35"/>
        <v>#REF!</v>
      </c>
      <c r="AQ75" s="77" t="e">
        <f t="shared" si="35"/>
        <v>#REF!</v>
      </c>
      <c r="AR75" s="77" t="e">
        <f t="shared" si="35"/>
        <v>#REF!</v>
      </c>
      <c r="AS75" s="78" t="e">
        <f t="shared" si="35"/>
        <v>#REF!</v>
      </c>
      <c r="AT75" s="77" t="e">
        <f t="shared" si="35"/>
        <v>#REF!</v>
      </c>
      <c r="AU75" s="77" t="e">
        <f t="shared" si="35"/>
        <v>#REF!</v>
      </c>
      <c r="AV75" s="77" t="e">
        <f t="shared" si="35"/>
        <v>#REF!</v>
      </c>
      <c r="AW75" s="77" t="e">
        <f t="shared" si="35"/>
        <v>#REF!</v>
      </c>
      <c r="AX75" s="77" t="e">
        <f t="shared" si="35"/>
        <v>#REF!</v>
      </c>
      <c r="AY75" s="77" t="e">
        <f t="shared" si="35"/>
        <v>#REF!</v>
      </c>
      <c r="AZ75" s="77" t="e">
        <f t="shared" si="35"/>
        <v>#REF!</v>
      </c>
      <c r="BA75" s="77" t="e">
        <f t="shared" si="35"/>
        <v>#REF!</v>
      </c>
      <c r="BB75" s="77" t="e">
        <f t="shared" si="35"/>
        <v>#REF!</v>
      </c>
      <c r="BC75" s="77" t="e">
        <f t="shared" si="35"/>
        <v>#REF!</v>
      </c>
      <c r="BD75" s="77" t="e">
        <f t="shared" si="35"/>
        <v>#REF!</v>
      </c>
      <c r="BE75" s="77" t="e">
        <f t="shared" si="35"/>
        <v>#REF!</v>
      </c>
      <c r="BF75" s="78" t="e">
        <f t="shared" si="35"/>
        <v>#REF!</v>
      </c>
      <c r="BG75" s="77" t="e">
        <f t="shared" si="35"/>
        <v>#REF!</v>
      </c>
      <c r="BH75" s="77" t="e">
        <f t="shared" si="35"/>
        <v>#REF!</v>
      </c>
      <c r="BI75" s="77" t="e">
        <f t="shared" si="35"/>
        <v>#REF!</v>
      </c>
      <c r="BJ75" s="77" t="e">
        <f t="shared" si="35"/>
        <v>#REF!</v>
      </c>
      <c r="BK75" s="77" t="e">
        <f t="shared" si="35"/>
        <v>#REF!</v>
      </c>
      <c r="BL75" s="77" t="e">
        <f t="shared" si="35"/>
        <v>#REF!</v>
      </c>
      <c r="BM75" s="77" t="e">
        <f t="shared" si="35"/>
        <v>#REF!</v>
      </c>
      <c r="BN75" s="77" t="e">
        <f t="shared" si="35"/>
        <v>#REF!</v>
      </c>
      <c r="BO75" s="77" t="e">
        <f t="shared" si="35"/>
        <v>#REF!</v>
      </c>
      <c r="BP75" s="77" t="e">
        <f t="shared" si="35"/>
        <v>#REF!</v>
      </c>
      <c r="BQ75" s="77" t="e">
        <f t="shared" si="35"/>
        <v>#REF!</v>
      </c>
      <c r="BR75" s="77" t="e">
        <f t="shared" si="35"/>
        <v>#REF!</v>
      </c>
      <c r="BS75" s="78" t="e">
        <f t="shared" si="35"/>
        <v>#REF!</v>
      </c>
      <c r="BT75" s="78" t="e">
        <f t="shared" si="35"/>
        <v>#REF!</v>
      </c>
    </row>
    <row r="76" spans="1:72" ht="15.75" customHeight="1">
      <c r="A76" s="2"/>
      <c r="B76" s="2"/>
      <c r="C76" s="2"/>
      <c r="D76" s="2"/>
      <c r="E76" s="2"/>
      <c r="F76" s="2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8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8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8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8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8"/>
      <c r="BT76" s="1"/>
    </row>
    <row r="77" spans="1:72" ht="15.75" customHeight="1">
      <c r="A77" s="2"/>
      <c r="B77" s="2"/>
      <c r="C77" s="2" t="s">
        <v>230</v>
      </c>
      <c r="D77" s="2"/>
      <c r="E77" s="2"/>
      <c r="F77" s="2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8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8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8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8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8"/>
      <c r="BT77" s="1"/>
    </row>
    <row r="78" spans="1:72" ht="15.75" customHeight="1">
      <c r="A78" s="2"/>
      <c r="B78" s="2"/>
      <c r="C78" s="2"/>
      <c r="D78" s="2" t="s">
        <v>214</v>
      </c>
      <c r="E78" s="2"/>
      <c r="F78" s="2"/>
      <c r="G78" s="77">
        <v>0</v>
      </c>
      <c r="H78" s="77" t="e">
        <f t="shared" ref="H78:R78" si="36">G82</f>
        <v>#REF!</v>
      </c>
      <c r="I78" s="77" t="e">
        <f t="shared" si="36"/>
        <v>#REF!</v>
      </c>
      <c r="J78" s="77" t="e">
        <f t="shared" si="36"/>
        <v>#REF!</v>
      </c>
      <c r="K78" s="77" t="e">
        <f t="shared" si="36"/>
        <v>#REF!</v>
      </c>
      <c r="L78" s="77" t="e">
        <f t="shared" si="36"/>
        <v>#REF!</v>
      </c>
      <c r="M78" s="77" t="e">
        <f t="shared" si="36"/>
        <v>#REF!</v>
      </c>
      <c r="N78" s="77" t="e">
        <f t="shared" si="36"/>
        <v>#REF!</v>
      </c>
      <c r="O78" s="77" t="e">
        <f t="shared" si="36"/>
        <v>#REF!</v>
      </c>
      <c r="P78" s="77" t="e">
        <f t="shared" si="36"/>
        <v>#REF!</v>
      </c>
      <c r="Q78" s="77" t="e">
        <f t="shared" si="36"/>
        <v>#REF!</v>
      </c>
      <c r="R78" s="77" t="e">
        <f t="shared" si="36"/>
        <v>#REF!</v>
      </c>
      <c r="S78" s="78">
        <f>G78</f>
        <v>0</v>
      </c>
      <c r="T78" s="77" t="e">
        <f>R82</f>
        <v>#REF!</v>
      </c>
      <c r="U78" s="77" t="e">
        <f t="shared" ref="U78:AE78" si="37">T82</f>
        <v>#REF!</v>
      </c>
      <c r="V78" s="77" t="e">
        <f t="shared" si="37"/>
        <v>#REF!</v>
      </c>
      <c r="W78" s="77" t="e">
        <f t="shared" si="37"/>
        <v>#REF!</v>
      </c>
      <c r="X78" s="77" t="e">
        <f t="shared" si="37"/>
        <v>#REF!</v>
      </c>
      <c r="Y78" s="77" t="e">
        <f t="shared" si="37"/>
        <v>#REF!</v>
      </c>
      <c r="Z78" s="77" t="e">
        <f t="shared" si="37"/>
        <v>#REF!</v>
      </c>
      <c r="AA78" s="77" t="e">
        <f t="shared" si="37"/>
        <v>#REF!</v>
      </c>
      <c r="AB78" s="77" t="e">
        <f t="shared" si="37"/>
        <v>#REF!</v>
      </c>
      <c r="AC78" s="77" t="e">
        <f t="shared" si="37"/>
        <v>#REF!</v>
      </c>
      <c r="AD78" s="77" t="e">
        <f t="shared" si="37"/>
        <v>#REF!</v>
      </c>
      <c r="AE78" s="77" t="e">
        <f t="shared" si="37"/>
        <v>#REF!</v>
      </c>
      <c r="AF78" s="78" t="e">
        <f>T78</f>
        <v>#REF!</v>
      </c>
      <c r="AG78" s="77" t="e">
        <f>AE82</f>
        <v>#REF!</v>
      </c>
      <c r="AH78" s="77" t="e">
        <f t="shared" ref="AH78:AR78" si="38">AG82</f>
        <v>#REF!</v>
      </c>
      <c r="AI78" s="77" t="e">
        <f t="shared" si="38"/>
        <v>#REF!</v>
      </c>
      <c r="AJ78" s="77" t="e">
        <f t="shared" si="38"/>
        <v>#REF!</v>
      </c>
      <c r="AK78" s="77" t="e">
        <f t="shared" si="38"/>
        <v>#REF!</v>
      </c>
      <c r="AL78" s="77" t="e">
        <f t="shared" si="38"/>
        <v>#REF!</v>
      </c>
      <c r="AM78" s="77" t="e">
        <f t="shared" si="38"/>
        <v>#REF!</v>
      </c>
      <c r="AN78" s="77" t="e">
        <f t="shared" si="38"/>
        <v>#REF!</v>
      </c>
      <c r="AO78" s="77" t="e">
        <f t="shared" si="38"/>
        <v>#REF!</v>
      </c>
      <c r="AP78" s="77" t="e">
        <f t="shared" si="38"/>
        <v>#REF!</v>
      </c>
      <c r="AQ78" s="77" t="e">
        <f t="shared" si="38"/>
        <v>#REF!</v>
      </c>
      <c r="AR78" s="77" t="e">
        <f t="shared" si="38"/>
        <v>#REF!</v>
      </c>
      <c r="AS78" s="78" t="e">
        <f>AG78</f>
        <v>#REF!</v>
      </c>
      <c r="AT78" s="77" t="e">
        <f>AR82</f>
        <v>#REF!</v>
      </c>
      <c r="AU78" s="77" t="e">
        <f t="shared" ref="AU78:BE78" si="39">AT82</f>
        <v>#REF!</v>
      </c>
      <c r="AV78" s="77" t="e">
        <f t="shared" si="39"/>
        <v>#REF!</v>
      </c>
      <c r="AW78" s="77" t="e">
        <f t="shared" si="39"/>
        <v>#REF!</v>
      </c>
      <c r="AX78" s="77" t="e">
        <f t="shared" si="39"/>
        <v>#REF!</v>
      </c>
      <c r="AY78" s="77" t="e">
        <f t="shared" si="39"/>
        <v>#REF!</v>
      </c>
      <c r="AZ78" s="77" t="e">
        <f t="shared" si="39"/>
        <v>#REF!</v>
      </c>
      <c r="BA78" s="77" t="e">
        <f t="shared" si="39"/>
        <v>#REF!</v>
      </c>
      <c r="BB78" s="77" t="e">
        <f t="shared" si="39"/>
        <v>#REF!</v>
      </c>
      <c r="BC78" s="77" t="e">
        <f t="shared" si="39"/>
        <v>#REF!</v>
      </c>
      <c r="BD78" s="77" t="e">
        <f t="shared" si="39"/>
        <v>#REF!</v>
      </c>
      <c r="BE78" s="77" t="e">
        <f t="shared" si="39"/>
        <v>#REF!</v>
      </c>
      <c r="BF78" s="78" t="e">
        <f>AT78</f>
        <v>#REF!</v>
      </c>
      <c r="BG78" s="77" t="e">
        <f>BE82</f>
        <v>#REF!</v>
      </c>
      <c r="BH78" s="77" t="e">
        <f t="shared" ref="BH78:BR78" si="40">BG82</f>
        <v>#REF!</v>
      </c>
      <c r="BI78" s="77" t="e">
        <f t="shared" si="40"/>
        <v>#REF!</v>
      </c>
      <c r="BJ78" s="77" t="e">
        <f t="shared" si="40"/>
        <v>#REF!</v>
      </c>
      <c r="BK78" s="77" t="e">
        <f t="shared" si="40"/>
        <v>#REF!</v>
      </c>
      <c r="BL78" s="77" t="e">
        <f t="shared" si="40"/>
        <v>#REF!</v>
      </c>
      <c r="BM78" s="77" t="e">
        <f t="shared" si="40"/>
        <v>#REF!</v>
      </c>
      <c r="BN78" s="77" t="e">
        <f t="shared" si="40"/>
        <v>#REF!</v>
      </c>
      <c r="BO78" s="77" t="e">
        <f t="shared" si="40"/>
        <v>#REF!</v>
      </c>
      <c r="BP78" s="77" t="e">
        <f t="shared" si="40"/>
        <v>#REF!</v>
      </c>
      <c r="BQ78" s="77" t="e">
        <f t="shared" si="40"/>
        <v>#REF!</v>
      </c>
      <c r="BR78" s="77" t="e">
        <f t="shared" si="40"/>
        <v>#REF!</v>
      </c>
      <c r="BS78" s="78" t="e">
        <f>BG78</f>
        <v>#REF!</v>
      </c>
      <c r="BT78" s="78">
        <f>G78</f>
        <v>0</v>
      </c>
    </row>
    <row r="79" spans="1:72" ht="15.75" customHeight="1">
      <c r="A79" s="2"/>
      <c r="B79" s="2"/>
      <c r="C79" s="2"/>
      <c r="D79" s="2" t="s">
        <v>224</v>
      </c>
      <c r="E79" s="2"/>
      <c r="F79" s="2"/>
      <c r="G79" s="77">
        <f>G$58*Lists!$D$9</f>
        <v>54.8</v>
      </c>
      <c r="H79" s="77">
        <f>H$58*Lists!$D$9</f>
        <v>0</v>
      </c>
      <c r="I79" s="77">
        <f>I$58*Lists!$D$9</f>
        <v>0</v>
      </c>
      <c r="J79" s="77">
        <f>J$58*Lists!$D$9</f>
        <v>0</v>
      </c>
      <c r="K79" s="77">
        <f>K$58*Lists!$D$9</f>
        <v>0</v>
      </c>
      <c r="L79" s="77">
        <f>L$58*Lists!$D$9</f>
        <v>0</v>
      </c>
      <c r="M79" s="77">
        <f>M$58*Lists!$D$9</f>
        <v>0</v>
      </c>
      <c r="N79" s="77">
        <f>N$58*Lists!$D$9</f>
        <v>0</v>
      </c>
      <c r="O79" s="77">
        <f>O$58*Lists!$D$9</f>
        <v>0</v>
      </c>
      <c r="P79" s="77">
        <f>P$58*Lists!$D$9</f>
        <v>0</v>
      </c>
      <c r="Q79" s="77">
        <f>Q$58*Lists!$D$9</f>
        <v>0</v>
      </c>
      <c r="R79" s="77">
        <f>R$58*Lists!$D$9</f>
        <v>0</v>
      </c>
      <c r="S79" s="78">
        <f>SUM(G79:R79)</f>
        <v>54.8</v>
      </c>
      <c r="T79" s="77">
        <f>T$58*Lists!$D$9</f>
        <v>180</v>
      </c>
      <c r="U79" s="77">
        <f>U$58*Lists!$D$9</f>
        <v>180</v>
      </c>
      <c r="V79" s="77">
        <f>V$58*Lists!$D$9</f>
        <v>180</v>
      </c>
      <c r="W79" s="77">
        <f>W$58*Lists!$D$9</f>
        <v>180</v>
      </c>
      <c r="X79" s="77">
        <f>X$58*Lists!$D$9</f>
        <v>180</v>
      </c>
      <c r="Y79" s="77">
        <f>Y$58*Lists!$D$9</f>
        <v>180</v>
      </c>
      <c r="Z79" s="77">
        <f>Z$58*Lists!$D$9</f>
        <v>180</v>
      </c>
      <c r="AA79" s="77">
        <f>AA$58*Lists!$D$9</f>
        <v>180</v>
      </c>
      <c r="AB79" s="77">
        <f>AB$58*Lists!$D$9</f>
        <v>180</v>
      </c>
      <c r="AC79" s="77">
        <f>AC$58*Lists!$D$9</f>
        <v>180</v>
      </c>
      <c r="AD79" s="77">
        <f>AD$58*Lists!$D$9</f>
        <v>180</v>
      </c>
      <c r="AE79" s="77">
        <f>AE$58*Lists!$D$9</f>
        <v>180</v>
      </c>
      <c r="AF79" s="78">
        <f>SUM(T79:AE79)</f>
        <v>2160</v>
      </c>
      <c r="AG79" s="77">
        <f>AG$58*Lists!$D$9</f>
        <v>200</v>
      </c>
      <c r="AH79" s="77">
        <f>AH$58*Lists!$D$9</f>
        <v>200</v>
      </c>
      <c r="AI79" s="77">
        <f>AI$58*Lists!$D$9</f>
        <v>200</v>
      </c>
      <c r="AJ79" s="77">
        <f>AJ$58*Lists!$D$9</f>
        <v>200</v>
      </c>
      <c r="AK79" s="77">
        <f>AK$58*Lists!$D$9</f>
        <v>200</v>
      </c>
      <c r="AL79" s="77">
        <f>AL$58*Lists!$D$9</f>
        <v>200</v>
      </c>
      <c r="AM79" s="77">
        <f>AM$58*Lists!$D$9</f>
        <v>200</v>
      </c>
      <c r="AN79" s="77">
        <f>AN$58*Lists!$D$9</f>
        <v>200</v>
      </c>
      <c r="AO79" s="77">
        <f>AO$58*Lists!$D$9</f>
        <v>200</v>
      </c>
      <c r="AP79" s="77">
        <f>AP$58*Lists!$D$9</f>
        <v>200</v>
      </c>
      <c r="AQ79" s="77">
        <f>AQ$58*Lists!$D$9</f>
        <v>200</v>
      </c>
      <c r="AR79" s="77">
        <f>AR$58*Lists!$D$9</f>
        <v>200</v>
      </c>
      <c r="AS79" s="78">
        <f>SUM(AG79:AR79)</f>
        <v>2400</v>
      </c>
      <c r="AT79" s="77">
        <f>AT$58*Lists!$D$9</f>
        <v>320</v>
      </c>
      <c r="AU79" s="77">
        <f>AU$58*Lists!$D$9</f>
        <v>320</v>
      </c>
      <c r="AV79" s="77">
        <f>AV$58*Lists!$D$9</f>
        <v>320</v>
      </c>
      <c r="AW79" s="77">
        <f>AW$58*Lists!$D$9</f>
        <v>320</v>
      </c>
      <c r="AX79" s="77">
        <f>AX$58*Lists!$D$9</f>
        <v>320</v>
      </c>
      <c r="AY79" s="77">
        <f>AY$58*Lists!$D$9</f>
        <v>320</v>
      </c>
      <c r="AZ79" s="77">
        <f>AZ$58*Lists!$D$9</f>
        <v>320</v>
      </c>
      <c r="BA79" s="77">
        <f>BA$58*Lists!$D$9</f>
        <v>320</v>
      </c>
      <c r="BB79" s="77">
        <f>BB$58*Lists!$D$9</f>
        <v>320</v>
      </c>
      <c r="BC79" s="77">
        <f>BC$58*Lists!$D$9</f>
        <v>320</v>
      </c>
      <c r="BD79" s="77">
        <f>BD$58*Lists!$D$9</f>
        <v>320</v>
      </c>
      <c r="BE79" s="77">
        <f>BE$58*Lists!$D$9</f>
        <v>320</v>
      </c>
      <c r="BF79" s="78">
        <f>SUM(AT79:BE79)</f>
        <v>3840</v>
      </c>
      <c r="BG79" s="77">
        <f>BG$58*Lists!$D$9</f>
        <v>380</v>
      </c>
      <c r="BH79" s="77">
        <f>BH$58*Lists!$D$9</f>
        <v>380</v>
      </c>
      <c r="BI79" s="77">
        <f>BI$58*Lists!$D$9</f>
        <v>380</v>
      </c>
      <c r="BJ79" s="77">
        <f>BJ$58*Lists!$D$9</f>
        <v>380</v>
      </c>
      <c r="BK79" s="77">
        <f>BK$58*Lists!$D$9</f>
        <v>380</v>
      </c>
      <c r="BL79" s="77">
        <f>BL$58*Lists!$D$9</f>
        <v>380</v>
      </c>
      <c r="BM79" s="77">
        <f>BM$58*Lists!$D$9</f>
        <v>380</v>
      </c>
      <c r="BN79" s="77">
        <f>BN$58*Lists!$D$9</f>
        <v>380</v>
      </c>
      <c r="BO79" s="77">
        <f>BO$58*Lists!$D$9</f>
        <v>380</v>
      </c>
      <c r="BP79" s="77">
        <f>BP$58*Lists!$D$9</f>
        <v>380</v>
      </c>
      <c r="BQ79" s="77">
        <f>BQ$58*Lists!$D$9</f>
        <v>380</v>
      </c>
      <c r="BR79" s="77">
        <f>BR$58*Lists!$D$9</f>
        <v>380</v>
      </c>
      <c r="BS79" s="78">
        <f>SUM(BG79:BR79)</f>
        <v>4560</v>
      </c>
      <c r="BT79" s="37">
        <f>S79+AF79+AS79+BF79+BS79</f>
        <v>13014.8</v>
      </c>
    </row>
    <row r="80" spans="1:72" ht="15.75" customHeight="1">
      <c r="A80" s="2"/>
      <c r="B80" s="2"/>
      <c r="C80" s="2"/>
      <c r="D80" s="2" t="s">
        <v>229</v>
      </c>
      <c r="E80" s="2"/>
      <c r="F80" s="2"/>
      <c r="G80" s="88">
        <f>G58*2</f>
        <v>54.8</v>
      </c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78">
        <f>SUM(G80:R80)</f>
        <v>54.8</v>
      </c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78">
        <f>SUM(T80:AE80)</f>
        <v>0</v>
      </c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78">
        <f>SUM(AG80:AR80)</f>
        <v>0</v>
      </c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78">
        <f>SUM(AT80:BE80)</f>
        <v>0</v>
      </c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78">
        <f>SUM(BG80:BR80)</f>
        <v>0</v>
      </c>
      <c r="BT80" s="37">
        <f>S80+AF80+AS80+BF80+BS80</f>
        <v>54.8</v>
      </c>
    </row>
    <row r="81" spans="1:72" ht="15.75" customHeight="1">
      <c r="A81" s="2"/>
      <c r="B81" s="2"/>
      <c r="C81" s="2"/>
      <c r="D81" s="2" t="s">
        <v>226</v>
      </c>
      <c r="E81" s="2"/>
      <c r="F81" s="2"/>
      <c r="G81" s="77" t="e">
        <f>'Beer Revenue'!#REF!</f>
        <v>#REF!</v>
      </c>
      <c r="H81" s="77" t="e">
        <f>'Beer Revenue'!#REF!</f>
        <v>#REF!</v>
      </c>
      <c r="I81" s="77" t="e">
        <f>'Beer Revenue'!#REF!</f>
        <v>#REF!</v>
      </c>
      <c r="J81" s="77" t="e">
        <f>'Beer Revenue'!#REF!</f>
        <v>#REF!</v>
      </c>
      <c r="K81" s="77" t="e">
        <f>'Beer Revenue'!#REF!</f>
        <v>#REF!</v>
      </c>
      <c r="L81" s="77" t="e">
        <f>'Beer Revenue'!#REF!</f>
        <v>#REF!</v>
      </c>
      <c r="M81" s="77" t="e">
        <f>'Beer Revenue'!#REF!</f>
        <v>#REF!</v>
      </c>
      <c r="N81" s="77" t="e">
        <f>'Beer Revenue'!#REF!</f>
        <v>#REF!</v>
      </c>
      <c r="O81" s="77" t="e">
        <f>'Beer Revenue'!#REF!</f>
        <v>#REF!</v>
      </c>
      <c r="P81" s="77" t="e">
        <f>'Beer Revenue'!#REF!</f>
        <v>#REF!</v>
      </c>
      <c r="Q81" s="77" t="e">
        <f>'Beer Revenue'!#REF!</f>
        <v>#REF!</v>
      </c>
      <c r="R81" s="77" t="e">
        <f>'Beer Revenue'!#REF!</f>
        <v>#REF!</v>
      </c>
      <c r="S81" s="78" t="e">
        <f>SUM(G81:R81)</f>
        <v>#REF!</v>
      </c>
      <c r="T81" s="77" t="e">
        <f>'Beer Revenue'!#REF!</f>
        <v>#REF!</v>
      </c>
      <c r="U81" s="77" t="e">
        <f>'Beer Revenue'!#REF!</f>
        <v>#REF!</v>
      </c>
      <c r="V81" s="77" t="e">
        <f>'Beer Revenue'!#REF!</f>
        <v>#REF!</v>
      </c>
      <c r="W81" s="77" t="e">
        <f>'Beer Revenue'!#REF!</f>
        <v>#REF!</v>
      </c>
      <c r="X81" s="77" t="e">
        <f>'Beer Revenue'!#REF!</f>
        <v>#REF!</v>
      </c>
      <c r="Y81" s="77" t="e">
        <f>'Beer Revenue'!#REF!</f>
        <v>#REF!</v>
      </c>
      <c r="Z81" s="77" t="e">
        <f>'Beer Revenue'!#REF!</f>
        <v>#REF!</v>
      </c>
      <c r="AA81" s="77" t="e">
        <f>'Beer Revenue'!#REF!</f>
        <v>#REF!</v>
      </c>
      <c r="AB81" s="77" t="e">
        <f>'Beer Revenue'!#REF!</f>
        <v>#REF!</v>
      </c>
      <c r="AC81" s="77" t="e">
        <f>'Beer Revenue'!#REF!</f>
        <v>#REF!</v>
      </c>
      <c r="AD81" s="77" t="e">
        <f>'Beer Revenue'!#REF!</f>
        <v>#REF!</v>
      </c>
      <c r="AE81" s="77" t="e">
        <f>'Beer Revenue'!#REF!</f>
        <v>#REF!</v>
      </c>
      <c r="AF81" s="78" t="e">
        <f>SUM(T81:AE81)</f>
        <v>#REF!</v>
      </c>
      <c r="AG81" s="77" t="e">
        <f>'Beer Revenue'!#REF!</f>
        <v>#REF!</v>
      </c>
      <c r="AH81" s="77" t="e">
        <f>'Beer Revenue'!#REF!</f>
        <v>#REF!</v>
      </c>
      <c r="AI81" s="77" t="e">
        <f>'Beer Revenue'!#REF!</f>
        <v>#REF!</v>
      </c>
      <c r="AJ81" s="77" t="e">
        <f>'Beer Revenue'!#REF!</f>
        <v>#REF!</v>
      </c>
      <c r="AK81" s="77" t="e">
        <f>'Beer Revenue'!#REF!</f>
        <v>#REF!</v>
      </c>
      <c r="AL81" s="77" t="e">
        <f>'Beer Revenue'!#REF!</f>
        <v>#REF!</v>
      </c>
      <c r="AM81" s="77" t="e">
        <f>'Beer Revenue'!#REF!</f>
        <v>#REF!</v>
      </c>
      <c r="AN81" s="77" t="e">
        <f>'Beer Revenue'!#REF!</f>
        <v>#REF!</v>
      </c>
      <c r="AO81" s="77" t="e">
        <f>'Beer Revenue'!#REF!</f>
        <v>#REF!</v>
      </c>
      <c r="AP81" s="77" t="e">
        <f>'Beer Revenue'!#REF!</f>
        <v>#REF!</v>
      </c>
      <c r="AQ81" s="77" t="e">
        <f>'Beer Revenue'!#REF!</f>
        <v>#REF!</v>
      </c>
      <c r="AR81" s="77" t="e">
        <f>'Beer Revenue'!#REF!</f>
        <v>#REF!</v>
      </c>
      <c r="AS81" s="78" t="e">
        <f>SUM(AG81:AR81)</f>
        <v>#REF!</v>
      </c>
      <c r="AT81" s="77" t="e">
        <f>'Beer Revenue'!#REF!</f>
        <v>#REF!</v>
      </c>
      <c r="AU81" s="77" t="e">
        <f>'Beer Revenue'!#REF!</f>
        <v>#REF!</v>
      </c>
      <c r="AV81" s="77" t="e">
        <f>'Beer Revenue'!#REF!</f>
        <v>#REF!</v>
      </c>
      <c r="AW81" s="77" t="e">
        <f>'Beer Revenue'!#REF!</f>
        <v>#REF!</v>
      </c>
      <c r="AX81" s="77" t="e">
        <f>'Beer Revenue'!#REF!</f>
        <v>#REF!</v>
      </c>
      <c r="AY81" s="77" t="e">
        <f>'Beer Revenue'!#REF!</f>
        <v>#REF!</v>
      </c>
      <c r="AZ81" s="77" t="e">
        <f>'Beer Revenue'!#REF!</f>
        <v>#REF!</v>
      </c>
      <c r="BA81" s="77" t="e">
        <f>'Beer Revenue'!#REF!</f>
        <v>#REF!</v>
      </c>
      <c r="BB81" s="77" t="e">
        <f>'Beer Revenue'!#REF!</f>
        <v>#REF!</v>
      </c>
      <c r="BC81" s="77" t="e">
        <f>'Beer Revenue'!#REF!</f>
        <v>#REF!</v>
      </c>
      <c r="BD81" s="77" t="e">
        <f>'Beer Revenue'!#REF!</f>
        <v>#REF!</v>
      </c>
      <c r="BE81" s="77" t="e">
        <f>'Beer Revenue'!#REF!</f>
        <v>#REF!</v>
      </c>
      <c r="BF81" s="78" t="e">
        <f>SUM(AT81:BE81)</f>
        <v>#REF!</v>
      </c>
      <c r="BG81" s="77" t="e">
        <f>'Beer Revenue'!#REF!</f>
        <v>#REF!</v>
      </c>
      <c r="BH81" s="77" t="e">
        <f>'Beer Revenue'!#REF!</f>
        <v>#REF!</v>
      </c>
      <c r="BI81" s="77" t="e">
        <f>'Beer Revenue'!#REF!</f>
        <v>#REF!</v>
      </c>
      <c r="BJ81" s="77" t="e">
        <f>'Beer Revenue'!#REF!</f>
        <v>#REF!</v>
      </c>
      <c r="BK81" s="77" t="e">
        <f>'Beer Revenue'!#REF!</f>
        <v>#REF!</v>
      </c>
      <c r="BL81" s="77" t="e">
        <f>'Beer Revenue'!#REF!</f>
        <v>#REF!</v>
      </c>
      <c r="BM81" s="77" t="e">
        <f>'Beer Revenue'!#REF!</f>
        <v>#REF!</v>
      </c>
      <c r="BN81" s="77" t="e">
        <f>'Beer Revenue'!#REF!</f>
        <v>#REF!</v>
      </c>
      <c r="BO81" s="77" t="e">
        <f>'Beer Revenue'!#REF!</f>
        <v>#REF!</v>
      </c>
      <c r="BP81" s="77" t="e">
        <f>'Beer Revenue'!#REF!</f>
        <v>#REF!</v>
      </c>
      <c r="BQ81" s="77" t="e">
        <f>'Beer Revenue'!#REF!</f>
        <v>#REF!</v>
      </c>
      <c r="BR81" s="77" t="e">
        <f>'Beer Revenue'!#REF!</f>
        <v>#REF!</v>
      </c>
      <c r="BS81" s="78" t="e">
        <f>SUM(BG81:BR81)</f>
        <v>#REF!</v>
      </c>
      <c r="BT81" s="37" t="e">
        <f>S81+AF81+AS81+BF81+BS81</f>
        <v>#REF!</v>
      </c>
    </row>
    <row r="82" spans="1:72" ht="15.75" customHeight="1">
      <c r="A82" s="2"/>
      <c r="B82" s="2"/>
      <c r="C82" s="2"/>
      <c r="D82" s="2" t="s">
        <v>227</v>
      </c>
      <c r="E82" s="2"/>
      <c r="F82" s="2"/>
      <c r="G82" s="77" t="e">
        <f t="shared" ref="G82:BT82" si="41">G78+G79-G80-G81</f>
        <v>#REF!</v>
      </c>
      <c r="H82" s="77" t="e">
        <f t="shared" si="41"/>
        <v>#REF!</v>
      </c>
      <c r="I82" s="77" t="e">
        <f t="shared" si="41"/>
        <v>#REF!</v>
      </c>
      <c r="J82" s="77" t="e">
        <f t="shared" si="41"/>
        <v>#REF!</v>
      </c>
      <c r="K82" s="77" t="e">
        <f t="shared" si="41"/>
        <v>#REF!</v>
      </c>
      <c r="L82" s="77" t="e">
        <f t="shared" si="41"/>
        <v>#REF!</v>
      </c>
      <c r="M82" s="77" t="e">
        <f t="shared" si="41"/>
        <v>#REF!</v>
      </c>
      <c r="N82" s="77" t="e">
        <f t="shared" si="41"/>
        <v>#REF!</v>
      </c>
      <c r="O82" s="77" t="e">
        <f t="shared" si="41"/>
        <v>#REF!</v>
      </c>
      <c r="P82" s="77" t="e">
        <f t="shared" si="41"/>
        <v>#REF!</v>
      </c>
      <c r="Q82" s="77" t="e">
        <f t="shared" si="41"/>
        <v>#REF!</v>
      </c>
      <c r="R82" s="77" t="e">
        <f t="shared" si="41"/>
        <v>#REF!</v>
      </c>
      <c r="S82" s="78" t="e">
        <f t="shared" si="41"/>
        <v>#REF!</v>
      </c>
      <c r="T82" s="77" t="e">
        <f t="shared" si="41"/>
        <v>#REF!</v>
      </c>
      <c r="U82" s="77" t="e">
        <f t="shared" si="41"/>
        <v>#REF!</v>
      </c>
      <c r="V82" s="77" t="e">
        <f t="shared" si="41"/>
        <v>#REF!</v>
      </c>
      <c r="W82" s="77" t="e">
        <f t="shared" si="41"/>
        <v>#REF!</v>
      </c>
      <c r="X82" s="77" t="e">
        <f t="shared" si="41"/>
        <v>#REF!</v>
      </c>
      <c r="Y82" s="77" t="e">
        <f t="shared" si="41"/>
        <v>#REF!</v>
      </c>
      <c r="Z82" s="77" t="e">
        <f t="shared" si="41"/>
        <v>#REF!</v>
      </c>
      <c r="AA82" s="77" t="e">
        <f t="shared" si="41"/>
        <v>#REF!</v>
      </c>
      <c r="AB82" s="77" t="e">
        <f t="shared" si="41"/>
        <v>#REF!</v>
      </c>
      <c r="AC82" s="77" t="e">
        <f t="shared" si="41"/>
        <v>#REF!</v>
      </c>
      <c r="AD82" s="77" t="e">
        <f t="shared" si="41"/>
        <v>#REF!</v>
      </c>
      <c r="AE82" s="77" t="e">
        <f t="shared" si="41"/>
        <v>#REF!</v>
      </c>
      <c r="AF82" s="78" t="e">
        <f t="shared" si="41"/>
        <v>#REF!</v>
      </c>
      <c r="AG82" s="77" t="e">
        <f t="shared" si="41"/>
        <v>#REF!</v>
      </c>
      <c r="AH82" s="77" t="e">
        <f t="shared" si="41"/>
        <v>#REF!</v>
      </c>
      <c r="AI82" s="77" t="e">
        <f t="shared" si="41"/>
        <v>#REF!</v>
      </c>
      <c r="AJ82" s="77" t="e">
        <f t="shared" si="41"/>
        <v>#REF!</v>
      </c>
      <c r="AK82" s="77" t="e">
        <f t="shared" si="41"/>
        <v>#REF!</v>
      </c>
      <c r="AL82" s="77" t="e">
        <f t="shared" si="41"/>
        <v>#REF!</v>
      </c>
      <c r="AM82" s="77" t="e">
        <f t="shared" si="41"/>
        <v>#REF!</v>
      </c>
      <c r="AN82" s="77" t="e">
        <f t="shared" si="41"/>
        <v>#REF!</v>
      </c>
      <c r="AO82" s="77" t="e">
        <f t="shared" si="41"/>
        <v>#REF!</v>
      </c>
      <c r="AP82" s="77" t="e">
        <f t="shared" si="41"/>
        <v>#REF!</v>
      </c>
      <c r="AQ82" s="77" t="e">
        <f t="shared" si="41"/>
        <v>#REF!</v>
      </c>
      <c r="AR82" s="77" t="e">
        <f t="shared" si="41"/>
        <v>#REF!</v>
      </c>
      <c r="AS82" s="78" t="e">
        <f t="shared" si="41"/>
        <v>#REF!</v>
      </c>
      <c r="AT82" s="77" t="e">
        <f t="shared" si="41"/>
        <v>#REF!</v>
      </c>
      <c r="AU82" s="77" t="e">
        <f t="shared" si="41"/>
        <v>#REF!</v>
      </c>
      <c r="AV82" s="77" t="e">
        <f t="shared" si="41"/>
        <v>#REF!</v>
      </c>
      <c r="AW82" s="77" t="e">
        <f t="shared" si="41"/>
        <v>#REF!</v>
      </c>
      <c r="AX82" s="77" t="e">
        <f t="shared" si="41"/>
        <v>#REF!</v>
      </c>
      <c r="AY82" s="77" t="e">
        <f t="shared" si="41"/>
        <v>#REF!</v>
      </c>
      <c r="AZ82" s="77" t="e">
        <f t="shared" si="41"/>
        <v>#REF!</v>
      </c>
      <c r="BA82" s="77" t="e">
        <f t="shared" si="41"/>
        <v>#REF!</v>
      </c>
      <c r="BB82" s="77" t="e">
        <f t="shared" si="41"/>
        <v>#REF!</v>
      </c>
      <c r="BC82" s="77" t="e">
        <f t="shared" si="41"/>
        <v>#REF!</v>
      </c>
      <c r="BD82" s="77" t="e">
        <f t="shared" si="41"/>
        <v>#REF!</v>
      </c>
      <c r="BE82" s="77" t="e">
        <f t="shared" si="41"/>
        <v>#REF!</v>
      </c>
      <c r="BF82" s="78" t="e">
        <f t="shared" si="41"/>
        <v>#REF!</v>
      </c>
      <c r="BG82" s="77" t="e">
        <f t="shared" si="41"/>
        <v>#REF!</v>
      </c>
      <c r="BH82" s="77" t="e">
        <f t="shared" si="41"/>
        <v>#REF!</v>
      </c>
      <c r="BI82" s="77" t="e">
        <f t="shared" si="41"/>
        <v>#REF!</v>
      </c>
      <c r="BJ82" s="77" t="e">
        <f t="shared" si="41"/>
        <v>#REF!</v>
      </c>
      <c r="BK82" s="77" t="e">
        <f t="shared" si="41"/>
        <v>#REF!</v>
      </c>
      <c r="BL82" s="77" t="e">
        <f t="shared" si="41"/>
        <v>#REF!</v>
      </c>
      <c r="BM82" s="77" t="e">
        <f t="shared" si="41"/>
        <v>#REF!</v>
      </c>
      <c r="BN82" s="77" t="e">
        <f t="shared" si="41"/>
        <v>#REF!</v>
      </c>
      <c r="BO82" s="77" t="e">
        <f t="shared" si="41"/>
        <v>#REF!</v>
      </c>
      <c r="BP82" s="77" t="e">
        <f t="shared" si="41"/>
        <v>#REF!</v>
      </c>
      <c r="BQ82" s="77" t="e">
        <f t="shared" si="41"/>
        <v>#REF!</v>
      </c>
      <c r="BR82" s="77" t="e">
        <f t="shared" si="41"/>
        <v>#REF!</v>
      </c>
      <c r="BS82" s="78" t="e">
        <f t="shared" si="41"/>
        <v>#REF!</v>
      </c>
      <c r="BT82" s="78" t="e">
        <f t="shared" si="41"/>
        <v>#REF!</v>
      </c>
    </row>
    <row r="83" spans="1:72" ht="15.75" customHeight="1">
      <c r="A83" s="2"/>
      <c r="B83" s="2"/>
      <c r="C83" s="2"/>
      <c r="D83" s="2"/>
      <c r="E83" s="2"/>
      <c r="F83" s="2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8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8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8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8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8"/>
      <c r="BT83" s="1"/>
    </row>
    <row r="84" spans="1:72" ht="15.75" customHeight="1">
      <c r="A84" s="2"/>
      <c r="B84" s="2"/>
      <c r="C84" s="2"/>
      <c r="D84" s="2"/>
      <c r="E84" s="2"/>
      <c r="F84" s="2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8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8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8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8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8"/>
      <c r="BT84" s="1"/>
    </row>
    <row r="85" spans="1:72" ht="15.75" customHeight="1">
      <c r="A85" s="2"/>
      <c r="B85" s="1" t="s">
        <v>231</v>
      </c>
      <c r="C85" s="1"/>
      <c r="D85" s="1"/>
      <c r="E85" s="1"/>
      <c r="F85" s="2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8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8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8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8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8"/>
      <c r="BT85" s="1"/>
    </row>
    <row r="86" spans="1:72" ht="15.75" customHeight="1">
      <c r="A86" s="2"/>
      <c r="B86" s="1"/>
      <c r="C86" s="1" t="s">
        <v>232</v>
      </c>
      <c r="D86" s="1"/>
      <c r="E86" s="1"/>
      <c r="F86" s="2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8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8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8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8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8"/>
      <c r="BT86" s="1"/>
    </row>
    <row r="87" spans="1:72" ht="15.75" customHeight="1">
      <c r="A87" s="2"/>
      <c r="B87" s="2"/>
      <c r="C87" s="63"/>
      <c r="D87" s="2"/>
      <c r="E87" s="2"/>
      <c r="F87" s="2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8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8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8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8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8"/>
      <c r="BT87" s="1"/>
    </row>
    <row r="88" spans="1:72" ht="15.75" customHeight="1">
      <c r="A88" s="2"/>
      <c r="B88" s="2"/>
      <c r="C88" s="63"/>
      <c r="D88" s="2" t="s">
        <v>214</v>
      </c>
      <c r="E88" s="2"/>
      <c r="F88" s="2"/>
      <c r="G88" s="76">
        <f>G52</f>
        <v>6.75</v>
      </c>
      <c r="H88" s="77">
        <f t="shared" ref="H88:R88" si="42">G91</f>
        <v>27.347657366071427</v>
      </c>
      <c r="I88" s="77">
        <f t="shared" si="42"/>
        <v>20.115596850698445</v>
      </c>
      <c r="J88" s="77">
        <f t="shared" si="42"/>
        <v>9.9120828998055881</v>
      </c>
      <c r="K88" s="77">
        <f t="shared" si="42"/>
        <v>-2.1565895152289727</v>
      </c>
      <c r="L88" s="77">
        <f t="shared" si="42"/>
        <v>-15.761274783086114</v>
      </c>
      <c r="M88" s="77">
        <f t="shared" si="42"/>
        <v>-29.475675254716293</v>
      </c>
      <c r="N88" s="77">
        <f t="shared" si="42"/>
        <v>-43.647222408734152</v>
      </c>
      <c r="O88" s="77">
        <f t="shared" si="42"/>
        <v>-57.251907676591294</v>
      </c>
      <c r="P88" s="77">
        <f t="shared" si="42"/>
        <v>-69.320580091625857</v>
      </c>
      <c r="Q88" s="77">
        <f t="shared" si="42"/>
        <v>-80.657817814840143</v>
      </c>
      <c r="R88" s="77">
        <f t="shared" si="42"/>
        <v>-90.532186154413878</v>
      </c>
      <c r="S88" s="78">
        <f>G88</f>
        <v>6.75</v>
      </c>
      <c r="T88" s="77">
        <f>R91</f>
        <v>-99.601976332985316</v>
      </c>
      <c r="U88" s="77" t="e">
        <f t="shared" ref="U88:AE88" si="43">T91</f>
        <v>#REF!</v>
      </c>
      <c r="V88" s="77" t="e">
        <f t="shared" si="43"/>
        <v>#REF!</v>
      </c>
      <c r="W88" s="77" t="e">
        <f t="shared" si="43"/>
        <v>#REF!</v>
      </c>
      <c r="X88" s="77" t="e">
        <f t="shared" si="43"/>
        <v>#REF!</v>
      </c>
      <c r="Y88" s="77" t="e">
        <f t="shared" si="43"/>
        <v>#REF!</v>
      </c>
      <c r="Z88" s="77" t="e">
        <f t="shared" si="43"/>
        <v>#REF!</v>
      </c>
      <c r="AA88" s="77" t="e">
        <f t="shared" si="43"/>
        <v>#REF!</v>
      </c>
      <c r="AB88" s="77" t="e">
        <f t="shared" si="43"/>
        <v>#REF!</v>
      </c>
      <c r="AC88" s="77" t="e">
        <f t="shared" si="43"/>
        <v>#REF!</v>
      </c>
      <c r="AD88" s="77" t="e">
        <f t="shared" si="43"/>
        <v>#REF!</v>
      </c>
      <c r="AE88" s="77" t="e">
        <f t="shared" si="43"/>
        <v>#REF!</v>
      </c>
      <c r="AF88" s="78">
        <f>T88</f>
        <v>-99.601976332985316</v>
      </c>
      <c r="AG88" s="77" t="e">
        <f>AE91</f>
        <v>#REF!</v>
      </c>
      <c r="AH88" s="77" t="e">
        <f t="shared" ref="AH88:AR88" si="44">AG91</f>
        <v>#REF!</v>
      </c>
      <c r="AI88" s="77" t="e">
        <f t="shared" si="44"/>
        <v>#REF!</v>
      </c>
      <c r="AJ88" s="77" t="e">
        <f t="shared" si="44"/>
        <v>#REF!</v>
      </c>
      <c r="AK88" s="77" t="e">
        <f t="shared" si="44"/>
        <v>#REF!</v>
      </c>
      <c r="AL88" s="77" t="e">
        <f t="shared" si="44"/>
        <v>#REF!</v>
      </c>
      <c r="AM88" s="77" t="e">
        <f t="shared" si="44"/>
        <v>#REF!</v>
      </c>
      <c r="AN88" s="77" t="e">
        <f t="shared" si="44"/>
        <v>#REF!</v>
      </c>
      <c r="AO88" s="77" t="e">
        <f t="shared" si="44"/>
        <v>#REF!</v>
      </c>
      <c r="AP88" s="77" t="e">
        <f t="shared" si="44"/>
        <v>#REF!</v>
      </c>
      <c r="AQ88" s="77" t="e">
        <f t="shared" si="44"/>
        <v>#REF!</v>
      </c>
      <c r="AR88" s="77" t="e">
        <f t="shared" si="44"/>
        <v>#REF!</v>
      </c>
      <c r="AS88" s="78" t="e">
        <f>AG88</f>
        <v>#REF!</v>
      </c>
      <c r="AT88" s="77" t="e">
        <f>AR91</f>
        <v>#REF!</v>
      </c>
      <c r="AU88" s="77" t="e">
        <f t="shared" ref="AU88:BE88" si="45">AT91</f>
        <v>#REF!</v>
      </c>
      <c r="AV88" s="77" t="e">
        <f t="shared" si="45"/>
        <v>#REF!</v>
      </c>
      <c r="AW88" s="77" t="e">
        <f t="shared" si="45"/>
        <v>#REF!</v>
      </c>
      <c r="AX88" s="77" t="e">
        <f t="shared" si="45"/>
        <v>#REF!</v>
      </c>
      <c r="AY88" s="77" t="e">
        <f t="shared" si="45"/>
        <v>#REF!</v>
      </c>
      <c r="AZ88" s="77" t="e">
        <f t="shared" si="45"/>
        <v>#REF!</v>
      </c>
      <c r="BA88" s="77" t="e">
        <f t="shared" si="45"/>
        <v>#REF!</v>
      </c>
      <c r="BB88" s="77" t="e">
        <f t="shared" si="45"/>
        <v>#REF!</v>
      </c>
      <c r="BC88" s="77" t="e">
        <f t="shared" si="45"/>
        <v>#REF!</v>
      </c>
      <c r="BD88" s="77" t="e">
        <f t="shared" si="45"/>
        <v>#REF!</v>
      </c>
      <c r="BE88" s="77" t="e">
        <f t="shared" si="45"/>
        <v>#REF!</v>
      </c>
      <c r="BF88" s="78" t="e">
        <f>AT88</f>
        <v>#REF!</v>
      </c>
      <c r="BG88" s="77" t="e">
        <f>BE91</f>
        <v>#REF!</v>
      </c>
      <c r="BH88" s="77" t="e">
        <f t="shared" ref="BH88:BR88" si="46">BG91</f>
        <v>#REF!</v>
      </c>
      <c r="BI88" s="77" t="e">
        <f t="shared" si="46"/>
        <v>#REF!</v>
      </c>
      <c r="BJ88" s="77" t="e">
        <f t="shared" si="46"/>
        <v>#REF!</v>
      </c>
      <c r="BK88" s="77" t="e">
        <f t="shared" si="46"/>
        <v>#REF!</v>
      </c>
      <c r="BL88" s="77" t="e">
        <f t="shared" si="46"/>
        <v>#REF!</v>
      </c>
      <c r="BM88" s="77" t="e">
        <f t="shared" si="46"/>
        <v>#REF!</v>
      </c>
      <c r="BN88" s="77" t="e">
        <f t="shared" si="46"/>
        <v>#REF!</v>
      </c>
      <c r="BO88" s="77" t="e">
        <f t="shared" si="46"/>
        <v>#REF!</v>
      </c>
      <c r="BP88" s="77" t="e">
        <f t="shared" si="46"/>
        <v>#REF!</v>
      </c>
      <c r="BQ88" s="77" t="e">
        <f t="shared" si="46"/>
        <v>#REF!</v>
      </c>
      <c r="BR88" s="77" t="e">
        <f t="shared" si="46"/>
        <v>#REF!</v>
      </c>
      <c r="BS88" s="78" t="e">
        <f>BG88</f>
        <v>#REF!</v>
      </c>
      <c r="BT88" s="78">
        <f>G88</f>
        <v>6.75</v>
      </c>
    </row>
    <row r="89" spans="1:72" ht="15.75" customHeight="1">
      <c r="A89" s="2"/>
      <c r="B89" s="2"/>
      <c r="C89" s="63"/>
      <c r="D89" s="2" t="s">
        <v>233</v>
      </c>
      <c r="E89" s="2"/>
      <c r="F89" s="2"/>
      <c r="G89" s="77">
        <f t="shared" ref="G89:R89" si="47">(G$73/6)+(G$80/2)</f>
        <v>27.4</v>
      </c>
      <c r="H89" s="77">
        <f t="shared" si="47"/>
        <v>0</v>
      </c>
      <c r="I89" s="77">
        <f t="shared" si="47"/>
        <v>0</v>
      </c>
      <c r="J89" s="77">
        <f t="shared" si="47"/>
        <v>0</v>
      </c>
      <c r="K89" s="77">
        <f t="shared" si="47"/>
        <v>0</v>
      </c>
      <c r="L89" s="77">
        <f t="shared" si="47"/>
        <v>0</v>
      </c>
      <c r="M89" s="77">
        <f t="shared" si="47"/>
        <v>0</v>
      </c>
      <c r="N89" s="77">
        <f t="shared" si="47"/>
        <v>0</v>
      </c>
      <c r="O89" s="77">
        <f t="shared" si="47"/>
        <v>0</v>
      </c>
      <c r="P89" s="77">
        <f t="shared" si="47"/>
        <v>0</v>
      </c>
      <c r="Q89" s="77">
        <f t="shared" si="47"/>
        <v>0</v>
      </c>
      <c r="R89" s="77">
        <f t="shared" si="47"/>
        <v>0</v>
      </c>
      <c r="S89" s="78">
        <f>SUM(G89:R89)</f>
        <v>27.4</v>
      </c>
      <c r="T89" s="77">
        <f t="shared" ref="T89:AE89" si="48">(T$73/6)+(T$80/2)</f>
        <v>0</v>
      </c>
      <c r="U89" s="77">
        <f t="shared" si="48"/>
        <v>0</v>
      </c>
      <c r="V89" s="77">
        <f t="shared" si="48"/>
        <v>0</v>
      </c>
      <c r="W89" s="77">
        <f t="shared" si="48"/>
        <v>0</v>
      </c>
      <c r="X89" s="77">
        <f t="shared" si="48"/>
        <v>0</v>
      </c>
      <c r="Y89" s="77">
        <f t="shared" si="48"/>
        <v>0</v>
      </c>
      <c r="Z89" s="77">
        <f t="shared" si="48"/>
        <v>0</v>
      </c>
      <c r="AA89" s="77">
        <f t="shared" si="48"/>
        <v>0</v>
      </c>
      <c r="AB89" s="77">
        <f t="shared" si="48"/>
        <v>0</v>
      </c>
      <c r="AC89" s="77">
        <f t="shared" si="48"/>
        <v>0</v>
      </c>
      <c r="AD89" s="77">
        <f t="shared" si="48"/>
        <v>0</v>
      </c>
      <c r="AE89" s="77">
        <f t="shared" si="48"/>
        <v>0</v>
      </c>
      <c r="AF89" s="78">
        <f>SUM(T89:AE89)</f>
        <v>0</v>
      </c>
      <c r="AG89" s="77">
        <f t="shared" ref="AG89:AR89" si="49">(AG$73/6)+(AG$80/2)</f>
        <v>0</v>
      </c>
      <c r="AH89" s="77">
        <f t="shared" si="49"/>
        <v>0</v>
      </c>
      <c r="AI89" s="77">
        <f t="shared" si="49"/>
        <v>0</v>
      </c>
      <c r="AJ89" s="77">
        <f t="shared" si="49"/>
        <v>0</v>
      </c>
      <c r="AK89" s="77">
        <f t="shared" si="49"/>
        <v>0</v>
      </c>
      <c r="AL89" s="77">
        <f t="shared" si="49"/>
        <v>0</v>
      </c>
      <c r="AM89" s="77">
        <f t="shared" si="49"/>
        <v>0</v>
      </c>
      <c r="AN89" s="77">
        <f t="shared" si="49"/>
        <v>0</v>
      </c>
      <c r="AO89" s="77">
        <f t="shared" si="49"/>
        <v>0</v>
      </c>
      <c r="AP89" s="77">
        <f t="shared" si="49"/>
        <v>0</v>
      </c>
      <c r="AQ89" s="77">
        <f t="shared" si="49"/>
        <v>0</v>
      </c>
      <c r="AR89" s="77">
        <f t="shared" si="49"/>
        <v>0</v>
      </c>
      <c r="AS89" s="78">
        <f>SUM(AG89:AR89)</f>
        <v>0</v>
      </c>
      <c r="AT89" s="77">
        <f t="shared" ref="AT89:BE89" si="50">(AT$73/6)+(AT$80/2)</f>
        <v>0</v>
      </c>
      <c r="AU89" s="77">
        <f t="shared" si="50"/>
        <v>0</v>
      </c>
      <c r="AV89" s="77">
        <f t="shared" si="50"/>
        <v>0</v>
      </c>
      <c r="AW89" s="77">
        <f t="shared" si="50"/>
        <v>0</v>
      </c>
      <c r="AX89" s="77">
        <f t="shared" si="50"/>
        <v>0</v>
      </c>
      <c r="AY89" s="77">
        <f t="shared" si="50"/>
        <v>0</v>
      </c>
      <c r="AZ89" s="77">
        <f t="shared" si="50"/>
        <v>0</v>
      </c>
      <c r="BA89" s="77">
        <f t="shared" si="50"/>
        <v>0</v>
      </c>
      <c r="BB89" s="77">
        <f t="shared" si="50"/>
        <v>0</v>
      </c>
      <c r="BC89" s="77">
        <f t="shared" si="50"/>
        <v>0</v>
      </c>
      <c r="BD89" s="77">
        <f t="shared" si="50"/>
        <v>0</v>
      </c>
      <c r="BE89" s="77">
        <f t="shared" si="50"/>
        <v>0</v>
      </c>
      <c r="BF89" s="78">
        <f>SUM(AT89:BE89)</f>
        <v>0</v>
      </c>
      <c r="BG89" s="77">
        <f t="shared" ref="BG89:BR89" si="51">(BG$73/6)+(BG$80/2)</f>
        <v>0</v>
      </c>
      <c r="BH89" s="77">
        <f t="shared" si="51"/>
        <v>0</v>
      </c>
      <c r="BI89" s="77">
        <f t="shared" si="51"/>
        <v>0</v>
      </c>
      <c r="BJ89" s="77">
        <f t="shared" si="51"/>
        <v>0</v>
      </c>
      <c r="BK89" s="77">
        <f t="shared" si="51"/>
        <v>0</v>
      </c>
      <c r="BL89" s="77">
        <f t="shared" si="51"/>
        <v>0</v>
      </c>
      <c r="BM89" s="77">
        <f t="shared" si="51"/>
        <v>0</v>
      </c>
      <c r="BN89" s="77">
        <f t="shared" si="51"/>
        <v>0</v>
      </c>
      <c r="BO89" s="77">
        <f t="shared" si="51"/>
        <v>0</v>
      </c>
      <c r="BP89" s="77">
        <f t="shared" si="51"/>
        <v>0</v>
      </c>
      <c r="BQ89" s="77">
        <f t="shared" si="51"/>
        <v>0</v>
      </c>
      <c r="BR89" s="77">
        <f t="shared" si="51"/>
        <v>0</v>
      </c>
      <c r="BS89" s="78">
        <f>SUM(BG89:BR89)</f>
        <v>0</v>
      </c>
      <c r="BT89" s="37">
        <f>S89+AF89+AS89+BF89+BS89</f>
        <v>27.4</v>
      </c>
    </row>
    <row r="90" spans="1:72" ht="15.75" customHeight="1">
      <c r="A90" s="2"/>
      <c r="B90" s="2"/>
      <c r="C90" s="63"/>
      <c r="D90" s="2" t="s">
        <v>234</v>
      </c>
      <c r="E90" s="2"/>
      <c r="F90" s="2"/>
      <c r="G90" s="77">
        <f>((SUM('Beer Revenue'!H15:H18)*4)+(SUM('Beer Revenue'!H19:H22)*10)+(SUM('Beer Revenue'!H23:H24)*12)+(SUM('Beer Revenue'!H31:H33)*14)+(SUM('Beer Revenue'!H34:H35)*16))/3968</f>
        <v>6.8023426339285704</v>
      </c>
      <c r="H90" s="77">
        <f>((SUM('Beer Revenue'!I15:I18)*4)+(SUM('Beer Revenue'!I19:I22)*10)+(SUM('Beer Revenue'!I23:I24)*12)+(SUM('Beer Revenue'!I31:I33)*14)+(SUM('Beer Revenue'!I34:I35)*16))/3968</f>
        <v>7.2320605153729822</v>
      </c>
      <c r="I90" s="77">
        <f>((SUM('Beer Revenue'!J15:J18)*4)+(SUM('Beer Revenue'!J19:J22)*10)+(SUM('Beer Revenue'!J23:J24)*12)+(SUM('Beer Revenue'!J31:J33)*14)+(SUM('Beer Revenue'!J34:J35)*16))/3968</f>
        <v>10.203513950892857</v>
      </c>
      <c r="J90" s="77">
        <f>((SUM('Beer Revenue'!K15:K18)*4)+(SUM('Beer Revenue'!K19:K22)*10)+(SUM('Beer Revenue'!K23:K24)*12)+(SUM('Beer Revenue'!K31:K33)*14)+(SUM('Beer Revenue'!K34:K35)*16))/3968</f>
        <v>12.068672415034561</v>
      </c>
      <c r="K90" s="77">
        <f>((SUM('Beer Revenue'!L15:L18)*4)+(SUM('Beer Revenue'!L19:L22)*10)+(SUM('Beer Revenue'!L23:L24)*12)+(SUM('Beer Revenue'!L31:L33)*14)+(SUM('Beer Revenue'!L34:L35)*16))/3968</f>
        <v>13.604685267857141</v>
      </c>
      <c r="L90" s="77">
        <f>((SUM('Beer Revenue'!M15:M18)*4)+(SUM('Beer Revenue'!M19:M22)*10)+(SUM('Beer Revenue'!M23:M24)*12)+(SUM('Beer Revenue'!M31:M33)*14)+(SUM('Beer Revenue'!M34:M35)*16))/3968</f>
        <v>13.714400471630181</v>
      </c>
      <c r="M90" s="77">
        <f>((SUM('Beer Revenue'!N15:N18)*4)+(SUM('Beer Revenue'!N19:N22)*10)+(SUM('Beer Revenue'!N23:N24)*12)+(SUM('Beer Revenue'!N31:N33)*14)+(SUM('Beer Revenue'!N34:N35)*16))/3968</f>
        <v>14.171547154017855</v>
      </c>
      <c r="N90" s="77">
        <f>((SUM('Beer Revenue'!O15:O18)*4)+(SUM('Beer Revenue'!O19:O22)*10)+(SUM('Beer Revenue'!O23:O24)*12)+(SUM('Beer Revenue'!O31:O33)*14)+(SUM('Beer Revenue'!O34:O35)*16))/3968</f>
        <v>13.604685267857141</v>
      </c>
      <c r="O90" s="77">
        <f>((SUM('Beer Revenue'!P15:P18)*4)+(SUM('Beer Revenue'!P19:P22)*10)+(SUM('Beer Revenue'!P23:P24)*12)+(SUM('Beer Revenue'!P31:P33)*14)+(SUM('Beer Revenue'!P34:P35)*16))/3968</f>
        <v>12.068672415034561</v>
      </c>
      <c r="P90" s="77">
        <f>((SUM('Beer Revenue'!Q15:Q18)*4)+(SUM('Beer Revenue'!Q19:Q22)*10)+(SUM('Beer Revenue'!Q23:Q24)*12)+(SUM('Beer Revenue'!Q31:Q33)*14)+(SUM('Beer Revenue'!Q34:Q35)*16))/3968</f>
        <v>11.337237723214287</v>
      </c>
      <c r="Q90" s="77">
        <f>((SUM('Beer Revenue'!R15:R18)*4)+(SUM('Beer Revenue'!R19:R22)*10)+(SUM('Beer Revenue'!R23:R24)*12)+(SUM('Beer Revenue'!R31:R33)*14)+(SUM('Beer Revenue'!R34:R35)*16))/3968</f>
        <v>9.8743683395737296</v>
      </c>
      <c r="R90" s="77">
        <f>((SUM('Beer Revenue'!S15:S18)*4)+(SUM('Beer Revenue'!S19:S22)*10)+(SUM('Beer Revenue'!S23:S24)*12)+(SUM('Beer Revenue'!S31:S33)*14)+(SUM('Beer Revenue'!S34:S35)*16))/3968</f>
        <v>9.0697901785714308</v>
      </c>
      <c r="S90" s="78">
        <f>SUM(G90:R90)</f>
        <v>133.75197633298529</v>
      </c>
      <c r="T90" s="77" t="e">
        <f>('Beer Revenue'!U$15/Lists!$D$2)+('Beer Revenue'!U$17/Lists!$D$3)+'Beer Revenue'!U$24/Lists!$D$4+('Beer Revenue'!U$40/Lists!$D$5)+('Beer Revenue'!#REF!/Lists!$D$6)+('Beer Revenue'!#REF!/6)+('Beer Revenue'!#REF!/2)</f>
        <v>#REF!</v>
      </c>
      <c r="U90" s="77" t="e">
        <f>('Beer Revenue'!V$15/Lists!$D$2)+('Beer Revenue'!V$17/Lists!$D$3)+'Beer Revenue'!V$24/Lists!$D$4+('Beer Revenue'!V$40/Lists!$D$5)+('Beer Revenue'!#REF!/Lists!$D$6)+('Beer Revenue'!#REF!/6)+('Beer Revenue'!#REF!/2)</f>
        <v>#REF!</v>
      </c>
      <c r="V90" s="77" t="e">
        <f>('Beer Revenue'!W$15/Lists!$D$2)+('Beer Revenue'!W$17/Lists!$D$3)+'Beer Revenue'!W$24/Lists!$D$4+('Beer Revenue'!W$40/Lists!$D$5)+('Beer Revenue'!#REF!/Lists!$D$6)+('Beer Revenue'!#REF!/6)+('Beer Revenue'!#REF!/2)</f>
        <v>#REF!</v>
      </c>
      <c r="W90" s="77" t="e">
        <f>('Beer Revenue'!X$15/Lists!$D$2)+('Beer Revenue'!X$17/Lists!$D$3)+'Beer Revenue'!X$24/Lists!$D$4+('Beer Revenue'!X$40/Lists!$D$5)+('Beer Revenue'!#REF!/Lists!$D$6)+('Beer Revenue'!#REF!/6)+('Beer Revenue'!#REF!/2)</f>
        <v>#REF!</v>
      </c>
      <c r="X90" s="77" t="e">
        <f>('Beer Revenue'!Y$15/Lists!$D$2)+('Beer Revenue'!Y$17/Lists!$D$3)+'Beer Revenue'!Y$24/Lists!$D$4+('Beer Revenue'!Y$40/Lists!$D$5)+('Beer Revenue'!#REF!/Lists!$D$6)+('Beer Revenue'!#REF!/6)+('Beer Revenue'!#REF!/2)</f>
        <v>#REF!</v>
      </c>
      <c r="Y90" s="77" t="e">
        <f>('Beer Revenue'!Z$15/Lists!$D$2)+('Beer Revenue'!Z$17/Lists!$D$3)+'Beer Revenue'!Z$24/Lists!$D$4+('Beer Revenue'!Z$40/Lists!$D$5)+('Beer Revenue'!#REF!/Lists!$D$6)+('Beer Revenue'!#REF!/6)+('Beer Revenue'!#REF!/2)</f>
        <v>#REF!</v>
      </c>
      <c r="Z90" s="77" t="e">
        <f>('Beer Revenue'!AA$15/Lists!$D$2)+('Beer Revenue'!AA$17/Lists!$D$3)+'Beer Revenue'!AA$24/Lists!$D$4+('Beer Revenue'!AA$40/Lists!$D$5)+('Beer Revenue'!#REF!/Lists!$D$6)+('Beer Revenue'!#REF!/6)+('Beer Revenue'!#REF!/2)</f>
        <v>#REF!</v>
      </c>
      <c r="AA90" s="77" t="e">
        <f>('Beer Revenue'!AB$15/Lists!$D$2)+('Beer Revenue'!AB$17/Lists!$D$3)+'Beer Revenue'!AB$24/Lists!$D$4+('Beer Revenue'!AB$40/Lists!$D$5)+('Beer Revenue'!#REF!/Lists!$D$6)+('Beer Revenue'!#REF!/6)+('Beer Revenue'!#REF!/2)</f>
        <v>#REF!</v>
      </c>
      <c r="AB90" s="77" t="e">
        <f>('Beer Revenue'!AC$15/Lists!$D$2)+('Beer Revenue'!AC$17/Lists!$D$3)+'Beer Revenue'!AC$24/Lists!$D$4+('Beer Revenue'!AC$40/Lists!$D$5)+('Beer Revenue'!#REF!/Lists!$D$6)+('Beer Revenue'!#REF!/6)+('Beer Revenue'!#REF!/2)</f>
        <v>#REF!</v>
      </c>
      <c r="AC90" s="77" t="e">
        <f>('Beer Revenue'!AD$15/Lists!$D$2)+('Beer Revenue'!AD$17/Lists!$D$3)+'Beer Revenue'!AD$24/Lists!$D$4+('Beer Revenue'!AD$40/Lists!$D$5)+('Beer Revenue'!#REF!/Lists!$D$6)+('Beer Revenue'!#REF!/6)+('Beer Revenue'!#REF!/2)</f>
        <v>#REF!</v>
      </c>
      <c r="AD90" s="77" t="e">
        <f>('Beer Revenue'!AE$15/Lists!$D$2)+('Beer Revenue'!AE$17/Lists!$D$3)+'Beer Revenue'!AE$24/Lists!$D$4+('Beer Revenue'!AE$40/Lists!$D$5)+('Beer Revenue'!#REF!/Lists!$D$6)+('Beer Revenue'!#REF!/6)+('Beer Revenue'!#REF!/2)</f>
        <v>#REF!</v>
      </c>
      <c r="AE90" s="77" t="e">
        <f>('Beer Revenue'!AF$15/Lists!$D$2)+('Beer Revenue'!AF$17/Lists!$D$3)+'Beer Revenue'!AF$24/Lists!$D$4+('Beer Revenue'!AF$40/Lists!$D$5)+('Beer Revenue'!#REF!/Lists!$D$6)+('Beer Revenue'!#REF!/6)+('Beer Revenue'!#REF!/2)</f>
        <v>#REF!</v>
      </c>
      <c r="AF90" s="78" t="e">
        <f>SUM(T90:AE90)</f>
        <v>#REF!</v>
      </c>
      <c r="AG90" s="77" t="e">
        <f>('Beer Revenue'!AH$15/Lists!$D$2)+('Beer Revenue'!AH$17/Lists!$D$3)+'Beer Revenue'!AH$24/Lists!$D$4+('Beer Revenue'!AH$40/Lists!$D$5)+('Beer Revenue'!#REF!/Lists!$D$6)+('Beer Revenue'!#REF!/6)+('Beer Revenue'!#REF!/2)</f>
        <v>#REF!</v>
      </c>
      <c r="AH90" s="77" t="e">
        <f>('Beer Revenue'!AI$15/Lists!$D$2)+('Beer Revenue'!AI$17/Lists!$D$3)+'Beer Revenue'!AI$24/Lists!$D$4+('Beer Revenue'!AI$40/Lists!$D$5)+('Beer Revenue'!#REF!/Lists!$D$6)+('Beer Revenue'!#REF!/6)+('Beer Revenue'!#REF!/2)</f>
        <v>#REF!</v>
      </c>
      <c r="AI90" s="77" t="e">
        <f>('Beer Revenue'!AJ$15/Lists!$D$2)+('Beer Revenue'!AJ$17/Lists!$D$3)+'Beer Revenue'!AJ$24/Lists!$D$4+('Beer Revenue'!AJ$40/Lists!$D$5)+('Beer Revenue'!#REF!/Lists!$D$6)+('Beer Revenue'!#REF!/6)+('Beer Revenue'!#REF!/2)</f>
        <v>#REF!</v>
      </c>
      <c r="AJ90" s="77" t="e">
        <f>('Beer Revenue'!AK$15/Lists!$D$2)+('Beer Revenue'!AK$17/Lists!$D$3)+'Beer Revenue'!AK$24/Lists!$D$4+('Beer Revenue'!AK$40/Lists!$D$5)+('Beer Revenue'!#REF!/Lists!$D$6)+('Beer Revenue'!#REF!/6)+('Beer Revenue'!#REF!/2)</f>
        <v>#REF!</v>
      </c>
      <c r="AK90" s="77" t="e">
        <f>('Beer Revenue'!AL$15/Lists!$D$2)+('Beer Revenue'!AL$17/Lists!$D$3)+'Beer Revenue'!AL$24/Lists!$D$4+('Beer Revenue'!AL$40/Lists!$D$5)+('Beer Revenue'!#REF!/Lists!$D$6)+('Beer Revenue'!#REF!/6)+('Beer Revenue'!#REF!/2)</f>
        <v>#REF!</v>
      </c>
      <c r="AL90" s="77" t="e">
        <f>('Beer Revenue'!AM$15/Lists!$D$2)+('Beer Revenue'!AM$17/Lists!$D$3)+'Beer Revenue'!AM$24/Lists!$D$4+('Beer Revenue'!AM$40/Lists!$D$5)+('Beer Revenue'!#REF!/Lists!$D$6)+('Beer Revenue'!#REF!/6)+('Beer Revenue'!#REF!/2)</f>
        <v>#REF!</v>
      </c>
      <c r="AM90" s="77" t="e">
        <f>('Beer Revenue'!AN$15/Lists!$D$2)+('Beer Revenue'!AN$17/Lists!$D$3)+'Beer Revenue'!AN$24/Lists!$D$4+('Beer Revenue'!AN$40/Lists!$D$5)+('Beer Revenue'!#REF!/Lists!$D$6)+('Beer Revenue'!#REF!/6)+('Beer Revenue'!#REF!/2)</f>
        <v>#REF!</v>
      </c>
      <c r="AN90" s="77" t="e">
        <f>('Beer Revenue'!AO$15/Lists!$D$2)+('Beer Revenue'!AO$17/Lists!$D$3)+'Beer Revenue'!AO$24/Lists!$D$4+('Beer Revenue'!AO$40/Lists!$D$5)+('Beer Revenue'!#REF!/Lists!$D$6)+('Beer Revenue'!#REF!/6)+('Beer Revenue'!#REF!/2)</f>
        <v>#REF!</v>
      </c>
      <c r="AO90" s="77" t="e">
        <f>('Beer Revenue'!AP$15/Lists!$D$2)+('Beer Revenue'!AP$17/Lists!$D$3)+'Beer Revenue'!AP$24/Lists!$D$4+('Beer Revenue'!AP$40/Lists!$D$5)+('Beer Revenue'!#REF!/Lists!$D$6)+('Beer Revenue'!#REF!/6)+('Beer Revenue'!#REF!/2)</f>
        <v>#REF!</v>
      </c>
      <c r="AP90" s="77" t="e">
        <f>('Beer Revenue'!AQ$15/Lists!$D$2)+('Beer Revenue'!AQ$17/Lists!$D$3)+'Beer Revenue'!AQ$24/Lists!$D$4+('Beer Revenue'!AQ$40/Lists!$D$5)+('Beer Revenue'!#REF!/Lists!$D$6)+('Beer Revenue'!#REF!/6)+('Beer Revenue'!#REF!/2)</f>
        <v>#REF!</v>
      </c>
      <c r="AQ90" s="77" t="e">
        <f>('Beer Revenue'!AR$15/Lists!$D$2)+('Beer Revenue'!AR$17/Lists!$D$3)+'Beer Revenue'!AR$24/Lists!$D$4+('Beer Revenue'!AR$40/Lists!$D$5)+('Beer Revenue'!#REF!/Lists!$D$6)+('Beer Revenue'!#REF!/6)+('Beer Revenue'!#REF!/2)</f>
        <v>#REF!</v>
      </c>
      <c r="AR90" s="77" t="e">
        <f>('Beer Revenue'!AS$15/Lists!$D$2)+('Beer Revenue'!AS$17/Lists!$D$3)+'Beer Revenue'!AS$24/Lists!$D$4+('Beer Revenue'!AS$40/Lists!$D$5)+('Beer Revenue'!#REF!/Lists!$D$6)+('Beer Revenue'!#REF!/6)+('Beer Revenue'!#REF!/2)</f>
        <v>#REF!</v>
      </c>
      <c r="AS90" s="78" t="e">
        <f>SUM(AG90:AR90)</f>
        <v>#REF!</v>
      </c>
      <c r="AT90" s="77" t="e">
        <f>('Beer Revenue'!AU$15/Lists!$D$2)+('Beer Revenue'!AU$17/Lists!$D$3)+'Beer Revenue'!AU$24/Lists!$D$4+('Beer Revenue'!AU$40/Lists!$D$5)+('Beer Revenue'!#REF!/Lists!$D$6)+('Beer Revenue'!#REF!/6)+('Beer Revenue'!#REF!/2)</f>
        <v>#REF!</v>
      </c>
      <c r="AU90" s="77" t="e">
        <f>('Beer Revenue'!AV$15/Lists!$D$2)+('Beer Revenue'!AV$17/Lists!$D$3)+'Beer Revenue'!AV$24/Lists!$D$4+('Beer Revenue'!AV$40/Lists!$D$5)+('Beer Revenue'!#REF!/Lists!$D$6)+('Beer Revenue'!#REF!/6)+('Beer Revenue'!#REF!/2)</f>
        <v>#REF!</v>
      </c>
      <c r="AV90" s="77" t="e">
        <f>('Beer Revenue'!AW$15/Lists!$D$2)+('Beer Revenue'!AW$17/Lists!$D$3)+'Beer Revenue'!AW$24/Lists!$D$4+('Beer Revenue'!AW$40/Lists!$D$5)+('Beer Revenue'!#REF!/Lists!$D$6)+('Beer Revenue'!#REF!/6)+('Beer Revenue'!#REF!/2)</f>
        <v>#REF!</v>
      </c>
      <c r="AW90" s="77" t="e">
        <f>('Beer Revenue'!AX$15/Lists!$D$2)+('Beer Revenue'!AX$17/Lists!$D$3)+'Beer Revenue'!AX$24/Lists!$D$4+('Beer Revenue'!AX$40/Lists!$D$5)+('Beer Revenue'!#REF!/Lists!$D$6)+('Beer Revenue'!#REF!/6)+('Beer Revenue'!#REF!/2)</f>
        <v>#REF!</v>
      </c>
      <c r="AX90" s="77" t="e">
        <f>('Beer Revenue'!AY$15/Lists!$D$2)+('Beer Revenue'!AY$17/Lists!$D$3)+'Beer Revenue'!AY$24/Lists!$D$4+('Beer Revenue'!AY$40/Lists!$D$5)+('Beer Revenue'!#REF!/Lists!$D$6)+('Beer Revenue'!#REF!/6)+('Beer Revenue'!#REF!/2)</f>
        <v>#REF!</v>
      </c>
      <c r="AY90" s="77" t="e">
        <f>('Beer Revenue'!AZ$15/Lists!$D$2)+('Beer Revenue'!AZ$17/Lists!$D$3)+'Beer Revenue'!AZ$24/Lists!$D$4+('Beer Revenue'!AZ$40/Lists!$D$5)+('Beer Revenue'!#REF!/Lists!$D$6)+('Beer Revenue'!#REF!/6)+('Beer Revenue'!#REF!/2)</f>
        <v>#REF!</v>
      </c>
      <c r="AZ90" s="77" t="e">
        <f>('Beer Revenue'!BA$15/Lists!$D$2)+('Beer Revenue'!BA$17/Lists!$D$3)+'Beer Revenue'!BA$24/Lists!$D$4+('Beer Revenue'!BA$40/Lists!$D$5)+('Beer Revenue'!#REF!/Lists!$D$6)+('Beer Revenue'!#REF!/6)+('Beer Revenue'!#REF!/2)</f>
        <v>#REF!</v>
      </c>
      <c r="BA90" s="77" t="e">
        <f>('Beer Revenue'!BB$15/Lists!$D$2)+('Beer Revenue'!BB$17/Lists!$D$3)+'Beer Revenue'!BB$24/Lists!$D$4+('Beer Revenue'!BB$40/Lists!$D$5)+('Beer Revenue'!#REF!/Lists!$D$6)+('Beer Revenue'!#REF!/6)+('Beer Revenue'!#REF!/2)</f>
        <v>#REF!</v>
      </c>
      <c r="BB90" s="77" t="e">
        <f>('Beer Revenue'!BC$15/Lists!$D$2)+('Beer Revenue'!BC$17/Lists!$D$3)+'Beer Revenue'!BC$24/Lists!$D$4+('Beer Revenue'!BC$40/Lists!$D$5)+('Beer Revenue'!#REF!/Lists!$D$6)+('Beer Revenue'!#REF!/6)+('Beer Revenue'!#REF!/2)</f>
        <v>#REF!</v>
      </c>
      <c r="BC90" s="77" t="e">
        <f>('Beer Revenue'!BD$15/Lists!$D$2)+('Beer Revenue'!BD$17/Lists!$D$3)+'Beer Revenue'!BD$24/Lists!$D$4+('Beer Revenue'!BD$40/Lists!$D$5)+('Beer Revenue'!#REF!/Lists!$D$6)+('Beer Revenue'!#REF!/6)+('Beer Revenue'!#REF!/2)</f>
        <v>#REF!</v>
      </c>
      <c r="BD90" s="77" t="e">
        <f>('Beer Revenue'!BE$15/Lists!$D$2)+('Beer Revenue'!BE$17/Lists!$D$3)+'Beer Revenue'!BE$24/Lists!$D$4+('Beer Revenue'!BE$40/Lists!$D$5)+('Beer Revenue'!#REF!/Lists!$D$6)+('Beer Revenue'!#REF!/6)+('Beer Revenue'!#REF!/2)</f>
        <v>#REF!</v>
      </c>
      <c r="BE90" s="77" t="e">
        <f>('Beer Revenue'!BF$15/Lists!$D$2)+('Beer Revenue'!BF$17/Lists!$D$3)+'Beer Revenue'!BF$24/Lists!$D$4+('Beer Revenue'!BF$40/Lists!$D$5)+('Beer Revenue'!#REF!/Lists!$D$6)+('Beer Revenue'!#REF!/6)+('Beer Revenue'!#REF!/2)</f>
        <v>#REF!</v>
      </c>
      <c r="BF90" s="78" t="e">
        <f>SUM(AT90:BE90)</f>
        <v>#REF!</v>
      </c>
      <c r="BG90" s="77" t="e">
        <f>('Beer Revenue'!BH$15/Lists!$D$2)+('Beer Revenue'!BH$17/Lists!$D$3)+'Beer Revenue'!BH$24/Lists!$D$4+('Beer Revenue'!BH$40/Lists!$D$5)+('Beer Revenue'!#REF!/Lists!$D$6)+('Beer Revenue'!#REF!/6)+('Beer Revenue'!#REF!/2)</f>
        <v>#REF!</v>
      </c>
      <c r="BH90" s="77" t="e">
        <f>('Beer Revenue'!BI$15/Lists!$D$2)+('Beer Revenue'!BI$17/Lists!$D$3)+'Beer Revenue'!BI$24/Lists!$D$4+('Beer Revenue'!BI$40/Lists!$D$5)+('Beer Revenue'!#REF!/Lists!$D$6)+('Beer Revenue'!#REF!/6)+('Beer Revenue'!#REF!/2)</f>
        <v>#REF!</v>
      </c>
      <c r="BI90" s="77" t="e">
        <f>('Beer Revenue'!BJ$15/Lists!$D$2)+('Beer Revenue'!BJ$17/Lists!$D$3)+'Beer Revenue'!BJ$24/Lists!$D$4+('Beer Revenue'!BJ$40/Lists!$D$5)+('Beer Revenue'!#REF!/Lists!$D$6)+('Beer Revenue'!#REF!/6)+('Beer Revenue'!#REF!/2)</f>
        <v>#REF!</v>
      </c>
      <c r="BJ90" s="77" t="e">
        <f>('Beer Revenue'!BK$15/Lists!$D$2)+('Beer Revenue'!BK$17/Lists!$D$3)+'Beer Revenue'!BK$24/Lists!$D$4+('Beer Revenue'!BK$40/Lists!$D$5)+('Beer Revenue'!#REF!/Lists!$D$6)+('Beer Revenue'!#REF!/6)+('Beer Revenue'!#REF!/2)</f>
        <v>#REF!</v>
      </c>
      <c r="BK90" s="77" t="e">
        <f>('Beer Revenue'!BL$15/Lists!$D$2)+('Beer Revenue'!BL$17/Lists!$D$3)+'Beer Revenue'!BL$24/Lists!$D$4+('Beer Revenue'!BL$40/Lists!$D$5)+('Beer Revenue'!#REF!/Lists!$D$6)+('Beer Revenue'!#REF!/6)+('Beer Revenue'!#REF!/2)</f>
        <v>#REF!</v>
      </c>
      <c r="BL90" s="77" t="e">
        <f>('Beer Revenue'!BM$15/Lists!$D$2)+('Beer Revenue'!BM$17/Lists!$D$3)+'Beer Revenue'!BM$24/Lists!$D$4+('Beer Revenue'!BM$40/Lists!$D$5)+('Beer Revenue'!#REF!/Lists!$D$6)+('Beer Revenue'!#REF!/6)+('Beer Revenue'!#REF!/2)</f>
        <v>#REF!</v>
      </c>
      <c r="BM90" s="77" t="e">
        <f>('Beer Revenue'!BN$15/Lists!$D$2)+('Beer Revenue'!BN$17/Lists!$D$3)+'Beer Revenue'!BN$24/Lists!$D$4+('Beer Revenue'!BN$40/Lists!$D$5)+('Beer Revenue'!#REF!/Lists!$D$6)+('Beer Revenue'!#REF!/6)+('Beer Revenue'!#REF!/2)</f>
        <v>#REF!</v>
      </c>
      <c r="BN90" s="77" t="e">
        <f>('Beer Revenue'!BO$15/Lists!$D$2)+('Beer Revenue'!BO$17/Lists!$D$3)+'Beer Revenue'!BO$24/Lists!$D$4+('Beer Revenue'!BO$40/Lists!$D$5)+('Beer Revenue'!#REF!/Lists!$D$6)+('Beer Revenue'!#REF!/6)+('Beer Revenue'!#REF!/2)</f>
        <v>#REF!</v>
      </c>
      <c r="BO90" s="77" t="e">
        <f>('Beer Revenue'!BP$15/Lists!$D$2)+('Beer Revenue'!BP$17/Lists!$D$3)+'Beer Revenue'!BP$24/Lists!$D$4+('Beer Revenue'!BP$40/Lists!$D$5)+('Beer Revenue'!#REF!/Lists!$D$6)+('Beer Revenue'!#REF!/6)+('Beer Revenue'!#REF!/2)</f>
        <v>#REF!</v>
      </c>
      <c r="BP90" s="77" t="e">
        <f>('Beer Revenue'!BQ$15/Lists!$D$2)+('Beer Revenue'!BQ$17/Lists!$D$3)+'Beer Revenue'!BQ$24/Lists!$D$4+('Beer Revenue'!BQ$40/Lists!$D$5)+('Beer Revenue'!#REF!/Lists!$D$6)+('Beer Revenue'!#REF!/6)+('Beer Revenue'!#REF!/2)</f>
        <v>#REF!</v>
      </c>
      <c r="BQ90" s="77" t="e">
        <f>('Beer Revenue'!BR$15/Lists!$D$2)+('Beer Revenue'!BR$17/Lists!$D$3)+'Beer Revenue'!BR$24/Lists!$D$4+('Beer Revenue'!BR$40/Lists!$D$5)+('Beer Revenue'!#REF!/Lists!$D$6)+('Beer Revenue'!#REF!/6)+('Beer Revenue'!#REF!/2)</f>
        <v>#REF!</v>
      </c>
      <c r="BR90" s="77" t="e">
        <f>('Beer Revenue'!BS$15/Lists!$D$2)+('Beer Revenue'!BS$17/Lists!$D$3)+'Beer Revenue'!BS$24/Lists!$D$4+('Beer Revenue'!BS$40/Lists!$D$5)+('Beer Revenue'!#REF!/Lists!$D$6)+('Beer Revenue'!#REF!/6)+('Beer Revenue'!#REF!/2)</f>
        <v>#REF!</v>
      </c>
      <c r="BS90" s="78" t="e">
        <f>SUM(BG90:BR90)</f>
        <v>#REF!</v>
      </c>
      <c r="BT90" s="37" t="e">
        <f>S90+AF90+AS90+BF90+BS90</f>
        <v>#REF!</v>
      </c>
    </row>
    <row r="91" spans="1:72" ht="15.75" customHeight="1">
      <c r="A91" s="2"/>
      <c r="B91" s="2"/>
      <c r="C91" s="63"/>
      <c r="D91" s="2" t="s">
        <v>227</v>
      </c>
      <c r="E91" s="2"/>
      <c r="F91" s="2"/>
      <c r="G91" s="77">
        <f t="shared" ref="G91:BT91" si="52">G88+G89-G90</f>
        <v>27.347657366071427</v>
      </c>
      <c r="H91" s="77">
        <f t="shared" si="52"/>
        <v>20.115596850698445</v>
      </c>
      <c r="I91" s="77">
        <f t="shared" si="52"/>
        <v>9.9120828998055881</v>
      </c>
      <c r="J91" s="77">
        <f t="shared" si="52"/>
        <v>-2.1565895152289727</v>
      </c>
      <c r="K91" s="77">
        <f t="shared" si="52"/>
        <v>-15.761274783086114</v>
      </c>
      <c r="L91" s="77">
        <f t="shared" si="52"/>
        <v>-29.475675254716293</v>
      </c>
      <c r="M91" s="77">
        <f t="shared" si="52"/>
        <v>-43.647222408734152</v>
      </c>
      <c r="N91" s="77">
        <f t="shared" si="52"/>
        <v>-57.251907676591294</v>
      </c>
      <c r="O91" s="77">
        <f t="shared" si="52"/>
        <v>-69.320580091625857</v>
      </c>
      <c r="P91" s="77">
        <f t="shared" si="52"/>
        <v>-80.657817814840143</v>
      </c>
      <c r="Q91" s="77">
        <f t="shared" si="52"/>
        <v>-90.532186154413878</v>
      </c>
      <c r="R91" s="77">
        <f t="shared" si="52"/>
        <v>-99.601976332985316</v>
      </c>
      <c r="S91" s="78">
        <f t="shared" si="52"/>
        <v>-99.601976332985288</v>
      </c>
      <c r="T91" s="77" t="e">
        <f t="shared" si="52"/>
        <v>#REF!</v>
      </c>
      <c r="U91" s="77" t="e">
        <f t="shared" si="52"/>
        <v>#REF!</v>
      </c>
      <c r="V91" s="77" t="e">
        <f t="shared" si="52"/>
        <v>#REF!</v>
      </c>
      <c r="W91" s="77" t="e">
        <f t="shared" si="52"/>
        <v>#REF!</v>
      </c>
      <c r="X91" s="77" t="e">
        <f t="shared" si="52"/>
        <v>#REF!</v>
      </c>
      <c r="Y91" s="77" t="e">
        <f t="shared" si="52"/>
        <v>#REF!</v>
      </c>
      <c r="Z91" s="77" t="e">
        <f t="shared" si="52"/>
        <v>#REF!</v>
      </c>
      <c r="AA91" s="77" t="e">
        <f t="shared" si="52"/>
        <v>#REF!</v>
      </c>
      <c r="AB91" s="77" t="e">
        <f t="shared" si="52"/>
        <v>#REF!</v>
      </c>
      <c r="AC91" s="77" t="e">
        <f t="shared" si="52"/>
        <v>#REF!</v>
      </c>
      <c r="AD91" s="77" t="e">
        <f t="shared" si="52"/>
        <v>#REF!</v>
      </c>
      <c r="AE91" s="77" t="e">
        <f t="shared" si="52"/>
        <v>#REF!</v>
      </c>
      <c r="AF91" s="78" t="e">
        <f t="shared" si="52"/>
        <v>#REF!</v>
      </c>
      <c r="AG91" s="77" t="e">
        <f t="shared" si="52"/>
        <v>#REF!</v>
      </c>
      <c r="AH91" s="77" t="e">
        <f t="shared" si="52"/>
        <v>#REF!</v>
      </c>
      <c r="AI91" s="77" t="e">
        <f t="shared" si="52"/>
        <v>#REF!</v>
      </c>
      <c r="AJ91" s="77" t="e">
        <f t="shared" si="52"/>
        <v>#REF!</v>
      </c>
      <c r="AK91" s="77" t="e">
        <f t="shared" si="52"/>
        <v>#REF!</v>
      </c>
      <c r="AL91" s="77" t="e">
        <f t="shared" si="52"/>
        <v>#REF!</v>
      </c>
      <c r="AM91" s="77" t="e">
        <f t="shared" si="52"/>
        <v>#REF!</v>
      </c>
      <c r="AN91" s="77" t="e">
        <f t="shared" si="52"/>
        <v>#REF!</v>
      </c>
      <c r="AO91" s="77" t="e">
        <f t="shared" si="52"/>
        <v>#REF!</v>
      </c>
      <c r="AP91" s="77" t="e">
        <f t="shared" si="52"/>
        <v>#REF!</v>
      </c>
      <c r="AQ91" s="77" t="e">
        <f t="shared" si="52"/>
        <v>#REF!</v>
      </c>
      <c r="AR91" s="77" t="e">
        <f t="shared" si="52"/>
        <v>#REF!</v>
      </c>
      <c r="AS91" s="78" t="e">
        <f t="shared" si="52"/>
        <v>#REF!</v>
      </c>
      <c r="AT91" s="77" t="e">
        <f t="shared" si="52"/>
        <v>#REF!</v>
      </c>
      <c r="AU91" s="77" t="e">
        <f t="shared" si="52"/>
        <v>#REF!</v>
      </c>
      <c r="AV91" s="77" t="e">
        <f t="shared" si="52"/>
        <v>#REF!</v>
      </c>
      <c r="AW91" s="77" t="e">
        <f t="shared" si="52"/>
        <v>#REF!</v>
      </c>
      <c r="AX91" s="77" t="e">
        <f t="shared" si="52"/>
        <v>#REF!</v>
      </c>
      <c r="AY91" s="77" t="e">
        <f t="shared" si="52"/>
        <v>#REF!</v>
      </c>
      <c r="AZ91" s="77" t="e">
        <f t="shared" si="52"/>
        <v>#REF!</v>
      </c>
      <c r="BA91" s="77" t="e">
        <f t="shared" si="52"/>
        <v>#REF!</v>
      </c>
      <c r="BB91" s="77" t="e">
        <f t="shared" si="52"/>
        <v>#REF!</v>
      </c>
      <c r="BC91" s="77" t="e">
        <f t="shared" si="52"/>
        <v>#REF!</v>
      </c>
      <c r="BD91" s="77" t="e">
        <f t="shared" si="52"/>
        <v>#REF!</v>
      </c>
      <c r="BE91" s="77" t="e">
        <f t="shared" si="52"/>
        <v>#REF!</v>
      </c>
      <c r="BF91" s="78" t="e">
        <f t="shared" si="52"/>
        <v>#REF!</v>
      </c>
      <c r="BG91" s="77" t="e">
        <f t="shared" si="52"/>
        <v>#REF!</v>
      </c>
      <c r="BH91" s="77" t="e">
        <f t="shared" si="52"/>
        <v>#REF!</v>
      </c>
      <c r="BI91" s="77" t="e">
        <f t="shared" si="52"/>
        <v>#REF!</v>
      </c>
      <c r="BJ91" s="77" t="e">
        <f t="shared" si="52"/>
        <v>#REF!</v>
      </c>
      <c r="BK91" s="77" t="e">
        <f t="shared" si="52"/>
        <v>#REF!</v>
      </c>
      <c r="BL91" s="77" t="e">
        <f t="shared" si="52"/>
        <v>#REF!</v>
      </c>
      <c r="BM91" s="77" t="e">
        <f t="shared" si="52"/>
        <v>#REF!</v>
      </c>
      <c r="BN91" s="77" t="e">
        <f t="shared" si="52"/>
        <v>#REF!</v>
      </c>
      <c r="BO91" s="77" t="e">
        <f t="shared" si="52"/>
        <v>#REF!</v>
      </c>
      <c r="BP91" s="77" t="e">
        <f t="shared" si="52"/>
        <v>#REF!</v>
      </c>
      <c r="BQ91" s="77" t="e">
        <f t="shared" si="52"/>
        <v>#REF!</v>
      </c>
      <c r="BR91" s="77" t="e">
        <f t="shared" si="52"/>
        <v>#REF!</v>
      </c>
      <c r="BS91" s="78" t="e">
        <f t="shared" si="52"/>
        <v>#REF!</v>
      </c>
      <c r="BT91" s="78" t="e">
        <f t="shared" si="52"/>
        <v>#REF!</v>
      </c>
    </row>
    <row r="92" spans="1:72" ht="15.75" customHeight="1">
      <c r="A92" s="2"/>
      <c r="B92" s="2"/>
      <c r="C92" s="6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1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1"/>
    </row>
    <row r="93" spans="1:72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1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1"/>
    </row>
    <row r="94" spans="1:72" ht="15.75" customHeight="1">
      <c r="A94" s="1" t="s">
        <v>235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1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1"/>
    </row>
    <row r="95" spans="1:72" ht="15.75" customHeight="1">
      <c r="A95" s="2"/>
      <c r="B95" s="2"/>
      <c r="C95" s="2" t="s">
        <v>236</v>
      </c>
      <c r="D95" s="2"/>
      <c r="E95" s="2"/>
      <c r="F95" s="2"/>
      <c r="G95" s="3">
        <f>G59*Assumptions!$B$53</f>
        <v>175</v>
      </c>
      <c r="H95" s="3">
        <f>H59*Assumptions!$B$53</f>
        <v>0</v>
      </c>
      <c r="I95" s="3">
        <f>I59*Assumptions!$B$53</f>
        <v>0</v>
      </c>
      <c r="J95" s="3">
        <f>J59*Assumptions!$B$53</f>
        <v>0</v>
      </c>
      <c r="K95" s="3">
        <f>K59*Assumptions!$B$53</f>
        <v>0</v>
      </c>
      <c r="L95" s="3">
        <f>L59*Assumptions!$B$53</f>
        <v>0</v>
      </c>
      <c r="M95" s="3">
        <f>M59*Assumptions!$B$53</f>
        <v>0</v>
      </c>
      <c r="N95" s="3">
        <f>N59*Assumptions!$B$53</f>
        <v>0</v>
      </c>
      <c r="O95" s="3">
        <f>O59*Assumptions!$B$53</f>
        <v>0</v>
      </c>
      <c r="P95" s="3">
        <f>P59*Assumptions!$B$53</f>
        <v>0</v>
      </c>
      <c r="Q95" s="3">
        <f>Q59*Assumptions!$B$53</f>
        <v>0</v>
      </c>
      <c r="R95" s="3">
        <f>R59*Assumptions!$B$53</f>
        <v>0</v>
      </c>
      <c r="S95" s="37">
        <f>SUM(G95:R95)</f>
        <v>175</v>
      </c>
      <c r="T95" s="3" t="e">
        <f>(((T$66+T$67)/Lists!$D$7)+(T$74/6)+(T$81/2))*Assumptions!$B$53</f>
        <v>#REF!</v>
      </c>
      <c r="U95" s="3" t="e">
        <f>(((U$66+U$67)/Lists!$D$7)+(U$74/6)+(U$81/2))*Assumptions!$B$53</f>
        <v>#REF!</v>
      </c>
      <c r="V95" s="3" t="e">
        <f>(((V$66+V$67)/Lists!$D$7)+(V$74/6)+(V$81/2))*Assumptions!$B$53</f>
        <v>#REF!</v>
      </c>
      <c r="W95" s="3" t="e">
        <f>(((W$66+W$67)/Lists!$D$7)+(W$74/6)+(W$81/2))*Assumptions!$B$53</f>
        <v>#REF!</v>
      </c>
      <c r="X95" s="3" t="e">
        <f>(((X$66+X$67)/Lists!$D$7)+(X$74/6)+(X$81/2))*Assumptions!$B$53</f>
        <v>#REF!</v>
      </c>
      <c r="Y95" s="3" t="e">
        <f>(((Y$66+Y$67)/Lists!$D$7)+(Y$74/6)+(Y$81/2))*Assumptions!$B$53</f>
        <v>#REF!</v>
      </c>
      <c r="Z95" s="3" t="e">
        <f>(((Z$66+Z$67)/Lists!$D$7)+(Z$74/6)+(Z$81/2))*Assumptions!$B$53</f>
        <v>#REF!</v>
      </c>
      <c r="AA95" s="3" t="e">
        <f>(((AA$66+AA$67)/Lists!$D$7)+(AA$74/6)+(AA$81/2))*Assumptions!$B$53</f>
        <v>#REF!</v>
      </c>
      <c r="AB95" s="3" t="e">
        <f>(((AB$66+AB$67)/Lists!$D$7)+(AB$74/6)+(AB$81/2))*Assumptions!$B$53</f>
        <v>#REF!</v>
      </c>
      <c r="AC95" s="3" t="e">
        <f>(((AC$66+AC$67)/Lists!$D$7)+(AC$74/6)+(AC$81/2))*Assumptions!$B$53</f>
        <v>#REF!</v>
      </c>
      <c r="AD95" s="3" t="e">
        <f>(((AD$66+AD$67)/Lists!$D$7)+(AD$74/6)+(AD$81/2))*Assumptions!$B$53</f>
        <v>#REF!</v>
      </c>
      <c r="AE95" s="3" t="e">
        <f>(((AE$66+AE$67)/Lists!$D$7)+(AE$74/6)+(AE$81/2))*Assumptions!$B$53</f>
        <v>#REF!</v>
      </c>
      <c r="AF95" s="37" t="e">
        <f>SUM(T95:AE95)</f>
        <v>#REF!</v>
      </c>
      <c r="AG95" s="3" t="e">
        <f>(((AG$66+AG$67)/Lists!$D$7)+(AG$74/6)+(AG$81/2))*Assumptions!$B$53</f>
        <v>#REF!</v>
      </c>
      <c r="AH95" s="3" t="e">
        <f>(((AH$66+AH$67)/Lists!$D$7)+(AH$74/6)+(AH$81/2))*Assumptions!$B$53</f>
        <v>#REF!</v>
      </c>
      <c r="AI95" s="3" t="e">
        <f>(((AI$66+AI$67)/Lists!$D$7)+(AI$74/6)+(AI$81/2))*Assumptions!$B$53</f>
        <v>#REF!</v>
      </c>
      <c r="AJ95" s="3" t="e">
        <f>(((AJ$66+AJ$67)/Lists!$D$7)+(AJ$74/6)+(AJ$81/2))*Assumptions!$B$53</f>
        <v>#REF!</v>
      </c>
      <c r="AK95" s="3" t="e">
        <f>(((AK$66+AK$67)/Lists!$D$7)+(AK$74/6)+(AK$81/2))*Assumptions!$B$53</f>
        <v>#REF!</v>
      </c>
      <c r="AL95" s="3" t="e">
        <f>(((AL$66+AL$67)/Lists!$D$7)+(AL$74/6)+(AL$81/2))*Assumptions!$B$53</f>
        <v>#REF!</v>
      </c>
      <c r="AM95" s="3" t="e">
        <f>(((AM$66+AM$67)/Lists!$D$7)+(AM$74/6)+(AM$81/2))*Assumptions!$B$53</f>
        <v>#REF!</v>
      </c>
      <c r="AN95" s="3" t="e">
        <f>(((AN$66+AN$67)/Lists!$D$7)+(AN$74/6)+(AN$81/2))*Assumptions!$B$53</f>
        <v>#REF!</v>
      </c>
      <c r="AO95" s="3" t="e">
        <f>(((AO$66+AO$67)/Lists!$D$7)+(AO$74/6)+(AO$81/2))*Assumptions!$B$53</f>
        <v>#REF!</v>
      </c>
      <c r="AP95" s="3" t="e">
        <f>(((AP$66+AP$67)/Lists!$D$7)+(AP$74/6)+(AP$81/2))*Assumptions!$B$53</f>
        <v>#REF!</v>
      </c>
      <c r="AQ95" s="3" t="e">
        <f>(((AQ$66+AQ$67)/Lists!$D$7)+(AQ$74/6)+(AQ$81/2))*Assumptions!$B$53</f>
        <v>#REF!</v>
      </c>
      <c r="AR95" s="3" t="e">
        <f>(((AR$66+AR$67)/Lists!$D$7)+(AR$74/6)+(AR$81/2))*Assumptions!$B$53</f>
        <v>#REF!</v>
      </c>
      <c r="AS95" s="37" t="e">
        <f>SUM(AG95:AR95)</f>
        <v>#REF!</v>
      </c>
      <c r="AT95" s="3" t="e">
        <f>(((AT$66+AT$67)/Lists!$D$7)+(AT$74/6)+(AT$81/2))*Assumptions!$B$53</f>
        <v>#REF!</v>
      </c>
      <c r="AU95" s="3" t="e">
        <f>(((AU$66+AU$67)/Lists!$D$7)+(AU$74/6)+(AU$81/2))*Assumptions!$B$53</f>
        <v>#REF!</v>
      </c>
      <c r="AV95" s="3" t="e">
        <f>(((AV$66+AV$67)/Lists!$D$7)+(AV$74/6)+(AV$81/2))*Assumptions!$B$53</f>
        <v>#REF!</v>
      </c>
      <c r="AW95" s="3" t="e">
        <f>(((AW$66+AW$67)/Lists!$D$7)+(AW$74/6)+(AW$81/2))*Assumptions!$B$53</f>
        <v>#REF!</v>
      </c>
      <c r="AX95" s="3" t="e">
        <f>(((AX$66+AX$67)/Lists!$D$7)+(AX$74/6)+(AX$81/2))*Assumptions!$B$53</f>
        <v>#REF!</v>
      </c>
      <c r="AY95" s="3" t="e">
        <f>(((AY$66+AY$67)/Lists!$D$7)+(AY$74/6)+(AY$81/2))*Assumptions!$B$53</f>
        <v>#REF!</v>
      </c>
      <c r="AZ95" s="3" t="e">
        <f>(((AZ$66+AZ$67)/Lists!$D$7)+(AZ$74/6)+(AZ$81/2))*Assumptions!$B$53</f>
        <v>#REF!</v>
      </c>
      <c r="BA95" s="3" t="e">
        <f>(((BA$66+BA$67)/Lists!$D$7)+(BA$74/6)+(BA$81/2))*Assumptions!$B$53</f>
        <v>#REF!</v>
      </c>
      <c r="BB95" s="3" t="e">
        <f>(((BB$66+BB$67)/Lists!$D$7)+(BB$74/6)+(BB$81/2))*Assumptions!$B$53</f>
        <v>#REF!</v>
      </c>
      <c r="BC95" s="3" t="e">
        <f>(((BC$66+BC$67)/Lists!$D$7)+(BC$74/6)+(BC$81/2))*Assumptions!$B$53</f>
        <v>#REF!</v>
      </c>
      <c r="BD95" s="3" t="e">
        <f>(((BD$66+BD$67)/Lists!$D$7)+(BD$74/6)+(BD$81/2))*Assumptions!$B$53</f>
        <v>#REF!</v>
      </c>
      <c r="BE95" s="3" t="e">
        <f>(((BE$66+BE$67)/Lists!$D$7)+(BE$74/6)+(BE$81/2))*Assumptions!$B$53</f>
        <v>#REF!</v>
      </c>
      <c r="BF95" s="37" t="e">
        <f>SUM(AT95:BE95)</f>
        <v>#REF!</v>
      </c>
      <c r="BG95" s="3" t="e">
        <f>(((BG$66+BG$67)/Lists!$D$7)+(BG$74/6)+(BG$81/2))*Assumptions!$B$53</f>
        <v>#REF!</v>
      </c>
      <c r="BH95" s="3" t="e">
        <f>(((BH$66+BH$67)/Lists!$D$7)+(BH$74/6)+(BH$81/2))*Assumptions!$B$53</f>
        <v>#REF!</v>
      </c>
      <c r="BI95" s="3" t="e">
        <f>(((BI$66+BI$67)/Lists!$D$7)+(BI$74/6)+(BI$81/2))*Assumptions!$B$53</f>
        <v>#REF!</v>
      </c>
      <c r="BJ95" s="3" t="e">
        <f>(((BJ$66+BJ$67)/Lists!$D$7)+(BJ$74/6)+(BJ$81/2))*Assumptions!$B$53</f>
        <v>#REF!</v>
      </c>
      <c r="BK95" s="3" t="e">
        <f>(((BK$66+BK$67)/Lists!$D$7)+(BK$74/6)+(BK$81/2))*Assumptions!$B$53</f>
        <v>#REF!</v>
      </c>
      <c r="BL95" s="3" t="e">
        <f>(((BL$66+BL$67)/Lists!$D$7)+(BL$74/6)+(BL$81/2))*Assumptions!$B$53</f>
        <v>#REF!</v>
      </c>
      <c r="BM95" s="3" t="e">
        <f>(((BM$66+BM$67)/Lists!$D$7)+(BM$74/6)+(BM$81/2))*Assumptions!$B$53</f>
        <v>#REF!</v>
      </c>
      <c r="BN95" s="3" t="e">
        <f>(((BN$66+BN$67)/Lists!$D$7)+(BN$74/6)+(BN$81/2))*Assumptions!$B$53</f>
        <v>#REF!</v>
      </c>
      <c r="BO95" s="3" t="e">
        <f>(((BO$66+BO$67)/Lists!$D$7)+(BO$74/6)+(BO$81/2))*Assumptions!$B$53</f>
        <v>#REF!</v>
      </c>
      <c r="BP95" s="3" t="e">
        <f>(((BP$66+BP$67)/Lists!$D$7)+(BP$74/6)+(BP$81/2))*Assumptions!$B$53</f>
        <v>#REF!</v>
      </c>
      <c r="BQ95" s="3" t="e">
        <f>(((BQ$66+BQ$67)/Lists!$D$7)+(BQ$74/6)+(BQ$81/2))*Assumptions!$B$53</f>
        <v>#REF!</v>
      </c>
      <c r="BR95" s="3" t="e">
        <f>(((BR$66+BR$67)/Lists!$D$7)+(BR$74/6)+(BR$81/2))*Assumptions!$B$53</f>
        <v>#REF!</v>
      </c>
      <c r="BS95" s="37" t="e">
        <f>SUM(BG95:BR95)</f>
        <v>#REF!</v>
      </c>
      <c r="BT95" s="37" t="e">
        <f>S95+AF95+AS95+BF95+BS95</f>
        <v>#REF!</v>
      </c>
    </row>
    <row r="96" spans="1:72" ht="15.75" customHeight="1">
      <c r="A96" s="2"/>
      <c r="B96" s="2"/>
      <c r="C96" s="2" t="s">
        <v>237</v>
      </c>
      <c r="D96" s="2"/>
      <c r="E96" s="2"/>
      <c r="F96" s="2"/>
      <c r="G96" s="3">
        <f>G59*Assumptions!$B$54</f>
        <v>93</v>
      </c>
      <c r="H96" s="3" t="e">
        <f>(((H$66+H$67)/Lists!$D$7)+(H$74/6)+(H$81/2))*Assumptions!$B$54</f>
        <v>#REF!</v>
      </c>
      <c r="I96" s="3" t="e">
        <f>(((I$66+I$67)/Lists!$D$7)+(I$74/6)+(I$81/2))*Assumptions!$B$54</f>
        <v>#REF!</v>
      </c>
      <c r="J96" s="64" t="e">
        <f>(((J$66+J$67)/Lists!$D$7)+(J$74/6)+(J$81/2))*Assumptions!$B$54</f>
        <v>#REF!</v>
      </c>
      <c r="K96" s="3" t="e">
        <f>(((K$66+K$67)/Lists!$D$7)+(K$74/6)+(K$81/2))*Assumptions!$B$54</f>
        <v>#REF!</v>
      </c>
      <c r="L96" s="3" t="e">
        <f>(((L$66+L$67)/Lists!$D$7)+(L$74/6)+(L$81/2))*Assumptions!$B$54</f>
        <v>#REF!</v>
      </c>
      <c r="M96" s="3" t="e">
        <f>(((M$66+M$67)/Lists!$D$7)+(M$74/6)+(M$81/2))*Assumptions!$B$54</f>
        <v>#REF!</v>
      </c>
      <c r="N96" s="3" t="e">
        <f>(((N$66+N$67)/Lists!$D$7)+(N$74/6)+(N$81/2))*Assumptions!$B$54</f>
        <v>#REF!</v>
      </c>
      <c r="O96" s="3" t="e">
        <f>(((O$66+O$67)/Lists!$D$7)+(O$74/6)+(O$81/2))*Assumptions!$B$54</f>
        <v>#REF!</v>
      </c>
      <c r="P96" s="3" t="e">
        <f>(((P$66+P$67)/Lists!$D$7)+(P$74/6)+(P$81/2))*Assumptions!$B$54</f>
        <v>#REF!</v>
      </c>
      <c r="Q96" s="3" t="e">
        <f>(((Q$66+Q$67)/Lists!$D$7)+(Q$74/6)+(Q$81/2))*Assumptions!$B$54</f>
        <v>#REF!</v>
      </c>
      <c r="R96" s="3" t="e">
        <f>(((R$66+R$67)/Lists!$D$7)+(R$74/6)+(R$81/2))*Assumptions!$B$54</f>
        <v>#REF!</v>
      </c>
      <c r="S96" s="37" t="e">
        <f>SUM(G96:R96)</f>
        <v>#REF!</v>
      </c>
      <c r="T96" s="3" t="e">
        <f>(((T$66+T$67)/Lists!$D$7)+(T$74/6)+(T$81/2))*Assumptions!$B$54</f>
        <v>#REF!</v>
      </c>
      <c r="U96" s="3" t="e">
        <f>(((U$66+U$67)/Lists!$D$7)+(U$74/6)+(U$81/2))*Assumptions!$B$54</f>
        <v>#REF!</v>
      </c>
      <c r="V96" s="3" t="e">
        <f>(((V$66+V$67)/Lists!$D$7)+(V$74/6)+(V$81/2))*Assumptions!$B$54</f>
        <v>#REF!</v>
      </c>
      <c r="W96" s="3" t="e">
        <f>(((W$66+W$67)/Lists!$D$7)+(W$74/6)+(W$81/2))*Assumptions!$B$54</f>
        <v>#REF!</v>
      </c>
      <c r="X96" s="3" t="e">
        <f>(((X$66+X$67)/Lists!$D$7)+(X$74/6)+(X$81/2))*Assumptions!$B$54</f>
        <v>#REF!</v>
      </c>
      <c r="Y96" s="3" t="e">
        <f>(((Y$66+Y$67)/Lists!$D$7)+(Y$74/6)+(Y$81/2))*Assumptions!$B$54</f>
        <v>#REF!</v>
      </c>
      <c r="Z96" s="3" t="e">
        <f>(((Z$66+Z$67)/Lists!$D$7)+(Z$74/6)+(Z$81/2))*Assumptions!$B$54</f>
        <v>#REF!</v>
      </c>
      <c r="AA96" s="3" t="e">
        <f>(((AA$66+AA$67)/Lists!$D$7)+(AA$74/6)+(AA$81/2))*Assumptions!$B$54</f>
        <v>#REF!</v>
      </c>
      <c r="AB96" s="3" t="e">
        <f>(((AB$66+AB$67)/Lists!$D$7)+(AB$74/6)+(AB$81/2))*Assumptions!$B$54</f>
        <v>#REF!</v>
      </c>
      <c r="AC96" s="3" t="e">
        <f>(((AC$66+AC$67)/Lists!$D$7)+(AC$74/6)+(AC$81/2))*Assumptions!$B$54</f>
        <v>#REF!</v>
      </c>
      <c r="AD96" s="3" t="e">
        <f>(((AD$66+AD$67)/Lists!$D$7)+(AD$74/6)+(AD$81/2))*Assumptions!$B$54</f>
        <v>#REF!</v>
      </c>
      <c r="AE96" s="3" t="e">
        <f>(((AE$66+AE$67)/Lists!$D$7)+(AE$74/6)+(AE$81/2))*Assumptions!$B$54</f>
        <v>#REF!</v>
      </c>
      <c r="AF96" s="37" t="e">
        <f>SUM(T96:AE96)</f>
        <v>#REF!</v>
      </c>
      <c r="AG96" s="3" t="e">
        <f>(((AG$66+AG$67)/Lists!$D$7)+(AG$74/6)+(AG$81/2))*Assumptions!$B$54</f>
        <v>#REF!</v>
      </c>
      <c r="AH96" s="3" t="e">
        <f>(((AH$66+AH$67)/Lists!$D$7)+(AH$74/6)+(AH$81/2))*Assumptions!$B$54</f>
        <v>#REF!</v>
      </c>
      <c r="AI96" s="3" t="e">
        <f>(((AI$66+AI$67)/Lists!$D$7)+(AI$74/6)+(AI$81/2))*Assumptions!$B$54</f>
        <v>#REF!</v>
      </c>
      <c r="AJ96" s="3" t="e">
        <f>(((AJ$66+AJ$67)/Lists!$D$7)+(AJ$74/6)+(AJ$81/2))*Assumptions!$B$54</f>
        <v>#REF!</v>
      </c>
      <c r="AK96" s="3" t="e">
        <f>(((AK$66+AK$67)/Lists!$D$7)+(AK$74/6)+(AK$81/2))*Assumptions!$B$54</f>
        <v>#REF!</v>
      </c>
      <c r="AL96" s="3" t="e">
        <f>(((AL$66+AL$67)/Lists!$D$7)+(AL$74/6)+(AL$81/2))*Assumptions!$B$54</f>
        <v>#REF!</v>
      </c>
      <c r="AM96" s="3" t="e">
        <f>(((AM$66+AM$67)/Lists!$D$7)+(AM$74/6)+(AM$81/2))*Assumptions!$B$54</f>
        <v>#REF!</v>
      </c>
      <c r="AN96" s="3" t="e">
        <f>(((AN$66+AN$67)/Lists!$D$7)+(AN$74/6)+(AN$81/2))*Assumptions!$B$54</f>
        <v>#REF!</v>
      </c>
      <c r="AO96" s="3" t="e">
        <f>(((AO$66+AO$67)/Lists!$D$7)+(AO$74/6)+(AO$81/2))*Assumptions!$B$54</f>
        <v>#REF!</v>
      </c>
      <c r="AP96" s="3" t="e">
        <f>(((AP$66+AP$67)/Lists!$D$7)+(AP$74/6)+(AP$81/2))*Assumptions!$B$54</f>
        <v>#REF!</v>
      </c>
      <c r="AQ96" s="3" t="e">
        <f>(((AQ$66+AQ$67)/Lists!$D$7)+(AQ$74/6)+(AQ$81/2))*Assumptions!$B$54</f>
        <v>#REF!</v>
      </c>
      <c r="AR96" s="3" t="e">
        <f>(((AR$66+AR$67)/Lists!$D$7)+(AR$74/6)+(AR$81/2))*Assumptions!$B$54</f>
        <v>#REF!</v>
      </c>
      <c r="AS96" s="37" t="e">
        <f>SUM(AG96:AR96)</f>
        <v>#REF!</v>
      </c>
      <c r="AT96" s="3" t="e">
        <f>(((AT$66+AT$67)/Lists!$D$7)+(AT$74/6)+(AT$81/2))*Assumptions!$B$54</f>
        <v>#REF!</v>
      </c>
      <c r="AU96" s="3" t="e">
        <f>(((AU$66+AU$67)/Lists!$D$7)+(AU$74/6)+(AU$81/2))*Assumptions!$B$54</f>
        <v>#REF!</v>
      </c>
      <c r="AV96" s="3" t="e">
        <f>(((AV$66+AV$67)/Lists!$D$7)+(AV$74/6)+(AV$81/2))*Assumptions!$B$54</f>
        <v>#REF!</v>
      </c>
      <c r="AW96" s="3" t="e">
        <f>(((AW$66+AW$67)/Lists!$D$7)+(AW$74/6)+(AW$81/2))*Assumptions!$B$54</f>
        <v>#REF!</v>
      </c>
      <c r="AX96" s="3" t="e">
        <f>(((AX$66+AX$67)/Lists!$D$7)+(AX$74/6)+(AX$81/2))*Assumptions!$B$54</f>
        <v>#REF!</v>
      </c>
      <c r="AY96" s="3" t="e">
        <f>(((AY$66+AY$67)/Lists!$D$7)+(AY$74/6)+(AY$81/2))*Assumptions!$B$54</f>
        <v>#REF!</v>
      </c>
      <c r="AZ96" s="3" t="e">
        <f>(((AZ$66+AZ$67)/Lists!$D$7)+(AZ$74/6)+(AZ$81/2))*Assumptions!$B$54</f>
        <v>#REF!</v>
      </c>
      <c r="BA96" s="3" t="e">
        <f>(((BA$66+BA$67)/Lists!$D$7)+(BA$74/6)+(BA$81/2))*Assumptions!$B$54</f>
        <v>#REF!</v>
      </c>
      <c r="BB96" s="3" t="e">
        <f>(((BB$66+BB$67)/Lists!$D$7)+(BB$74/6)+(BB$81/2))*Assumptions!$B$54</f>
        <v>#REF!</v>
      </c>
      <c r="BC96" s="3" t="e">
        <f>(((BC$66+BC$67)/Lists!$D$7)+(BC$74/6)+(BC$81/2))*Assumptions!$B$54</f>
        <v>#REF!</v>
      </c>
      <c r="BD96" s="3" t="e">
        <f>(((BD$66+BD$67)/Lists!$D$7)+(BD$74/6)+(BD$81/2))*Assumptions!$B$54</f>
        <v>#REF!</v>
      </c>
      <c r="BE96" s="3" t="e">
        <f>(((BE$66+BE$67)/Lists!$D$7)+(BE$74/6)+(BE$81/2))*Assumptions!$B$54</f>
        <v>#REF!</v>
      </c>
      <c r="BF96" s="37" t="e">
        <f>SUM(AT96:BE96)</f>
        <v>#REF!</v>
      </c>
      <c r="BG96" s="3" t="e">
        <f>(((BG$66+BG$67)/Lists!$D$7)+(BG$74/6)+(BG$81/2))*Assumptions!$B$54</f>
        <v>#REF!</v>
      </c>
      <c r="BH96" s="3" t="e">
        <f>(((BH$66+BH$67)/Lists!$D$7)+(BH$74/6)+(BH$81/2))*Assumptions!$B$54</f>
        <v>#REF!</v>
      </c>
      <c r="BI96" s="3" t="e">
        <f>(((BI$66+BI$67)/Lists!$D$7)+(BI$74/6)+(BI$81/2))*Assumptions!$B$54</f>
        <v>#REF!</v>
      </c>
      <c r="BJ96" s="3" t="e">
        <f>(((BJ$66+BJ$67)/Lists!$D$7)+(BJ$74/6)+(BJ$81/2))*Assumptions!$B$54</f>
        <v>#REF!</v>
      </c>
      <c r="BK96" s="3" t="e">
        <f>(((BK$66+BK$67)/Lists!$D$7)+(BK$74/6)+(BK$81/2))*Assumptions!$B$54</f>
        <v>#REF!</v>
      </c>
      <c r="BL96" s="3" t="e">
        <f>(((BL$66+BL$67)/Lists!$D$7)+(BL$74/6)+(BL$81/2))*Assumptions!$B$54</f>
        <v>#REF!</v>
      </c>
      <c r="BM96" s="3" t="e">
        <f>(((BM$66+BM$67)/Lists!$D$7)+(BM$74/6)+(BM$81/2))*Assumptions!$B$54</f>
        <v>#REF!</v>
      </c>
      <c r="BN96" s="3" t="e">
        <f>(((BN$66+BN$67)/Lists!$D$7)+(BN$74/6)+(BN$81/2))*Assumptions!$B$54</f>
        <v>#REF!</v>
      </c>
      <c r="BO96" s="3" t="e">
        <f>(((BO$66+BO$67)/Lists!$D$7)+(BO$74/6)+(BO$81/2))*Assumptions!$B$54</f>
        <v>#REF!</v>
      </c>
      <c r="BP96" s="3" t="e">
        <f>(((BP$66+BP$67)/Lists!$D$7)+(BP$74/6)+(BP$81/2))*Assumptions!$B$54</f>
        <v>#REF!</v>
      </c>
      <c r="BQ96" s="3" t="e">
        <f>(((BQ$66+BQ$67)/Lists!$D$7)+(BQ$74/6)+(BQ$81/2))*Assumptions!$B$54</f>
        <v>#REF!</v>
      </c>
      <c r="BR96" s="3" t="e">
        <f>(((BR$66+BR$67)/Lists!$D$7)+(BR$74/6)+(BR$81/2))*Assumptions!$B$54</f>
        <v>#REF!</v>
      </c>
      <c r="BS96" s="37" t="e">
        <f>SUM(BG96:BR96)</f>
        <v>#REF!</v>
      </c>
      <c r="BT96" s="37" t="e">
        <f>S96+AF96+AS96+BF96+BS96</f>
        <v>#REF!</v>
      </c>
    </row>
    <row r="97" spans="1:72" ht="15.75" customHeight="1">
      <c r="A97" s="1"/>
      <c r="B97" s="1" t="s">
        <v>238</v>
      </c>
      <c r="C97" s="1"/>
      <c r="D97" s="2"/>
      <c r="E97" s="2"/>
      <c r="F97" s="2"/>
      <c r="G97" s="18">
        <f t="shared" ref="G97:BS97" si="53">SUM(G95:G96)</f>
        <v>268</v>
      </c>
      <c r="H97" s="18" t="e">
        <f t="shared" si="53"/>
        <v>#REF!</v>
      </c>
      <c r="I97" s="18" t="e">
        <f t="shared" si="53"/>
        <v>#REF!</v>
      </c>
      <c r="J97" s="89" t="e">
        <f t="shared" si="53"/>
        <v>#REF!</v>
      </c>
      <c r="K97" s="18" t="e">
        <f t="shared" si="53"/>
        <v>#REF!</v>
      </c>
      <c r="L97" s="18" t="e">
        <f t="shared" si="53"/>
        <v>#REF!</v>
      </c>
      <c r="M97" s="18" t="e">
        <f t="shared" si="53"/>
        <v>#REF!</v>
      </c>
      <c r="N97" s="18" t="e">
        <f t="shared" si="53"/>
        <v>#REF!</v>
      </c>
      <c r="O97" s="18" t="e">
        <f t="shared" si="53"/>
        <v>#REF!</v>
      </c>
      <c r="P97" s="18" t="e">
        <f t="shared" si="53"/>
        <v>#REF!</v>
      </c>
      <c r="Q97" s="18" t="e">
        <f t="shared" si="53"/>
        <v>#REF!</v>
      </c>
      <c r="R97" s="18" t="e">
        <f t="shared" si="53"/>
        <v>#REF!</v>
      </c>
      <c r="S97" s="41" t="e">
        <f t="shared" si="53"/>
        <v>#REF!</v>
      </c>
      <c r="T97" s="18" t="e">
        <f t="shared" si="53"/>
        <v>#REF!</v>
      </c>
      <c r="U97" s="18" t="e">
        <f t="shared" si="53"/>
        <v>#REF!</v>
      </c>
      <c r="V97" s="18" t="e">
        <f t="shared" si="53"/>
        <v>#REF!</v>
      </c>
      <c r="W97" s="18" t="e">
        <f t="shared" si="53"/>
        <v>#REF!</v>
      </c>
      <c r="X97" s="18" t="e">
        <f t="shared" si="53"/>
        <v>#REF!</v>
      </c>
      <c r="Y97" s="18" t="e">
        <f t="shared" si="53"/>
        <v>#REF!</v>
      </c>
      <c r="Z97" s="18" t="e">
        <f t="shared" si="53"/>
        <v>#REF!</v>
      </c>
      <c r="AA97" s="18" t="e">
        <f t="shared" si="53"/>
        <v>#REF!</v>
      </c>
      <c r="AB97" s="18" t="e">
        <f t="shared" si="53"/>
        <v>#REF!</v>
      </c>
      <c r="AC97" s="18" t="e">
        <f t="shared" si="53"/>
        <v>#REF!</v>
      </c>
      <c r="AD97" s="18" t="e">
        <f t="shared" si="53"/>
        <v>#REF!</v>
      </c>
      <c r="AE97" s="18" t="e">
        <f t="shared" si="53"/>
        <v>#REF!</v>
      </c>
      <c r="AF97" s="41" t="e">
        <f t="shared" si="53"/>
        <v>#REF!</v>
      </c>
      <c r="AG97" s="18" t="e">
        <f t="shared" si="53"/>
        <v>#REF!</v>
      </c>
      <c r="AH97" s="18" t="e">
        <f t="shared" si="53"/>
        <v>#REF!</v>
      </c>
      <c r="AI97" s="18" t="e">
        <f t="shared" si="53"/>
        <v>#REF!</v>
      </c>
      <c r="AJ97" s="18" t="e">
        <f t="shared" si="53"/>
        <v>#REF!</v>
      </c>
      <c r="AK97" s="18" t="e">
        <f t="shared" si="53"/>
        <v>#REF!</v>
      </c>
      <c r="AL97" s="18" t="e">
        <f t="shared" si="53"/>
        <v>#REF!</v>
      </c>
      <c r="AM97" s="18" t="e">
        <f t="shared" si="53"/>
        <v>#REF!</v>
      </c>
      <c r="AN97" s="18" t="e">
        <f t="shared" si="53"/>
        <v>#REF!</v>
      </c>
      <c r="AO97" s="18" t="e">
        <f t="shared" si="53"/>
        <v>#REF!</v>
      </c>
      <c r="AP97" s="18" t="e">
        <f t="shared" si="53"/>
        <v>#REF!</v>
      </c>
      <c r="AQ97" s="18" t="e">
        <f t="shared" si="53"/>
        <v>#REF!</v>
      </c>
      <c r="AR97" s="18" t="e">
        <f t="shared" si="53"/>
        <v>#REF!</v>
      </c>
      <c r="AS97" s="41" t="e">
        <f t="shared" si="53"/>
        <v>#REF!</v>
      </c>
      <c r="AT97" s="18" t="e">
        <f t="shared" si="53"/>
        <v>#REF!</v>
      </c>
      <c r="AU97" s="18" t="e">
        <f t="shared" si="53"/>
        <v>#REF!</v>
      </c>
      <c r="AV97" s="18" t="e">
        <f t="shared" si="53"/>
        <v>#REF!</v>
      </c>
      <c r="AW97" s="18" t="e">
        <f t="shared" si="53"/>
        <v>#REF!</v>
      </c>
      <c r="AX97" s="18" t="e">
        <f t="shared" si="53"/>
        <v>#REF!</v>
      </c>
      <c r="AY97" s="18" t="e">
        <f t="shared" si="53"/>
        <v>#REF!</v>
      </c>
      <c r="AZ97" s="18" t="e">
        <f t="shared" si="53"/>
        <v>#REF!</v>
      </c>
      <c r="BA97" s="18" t="e">
        <f t="shared" si="53"/>
        <v>#REF!</v>
      </c>
      <c r="BB97" s="18" t="e">
        <f t="shared" si="53"/>
        <v>#REF!</v>
      </c>
      <c r="BC97" s="18" t="e">
        <f t="shared" si="53"/>
        <v>#REF!</v>
      </c>
      <c r="BD97" s="18" t="e">
        <f t="shared" si="53"/>
        <v>#REF!</v>
      </c>
      <c r="BE97" s="18" t="e">
        <f t="shared" si="53"/>
        <v>#REF!</v>
      </c>
      <c r="BF97" s="41" t="e">
        <f t="shared" si="53"/>
        <v>#REF!</v>
      </c>
      <c r="BG97" s="18" t="e">
        <f t="shared" si="53"/>
        <v>#REF!</v>
      </c>
      <c r="BH97" s="18" t="e">
        <f t="shared" si="53"/>
        <v>#REF!</v>
      </c>
      <c r="BI97" s="18" t="e">
        <f t="shared" si="53"/>
        <v>#REF!</v>
      </c>
      <c r="BJ97" s="18" t="e">
        <f t="shared" si="53"/>
        <v>#REF!</v>
      </c>
      <c r="BK97" s="18" t="e">
        <f t="shared" si="53"/>
        <v>#REF!</v>
      </c>
      <c r="BL97" s="18" t="e">
        <f t="shared" si="53"/>
        <v>#REF!</v>
      </c>
      <c r="BM97" s="18" t="e">
        <f t="shared" si="53"/>
        <v>#REF!</v>
      </c>
      <c r="BN97" s="18" t="e">
        <f t="shared" si="53"/>
        <v>#REF!</v>
      </c>
      <c r="BO97" s="18" t="e">
        <f t="shared" si="53"/>
        <v>#REF!</v>
      </c>
      <c r="BP97" s="18" t="e">
        <f t="shared" si="53"/>
        <v>#REF!</v>
      </c>
      <c r="BQ97" s="18" t="e">
        <f t="shared" si="53"/>
        <v>#REF!</v>
      </c>
      <c r="BR97" s="18" t="e">
        <f t="shared" si="53"/>
        <v>#REF!</v>
      </c>
      <c r="BS97" s="41" t="e">
        <f t="shared" si="53"/>
        <v>#REF!</v>
      </c>
      <c r="BT97" s="37" t="e">
        <f>S97+AF97+AS97+BF97+BS97</f>
        <v>#REF!</v>
      </c>
    </row>
    <row r="98" spans="1:72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1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1"/>
    </row>
    <row r="99" spans="1:72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1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1"/>
    </row>
    <row r="100" spans="1:72" ht="15.75" customHeight="1">
      <c r="A100" s="1" t="s">
        <v>239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1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1"/>
    </row>
    <row r="101" spans="1:72" ht="15.75" customHeight="1">
      <c r="A101" s="2"/>
      <c r="B101" s="2"/>
      <c r="C101" s="2"/>
      <c r="D101" s="2"/>
      <c r="E101" s="2"/>
      <c r="F101" s="2"/>
      <c r="G101" s="77" t="e">
        <f>(G55+(G68*(Lists!$D$7))+(G$74/6)+(G$81/2))</f>
        <v>#REF!</v>
      </c>
      <c r="H101" s="77" t="e">
        <f>(H55+(H68/(Lists!$D$7/12))+(H$74/6)+(H$81/2))</f>
        <v>#REF!</v>
      </c>
      <c r="I101" s="77" t="e">
        <f>(I55+(I68/(Lists!$D$7/12))+(I$74/6)+(I$81/2))</f>
        <v>#REF!</v>
      </c>
      <c r="J101" s="77" t="e">
        <f>(J55+(J68/(Lists!$D$7/12))+(J$74/6)+(J$81/2))</f>
        <v>#REF!</v>
      </c>
      <c r="K101" s="77" t="e">
        <f>(K55+(K68/(Lists!$D$7/12))+(K$74/6)+(K$81/2))</f>
        <v>#REF!</v>
      </c>
      <c r="L101" s="77" t="e">
        <f>(L55+(L68/(Lists!$D$7/12))+(L$74/6)+(L$81/2))</f>
        <v>#REF!</v>
      </c>
      <c r="M101" s="77" t="e">
        <f>(M55+(M68/(Lists!$D$7/12))+(M$74/6)+(M$81/2))</f>
        <v>#REF!</v>
      </c>
      <c r="N101" s="77" t="e">
        <f>(N55+(N68/(Lists!$D$7/12))+(N$74/6)+(N$81/2))</f>
        <v>#REF!</v>
      </c>
      <c r="O101" s="77" t="e">
        <f>(O55+(O68/(Lists!$D$7/12))+(O$74/6)+(O$81/2))</f>
        <v>#REF!</v>
      </c>
      <c r="P101" s="77" t="e">
        <f>(P55+(P68/(Lists!$D$7/12))+(P$74/6)+(P$81/2))</f>
        <v>#REF!</v>
      </c>
      <c r="Q101" s="77" t="e">
        <f>(Q55+(Q68/(Lists!$D$7/12))+(Q$74/6)+(Q$81/2))</f>
        <v>#REF!</v>
      </c>
      <c r="R101" s="77" t="e">
        <f>(R55+(R68/(Lists!$D$7/12))+(R$74/6)+(R$81/2))</f>
        <v>#REF!</v>
      </c>
      <c r="S101" s="37" t="e">
        <f>SUM(G101:R101)</f>
        <v>#REF!</v>
      </c>
      <c r="T101" s="77" t="e">
        <f>(T55+(T68/(Lists!$D$7/12))+(T$74/6)+(T$81/2))</f>
        <v>#REF!</v>
      </c>
      <c r="U101" s="77" t="e">
        <f>(U55+(U68/(Lists!$D$7/12))+(U$74/6)+(U$81/2))</f>
        <v>#REF!</v>
      </c>
      <c r="V101" s="77" t="e">
        <f>(V55+(V68/(Lists!$D$7/12))+(V$74/6)+(V$81/2))</f>
        <v>#REF!</v>
      </c>
      <c r="W101" s="77" t="e">
        <f>(W55+(W68/(Lists!$D$7/12))+(W$74/6)+(W$81/2))</f>
        <v>#REF!</v>
      </c>
      <c r="X101" s="77" t="e">
        <f>(X55+(X68/(Lists!$D$7/12))+(X$74/6)+(X$81/2))</f>
        <v>#REF!</v>
      </c>
      <c r="Y101" s="77" t="e">
        <f>(Y55+(Y68/(Lists!$D$7/12))+(Y$74/6)+(Y$81/2))</f>
        <v>#REF!</v>
      </c>
      <c r="Z101" s="77" t="e">
        <f>(Z55+(Z68/(Lists!$D$7/12))+(Z$74/6)+(Z$81/2))</f>
        <v>#REF!</v>
      </c>
      <c r="AA101" s="77" t="e">
        <f>(AA55+(AA68/(Lists!$D$7/12))+(AA$74/6)+(AA$81/2))</f>
        <v>#REF!</v>
      </c>
      <c r="AB101" s="77" t="e">
        <f>(AB55+(AB68/(Lists!$D$7/12))+(AB$74/6)+(AB$81/2))</f>
        <v>#REF!</v>
      </c>
      <c r="AC101" s="77" t="e">
        <f>(AC55+(AC68/(Lists!$D$7/12))+(AC$74/6)+(AC$81/2))</f>
        <v>#REF!</v>
      </c>
      <c r="AD101" s="77" t="e">
        <f>(AD55+(AD68/(Lists!$D$7/12))+(AD$74/6)+(AD$81/2))</f>
        <v>#REF!</v>
      </c>
      <c r="AE101" s="77" t="e">
        <f>(AE55+(AE68/(Lists!$D$7/12))+(AE$74/6)+(AE$81/2))</f>
        <v>#REF!</v>
      </c>
      <c r="AF101" s="37" t="e">
        <f>SUM(T101:AE101)</f>
        <v>#REF!</v>
      </c>
      <c r="AG101" s="3" t="e">
        <f>(AG55+(AG68/(Lists!$D$7/12))+(AG$74/6)+(AG$81/2))</f>
        <v>#REF!</v>
      </c>
      <c r="AH101" s="3" t="e">
        <f>(AH55+(AH68/(Lists!$D$7/12))+(AH$74/6)+(AH$81/2))</f>
        <v>#REF!</v>
      </c>
      <c r="AI101" s="3" t="e">
        <f>(AI55+(AI68/(Lists!$D$7/12))+(AI$74/6)+(AI$81/2))</f>
        <v>#REF!</v>
      </c>
      <c r="AJ101" s="3" t="e">
        <f>(AJ55+(AJ68/(Lists!$D$7/12))+(AJ$74/6)+(AJ$81/2))</f>
        <v>#REF!</v>
      </c>
      <c r="AK101" s="3" t="e">
        <f>(AK55+(AK68/(Lists!$D$7/12))+(AK$74/6)+(AK$81/2))</f>
        <v>#REF!</v>
      </c>
      <c r="AL101" s="3" t="e">
        <f>(AL55+(AL68/(Lists!$D$7/12))+(AL$74/6)+(AL$81/2))</f>
        <v>#REF!</v>
      </c>
      <c r="AM101" s="3" t="e">
        <f>(AM55+(AM68/(Lists!$D$7/12))+(AM$74/6)+(AM$81/2))</f>
        <v>#REF!</v>
      </c>
      <c r="AN101" s="3" t="e">
        <f>(AN55+(AN68/(Lists!$D$7/12))+(AN$74/6)+(AN$81/2))</f>
        <v>#REF!</v>
      </c>
      <c r="AO101" s="3" t="e">
        <f>(AO55+(AO68/(Lists!$D$7/12))+(AO$74/6)+(AO$81/2))</f>
        <v>#REF!</v>
      </c>
      <c r="AP101" s="3" t="e">
        <f>(AP55+(AP68/(Lists!$D$7/12))+(AP$74/6)+(AP$81/2))</f>
        <v>#REF!</v>
      </c>
      <c r="AQ101" s="3" t="e">
        <f>(AQ55+(AQ68/(Lists!$D$7/12))+(AQ$74/6)+(AQ$81/2))</f>
        <v>#REF!</v>
      </c>
      <c r="AR101" s="3" t="e">
        <f>(AR55+(AR68/(Lists!$D$7/12))+(AR$74/6)+(AR$81/2))</f>
        <v>#REF!</v>
      </c>
      <c r="AS101" s="37" t="e">
        <f>SUM(AG101:AR101)</f>
        <v>#REF!</v>
      </c>
      <c r="AT101" s="3" t="e">
        <f>(AT55+(AT68/(Lists!$D$7/12))+(AT$74/6)+(AT$81/2))</f>
        <v>#REF!</v>
      </c>
      <c r="AU101" s="3" t="e">
        <f>(AU55+(AU68/(Lists!$D$7/12))+(AU$74/6)+(AU$81/2))</f>
        <v>#REF!</v>
      </c>
      <c r="AV101" s="3" t="e">
        <f>(AV55+(AV68/(Lists!$D$7/12))+(AV$74/6)+(AV$81/2))</f>
        <v>#REF!</v>
      </c>
      <c r="AW101" s="3" t="e">
        <f>(AW55+(AW68/(Lists!$D$7/12))+(AW$74/6)+(AW$81/2))</f>
        <v>#REF!</v>
      </c>
      <c r="AX101" s="3" t="e">
        <f>(AX55+(AX68/(Lists!$D$7/12))+(AX$74/6)+(AX$81/2))</f>
        <v>#REF!</v>
      </c>
      <c r="AY101" s="3" t="e">
        <f>(AY55+(AY68/(Lists!$D$7/12))+(AY$74/6)+(AY$81/2))</f>
        <v>#REF!</v>
      </c>
      <c r="AZ101" s="3" t="e">
        <f>(AZ55+(AZ68/(Lists!$D$7/12))+(AZ$74/6)+(AZ$81/2))</f>
        <v>#REF!</v>
      </c>
      <c r="BA101" s="3" t="e">
        <f>(BA55+(BA68/(Lists!$D$7/12))+(BA$74/6)+(BA$81/2))</f>
        <v>#REF!</v>
      </c>
      <c r="BB101" s="3" t="e">
        <f>(BB55+(BB68/(Lists!$D$7/12))+(BB$74/6)+(BB$81/2))</f>
        <v>#REF!</v>
      </c>
      <c r="BC101" s="3" t="e">
        <f>(BC55+(BC68/(Lists!$D$7/12))+(BC$74/6)+(BC$81/2))</f>
        <v>#REF!</v>
      </c>
      <c r="BD101" s="3" t="e">
        <f>(BD55+(BD68/(Lists!$D$7/12))+(BD$74/6)+(BD$81/2))</f>
        <v>#REF!</v>
      </c>
      <c r="BE101" s="3" t="e">
        <f>(BE55+(BE68/(Lists!$D$7/12))+(BE$74/6)+(BE$81/2))</f>
        <v>#REF!</v>
      </c>
      <c r="BF101" s="37" t="e">
        <f>SUM(AT101:BE101)</f>
        <v>#REF!</v>
      </c>
      <c r="BG101" s="3" t="e">
        <f>(BG55+(BG68/(Lists!$D$7/12))+(BG$74/6)+(BG$81/2))</f>
        <v>#REF!</v>
      </c>
      <c r="BH101" s="3" t="e">
        <f>(BH55+(BH68/(Lists!$D$7/12))+(BH$74/6)+(BH$81/2))</f>
        <v>#REF!</v>
      </c>
      <c r="BI101" s="3" t="e">
        <f>(BI55+(BI68/(Lists!$D$7/12))+(BI$74/6)+(BI$81/2))</f>
        <v>#REF!</v>
      </c>
      <c r="BJ101" s="3" t="e">
        <f>(BJ55+(BJ68/(Lists!$D$7/12))+(BJ$74/6)+(BJ$81/2))</f>
        <v>#REF!</v>
      </c>
      <c r="BK101" s="3" t="e">
        <f>(BK55+(BK68/(Lists!$D$7/12))+(BK$74/6)+(BK$81/2))</f>
        <v>#REF!</v>
      </c>
      <c r="BL101" s="3" t="e">
        <f>(BL55+(BL68/(Lists!$D$7/12))+(BL$74/6)+(BL$81/2))</f>
        <v>#REF!</v>
      </c>
      <c r="BM101" s="3" t="e">
        <f>(BM55+(BM68/(Lists!$D$7/12))+(BM$74/6)+(BM$81/2))</f>
        <v>#REF!</v>
      </c>
      <c r="BN101" s="3" t="e">
        <f>(BN55+(BN68/(Lists!$D$7/12))+(BN$74/6)+(BN$81/2))</f>
        <v>#REF!</v>
      </c>
      <c r="BO101" s="3" t="e">
        <f>(BO55+(BO68/(Lists!$D$7/12))+(BO$74/6)+(BO$81/2))</f>
        <v>#REF!</v>
      </c>
      <c r="BP101" s="3" t="e">
        <f>(BP55+(BP68/(Lists!$D$7/12))+(BP$74/6)+(BP$81/2))</f>
        <v>#REF!</v>
      </c>
      <c r="BQ101" s="3" t="e">
        <f>(BQ55+(BQ68/(Lists!$D$7/12))+(BQ$74/6)+(BQ$81/2))</f>
        <v>#REF!</v>
      </c>
      <c r="BR101" s="3" t="e">
        <f>(BR55+(BR68/(Lists!$D$7/12))+(BR$74/6)+(BR$81/2))</f>
        <v>#REF!</v>
      </c>
      <c r="BS101" s="37" t="e">
        <f>SUM(BG101:BR101)</f>
        <v>#REF!</v>
      </c>
      <c r="BT101" s="37" t="e">
        <f>S101+AF101+AS101+BF101+BS101</f>
        <v>#REF!</v>
      </c>
    </row>
    <row r="102" spans="1:72" ht="15.75" customHeight="1">
      <c r="A102" s="2"/>
      <c r="B102" s="2"/>
      <c r="C102" s="2"/>
      <c r="D102" s="2" t="s">
        <v>240</v>
      </c>
      <c r="E102" s="2"/>
      <c r="F102" s="2"/>
      <c r="G102" s="90" t="e">
        <f t="shared" ref="G102:BS102" si="54">SUM(G101)</f>
        <v>#REF!</v>
      </c>
      <c r="H102" s="90" t="e">
        <f t="shared" si="54"/>
        <v>#REF!</v>
      </c>
      <c r="I102" s="90" t="e">
        <f t="shared" si="54"/>
        <v>#REF!</v>
      </c>
      <c r="J102" s="90" t="e">
        <f t="shared" si="54"/>
        <v>#REF!</v>
      </c>
      <c r="K102" s="90" t="e">
        <f t="shared" si="54"/>
        <v>#REF!</v>
      </c>
      <c r="L102" s="90" t="e">
        <f t="shared" si="54"/>
        <v>#REF!</v>
      </c>
      <c r="M102" s="90" t="e">
        <f t="shared" si="54"/>
        <v>#REF!</v>
      </c>
      <c r="N102" s="90" t="e">
        <f t="shared" si="54"/>
        <v>#REF!</v>
      </c>
      <c r="O102" s="90" t="e">
        <f t="shared" si="54"/>
        <v>#REF!</v>
      </c>
      <c r="P102" s="90" t="e">
        <f t="shared" si="54"/>
        <v>#REF!</v>
      </c>
      <c r="Q102" s="90" t="e">
        <f t="shared" si="54"/>
        <v>#REF!</v>
      </c>
      <c r="R102" s="90" t="e">
        <f t="shared" si="54"/>
        <v>#REF!</v>
      </c>
      <c r="S102" s="41" t="e">
        <f t="shared" si="54"/>
        <v>#REF!</v>
      </c>
      <c r="T102" s="90" t="e">
        <f t="shared" si="54"/>
        <v>#REF!</v>
      </c>
      <c r="U102" s="90" t="e">
        <f t="shared" si="54"/>
        <v>#REF!</v>
      </c>
      <c r="V102" s="90" t="e">
        <f t="shared" si="54"/>
        <v>#REF!</v>
      </c>
      <c r="W102" s="90" t="e">
        <f t="shared" si="54"/>
        <v>#REF!</v>
      </c>
      <c r="X102" s="90" t="e">
        <f t="shared" si="54"/>
        <v>#REF!</v>
      </c>
      <c r="Y102" s="90" t="e">
        <f t="shared" si="54"/>
        <v>#REF!</v>
      </c>
      <c r="Z102" s="90" t="e">
        <f t="shared" si="54"/>
        <v>#REF!</v>
      </c>
      <c r="AA102" s="90" t="e">
        <f t="shared" si="54"/>
        <v>#REF!</v>
      </c>
      <c r="AB102" s="90" t="e">
        <f t="shared" si="54"/>
        <v>#REF!</v>
      </c>
      <c r="AC102" s="90" t="e">
        <f t="shared" si="54"/>
        <v>#REF!</v>
      </c>
      <c r="AD102" s="90" t="e">
        <f t="shared" si="54"/>
        <v>#REF!</v>
      </c>
      <c r="AE102" s="90" t="e">
        <f t="shared" si="54"/>
        <v>#REF!</v>
      </c>
      <c r="AF102" s="41" t="e">
        <f t="shared" si="54"/>
        <v>#REF!</v>
      </c>
      <c r="AG102" s="18" t="e">
        <f t="shared" si="54"/>
        <v>#REF!</v>
      </c>
      <c r="AH102" s="18" t="e">
        <f t="shared" si="54"/>
        <v>#REF!</v>
      </c>
      <c r="AI102" s="18" t="e">
        <f t="shared" si="54"/>
        <v>#REF!</v>
      </c>
      <c r="AJ102" s="18" t="e">
        <f t="shared" si="54"/>
        <v>#REF!</v>
      </c>
      <c r="AK102" s="18" t="e">
        <f t="shared" si="54"/>
        <v>#REF!</v>
      </c>
      <c r="AL102" s="18" t="e">
        <f t="shared" si="54"/>
        <v>#REF!</v>
      </c>
      <c r="AM102" s="18" t="e">
        <f t="shared" si="54"/>
        <v>#REF!</v>
      </c>
      <c r="AN102" s="18" t="e">
        <f t="shared" si="54"/>
        <v>#REF!</v>
      </c>
      <c r="AO102" s="18" t="e">
        <f t="shared" si="54"/>
        <v>#REF!</v>
      </c>
      <c r="AP102" s="18" t="e">
        <f t="shared" si="54"/>
        <v>#REF!</v>
      </c>
      <c r="AQ102" s="18" t="e">
        <f t="shared" si="54"/>
        <v>#REF!</v>
      </c>
      <c r="AR102" s="18" t="e">
        <f t="shared" si="54"/>
        <v>#REF!</v>
      </c>
      <c r="AS102" s="41" t="e">
        <f t="shared" si="54"/>
        <v>#REF!</v>
      </c>
      <c r="AT102" s="18" t="e">
        <f t="shared" si="54"/>
        <v>#REF!</v>
      </c>
      <c r="AU102" s="18" t="e">
        <f t="shared" si="54"/>
        <v>#REF!</v>
      </c>
      <c r="AV102" s="18" t="e">
        <f t="shared" si="54"/>
        <v>#REF!</v>
      </c>
      <c r="AW102" s="18" t="e">
        <f t="shared" si="54"/>
        <v>#REF!</v>
      </c>
      <c r="AX102" s="18" t="e">
        <f t="shared" si="54"/>
        <v>#REF!</v>
      </c>
      <c r="AY102" s="18" t="e">
        <f t="shared" si="54"/>
        <v>#REF!</v>
      </c>
      <c r="AZ102" s="18" t="e">
        <f t="shared" si="54"/>
        <v>#REF!</v>
      </c>
      <c r="BA102" s="18" t="e">
        <f t="shared" si="54"/>
        <v>#REF!</v>
      </c>
      <c r="BB102" s="18" t="e">
        <f t="shared" si="54"/>
        <v>#REF!</v>
      </c>
      <c r="BC102" s="18" t="e">
        <f t="shared" si="54"/>
        <v>#REF!</v>
      </c>
      <c r="BD102" s="18" t="e">
        <f t="shared" si="54"/>
        <v>#REF!</v>
      </c>
      <c r="BE102" s="18" t="e">
        <f t="shared" si="54"/>
        <v>#REF!</v>
      </c>
      <c r="BF102" s="41" t="e">
        <f t="shared" si="54"/>
        <v>#REF!</v>
      </c>
      <c r="BG102" s="18" t="e">
        <f t="shared" si="54"/>
        <v>#REF!</v>
      </c>
      <c r="BH102" s="18" t="e">
        <f t="shared" si="54"/>
        <v>#REF!</v>
      </c>
      <c r="BI102" s="18" t="e">
        <f t="shared" si="54"/>
        <v>#REF!</v>
      </c>
      <c r="BJ102" s="18" t="e">
        <f t="shared" si="54"/>
        <v>#REF!</v>
      </c>
      <c r="BK102" s="18" t="e">
        <f t="shared" si="54"/>
        <v>#REF!</v>
      </c>
      <c r="BL102" s="18" t="e">
        <f t="shared" si="54"/>
        <v>#REF!</v>
      </c>
      <c r="BM102" s="18" t="e">
        <f t="shared" si="54"/>
        <v>#REF!</v>
      </c>
      <c r="BN102" s="18" t="e">
        <f t="shared" si="54"/>
        <v>#REF!</v>
      </c>
      <c r="BO102" s="18" t="e">
        <f t="shared" si="54"/>
        <v>#REF!</v>
      </c>
      <c r="BP102" s="18" t="e">
        <f t="shared" si="54"/>
        <v>#REF!</v>
      </c>
      <c r="BQ102" s="18" t="e">
        <f t="shared" si="54"/>
        <v>#REF!</v>
      </c>
      <c r="BR102" s="18" t="e">
        <f t="shared" si="54"/>
        <v>#REF!</v>
      </c>
      <c r="BS102" s="41" t="e">
        <f t="shared" si="54"/>
        <v>#REF!</v>
      </c>
      <c r="BT102" s="37" t="e">
        <f>S102+AF102+AS102+BF102+BS102</f>
        <v>#REF!</v>
      </c>
    </row>
    <row r="103" spans="1:72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37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7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7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7"/>
      <c r="BT103" s="1"/>
    </row>
    <row r="104" spans="1:72" ht="15.75" customHeight="1">
      <c r="A104" s="2"/>
      <c r="B104" s="2"/>
      <c r="C104" s="65" t="s">
        <v>241</v>
      </c>
      <c r="D104" s="2"/>
      <c r="E104" s="2"/>
      <c r="F104" s="2"/>
      <c r="G104" s="3" t="e">
        <f>G101*'Beer COGS'!#REF!</f>
        <v>#REF!</v>
      </c>
      <c r="H104" s="3" t="e">
        <f>H101*'Beer COGS'!#REF!</f>
        <v>#REF!</v>
      </c>
      <c r="I104" s="3" t="e">
        <f>I101*'Beer COGS'!#REF!</f>
        <v>#REF!</v>
      </c>
      <c r="J104" s="3" t="e">
        <f>J101*'Beer COGS'!#REF!</f>
        <v>#REF!</v>
      </c>
      <c r="K104" s="3" t="e">
        <f>K101*'Beer COGS'!#REF!</f>
        <v>#REF!</v>
      </c>
      <c r="L104" s="3" t="e">
        <f>L101*'Beer COGS'!#REF!</f>
        <v>#REF!</v>
      </c>
      <c r="M104" s="3" t="e">
        <f>M101*'Beer COGS'!#REF!</f>
        <v>#REF!</v>
      </c>
      <c r="N104" s="3" t="e">
        <f>N101*'Beer COGS'!#REF!</f>
        <v>#REF!</v>
      </c>
      <c r="O104" s="3" t="e">
        <f>O101*'Beer COGS'!#REF!</f>
        <v>#REF!</v>
      </c>
      <c r="P104" s="3" t="e">
        <f>P101*'Beer COGS'!#REF!</f>
        <v>#REF!</v>
      </c>
      <c r="Q104" s="3" t="e">
        <f>Q101*'Beer COGS'!#REF!</f>
        <v>#REF!</v>
      </c>
      <c r="R104" s="3" t="e">
        <f>R101*'Beer COGS'!#REF!</f>
        <v>#REF!</v>
      </c>
      <c r="S104" s="37" t="e">
        <f>SUM(G104:R104)</f>
        <v>#REF!</v>
      </c>
      <c r="T104" s="3" t="e">
        <f>T101*'Beer COGS'!#REF!</f>
        <v>#REF!</v>
      </c>
      <c r="U104" s="3" t="e">
        <f>U101*'Beer COGS'!#REF!</f>
        <v>#REF!</v>
      </c>
      <c r="V104" s="3" t="e">
        <f>V101*'Beer COGS'!#REF!</f>
        <v>#REF!</v>
      </c>
      <c r="W104" s="3" t="e">
        <f>W101*'Beer COGS'!#REF!</f>
        <v>#REF!</v>
      </c>
      <c r="X104" s="3" t="e">
        <f>X101*'Beer COGS'!#REF!</f>
        <v>#REF!</v>
      </c>
      <c r="Y104" s="3" t="e">
        <f>Y101*'Beer COGS'!#REF!</f>
        <v>#REF!</v>
      </c>
      <c r="Z104" s="3" t="e">
        <f>Z101*'Beer COGS'!#REF!</f>
        <v>#REF!</v>
      </c>
      <c r="AA104" s="3" t="e">
        <f>AA101*'Beer COGS'!#REF!</f>
        <v>#REF!</v>
      </c>
      <c r="AB104" s="3" t="e">
        <f>AB101*'Beer COGS'!#REF!</f>
        <v>#REF!</v>
      </c>
      <c r="AC104" s="3" t="e">
        <f>AC101*'Beer COGS'!#REF!</f>
        <v>#REF!</v>
      </c>
      <c r="AD104" s="3" t="e">
        <f>AD101*'Beer COGS'!#REF!</f>
        <v>#REF!</v>
      </c>
      <c r="AE104" s="3" t="e">
        <f>AE101*'Beer COGS'!#REF!</f>
        <v>#REF!</v>
      </c>
      <c r="AF104" s="37" t="e">
        <f>SUM(T104:AE104)</f>
        <v>#REF!</v>
      </c>
      <c r="AG104" s="3" t="e">
        <f>AG101*'Beer COGS'!#REF!</f>
        <v>#REF!</v>
      </c>
      <c r="AH104" s="3" t="e">
        <f>AH101*'Beer COGS'!#REF!</f>
        <v>#REF!</v>
      </c>
      <c r="AI104" s="3" t="e">
        <f>AI101*'Beer COGS'!#REF!</f>
        <v>#REF!</v>
      </c>
      <c r="AJ104" s="3" t="e">
        <f>AJ101*'Beer COGS'!#REF!</f>
        <v>#REF!</v>
      </c>
      <c r="AK104" s="3" t="e">
        <f>AK101*'Beer COGS'!#REF!</f>
        <v>#REF!</v>
      </c>
      <c r="AL104" s="3" t="e">
        <f>AL101*'Beer COGS'!#REF!</f>
        <v>#REF!</v>
      </c>
      <c r="AM104" s="3" t="e">
        <f>AM101*'Beer COGS'!#REF!</f>
        <v>#REF!</v>
      </c>
      <c r="AN104" s="3" t="e">
        <f>AN101*'Beer COGS'!#REF!</f>
        <v>#REF!</v>
      </c>
      <c r="AO104" s="3" t="e">
        <f>AO101*'Beer COGS'!#REF!</f>
        <v>#REF!</v>
      </c>
      <c r="AP104" s="3" t="e">
        <f>AP101*'Beer COGS'!#REF!</f>
        <v>#REF!</v>
      </c>
      <c r="AQ104" s="3" t="e">
        <f>AQ101*'Beer COGS'!#REF!</f>
        <v>#REF!</v>
      </c>
      <c r="AR104" s="3" t="e">
        <f>AR101*'Beer COGS'!#REF!</f>
        <v>#REF!</v>
      </c>
      <c r="AS104" s="37" t="e">
        <f>SUM(AG104:AR104)</f>
        <v>#REF!</v>
      </c>
      <c r="AT104" s="3" t="e">
        <f>AT101*'Beer COGS'!#REF!</f>
        <v>#REF!</v>
      </c>
      <c r="AU104" s="3" t="e">
        <f>AU101*'Beer COGS'!#REF!</f>
        <v>#REF!</v>
      </c>
      <c r="AV104" s="3" t="e">
        <f>AV101*'Beer COGS'!#REF!</f>
        <v>#REF!</v>
      </c>
      <c r="AW104" s="3" t="e">
        <f>AW101*'Beer COGS'!#REF!</f>
        <v>#REF!</v>
      </c>
      <c r="AX104" s="3" t="e">
        <f>AX101*'Beer COGS'!#REF!</f>
        <v>#REF!</v>
      </c>
      <c r="AY104" s="3" t="e">
        <f>AY101*'Beer COGS'!#REF!</f>
        <v>#REF!</v>
      </c>
      <c r="AZ104" s="3" t="e">
        <f>AZ101*'Beer COGS'!#REF!</f>
        <v>#REF!</v>
      </c>
      <c r="BA104" s="3" t="e">
        <f>BA101*'Beer COGS'!#REF!</f>
        <v>#REF!</v>
      </c>
      <c r="BB104" s="3" t="e">
        <f>BB101*'Beer COGS'!#REF!</f>
        <v>#REF!</v>
      </c>
      <c r="BC104" s="3" t="e">
        <f>BC101*'Beer COGS'!#REF!</f>
        <v>#REF!</v>
      </c>
      <c r="BD104" s="3" t="e">
        <f>BD101*'Beer COGS'!#REF!</f>
        <v>#REF!</v>
      </c>
      <c r="BE104" s="3" t="e">
        <f>BE101*'Beer COGS'!#REF!</f>
        <v>#REF!</v>
      </c>
      <c r="BF104" s="37" t="e">
        <f>SUM(AT104:BE104)</f>
        <v>#REF!</v>
      </c>
      <c r="BG104" s="3" t="e">
        <f>BG101*'Beer COGS'!#REF!</f>
        <v>#REF!</v>
      </c>
      <c r="BH104" s="3" t="e">
        <f>BH101*'Beer COGS'!#REF!</f>
        <v>#REF!</v>
      </c>
      <c r="BI104" s="3" t="e">
        <f>BI101*'Beer COGS'!#REF!</f>
        <v>#REF!</v>
      </c>
      <c r="BJ104" s="3" t="e">
        <f>BJ101*'Beer COGS'!#REF!</f>
        <v>#REF!</v>
      </c>
      <c r="BK104" s="3" t="e">
        <f>BK101*'Beer COGS'!#REF!</f>
        <v>#REF!</v>
      </c>
      <c r="BL104" s="3" t="e">
        <f>BL101*'Beer COGS'!#REF!</f>
        <v>#REF!</v>
      </c>
      <c r="BM104" s="3" t="e">
        <f>BM101*'Beer COGS'!#REF!</f>
        <v>#REF!</v>
      </c>
      <c r="BN104" s="3" t="e">
        <f>BN101*'Beer COGS'!#REF!</f>
        <v>#REF!</v>
      </c>
      <c r="BO104" s="3" t="e">
        <f>BO101*'Beer COGS'!#REF!</f>
        <v>#REF!</v>
      </c>
      <c r="BP104" s="3" t="e">
        <f>BP101*'Beer COGS'!#REF!</f>
        <v>#REF!</v>
      </c>
      <c r="BQ104" s="3" t="e">
        <f>BQ101*'Beer COGS'!#REF!</f>
        <v>#REF!</v>
      </c>
      <c r="BR104" s="3" t="e">
        <f>BR101*'Beer COGS'!#REF!</f>
        <v>#REF!</v>
      </c>
      <c r="BS104" s="37" t="e">
        <f>SUM(BG104:BR104)</f>
        <v>#REF!</v>
      </c>
      <c r="BT104" s="37" t="e">
        <f>S104+AF104+AS104+BF104+BS104</f>
        <v>#REF!</v>
      </c>
    </row>
    <row r="105" spans="1:72" ht="15.75" customHeight="1">
      <c r="A105" s="2"/>
      <c r="B105" s="2"/>
      <c r="C105" s="2"/>
      <c r="D105" s="2" t="s">
        <v>242</v>
      </c>
      <c r="E105" s="2"/>
      <c r="F105" s="2"/>
      <c r="G105" s="18" t="e">
        <f t="shared" ref="G105:BS105" si="55">SUM(G104)</f>
        <v>#REF!</v>
      </c>
      <c r="H105" s="18" t="e">
        <f t="shared" si="55"/>
        <v>#REF!</v>
      </c>
      <c r="I105" s="18" t="e">
        <f t="shared" si="55"/>
        <v>#REF!</v>
      </c>
      <c r="J105" s="18" t="e">
        <f t="shared" si="55"/>
        <v>#REF!</v>
      </c>
      <c r="K105" s="18" t="e">
        <f t="shared" si="55"/>
        <v>#REF!</v>
      </c>
      <c r="L105" s="18" t="e">
        <f t="shared" si="55"/>
        <v>#REF!</v>
      </c>
      <c r="M105" s="18" t="e">
        <f t="shared" si="55"/>
        <v>#REF!</v>
      </c>
      <c r="N105" s="18" t="e">
        <f t="shared" si="55"/>
        <v>#REF!</v>
      </c>
      <c r="O105" s="18" t="e">
        <f t="shared" si="55"/>
        <v>#REF!</v>
      </c>
      <c r="P105" s="18" t="e">
        <f t="shared" si="55"/>
        <v>#REF!</v>
      </c>
      <c r="Q105" s="18" t="e">
        <f t="shared" si="55"/>
        <v>#REF!</v>
      </c>
      <c r="R105" s="18" t="e">
        <f t="shared" si="55"/>
        <v>#REF!</v>
      </c>
      <c r="S105" s="41" t="e">
        <f t="shared" si="55"/>
        <v>#REF!</v>
      </c>
      <c r="T105" s="18" t="e">
        <f t="shared" si="55"/>
        <v>#REF!</v>
      </c>
      <c r="U105" s="18" t="e">
        <f t="shared" si="55"/>
        <v>#REF!</v>
      </c>
      <c r="V105" s="18" t="e">
        <f t="shared" si="55"/>
        <v>#REF!</v>
      </c>
      <c r="W105" s="18" t="e">
        <f t="shared" si="55"/>
        <v>#REF!</v>
      </c>
      <c r="X105" s="18" t="e">
        <f t="shared" si="55"/>
        <v>#REF!</v>
      </c>
      <c r="Y105" s="18" t="e">
        <f t="shared" si="55"/>
        <v>#REF!</v>
      </c>
      <c r="Z105" s="18" t="e">
        <f t="shared" si="55"/>
        <v>#REF!</v>
      </c>
      <c r="AA105" s="18" t="e">
        <f t="shared" si="55"/>
        <v>#REF!</v>
      </c>
      <c r="AB105" s="18" t="e">
        <f t="shared" si="55"/>
        <v>#REF!</v>
      </c>
      <c r="AC105" s="18" t="e">
        <f t="shared" si="55"/>
        <v>#REF!</v>
      </c>
      <c r="AD105" s="18" t="e">
        <f t="shared" si="55"/>
        <v>#REF!</v>
      </c>
      <c r="AE105" s="18" t="e">
        <f t="shared" si="55"/>
        <v>#REF!</v>
      </c>
      <c r="AF105" s="41" t="e">
        <f t="shared" si="55"/>
        <v>#REF!</v>
      </c>
      <c r="AG105" s="18" t="e">
        <f t="shared" si="55"/>
        <v>#REF!</v>
      </c>
      <c r="AH105" s="18" t="e">
        <f t="shared" si="55"/>
        <v>#REF!</v>
      </c>
      <c r="AI105" s="18" t="e">
        <f t="shared" si="55"/>
        <v>#REF!</v>
      </c>
      <c r="AJ105" s="18" t="e">
        <f t="shared" si="55"/>
        <v>#REF!</v>
      </c>
      <c r="AK105" s="18" t="e">
        <f t="shared" si="55"/>
        <v>#REF!</v>
      </c>
      <c r="AL105" s="18" t="e">
        <f t="shared" si="55"/>
        <v>#REF!</v>
      </c>
      <c r="AM105" s="18" t="e">
        <f t="shared" si="55"/>
        <v>#REF!</v>
      </c>
      <c r="AN105" s="18" t="e">
        <f t="shared" si="55"/>
        <v>#REF!</v>
      </c>
      <c r="AO105" s="18" t="e">
        <f t="shared" si="55"/>
        <v>#REF!</v>
      </c>
      <c r="AP105" s="18" t="e">
        <f t="shared" si="55"/>
        <v>#REF!</v>
      </c>
      <c r="AQ105" s="18" t="e">
        <f t="shared" si="55"/>
        <v>#REF!</v>
      </c>
      <c r="AR105" s="18" t="e">
        <f t="shared" si="55"/>
        <v>#REF!</v>
      </c>
      <c r="AS105" s="41" t="e">
        <f t="shared" si="55"/>
        <v>#REF!</v>
      </c>
      <c r="AT105" s="18" t="e">
        <f t="shared" si="55"/>
        <v>#REF!</v>
      </c>
      <c r="AU105" s="18" t="e">
        <f t="shared" si="55"/>
        <v>#REF!</v>
      </c>
      <c r="AV105" s="18" t="e">
        <f t="shared" si="55"/>
        <v>#REF!</v>
      </c>
      <c r="AW105" s="18" t="e">
        <f t="shared" si="55"/>
        <v>#REF!</v>
      </c>
      <c r="AX105" s="18" t="e">
        <f t="shared" si="55"/>
        <v>#REF!</v>
      </c>
      <c r="AY105" s="18" t="e">
        <f t="shared" si="55"/>
        <v>#REF!</v>
      </c>
      <c r="AZ105" s="18" t="e">
        <f t="shared" si="55"/>
        <v>#REF!</v>
      </c>
      <c r="BA105" s="18" t="e">
        <f t="shared" si="55"/>
        <v>#REF!</v>
      </c>
      <c r="BB105" s="18" t="e">
        <f t="shared" si="55"/>
        <v>#REF!</v>
      </c>
      <c r="BC105" s="18" t="e">
        <f t="shared" si="55"/>
        <v>#REF!</v>
      </c>
      <c r="BD105" s="18" t="e">
        <f t="shared" si="55"/>
        <v>#REF!</v>
      </c>
      <c r="BE105" s="18" t="e">
        <f t="shared" si="55"/>
        <v>#REF!</v>
      </c>
      <c r="BF105" s="41" t="e">
        <f t="shared" si="55"/>
        <v>#REF!</v>
      </c>
      <c r="BG105" s="18" t="e">
        <f t="shared" si="55"/>
        <v>#REF!</v>
      </c>
      <c r="BH105" s="18" t="e">
        <f t="shared" si="55"/>
        <v>#REF!</v>
      </c>
      <c r="BI105" s="18" t="e">
        <f t="shared" si="55"/>
        <v>#REF!</v>
      </c>
      <c r="BJ105" s="18" t="e">
        <f t="shared" si="55"/>
        <v>#REF!</v>
      </c>
      <c r="BK105" s="18" t="e">
        <f t="shared" si="55"/>
        <v>#REF!</v>
      </c>
      <c r="BL105" s="18" t="e">
        <f t="shared" si="55"/>
        <v>#REF!</v>
      </c>
      <c r="BM105" s="18" t="e">
        <f t="shared" si="55"/>
        <v>#REF!</v>
      </c>
      <c r="BN105" s="18" t="e">
        <f t="shared" si="55"/>
        <v>#REF!</v>
      </c>
      <c r="BO105" s="18" t="e">
        <f t="shared" si="55"/>
        <v>#REF!</v>
      </c>
      <c r="BP105" s="18" t="e">
        <f t="shared" si="55"/>
        <v>#REF!</v>
      </c>
      <c r="BQ105" s="18" t="e">
        <f t="shared" si="55"/>
        <v>#REF!</v>
      </c>
      <c r="BR105" s="18" t="e">
        <f t="shared" si="55"/>
        <v>#REF!</v>
      </c>
      <c r="BS105" s="41" t="e">
        <f t="shared" si="55"/>
        <v>#REF!</v>
      </c>
      <c r="BT105" s="37" t="e">
        <f>S105+AF105+AS105+BF105+BS105</f>
        <v>#REF!</v>
      </c>
    </row>
    <row r="106" spans="1:72" ht="15.75" customHeight="1"/>
    <row r="107" spans="1:72" ht="15.75" customHeight="1"/>
    <row r="108" spans="1:72" ht="15.75" customHeight="1"/>
    <row r="109" spans="1:72" ht="15.75" customHeight="1"/>
    <row r="110" spans="1:72" ht="15.75" customHeight="1"/>
    <row r="111" spans="1:72" ht="15.75" customHeight="1"/>
    <row r="112" spans="1:7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T1000"/>
  <sheetViews>
    <sheetView workbookViewId="0">
      <selection activeCell="J35" sqref="J35"/>
    </sheetView>
  </sheetViews>
  <sheetFormatPr defaultColWidth="14.42578125" defaultRowHeight="15" customHeight="1"/>
  <cols>
    <col min="1" max="1" width="45.5703125" customWidth="1"/>
    <col min="2" max="2" width="16.7109375" customWidth="1"/>
    <col min="3" max="7" width="8.7109375" customWidth="1"/>
    <col min="8" max="8" width="30.28515625" customWidth="1"/>
    <col min="9" max="13" width="8.7109375" customWidth="1"/>
    <col min="14" max="14" width="30.28515625" customWidth="1"/>
    <col min="15" max="19" width="8.7109375" customWidth="1"/>
    <col min="20" max="20" width="30.28515625" customWidth="1"/>
    <col min="21" max="23" width="8.7109375" customWidth="1"/>
  </cols>
  <sheetData>
    <row r="1" spans="1:20" ht="24" customHeight="1">
      <c r="A1" s="116" t="s">
        <v>249</v>
      </c>
      <c r="B1" s="117"/>
      <c r="C1" s="65" t="s">
        <v>250</v>
      </c>
      <c r="H1" s="2"/>
      <c r="N1" s="2"/>
      <c r="T1" s="2"/>
    </row>
    <row r="2" spans="1:20" ht="29.25" customHeight="1">
      <c r="A2" s="117" t="s">
        <v>251</v>
      </c>
      <c r="B2" s="117" t="s">
        <v>252</v>
      </c>
    </row>
    <row r="3" spans="1:20">
      <c r="A3" s="92" t="s">
        <v>175</v>
      </c>
      <c r="B3" s="118">
        <v>40</v>
      </c>
    </row>
    <row r="4" spans="1:20">
      <c r="A4" s="92" t="s">
        <v>176</v>
      </c>
      <c r="B4" s="118">
        <v>40</v>
      </c>
    </row>
    <row r="5" spans="1:20">
      <c r="A5" s="92" t="s">
        <v>177</v>
      </c>
      <c r="B5" s="118">
        <v>115</v>
      </c>
    </row>
    <row r="6" spans="1:20">
      <c r="A6" s="92" t="s">
        <v>178</v>
      </c>
      <c r="B6" s="118">
        <v>125</v>
      </c>
    </row>
    <row r="7" spans="1:20">
      <c r="A7" s="92" t="s">
        <v>179</v>
      </c>
      <c r="B7" s="118">
        <v>30</v>
      </c>
    </row>
    <row r="8" spans="1:20">
      <c r="A8" s="92" t="s">
        <v>180</v>
      </c>
      <c r="B8" s="118">
        <v>60</v>
      </c>
    </row>
    <row r="9" spans="1:20">
      <c r="A9" s="92" t="s">
        <v>181</v>
      </c>
      <c r="B9" s="118">
        <v>70</v>
      </c>
    </row>
    <row r="10" spans="1:20">
      <c r="A10" s="92" t="s">
        <v>182</v>
      </c>
      <c r="B10" s="118">
        <v>80</v>
      </c>
    </row>
    <row r="11" spans="1:20">
      <c r="A11" s="92" t="s">
        <v>183</v>
      </c>
      <c r="B11" s="118">
        <v>90</v>
      </c>
    </row>
    <row r="12" spans="1:20">
      <c r="A12" s="92" t="s">
        <v>184</v>
      </c>
      <c r="B12" s="118">
        <v>70</v>
      </c>
    </row>
    <row r="13" spans="1:20">
      <c r="A13" s="92" t="s">
        <v>185</v>
      </c>
      <c r="B13" s="118">
        <v>90</v>
      </c>
    </row>
    <row r="14" spans="1:20">
      <c r="A14" s="92" t="s">
        <v>186</v>
      </c>
      <c r="B14" s="118">
        <v>100</v>
      </c>
    </row>
    <row r="15" spans="1:20">
      <c r="A15" s="92" t="s">
        <v>187</v>
      </c>
      <c r="B15" s="118">
        <v>120</v>
      </c>
    </row>
    <row r="16" spans="1:20">
      <c r="A16" s="92" t="s">
        <v>188</v>
      </c>
      <c r="B16" s="118">
        <v>120</v>
      </c>
    </row>
    <row r="17" spans="1:3">
      <c r="A17" s="92" t="s">
        <v>189</v>
      </c>
      <c r="B17" s="118">
        <v>125</v>
      </c>
    </row>
    <row r="18" spans="1:3">
      <c r="A18" s="92" t="s">
        <v>190</v>
      </c>
      <c r="B18" s="118">
        <v>125</v>
      </c>
    </row>
    <row r="19" spans="1:3">
      <c r="A19" s="92" t="s">
        <v>191</v>
      </c>
      <c r="B19" s="118">
        <v>135</v>
      </c>
    </row>
    <row r="20" spans="1:3">
      <c r="A20" s="92" t="s">
        <v>192</v>
      </c>
      <c r="B20" s="118">
        <v>130</v>
      </c>
    </row>
    <row r="21" spans="1:3" ht="15.75" customHeight="1">
      <c r="A21" s="92" t="s">
        <v>193</v>
      </c>
      <c r="B21" s="118">
        <v>140</v>
      </c>
    </row>
    <row r="22" spans="1:3" ht="15.75" customHeight="1">
      <c r="A22" s="92" t="s">
        <v>194</v>
      </c>
      <c r="B22" s="118">
        <v>150</v>
      </c>
    </row>
    <row r="23" spans="1:3" ht="15.75" customHeight="1">
      <c r="A23" s="92" t="s">
        <v>195</v>
      </c>
      <c r="B23" s="118">
        <v>150</v>
      </c>
    </row>
    <row r="24" spans="1:3" ht="15.75" customHeight="1">
      <c r="A24" s="92" t="s">
        <v>196</v>
      </c>
      <c r="B24" s="118">
        <v>150</v>
      </c>
    </row>
    <row r="25" spans="1:3" ht="15.75" customHeight="1">
      <c r="A25" s="92" t="s">
        <v>197</v>
      </c>
      <c r="B25" s="118">
        <v>130</v>
      </c>
      <c r="C25" s="2"/>
    </row>
    <row r="26" spans="1:3" ht="15" customHeight="1">
      <c r="A26" s="92" t="s">
        <v>198</v>
      </c>
      <c r="B26" s="118">
        <v>140</v>
      </c>
    </row>
    <row r="27" spans="1:3" ht="15" customHeight="1">
      <c r="A27" s="92" t="s">
        <v>199</v>
      </c>
      <c r="B27" s="118">
        <v>140</v>
      </c>
    </row>
    <row r="28" spans="1:3" ht="15" customHeight="1">
      <c r="A28" s="92" t="s">
        <v>200</v>
      </c>
      <c r="B28" s="118">
        <v>140</v>
      </c>
    </row>
    <row r="29" spans="1:3" ht="15" customHeight="1">
      <c r="A29" s="92" t="s">
        <v>201</v>
      </c>
      <c r="B29" s="118">
        <v>40</v>
      </c>
    </row>
    <row r="30" spans="1:3" ht="15" customHeight="1">
      <c r="A30" s="92" t="s">
        <v>202</v>
      </c>
      <c r="B30" s="118">
        <v>50</v>
      </c>
    </row>
    <row r="31" spans="1:3" ht="15" customHeight="1">
      <c r="A31" s="92" t="s">
        <v>203</v>
      </c>
      <c r="B31" s="118">
        <v>65</v>
      </c>
    </row>
    <row r="32" spans="1:3" ht="15" customHeight="1">
      <c r="A32" s="92" t="s">
        <v>204</v>
      </c>
      <c r="B32" s="118">
        <v>75</v>
      </c>
    </row>
    <row r="33" spans="1:2" ht="15" customHeight="1">
      <c r="A33" s="92" t="s">
        <v>205</v>
      </c>
      <c r="B33" s="118">
        <v>80</v>
      </c>
    </row>
    <row r="34" spans="1:2" ht="15" customHeight="1">
      <c r="A34" s="92" t="s">
        <v>206</v>
      </c>
      <c r="B34" s="118">
        <v>100</v>
      </c>
    </row>
    <row r="35" spans="1:2" ht="15" customHeight="1">
      <c r="A35" s="92" t="s">
        <v>207</v>
      </c>
      <c r="B35" s="118">
        <v>150</v>
      </c>
    </row>
    <row r="36" spans="1:2" ht="15" customHeight="1">
      <c r="A36" s="92" t="s">
        <v>208</v>
      </c>
      <c r="B36" s="118">
        <v>150</v>
      </c>
    </row>
    <row r="37" spans="1:2" ht="15" customHeight="1">
      <c r="A37" s="92" t="s">
        <v>209</v>
      </c>
      <c r="B37" s="118">
        <v>175</v>
      </c>
    </row>
    <row r="38" spans="1:2" ht="15" customHeight="1">
      <c r="A38" s="92" t="s">
        <v>210</v>
      </c>
      <c r="B38" s="118">
        <v>200</v>
      </c>
    </row>
    <row r="39" spans="1:2" ht="15.75" customHeight="1"/>
    <row r="40" spans="1:2" ht="15.75" customHeight="1"/>
    <row r="41" spans="1:2" ht="15.75" customHeight="1"/>
    <row r="42" spans="1:2" ht="15.75" customHeight="1"/>
    <row r="43" spans="1:2" ht="15.75" customHeight="1"/>
    <row r="44" spans="1:2" ht="15.75" customHeight="1"/>
    <row r="45" spans="1:2" ht="15.75" customHeight="1"/>
    <row r="46" spans="1:2" ht="15.75" customHeight="1"/>
    <row r="47" spans="1:2" ht="15.75" customHeight="1"/>
    <row r="48" spans="1: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1000"/>
  <sheetViews>
    <sheetView workbookViewId="0">
      <selection activeCell="D5" sqref="D5"/>
    </sheetView>
  </sheetViews>
  <sheetFormatPr defaultColWidth="14.42578125" defaultRowHeight="15" customHeight="1"/>
  <cols>
    <col min="1" max="2" width="8.7109375" customWidth="1"/>
    <col min="3" max="3" width="21" customWidth="1"/>
    <col min="4" max="4" width="13.7109375" customWidth="1"/>
    <col min="5" max="5" width="9.5703125" customWidth="1"/>
    <col min="6" max="7" width="8.7109375" customWidth="1"/>
    <col min="8" max="8" width="9.5703125" customWidth="1"/>
    <col min="9" max="26" width="17.28515625" customWidth="1"/>
  </cols>
  <sheetData>
    <row r="1" spans="1:8">
      <c r="A1" s="63" t="s">
        <v>315</v>
      </c>
      <c r="C1" s="2" t="s">
        <v>316</v>
      </c>
      <c r="D1" s="2" t="s">
        <v>317</v>
      </c>
      <c r="E1" s="2"/>
      <c r="F1" s="2" t="s">
        <v>318</v>
      </c>
      <c r="H1" s="2"/>
    </row>
    <row r="2" spans="1:8">
      <c r="A2" s="171">
        <v>1</v>
      </c>
      <c r="C2" s="2" t="s">
        <v>319</v>
      </c>
      <c r="D2" s="77">
        <f>D11/4</f>
        <v>992</v>
      </c>
      <c r="E2" s="77"/>
      <c r="F2" s="2" t="s">
        <v>138</v>
      </c>
      <c r="H2" s="2"/>
    </row>
    <row r="3" spans="1:8">
      <c r="A3" s="171">
        <v>2</v>
      </c>
      <c r="C3" s="2" t="s">
        <v>320</v>
      </c>
      <c r="D3" s="77">
        <f>D11/10</f>
        <v>396.8</v>
      </c>
      <c r="E3" s="77"/>
      <c r="F3" s="2" t="s">
        <v>321</v>
      </c>
      <c r="H3" s="2"/>
    </row>
    <row r="4" spans="1:8">
      <c r="A4" s="171">
        <v>3</v>
      </c>
      <c r="C4" s="2" t="s">
        <v>322</v>
      </c>
      <c r="D4" s="77">
        <f>D11/12</f>
        <v>330.66666666666669</v>
      </c>
      <c r="E4" s="77"/>
      <c r="H4" s="2"/>
    </row>
    <row r="5" spans="1:8">
      <c r="A5" s="171">
        <v>4</v>
      </c>
      <c r="C5" s="2" t="s">
        <v>323</v>
      </c>
      <c r="D5" s="77">
        <f>D11/14</f>
        <v>283.42857142857144</v>
      </c>
      <c r="E5" s="77"/>
      <c r="H5" s="2"/>
    </row>
    <row r="6" spans="1:8">
      <c r="A6" s="171">
        <v>5</v>
      </c>
      <c r="C6" s="2" t="s">
        <v>324</v>
      </c>
      <c r="D6" s="77">
        <f>D11/64</f>
        <v>62</v>
      </c>
      <c r="E6" s="77"/>
      <c r="H6" s="2"/>
    </row>
    <row r="7" spans="1:8">
      <c r="A7" s="171">
        <v>6</v>
      </c>
      <c r="C7" s="2" t="s">
        <v>325</v>
      </c>
      <c r="D7" s="172">
        <v>9.6769999999999995E-2</v>
      </c>
      <c r="E7" s="2"/>
      <c r="H7" s="2"/>
    </row>
    <row r="8" spans="1:8">
      <c r="A8" s="171">
        <v>7</v>
      </c>
      <c r="C8" s="2" t="s">
        <v>219</v>
      </c>
      <c r="D8" s="77">
        <v>6</v>
      </c>
      <c r="E8" s="2"/>
      <c r="H8" s="2"/>
    </row>
    <row r="9" spans="1:8">
      <c r="A9" s="171">
        <v>8</v>
      </c>
      <c r="C9" s="2" t="s">
        <v>220</v>
      </c>
      <c r="D9" s="77">
        <v>2</v>
      </c>
      <c r="E9" s="2"/>
      <c r="H9" s="2"/>
    </row>
    <row r="10" spans="1:8">
      <c r="A10" s="171">
        <v>9</v>
      </c>
      <c r="C10" s="2" t="s">
        <v>326</v>
      </c>
      <c r="D10" s="77">
        <v>31</v>
      </c>
      <c r="E10" s="2"/>
      <c r="H10" s="2"/>
    </row>
    <row r="11" spans="1:8">
      <c r="A11" s="171">
        <v>10</v>
      </c>
      <c r="C11" s="2" t="s">
        <v>327</v>
      </c>
      <c r="D11" s="77">
        <f>128*31</f>
        <v>3968</v>
      </c>
      <c r="E11" s="2"/>
      <c r="H11" s="2"/>
    </row>
    <row r="12" spans="1:8">
      <c r="A12" s="171">
        <v>11</v>
      </c>
      <c r="C12" s="2" t="s">
        <v>328</v>
      </c>
      <c r="D12" s="77">
        <f>3785.4*31</f>
        <v>117347.40000000001</v>
      </c>
      <c r="E12" s="2"/>
      <c r="H12" s="2"/>
    </row>
    <row r="13" spans="1:8">
      <c r="A13" s="171">
        <v>12</v>
      </c>
      <c r="C13" s="2"/>
      <c r="D13" s="2"/>
      <c r="E13" s="2"/>
      <c r="H13" s="2"/>
    </row>
    <row r="14" spans="1:8">
      <c r="A14" s="171">
        <v>13</v>
      </c>
      <c r="C14" s="2"/>
      <c r="D14" s="2"/>
      <c r="E14" s="2"/>
      <c r="H14" s="2"/>
    </row>
    <row r="15" spans="1:8">
      <c r="A15" s="171">
        <v>14</v>
      </c>
      <c r="C15" s="2"/>
      <c r="D15" s="2"/>
      <c r="E15" s="2"/>
      <c r="H15" s="2"/>
    </row>
    <row r="16" spans="1:8">
      <c r="A16" s="171">
        <v>15</v>
      </c>
      <c r="C16" s="2"/>
      <c r="D16" s="2"/>
      <c r="E16" s="2"/>
      <c r="H16" s="2"/>
    </row>
    <row r="17" spans="1:8">
      <c r="A17" s="171">
        <v>16</v>
      </c>
      <c r="C17" s="2"/>
      <c r="D17" s="2"/>
      <c r="E17" s="2"/>
      <c r="H17" s="2"/>
    </row>
    <row r="18" spans="1:8">
      <c r="A18" s="171">
        <v>17</v>
      </c>
      <c r="C18" s="2"/>
      <c r="D18" s="2"/>
      <c r="E18" s="77"/>
      <c r="H18" s="2"/>
    </row>
    <row r="19" spans="1:8">
      <c r="A19" s="171">
        <v>18</v>
      </c>
      <c r="C19" s="2"/>
      <c r="D19" s="2"/>
      <c r="E19" s="2"/>
      <c r="H19" s="2"/>
    </row>
    <row r="20" spans="1:8">
      <c r="A20" s="171">
        <v>19</v>
      </c>
      <c r="C20" s="2"/>
      <c r="D20" s="2"/>
      <c r="E20" s="2"/>
      <c r="H20" s="2"/>
    </row>
    <row r="21" spans="1:8" ht="15.75" customHeight="1">
      <c r="A21" s="171">
        <v>20</v>
      </c>
      <c r="C21" s="2"/>
      <c r="D21" s="2"/>
      <c r="E21" s="2"/>
      <c r="H21" s="2"/>
    </row>
    <row r="22" spans="1:8" ht="15.75" customHeight="1">
      <c r="A22" s="171">
        <v>21</v>
      </c>
      <c r="C22" s="2"/>
      <c r="D22" s="2"/>
      <c r="E22" s="2"/>
      <c r="H22" s="2"/>
    </row>
    <row r="23" spans="1:8" ht="15.75" customHeight="1">
      <c r="A23" s="171">
        <v>22</v>
      </c>
      <c r="C23" s="2"/>
      <c r="D23" s="2"/>
      <c r="E23" s="2"/>
      <c r="H23" s="2"/>
    </row>
    <row r="24" spans="1:8" ht="15.75" customHeight="1">
      <c r="A24" s="171">
        <v>23</v>
      </c>
      <c r="C24" s="2"/>
      <c r="D24" s="2"/>
      <c r="E24" s="2"/>
      <c r="H24" s="2"/>
    </row>
    <row r="25" spans="1:8" ht="15.75" customHeight="1">
      <c r="A25" s="171">
        <v>24</v>
      </c>
      <c r="C25" s="2"/>
      <c r="D25" s="2"/>
      <c r="E25" s="2"/>
      <c r="H25" s="2"/>
    </row>
    <row r="26" spans="1:8" ht="15.75" customHeight="1">
      <c r="A26" s="171">
        <v>25</v>
      </c>
      <c r="C26" s="2"/>
      <c r="D26" s="2"/>
      <c r="E26" s="2"/>
      <c r="H26" s="2"/>
    </row>
    <row r="27" spans="1:8" ht="15.75" customHeight="1">
      <c r="A27" s="171">
        <v>26</v>
      </c>
      <c r="C27" s="2"/>
      <c r="D27" s="2"/>
      <c r="E27" s="2"/>
      <c r="H27" s="2"/>
    </row>
    <row r="28" spans="1:8" ht="15.75" customHeight="1">
      <c r="A28" s="171">
        <v>27</v>
      </c>
      <c r="C28" s="2"/>
      <c r="D28" s="2"/>
      <c r="E28" s="2"/>
      <c r="H28" s="2"/>
    </row>
    <row r="29" spans="1:8" ht="15.75" customHeight="1">
      <c r="A29" s="171">
        <v>28</v>
      </c>
      <c r="C29" s="2"/>
      <c r="D29" s="2"/>
      <c r="E29" s="2"/>
      <c r="H29" s="2"/>
    </row>
    <row r="30" spans="1:8" ht="15.75" customHeight="1">
      <c r="A30" s="171">
        <v>29</v>
      </c>
      <c r="C30" s="2"/>
      <c r="D30" s="2"/>
      <c r="E30" s="2"/>
      <c r="H30" s="2"/>
    </row>
    <row r="31" spans="1:8" ht="15.75" customHeight="1">
      <c r="A31" s="171">
        <v>30</v>
      </c>
      <c r="C31" s="2"/>
      <c r="D31" s="2"/>
      <c r="E31" s="2"/>
      <c r="H31" s="2"/>
    </row>
    <row r="32" spans="1:8" ht="15.75" customHeight="1">
      <c r="A32" s="171">
        <v>31</v>
      </c>
      <c r="C32" s="2"/>
      <c r="D32" s="2"/>
      <c r="E32" s="2"/>
      <c r="H32" s="2"/>
    </row>
    <row r="33" spans="1:8" ht="15.75" customHeight="1">
      <c r="A33" s="171">
        <v>32</v>
      </c>
      <c r="C33" s="2"/>
      <c r="D33" s="2"/>
      <c r="E33" s="2"/>
      <c r="H33" s="2"/>
    </row>
    <row r="34" spans="1:8" ht="15.75" customHeight="1">
      <c r="A34" s="171">
        <v>33</v>
      </c>
      <c r="C34" s="2"/>
      <c r="D34" s="2"/>
      <c r="E34" s="2"/>
      <c r="H34" s="2"/>
    </row>
    <row r="35" spans="1:8" ht="15.75" customHeight="1">
      <c r="A35" s="171">
        <v>34</v>
      </c>
      <c r="C35" s="2"/>
      <c r="D35" s="2"/>
      <c r="E35" s="2"/>
      <c r="H35" s="2"/>
    </row>
    <row r="36" spans="1:8" ht="15.75" customHeight="1">
      <c r="A36" s="171">
        <v>35</v>
      </c>
      <c r="C36" s="2"/>
      <c r="D36" s="2"/>
      <c r="E36" s="2"/>
      <c r="H36" s="2"/>
    </row>
    <row r="37" spans="1:8" ht="15.75" customHeight="1">
      <c r="A37" s="171">
        <v>36</v>
      </c>
      <c r="C37" s="2"/>
      <c r="D37" s="2"/>
      <c r="E37" s="2"/>
      <c r="H37" s="2"/>
    </row>
    <row r="38" spans="1:8" ht="15.75" customHeight="1">
      <c r="A38" s="171">
        <v>37</v>
      </c>
      <c r="C38" s="2"/>
      <c r="D38" s="2"/>
      <c r="E38" s="2"/>
      <c r="H38" s="2"/>
    </row>
    <row r="39" spans="1:8" ht="15.75" customHeight="1">
      <c r="A39" s="171">
        <v>38</v>
      </c>
      <c r="C39" s="2"/>
      <c r="D39" s="2"/>
      <c r="E39" s="2"/>
      <c r="H39" s="2"/>
    </row>
    <row r="40" spans="1:8" ht="15.75" customHeight="1">
      <c r="A40" s="171">
        <v>39</v>
      </c>
      <c r="C40" s="2"/>
      <c r="D40" s="2"/>
      <c r="E40" s="2"/>
      <c r="H40" s="2"/>
    </row>
    <row r="41" spans="1:8" ht="15.75" customHeight="1">
      <c r="A41" s="171">
        <v>40</v>
      </c>
      <c r="C41" s="2"/>
      <c r="D41" s="2"/>
      <c r="E41" s="2"/>
      <c r="H41" s="2"/>
    </row>
    <row r="42" spans="1:8" ht="15.75" customHeight="1">
      <c r="A42" s="171">
        <v>41</v>
      </c>
      <c r="C42" s="2"/>
      <c r="D42" s="2"/>
      <c r="E42" s="2"/>
      <c r="H42" s="2"/>
    </row>
    <row r="43" spans="1:8" ht="15.75" customHeight="1">
      <c r="A43" s="171">
        <v>42</v>
      </c>
      <c r="C43" s="2"/>
      <c r="D43" s="2"/>
      <c r="E43" s="2"/>
      <c r="H43" s="2"/>
    </row>
    <row r="44" spans="1:8" ht="15.75" customHeight="1">
      <c r="A44" s="171">
        <v>43</v>
      </c>
      <c r="C44" s="2"/>
      <c r="D44" s="2"/>
      <c r="E44" s="2"/>
      <c r="H44" s="2"/>
    </row>
    <row r="45" spans="1:8" ht="15.75" customHeight="1">
      <c r="A45" s="171">
        <v>44</v>
      </c>
      <c r="C45" s="2"/>
      <c r="D45" s="2"/>
      <c r="E45" s="2"/>
      <c r="H45" s="2"/>
    </row>
    <row r="46" spans="1:8" ht="15.75" customHeight="1">
      <c r="A46" s="171">
        <v>45</v>
      </c>
      <c r="C46" s="2"/>
      <c r="D46" s="2"/>
      <c r="E46" s="2"/>
      <c r="H46" s="2"/>
    </row>
    <row r="47" spans="1:8" ht="15.75" customHeight="1">
      <c r="A47" s="171">
        <v>46</v>
      </c>
      <c r="C47" s="2"/>
      <c r="D47" s="2"/>
      <c r="E47" s="2"/>
      <c r="H47" s="2"/>
    </row>
    <row r="48" spans="1:8" ht="15.75" customHeight="1">
      <c r="A48" s="171">
        <v>47</v>
      </c>
      <c r="C48" s="2"/>
      <c r="D48" s="2"/>
      <c r="E48" s="2"/>
      <c r="H48" s="2"/>
    </row>
    <row r="49" spans="1:8" ht="15.75" customHeight="1">
      <c r="A49" s="171">
        <v>48</v>
      </c>
      <c r="C49" s="2"/>
      <c r="D49" s="2"/>
      <c r="E49" s="2"/>
      <c r="H49" s="2"/>
    </row>
    <row r="50" spans="1:8" ht="15.75" customHeight="1">
      <c r="A50" s="171">
        <v>49</v>
      </c>
      <c r="C50" s="2"/>
      <c r="D50" s="2"/>
      <c r="E50" s="2"/>
      <c r="H50" s="2"/>
    </row>
    <row r="51" spans="1:8" ht="15.75" customHeight="1">
      <c r="A51" s="171">
        <v>50</v>
      </c>
      <c r="C51" s="2"/>
      <c r="D51" s="2"/>
      <c r="E51" s="2"/>
      <c r="H51" s="2"/>
    </row>
    <row r="52" spans="1:8" ht="15.75" customHeight="1">
      <c r="A52" s="171">
        <v>51</v>
      </c>
      <c r="C52" s="2"/>
      <c r="D52" s="2"/>
      <c r="E52" s="2"/>
      <c r="H52" s="2"/>
    </row>
    <row r="53" spans="1:8" ht="15.75" customHeight="1">
      <c r="A53" s="171">
        <v>52</v>
      </c>
      <c r="C53" s="2"/>
      <c r="D53" s="2"/>
      <c r="E53" s="2"/>
      <c r="H53" s="2"/>
    </row>
    <row r="54" spans="1:8" ht="15.75" customHeight="1">
      <c r="A54" s="171">
        <v>53</v>
      </c>
      <c r="C54" s="2"/>
      <c r="D54" s="2"/>
      <c r="E54" s="2"/>
      <c r="H54" s="2"/>
    </row>
    <row r="55" spans="1:8" ht="15.75" customHeight="1">
      <c r="A55" s="171">
        <v>54</v>
      </c>
      <c r="C55" s="2"/>
      <c r="D55" s="2"/>
      <c r="E55" s="2"/>
      <c r="H55" s="2"/>
    </row>
    <row r="56" spans="1:8" ht="15.75" customHeight="1">
      <c r="A56" s="171">
        <v>55</v>
      </c>
      <c r="C56" s="2"/>
      <c r="D56" s="2"/>
      <c r="E56" s="2"/>
      <c r="H56" s="2"/>
    </row>
    <row r="57" spans="1:8" ht="15.75" customHeight="1">
      <c r="A57" s="171">
        <v>56</v>
      </c>
      <c r="C57" s="2"/>
      <c r="D57" s="2"/>
      <c r="E57" s="2"/>
      <c r="H57" s="2"/>
    </row>
    <row r="58" spans="1:8" ht="15.75" customHeight="1">
      <c r="A58" s="171">
        <v>57</v>
      </c>
      <c r="C58" s="2"/>
      <c r="D58" s="2"/>
      <c r="E58" s="2"/>
      <c r="H58" s="2"/>
    </row>
    <row r="59" spans="1:8" ht="15.75" customHeight="1">
      <c r="A59" s="171">
        <v>58</v>
      </c>
      <c r="C59" s="2"/>
      <c r="D59" s="2"/>
      <c r="E59" s="2"/>
      <c r="H59" s="2"/>
    </row>
    <row r="60" spans="1:8" ht="15.75" customHeight="1">
      <c r="A60" s="171">
        <v>59</v>
      </c>
      <c r="C60" s="2"/>
      <c r="D60" s="2"/>
      <c r="E60" s="2"/>
      <c r="H60" s="2"/>
    </row>
    <row r="61" spans="1:8" ht="15.75" customHeight="1">
      <c r="A61" s="171">
        <v>60</v>
      </c>
      <c r="C61" s="2"/>
      <c r="D61" s="2"/>
      <c r="E61" s="2"/>
      <c r="H61" s="2"/>
    </row>
    <row r="62" spans="1:8" ht="15.75" customHeight="1">
      <c r="A62" s="171"/>
      <c r="C62" s="2"/>
      <c r="D62" s="2"/>
      <c r="E62" s="2"/>
      <c r="H62" s="2"/>
    </row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AD1000"/>
  <sheetViews>
    <sheetView workbookViewId="0">
      <selection activeCell="J35" sqref="J35"/>
    </sheetView>
  </sheetViews>
  <sheetFormatPr defaultColWidth="14.42578125" defaultRowHeight="15" customHeight="1"/>
  <cols>
    <col min="1" max="1" width="21.5703125" customWidth="1"/>
    <col min="2" max="2" width="13.28515625" customWidth="1"/>
    <col min="3" max="3" width="10.28515625" customWidth="1"/>
    <col min="4" max="4" width="14.5703125" customWidth="1"/>
    <col min="5" max="5" width="10.42578125" customWidth="1"/>
    <col min="6" max="6" width="11" customWidth="1"/>
    <col min="7" max="7" width="10.42578125" customWidth="1"/>
    <col min="8" max="8" width="10.5703125" customWidth="1"/>
    <col min="9" max="9" width="13.140625" customWidth="1"/>
    <col min="10" max="10" width="10.42578125" customWidth="1"/>
    <col min="11" max="11" width="8.7109375" customWidth="1"/>
    <col min="12" max="12" width="8" customWidth="1"/>
    <col min="13" max="14" width="11" customWidth="1"/>
    <col min="15" max="15" width="7.7109375" customWidth="1"/>
    <col min="16" max="16" width="11.5703125" customWidth="1"/>
    <col min="17" max="17" width="10" customWidth="1"/>
    <col min="18" max="18" width="8" customWidth="1"/>
    <col min="19" max="19" width="11" customWidth="1"/>
    <col min="20" max="20" width="5.140625" customWidth="1"/>
    <col min="21" max="22" width="9.140625" customWidth="1"/>
    <col min="23" max="24" width="9.85546875" customWidth="1"/>
    <col min="25" max="25" width="9.140625" customWidth="1"/>
    <col min="26" max="26" width="11.42578125" customWidth="1"/>
    <col min="27" max="27" width="12.28515625" customWidth="1"/>
    <col min="28" max="30" width="8.5703125" customWidth="1"/>
  </cols>
  <sheetData>
    <row r="1" spans="1:30" ht="12.75" customHeight="1">
      <c r="A1" s="173" t="s">
        <v>329</v>
      </c>
      <c r="B1" s="174"/>
      <c r="C1" s="175"/>
      <c r="D1" s="175"/>
      <c r="E1" s="176"/>
      <c r="F1" s="175"/>
      <c r="G1" s="175"/>
      <c r="H1" s="177"/>
      <c r="I1" s="174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</row>
    <row r="2" spans="1:30" ht="41.25" customHeight="1">
      <c r="A2" s="173"/>
      <c r="B2" s="179" t="s">
        <v>330</v>
      </c>
      <c r="C2" s="180" t="s">
        <v>331</v>
      </c>
      <c r="D2" s="181" t="s">
        <v>332</v>
      </c>
      <c r="E2" s="182" t="s">
        <v>333</v>
      </c>
      <c r="F2" s="183" t="s">
        <v>334</v>
      </c>
      <c r="G2" s="180" t="s">
        <v>335</v>
      </c>
      <c r="H2" s="181" t="s">
        <v>336</v>
      </c>
      <c r="I2" s="183" t="s">
        <v>337</v>
      </c>
      <c r="J2" s="173" t="s">
        <v>338</v>
      </c>
      <c r="K2" s="173"/>
      <c r="L2" s="180" t="s">
        <v>339</v>
      </c>
      <c r="M2" s="180" t="s">
        <v>340</v>
      </c>
      <c r="N2" s="173" t="s">
        <v>341</v>
      </c>
      <c r="O2" s="173"/>
      <c r="P2" s="173" t="str">
        <f t="array" ref="P2:P38">AA41:AA77</f>
        <v>daily full pour</v>
      </c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</row>
    <row r="3" spans="1:30" ht="12.75" customHeight="1">
      <c r="A3" s="178" t="s">
        <v>175</v>
      </c>
      <c r="B3" s="184">
        <v>40</v>
      </c>
      <c r="C3" s="185">
        <f t="shared" ref="C3:C38" si="0">B3/3986</f>
        <v>1.0035122930255895E-2</v>
      </c>
      <c r="D3" s="186">
        <v>16</v>
      </c>
      <c r="E3" s="187">
        <f t="shared" ref="E3:E38" si="1">C3*D3</f>
        <v>0.16056196688409433</v>
      </c>
      <c r="F3" s="184">
        <v>7</v>
      </c>
      <c r="G3" s="184">
        <f t="shared" ref="G3:G38" si="2">F3-E3</f>
        <v>6.8394380331159059</v>
      </c>
      <c r="H3" s="188">
        <f t="shared" ref="H3:H38" si="3">G3/E3</f>
        <v>42.596875000000004</v>
      </c>
      <c r="I3" s="189">
        <f t="shared" ref="I3:I38" si="4">G3/F3</f>
        <v>0.97706257615941516</v>
      </c>
      <c r="J3" s="184">
        <v>12.99</v>
      </c>
      <c r="K3" s="184"/>
      <c r="L3" s="190">
        <f t="shared" ref="L3:L38" si="5">R42</f>
        <v>870.47999999999979</v>
      </c>
      <c r="M3" s="191">
        <v>365</v>
      </c>
      <c r="N3" s="191">
        <f t="shared" ref="N3:N38" si="6">L3/M3</f>
        <v>2.3848767123287664</v>
      </c>
      <c r="O3" s="178"/>
      <c r="P3" s="191">
        <v>17.741452054794522</v>
      </c>
      <c r="Q3" s="178"/>
      <c r="R3" s="184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  <c r="AD3" s="178"/>
    </row>
    <row r="4" spans="1:30" ht="12.75" customHeight="1">
      <c r="A4" s="178" t="s">
        <v>176</v>
      </c>
      <c r="B4" s="184">
        <v>40</v>
      </c>
      <c r="C4" s="185">
        <f t="shared" si="0"/>
        <v>1.0035122930255895E-2</v>
      </c>
      <c r="D4" s="186">
        <v>16</v>
      </c>
      <c r="E4" s="187">
        <f t="shared" si="1"/>
        <v>0.16056196688409433</v>
      </c>
      <c r="F4" s="184">
        <v>7</v>
      </c>
      <c r="G4" s="184">
        <f t="shared" si="2"/>
        <v>6.8394380331159059</v>
      </c>
      <c r="H4" s="188">
        <f t="shared" si="3"/>
        <v>42.596875000000004</v>
      </c>
      <c r="I4" s="189">
        <f t="shared" si="4"/>
        <v>0.97706257615941516</v>
      </c>
      <c r="J4" s="184">
        <v>12.99</v>
      </c>
      <c r="K4" s="184"/>
      <c r="L4" s="190">
        <f t="shared" si="5"/>
        <v>870.47999999999979</v>
      </c>
      <c r="M4" s="191">
        <v>365</v>
      </c>
      <c r="N4" s="191">
        <f t="shared" si="6"/>
        <v>2.3848767123287664</v>
      </c>
      <c r="O4" s="178"/>
      <c r="P4" s="191">
        <v>16.491452054794522</v>
      </c>
      <c r="Q4" s="178"/>
      <c r="R4" s="184"/>
      <c r="S4" s="178"/>
      <c r="T4" s="178"/>
      <c r="U4" s="178"/>
      <c r="V4" s="178"/>
      <c r="W4" s="178"/>
      <c r="X4" s="178"/>
      <c r="Y4" s="178"/>
      <c r="Z4" s="178"/>
      <c r="AA4" s="178"/>
      <c r="AB4" s="178"/>
      <c r="AC4" s="178"/>
      <c r="AD4" s="178"/>
    </row>
    <row r="5" spans="1:30" ht="12.75" customHeight="1">
      <c r="A5" s="178" t="s">
        <v>177</v>
      </c>
      <c r="B5" s="184">
        <v>85</v>
      </c>
      <c r="C5" s="185">
        <f t="shared" si="0"/>
        <v>2.1324636226793779E-2</v>
      </c>
      <c r="D5" s="186">
        <v>14</v>
      </c>
      <c r="E5" s="187">
        <f t="shared" si="1"/>
        <v>0.29854490717511289</v>
      </c>
      <c r="F5" s="184">
        <v>7.5</v>
      </c>
      <c r="G5" s="184">
        <f t="shared" si="2"/>
        <v>7.2014550928248875</v>
      </c>
      <c r="H5" s="188">
        <f t="shared" si="3"/>
        <v>24.1218487394958</v>
      </c>
      <c r="I5" s="189">
        <f t="shared" si="4"/>
        <v>0.9601940123766517</v>
      </c>
      <c r="J5" s="184">
        <v>16.989999999999998</v>
      </c>
      <c r="K5" s="184"/>
      <c r="L5" s="190">
        <f t="shared" si="5"/>
        <v>867.45749999999998</v>
      </c>
      <c r="M5" s="191">
        <v>365</v>
      </c>
      <c r="N5" s="191">
        <f t="shared" si="6"/>
        <v>2.3765958904109588</v>
      </c>
      <c r="O5" s="178"/>
      <c r="P5" s="191">
        <v>18.713956947162426</v>
      </c>
      <c r="Q5" s="178"/>
      <c r="R5" s="184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  <c r="AD5" s="178"/>
    </row>
    <row r="6" spans="1:30" ht="12.75" customHeight="1">
      <c r="A6" s="178" t="s">
        <v>178</v>
      </c>
      <c r="B6" s="184">
        <v>130</v>
      </c>
      <c r="C6" s="185">
        <f t="shared" si="0"/>
        <v>3.2614149523331658E-2</v>
      </c>
      <c r="D6" s="186">
        <v>14</v>
      </c>
      <c r="E6" s="187">
        <f t="shared" si="1"/>
        <v>0.4565980933266432</v>
      </c>
      <c r="F6" s="184">
        <v>7.5</v>
      </c>
      <c r="G6" s="184">
        <f t="shared" si="2"/>
        <v>7.0434019066733571</v>
      </c>
      <c r="H6" s="188">
        <f t="shared" si="3"/>
        <v>15.425824175824179</v>
      </c>
      <c r="I6" s="189">
        <f t="shared" si="4"/>
        <v>0.93912025422311429</v>
      </c>
      <c r="J6" s="184">
        <v>16.989999999999998</v>
      </c>
      <c r="K6" s="184"/>
      <c r="L6" s="190">
        <f t="shared" si="5"/>
        <v>822.11999999999989</v>
      </c>
      <c r="M6" s="191">
        <v>365</v>
      </c>
      <c r="N6" s="191">
        <f t="shared" si="6"/>
        <v>2.2523835616438355</v>
      </c>
      <c r="O6" s="178"/>
      <c r="P6" s="191">
        <v>20.417440313111548</v>
      </c>
      <c r="Q6" s="178"/>
      <c r="R6" s="184"/>
      <c r="S6" s="178"/>
      <c r="T6" s="178"/>
      <c r="U6" s="178"/>
      <c r="V6" s="178"/>
      <c r="W6" s="178"/>
      <c r="X6" s="178"/>
      <c r="Y6" s="178"/>
      <c r="Z6" s="178"/>
      <c r="AA6" s="178"/>
      <c r="AB6" s="178"/>
      <c r="AC6" s="178"/>
      <c r="AD6" s="178"/>
    </row>
    <row r="7" spans="1:30" ht="12.75" customHeight="1">
      <c r="A7" s="178" t="s">
        <v>179</v>
      </c>
      <c r="B7" s="184">
        <v>45</v>
      </c>
      <c r="C7" s="185">
        <f t="shared" si="0"/>
        <v>1.1289513296537882E-2</v>
      </c>
      <c r="D7" s="186">
        <v>16</v>
      </c>
      <c r="E7" s="187">
        <f t="shared" si="1"/>
        <v>0.18063221274460611</v>
      </c>
      <c r="F7" s="184">
        <v>7</v>
      </c>
      <c r="G7" s="184">
        <f t="shared" si="2"/>
        <v>6.8193677872553939</v>
      </c>
      <c r="H7" s="188">
        <f t="shared" si="3"/>
        <v>37.75277777777778</v>
      </c>
      <c r="I7" s="189">
        <f t="shared" si="4"/>
        <v>0.97419539817934198</v>
      </c>
      <c r="J7" s="184">
        <v>12.99</v>
      </c>
      <c r="K7" s="184"/>
      <c r="L7" s="190">
        <f t="shared" si="5"/>
        <v>0</v>
      </c>
      <c r="M7" s="191">
        <v>365</v>
      </c>
      <c r="N7" s="191">
        <f t="shared" si="6"/>
        <v>0</v>
      </c>
      <c r="O7" s="178"/>
      <c r="P7" s="191">
        <v>14.504054794520549</v>
      </c>
      <c r="Q7" s="178"/>
      <c r="R7" s="184"/>
      <c r="S7" s="178"/>
      <c r="T7" s="178"/>
      <c r="U7" s="178"/>
      <c r="V7" s="178"/>
      <c r="W7" s="178"/>
      <c r="X7" s="178"/>
      <c r="Y7" s="178"/>
      <c r="Z7" s="178"/>
      <c r="AA7" s="178"/>
      <c r="AB7" s="178"/>
      <c r="AC7" s="178"/>
      <c r="AD7" s="178"/>
    </row>
    <row r="8" spans="1:30" ht="12.75" customHeight="1">
      <c r="A8" s="178" t="s">
        <v>180</v>
      </c>
      <c r="B8" s="184">
        <v>100</v>
      </c>
      <c r="C8" s="185">
        <f t="shared" si="0"/>
        <v>2.5087807325639738E-2</v>
      </c>
      <c r="D8" s="186">
        <v>12</v>
      </c>
      <c r="E8" s="187">
        <f t="shared" si="1"/>
        <v>0.30105368790767684</v>
      </c>
      <c r="F8" s="184">
        <v>8</v>
      </c>
      <c r="G8" s="184">
        <f t="shared" si="2"/>
        <v>7.6989463120923229</v>
      </c>
      <c r="H8" s="188">
        <f t="shared" si="3"/>
        <v>25.573333333333334</v>
      </c>
      <c r="I8" s="189">
        <f t="shared" si="4"/>
        <v>0.96236828901154037</v>
      </c>
      <c r="J8" s="184">
        <v>14.99</v>
      </c>
      <c r="K8" s="184"/>
      <c r="L8" s="190">
        <f t="shared" si="5"/>
        <v>119.691</v>
      </c>
      <c r="M8" s="178">
        <v>91.25</v>
      </c>
      <c r="N8" s="191">
        <f t="shared" si="6"/>
        <v>1.3116821917808219</v>
      </c>
      <c r="O8" s="178"/>
      <c r="P8" s="191">
        <v>20.702754337899545</v>
      </c>
      <c r="Q8" s="178"/>
      <c r="R8" s="184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</row>
    <row r="9" spans="1:30" ht="12.75" customHeight="1">
      <c r="A9" s="178" t="s">
        <v>181</v>
      </c>
      <c r="B9" s="184">
        <v>85</v>
      </c>
      <c r="C9" s="185">
        <f t="shared" si="0"/>
        <v>2.1324636226793779E-2</v>
      </c>
      <c r="D9" s="186">
        <v>14</v>
      </c>
      <c r="E9" s="187">
        <f t="shared" si="1"/>
        <v>0.29854490717511289</v>
      </c>
      <c r="F9" s="184">
        <v>7.5</v>
      </c>
      <c r="G9" s="184">
        <f t="shared" si="2"/>
        <v>7.2014550928248875</v>
      </c>
      <c r="H9" s="188">
        <f t="shared" si="3"/>
        <v>24.1218487394958</v>
      </c>
      <c r="I9" s="189">
        <f t="shared" si="4"/>
        <v>0.9601940123766517</v>
      </c>
      <c r="J9" s="184">
        <v>14.99</v>
      </c>
      <c r="K9" s="184"/>
      <c r="L9" s="190">
        <f t="shared" si="5"/>
        <v>119.691</v>
      </c>
      <c r="M9" s="178">
        <v>91.25</v>
      </c>
      <c r="N9" s="191">
        <f t="shared" si="6"/>
        <v>1.3116821917808219</v>
      </c>
      <c r="O9" s="178"/>
      <c r="P9" s="191">
        <v>17.745218003913898</v>
      </c>
      <c r="Q9" s="178"/>
      <c r="R9" s="184"/>
      <c r="S9" s="178"/>
      <c r="T9" s="178"/>
      <c r="U9" s="178"/>
      <c r="V9" s="178"/>
      <c r="W9" s="178"/>
      <c r="X9" s="178"/>
      <c r="Y9" s="178"/>
      <c r="Z9" s="178"/>
      <c r="AA9" s="178"/>
      <c r="AB9" s="178"/>
      <c r="AC9" s="178"/>
      <c r="AD9" s="178"/>
    </row>
    <row r="10" spans="1:30" ht="12.75" customHeight="1">
      <c r="A10" s="178" t="s">
        <v>182</v>
      </c>
      <c r="B10" s="184">
        <v>90</v>
      </c>
      <c r="C10" s="185">
        <f t="shared" si="0"/>
        <v>2.2579026593075764E-2</v>
      </c>
      <c r="D10" s="186">
        <v>14</v>
      </c>
      <c r="E10" s="187">
        <f t="shared" si="1"/>
        <v>0.31610637230306071</v>
      </c>
      <c r="F10" s="184">
        <v>7.5</v>
      </c>
      <c r="G10" s="184">
        <f t="shared" si="2"/>
        <v>7.1838936276969392</v>
      </c>
      <c r="H10" s="188">
        <f t="shared" si="3"/>
        <v>22.726190476190474</v>
      </c>
      <c r="I10" s="189">
        <f t="shared" si="4"/>
        <v>0.95785248369292519</v>
      </c>
      <c r="J10" s="184">
        <v>16.989999999999998</v>
      </c>
      <c r="K10" s="184"/>
      <c r="L10" s="190">
        <f t="shared" si="5"/>
        <v>239.38200000000001</v>
      </c>
      <c r="M10" s="178">
        <v>91.25</v>
      </c>
      <c r="N10" s="191">
        <f t="shared" si="6"/>
        <v>2.6233643835616438</v>
      </c>
      <c r="O10" s="178"/>
      <c r="P10" s="191">
        <v>11.748956555772995</v>
      </c>
      <c r="Q10" s="178"/>
      <c r="R10" s="184"/>
      <c r="S10" s="178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</row>
    <row r="11" spans="1:30" ht="12.75" customHeight="1">
      <c r="A11" s="178" t="s">
        <v>183</v>
      </c>
      <c r="B11" s="184">
        <v>65</v>
      </c>
      <c r="C11" s="185">
        <f t="shared" si="0"/>
        <v>1.6307074761665829E-2</v>
      </c>
      <c r="D11" s="186">
        <v>12</v>
      </c>
      <c r="E11" s="187">
        <f t="shared" si="1"/>
        <v>0.19568489713998993</v>
      </c>
      <c r="F11" s="184">
        <v>8</v>
      </c>
      <c r="G11" s="184">
        <f t="shared" si="2"/>
        <v>7.8043151028600102</v>
      </c>
      <c r="H11" s="188">
        <f t="shared" si="3"/>
        <v>39.882051282051286</v>
      </c>
      <c r="I11" s="189">
        <f t="shared" si="4"/>
        <v>0.97553938785750127</v>
      </c>
      <c r="J11" s="184">
        <v>21.99</v>
      </c>
      <c r="K11" s="184"/>
      <c r="L11" s="190">
        <f t="shared" si="5"/>
        <v>239.38200000000001</v>
      </c>
      <c r="M11" s="178">
        <v>91.25</v>
      </c>
      <c r="N11" s="191">
        <f t="shared" si="6"/>
        <v>2.6233643835616438</v>
      </c>
      <c r="O11" s="178"/>
      <c r="P11" s="191">
        <v>13.707115981735162</v>
      </c>
      <c r="Q11" s="178"/>
      <c r="R11" s="184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</row>
    <row r="12" spans="1:30" ht="12.75" customHeight="1">
      <c r="A12" s="178" t="s">
        <v>184</v>
      </c>
      <c r="B12" s="184">
        <v>110</v>
      </c>
      <c r="C12" s="185">
        <f t="shared" si="0"/>
        <v>2.7596588058203714E-2</v>
      </c>
      <c r="D12" s="186">
        <v>14</v>
      </c>
      <c r="E12" s="187">
        <f t="shared" si="1"/>
        <v>0.38635223281485198</v>
      </c>
      <c r="F12" s="184">
        <v>7.5</v>
      </c>
      <c r="G12" s="184">
        <f t="shared" si="2"/>
        <v>7.1136477671851477</v>
      </c>
      <c r="H12" s="188">
        <f t="shared" si="3"/>
        <v>18.412337662337663</v>
      </c>
      <c r="I12" s="189">
        <f t="shared" si="4"/>
        <v>0.94848636895801974</v>
      </c>
      <c r="J12" s="184">
        <v>14.99</v>
      </c>
      <c r="K12" s="184"/>
      <c r="L12" s="190">
        <f t="shared" si="5"/>
        <v>120.96044999999999</v>
      </c>
      <c r="M12" s="178">
        <v>73</v>
      </c>
      <c r="N12" s="191">
        <f t="shared" si="6"/>
        <v>1.6569924657534245</v>
      </c>
      <c r="O12" s="178"/>
      <c r="P12" s="191">
        <v>19.59347475538161</v>
      </c>
      <c r="Q12" s="178"/>
      <c r="R12" s="184"/>
      <c r="S12" s="178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</row>
    <row r="13" spans="1:30" ht="12.75" customHeight="1">
      <c r="A13" s="178" t="s">
        <v>185</v>
      </c>
      <c r="B13" s="184">
        <v>120</v>
      </c>
      <c r="C13" s="185">
        <f t="shared" si="0"/>
        <v>3.0105368790767688E-2</v>
      </c>
      <c r="D13" s="186">
        <v>14</v>
      </c>
      <c r="E13" s="187">
        <f t="shared" si="1"/>
        <v>0.42147516307074762</v>
      </c>
      <c r="F13" s="184">
        <v>7.5</v>
      </c>
      <c r="G13" s="184">
        <f t="shared" si="2"/>
        <v>7.0785248369292528</v>
      </c>
      <c r="H13" s="188">
        <f t="shared" si="3"/>
        <v>16.794642857142858</v>
      </c>
      <c r="I13" s="189">
        <f t="shared" si="4"/>
        <v>0.94380331159056707</v>
      </c>
      <c r="J13" s="184">
        <v>16.989999999999998</v>
      </c>
      <c r="K13" s="184"/>
      <c r="L13" s="190">
        <f t="shared" si="5"/>
        <v>120.96044999999999</v>
      </c>
      <c r="M13" s="178">
        <v>73</v>
      </c>
      <c r="N13" s="191">
        <f t="shared" si="6"/>
        <v>1.6569924657534245</v>
      </c>
      <c r="O13" s="178"/>
      <c r="P13" s="191">
        <v>19.59347475538161</v>
      </c>
      <c r="Q13" s="178"/>
      <c r="R13" s="184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</row>
    <row r="14" spans="1:30" ht="12.75" customHeight="1">
      <c r="A14" s="178" t="s">
        <v>186</v>
      </c>
      <c r="B14" s="184">
        <v>130</v>
      </c>
      <c r="C14" s="185">
        <f t="shared" si="0"/>
        <v>3.2614149523331658E-2</v>
      </c>
      <c r="D14" s="186">
        <v>14</v>
      </c>
      <c r="E14" s="187">
        <f t="shared" si="1"/>
        <v>0.4565980933266432</v>
      </c>
      <c r="F14" s="184">
        <v>7.5</v>
      </c>
      <c r="G14" s="184">
        <f t="shared" si="2"/>
        <v>7.0434019066733571</v>
      </c>
      <c r="H14" s="188">
        <f t="shared" si="3"/>
        <v>15.425824175824179</v>
      </c>
      <c r="I14" s="189">
        <f t="shared" si="4"/>
        <v>0.93912025422311429</v>
      </c>
      <c r="J14" s="184">
        <v>16.989999999999998</v>
      </c>
      <c r="K14" s="184"/>
      <c r="L14" s="190">
        <f t="shared" si="5"/>
        <v>120.96044999999999</v>
      </c>
      <c r="M14" s="178">
        <v>73</v>
      </c>
      <c r="N14" s="191">
        <f t="shared" si="6"/>
        <v>1.6569924657534245</v>
      </c>
      <c r="O14" s="178"/>
      <c r="P14" s="191">
        <v>19.59347475538161</v>
      </c>
      <c r="Q14" s="178"/>
      <c r="R14" s="184"/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</row>
    <row r="15" spans="1:30" ht="12.75" customHeight="1">
      <c r="A15" s="178" t="s">
        <v>187</v>
      </c>
      <c r="B15" s="184">
        <v>140</v>
      </c>
      <c r="C15" s="185">
        <f t="shared" si="0"/>
        <v>3.5122930255895635E-2</v>
      </c>
      <c r="D15" s="186">
        <v>14</v>
      </c>
      <c r="E15" s="187">
        <f t="shared" si="1"/>
        <v>0.49172102358253889</v>
      </c>
      <c r="F15" s="184">
        <v>7.5</v>
      </c>
      <c r="G15" s="184">
        <f t="shared" si="2"/>
        <v>7.0082789764174613</v>
      </c>
      <c r="H15" s="188">
        <f t="shared" si="3"/>
        <v>14.252551020408164</v>
      </c>
      <c r="I15" s="189">
        <f t="shared" si="4"/>
        <v>0.93443719685566151</v>
      </c>
      <c r="J15" s="184">
        <v>16.989999999999998</v>
      </c>
      <c r="K15" s="184"/>
      <c r="L15" s="190">
        <f t="shared" si="5"/>
        <v>120.96044999999999</v>
      </c>
      <c r="M15" s="178">
        <v>73</v>
      </c>
      <c r="N15" s="191">
        <f t="shared" si="6"/>
        <v>1.6569924657534245</v>
      </c>
      <c r="O15" s="178"/>
      <c r="P15" s="191">
        <v>19.59347475538161</v>
      </c>
      <c r="Q15" s="178"/>
      <c r="R15" s="184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</row>
    <row r="16" spans="1:30" ht="12.75" customHeight="1">
      <c r="A16" s="178" t="s">
        <v>188</v>
      </c>
      <c r="B16" s="184">
        <v>150</v>
      </c>
      <c r="C16" s="185">
        <f t="shared" si="0"/>
        <v>3.7631710988459612E-2</v>
      </c>
      <c r="D16" s="186">
        <v>14</v>
      </c>
      <c r="E16" s="187">
        <f t="shared" si="1"/>
        <v>0.52684395383843452</v>
      </c>
      <c r="F16" s="184">
        <v>7.5</v>
      </c>
      <c r="G16" s="184">
        <f t="shared" si="2"/>
        <v>6.9731560461615656</v>
      </c>
      <c r="H16" s="188">
        <f t="shared" si="3"/>
        <v>13.235714285714286</v>
      </c>
      <c r="I16" s="189">
        <f t="shared" si="4"/>
        <v>0.92975413948820873</v>
      </c>
      <c r="J16" s="184">
        <v>18.989999999999998</v>
      </c>
      <c r="K16" s="184"/>
      <c r="L16" s="190">
        <f t="shared" si="5"/>
        <v>178.81109999999998</v>
      </c>
      <c r="M16" s="178">
        <v>73</v>
      </c>
      <c r="N16" s="191">
        <f t="shared" si="6"/>
        <v>2.449467123287671</v>
      </c>
      <c r="O16" s="178"/>
      <c r="P16" s="191">
        <v>15.970733463796478</v>
      </c>
      <c r="Q16" s="178"/>
      <c r="R16" s="184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</row>
    <row r="17" spans="1:30" ht="12.75" customHeight="1">
      <c r="A17" s="178" t="s">
        <v>189</v>
      </c>
      <c r="B17" s="184">
        <v>105</v>
      </c>
      <c r="C17" s="185">
        <f t="shared" si="0"/>
        <v>2.6342197691921726E-2</v>
      </c>
      <c r="D17" s="186">
        <v>14</v>
      </c>
      <c r="E17" s="187">
        <f t="shared" si="1"/>
        <v>0.36879076768690416</v>
      </c>
      <c r="F17" s="184">
        <v>7.5</v>
      </c>
      <c r="G17" s="184">
        <f t="shared" si="2"/>
        <v>7.131209232313096</v>
      </c>
      <c r="H17" s="188">
        <f t="shared" si="3"/>
        <v>19.336734693877553</v>
      </c>
      <c r="I17" s="189">
        <f t="shared" si="4"/>
        <v>0.95082789764174613</v>
      </c>
      <c r="J17" s="184">
        <v>14.99</v>
      </c>
      <c r="K17" s="184"/>
      <c r="L17" s="190">
        <f t="shared" si="5"/>
        <v>120.748875</v>
      </c>
      <c r="M17" s="178">
        <v>45.625</v>
      </c>
      <c r="N17" s="191">
        <f t="shared" si="6"/>
        <v>2.646550684931507</v>
      </c>
      <c r="O17" s="178"/>
      <c r="P17" s="191">
        <v>35.761678277886496</v>
      </c>
      <c r="Q17" s="178"/>
      <c r="R17" s="184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</row>
    <row r="18" spans="1:30" ht="12.75" customHeight="1">
      <c r="A18" s="178" t="s">
        <v>190</v>
      </c>
      <c r="B18" s="184">
        <v>110</v>
      </c>
      <c r="C18" s="185">
        <f t="shared" si="0"/>
        <v>2.7596588058203714E-2</v>
      </c>
      <c r="D18" s="186">
        <v>14</v>
      </c>
      <c r="E18" s="187">
        <f t="shared" si="1"/>
        <v>0.38635223281485198</v>
      </c>
      <c r="F18" s="184">
        <v>7.5</v>
      </c>
      <c r="G18" s="184">
        <f t="shared" si="2"/>
        <v>7.1136477671851477</v>
      </c>
      <c r="H18" s="188">
        <f t="shared" si="3"/>
        <v>18.412337662337663</v>
      </c>
      <c r="I18" s="189">
        <f t="shared" si="4"/>
        <v>0.94848636895801974</v>
      </c>
      <c r="J18" s="184">
        <v>14.99</v>
      </c>
      <c r="K18" s="184"/>
      <c r="L18" s="190">
        <f t="shared" si="5"/>
        <v>120.748875</v>
      </c>
      <c r="M18" s="178">
        <v>45.625</v>
      </c>
      <c r="N18" s="191">
        <f t="shared" si="6"/>
        <v>2.646550684931507</v>
      </c>
      <c r="O18" s="178"/>
      <c r="P18" s="191">
        <v>35.761678277886496</v>
      </c>
      <c r="Q18" s="178"/>
      <c r="R18" s="184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</row>
    <row r="19" spans="1:30" ht="12.75" customHeight="1">
      <c r="A19" s="178" t="s">
        <v>191</v>
      </c>
      <c r="B19" s="184">
        <v>120</v>
      </c>
      <c r="C19" s="185">
        <f t="shared" si="0"/>
        <v>3.0105368790767688E-2</v>
      </c>
      <c r="D19" s="186">
        <v>14</v>
      </c>
      <c r="E19" s="187">
        <f t="shared" si="1"/>
        <v>0.42147516307074762</v>
      </c>
      <c r="F19" s="184">
        <v>7.5</v>
      </c>
      <c r="G19" s="184">
        <f t="shared" si="2"/>
        <v>7.0785248369292528</v>
      </c>
      <c r="H19" s="188">
        <f t="shared" si="3"/>
        <v>16.794642857142858</v>
      </c>
      <c r="I19" s="189">
        <f t="shared" si="4"/>
        <v>0.94380331159056707</v>
      </c>
      <c r="J19" s="184">
        <v>16.989999999999998</v>
      </c>
      <c r="K19" s="184"/>
      <c r="L19" s="190">
        <f t="shared" si="5"/>
        <v>120.748875</v>
      </c>
      <c r="M19" s="178">
        <v>45.625</v>
      </c>
      <c r="N19" s="191">
        <f t="shared" si="6"/>
        <v>2.646550684931507</v>
      </c>
      <c r="O19" s="178"/>
      <c r="P19" s="191">
        <v>35.761678277886496</v>
      </c>
      <c r="Q19" s="178"/>
      <c r="R19" s="184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</row>
    <row r="20" spans="1:30" ht="12.75" customHeight="1">
      <c r="A20" s="178" t="s">
        <v>192</v>
      </c>
      <c r="B20" s="184">
        <v>130</v>
      </c>
      <c r="C20" s="185">
        <f t="shared" si="0"/>
        <v>3.2614149523331658E-2</v>
      </c>
      <c r="D20" s="186">
        <v>14</v>
      </c>
      <c r="E20" s="187">
        <f t="shared" si="1"/>
        <v>0.4565980933266432</v>
      </c>
      <c r="F20" s="184">
        <v>7.5</v>
      </c>
      <c r="G20" s="184">
        <f t="shared" si="2"/>
        <v>7.0434019066733571</v>
      </c>
      <c r="H20" s="188">
        <f t="shared" si="3"/>
        <v>15.425824175824179</v>
      </c>
      <c r="I20" s="189">
        <f t="shared" si="4"/>
        <v>0.93912025422311429</v>
      </c>
      <c r="J20" s="184">
        <v>16.989999999999998</v>
      </c>
      <c r="K20" s="184"/>
      <c r="L20" s="190">
        <f t="shared" si="5"/>
        <v>120.748875</v>
      </c>
      <c r="M20" s="178">
        <v>45.625</v>
      </c>
      <c r="N20" s="191">
        <f t="shared" si="6"/>
        <v>2.646550684931507</v>
      </c>
      <c r="O20" s="178"/>
      <c r="P20" s="191">
        <v>35.761678277886496</v>
      </c>
      <c r="Q20" s="178"/>
      <c r="R20" s="184"/>
      <c r="S20" s="178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  <c r="AD20" s="178"/>
    </row>
    <row r="21" spans="1:30" ht="12.75" customHeight="1">
      <c r="A21" s="178" t="s">
        <v>193</v>
      </c>
      <c r="B21" s="184">
        <v>140</v>
      </c>
      <c r="C21" s="185">
        <f t="shared" si="0"/>
        <v>3.5122930255895635E-2</v>
      </c>
      <c r="D21" s="186">
        <v>14</v>
      </c>
      <c r="E21" s="187">
        <f t="shared" si="1"/>
        <v>0.49172102358253889</v>
      </c>
      <c r="F21" s="184">
        <v>7.5</v>
      </c>
      <c r="G21" s="184">
        <f t="shared" si="2"/>
        <v>7.0082789764174613</v>
      </c>
      <c r="H21" s="188">
        <f t="shared" si="3"/>
        <v>14.252551020408164</v>
      </c>
      <c r="I21" s="189">
        <f t="shared" si="4"/>
        <v>0.93443719685566151</v>
      </c>
      <c r="J21" s="184">
        <v>18.989999999999998</v>
      </c>
      <c r="K21" s="184"/>
      <c r="L21" s="190">
        <f t="shared" si="5"/>
        <v>120.748875</v>
      </c>
      <c r="M21" s="178">
        <v>45.625</v>
      </c>
      <c r="N21" s="191">
        <f t="shared" si="6"/>
        <v>2.646550684931507</v>
      </c>
      <c r="O21" s="178"/>
      <c r="P21" s="191">
        <v>35.761678277886496</v>
      </c>
      <c r="Q21" s="178"/>
      <c r="R21" s="184"/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</row>
    <row r="22" spans="1:30" ht="12.75" customHeight="1">
      <c r="A22" s="178" t="s">
        <v>194</v>
      </c>
      <c r="B22" s="184">
        <v>150</v>
      </c>
      <c r="C22" s="185">
        <f t="shared" si="0"/>
        <v>3.7631710988459612E-2</v>
      </c>
      <c r="D22" s="186">
        <v>14</v>
      </c>
      <c r="E22" s="187">
        <f t="shared" si="1"/>
        <v>0.52684395383843452</v>
      </c>
      <c r="F22" s="184">
        <v>8</v>
      </c>
      <c r="G22" s="184">
        <f t="shared" si="2"/>
        <v>7.4731560461615656</v>
      </c>
      <c r="H22" s="188">
        <f t="shared" si="3"/>
        <v>14.184761904761904</v>
      </c>
      <c r="I22" s="189">
        <f t="shared" si="4"/>
        <v>0.9341445057701957</v>
      </c>
      <c r="J22" s="184">
        <v>21.99</v>
      </c>
      <c r="K22" s="184"/>
      <c r="L22" s="190">
        <f t="shared" si="5"/>
        <v>120.748875</v>
      </c>
      <c r="M22" s="178">
        <v>45.625</v>
      </c>
      <c r="N22" s="191">
        <f t="shared" si="6"/>
        <v>2.646550684931507</v>
      </c>
      <c r="O22" s="178"/>
      <c r="P22" s="191">
        <v>35.761678277886496</v>
      </c>
      <c r="Q22" s="178"/>
      <c r="R22" s="184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</row>
    <row r="23" spans="1:30" ht="12.75" customHeight="1">
      <c r="A23" s="178" t="s">
        <v>195</v>
      </c>
      <c r="B23" s="184">
        <v>150</v>
      </c>
      <c r="C23" s="185">
        <f t="shared" si="0"/>
        <v>3.7631710988459612E-2</v>
      </c>
      <c r="D23" s="186">
        <v>14</v>
      </c>
      <c r="E23" s="187">
        <f t="shared" si="1"/>
        <v>0.52684395383843452</v>
      </c>
      <c r="F23" s="184">
        <v>8</v>
      </c>
      <c r="G23" s="184">
        <f t="shared" si="2"/>
        <v>7.4731560461615656</v>
      </c>
      <c r="H23" s="188">
        <f t="shared" si="3"/>
        <v>14.184761904761904</v>
      </c>
      <c r="I23" s="189">
        <f t="shared" si="4"/>
        <v>0.9341445057701957</v>
      </c>
      <c r="J23" s="184">
        <v>21.99</v>
      </c>
      <c r="K23" s="184"/>
      <c r="L23" s="190">
        <f t="shared" si="5"/>
        <v>179.83874999999998</v>
      </c>
      <c r="M23" s="178">
        <v>45.625</v>
      </c>
      <c r="N23" s="191">
        <f t="shared" si="6"/>
        <v>3.9416712328767116</v>
      </c>
      <c r="O23" s="178"/>
      <c r="P23" s="191">
        <v>29.841127201565559</v>
      </c>
      <c r="Q23" s="178"/>
      <c r="R23" s="184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</row>
    <row r="24" spans="1:30" ht="12.75" customHeight="1">
      <c r="A24" s="178" t="s">
        <v>196</v>
      </c>
      <c r="B24" s="184">
        <v>150</v>
      </c>
      <c r="C24" s="185">
        <f t="shared" si="0"/>
        <v>3.7631710988459612E-2</v>
      </c>
      <c r="D24" s="186">
        <v>14</v>
      </c>
      <c r="E24" s="187">
        <f t="shared" si="1"/>
        <v>0.52684395383843452</v>
      </c>
      <c r="F24" s="184">
        <v>8</v>
      </c>
      <c r="G24" s="184">
        <f t="shared" si="2"/>
        <v>7.4731560461615656</v>
      </c>
      <c r="H24" s="188">
        <f t="shared" si="3"/>
        <v>14.184761904761904</v>
      </c>
      <c r="I24" s="189">
        <f t="shared" si="4"/>
        <v>0.9341445057701957</v>
      </c>
      <c r="J24" s="184">
        <v>21.99</v>
      </c>
      <c r="K24" s="184"/>
      <c r="L24" s="190">
        <f t="shared" si="5"/>
        <v>179.83874999999998</v>
      </c>
      <c r="M24" s="178">
        <v>45.625</v>
      </c>
      <c r="N24" s="191">
        <f t="shared" si="6"/>
        <v>3.9416712328767116</v>
      </c>
      <c r="O24" s="178"/>
      <c r="P24" s="191">
        <v>29.841127201565559</v>
      </c>
      <c r="Q24" s="178"/>
      <c r="R24" s="184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  <c r="AD24" s="178"/>
    </row>
    <row r="25" spans="1:30" ht="12.75" customHeight="1">
      <c r="A25" s="178" t="s">
        <v>197</v>
      </c>
      <c r="B25" s="184">
        <v>140</v>
      </c>
      <c r="C25" s="185">
        <f t="shared" si="0"/>
        <v>3.5122930255895635E-2</v>
      </c>
      <c r="D25" s="186">
        <v>12</v>
      </c>
      <c r="E25" s="187">
        <f t="shared" si="1"/>
        <v>0.42147516307074762</v>
      </c>
      <c r="F25" s="184">
        <v>8.5</v>
      </c>
      <c r="G25" s="184">
        <f t="shared" si="2"/>
        <v>8.0785248369292528</v>
      </c>
      <c r="H25" s="188">
        <f t="shared" si="3"/>
        <v>19.167261904761904</v>
      </c>
      <c r="I25" s="189">
        <f t="shared" si="4"/>
        <v>0.95041468669755913</v>
      </c>
      <c r="J25" s="184">
        <v>18.989999999999998</v>
      </c>
      <c r="K25" s="184"/>
      <c r="L25" s="190">
        <f t="shared" si="5"/>
        <v>178.93200000000002</v>
      </c>
      <c r="M25" s="178">
        <v>91.25</v>
      </c>
      <c r="N25" s="191">
        <f t="shared" si="6"/>
        <v>1.9608986301369864</v>
      </c>
      <c r="O25" s="178"/>
      <c r="P25" s="191">
        <v>9.4137461187214608</v>
      </c>
      <c r="Q25" s="178"/>
      <c r="R25" s="184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</row>
    <row r="26" spans="1:30" ht="12.75" customHeight="1">
      <c r="A26" s="178" t="s">
        <v>198</v>
      </c>
      <c r="B26" s="184">
        <v>150</v>
      </c>
      <c r="C26" s="185">
        <f t="shared" si="0"/>
        <v>3.7631710988459612E-2</v>
      </c>
      <c r="D26" s="186">
        <v>12</v>
      </c>
      <c r="E26" s="187">
        <f t="shared" si="1"/>
        <v>0.45158053186151537</v>
      </c>
      <c r="F26" s="184">
        <v>8.5</v>
      </c>
      <c r="G26" s="184">
        <f t="shared" si="2"/>
        <v>8.0484194681384853</v>
      </c>
      <c r="H26" s="188">
        <f t="shared" si="3"/>
        <v>17.822777777777777</v>
      </c>
      <c r="I26" s="189">
        <f t="shared" si="4"/>
        <v>0.94687287860452773</v>
      </c>
      <c r="J26" s="184">
        <v>21.99</v>
      </c>
      <c r="K26" s="184"/>
      <c r="L26" s="190">
        <f t="shared" si="5"/>
        <v>178.93200000000002</v>
      </c>
      <c r="M26" s="178">
        <v>91.25</v>
      </c>
      <c r="N26" s="191">
        <f t="shared" si="6"/>
        <v>1.9608986301369864</v>
      </c>
      <c r="O26" s="178"/>
      <c r="P26" s="191">
        <v>9.4137461187214608</v>
      </c>
      <c r="Q26" s="178"/>
      <c r="R26" s="184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  <c r="AD26" s="178"/>
    </row>
    <row r="27" spans="1:30" ht="12.75" customHeight="1">
      <c r="A27" s="178" t="s">
        <v>199</v>
      </c>
      <c r="B27" s="184">
        <v>160</v>
      </c>
      <c r="C27" s="185">
        <f t="shared" si="0"/>
        <v>4.0140491721023581E-2</v>
      </c>
      <c r="D27" s="186">
        <v>12</v>
      </c>
      <c r="E27" s="187">
        <f t="shared" si="1"/>
        <v>0.48168590065228301</v>
      </c>
      <c r="F27" s="184">
        <v>8.5</v>
      </c>
      <c r="G27" s="184">
        <f t="shared" si="2"/>
        <v>8.0183140993477178</v>
      </c>
      <c r="H27" s="188">
        <f t="shared" si="3"/>
        <v>16.646354166666669</v>
      </c>
      <c r="I27" s="189">
        <f t="shared" si="4"/>
        <v>0.94333107051149623</v>
      </c>
      <c r="J27" s="184">
        <v>21.99</v>
      </c>
      <c r="K27" s="184"/>
      <c r="L27" s="190">
        <f t="shared" si="5"/>
        <v>178.93200000000002</v>
      </c>
      <c r="M27" s="178">
        <v>91.25</v>
      </c>
      <c r="N27" s="191">
        <f t="shared" si="6"/>
        <v>1.9608986301369864</v>
      </c>
      <c r="O27" s="178"/>
      <c r="P27" s="191">
        <v>9.4137461187214608</v>
      </c>
      <c r="Q27" s="178"/>
      <c r="R27" s="184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</row>
    <row r="28" spans="1:30" ht="12.75" customHeight="1">
      <c r="A28" s="178" t="s">
        <v>200</v>
      </c>
      <c r="B28" s="184">
        <v>170</v>
      </c>
      <c r="C28" s="185">
        <f t="shared" si="0"/>
        <v>4.2649272453587558E-2</v>
      </c>
      <c r="D28" s="186">
        <v>12</v>
      </c>
      <c r="E28" s="187">
        <f t="shared" si="1"/>
        <v>0.51179126944305064</v>
      </c>
      <c r="F28" s="184">
        <v>8.5</v>
      </c>
      <c r="G28" s="184">
        <f t="shared" si="2"/>
        <v>7.9882087305569494</v>
      </c>
      <c r="H28" s="188">
        <f t="shared" si="3"/>
        <v>15.608333333333334</v>
      </c>
      <c r="I28" s="189">
        <f t="shared" si="4"/>
        <v>0.93978926241846461</v>
      </c>
      <c r="J28" s="184">
        <v>23.99</v>
      </c>
      <c r="K28" s="184"/>
      <c r="L28" s="190">
        <f t="shared" si="5"/>
        <v>178.93200000000002</v>
      </c>
      <c r="M28" s="178">
        <v>91.25</v>
      </c>
      <c r="N28" s="191">
        <f t="shared" si="6"/>
        <v>1.9608986301369864</v>
      </c>
      <c r="O28" s="178"/>
      <c r="P28" s="191">
        <v>9.4137461187214608</v>
      </c>
      <c r="Q28" s="178"/>
      <c r="R28" s="184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</row>
    <row r="29" spans="1:30" ht="12.75" customHeight="1">
      <c r="A29" s="178" t="s">
        <v>201</v>
      </c>
      <c r="B29" s="184">
        <v>75</v>
      </c>
      <c r="C29" s="185">
        <f t="shared" si="0"/>
        <v>1.8815855494229806E-2</v>
      </c>
      <c r="D29" s="186">
        <v>16</v>
      </c>
      <c r="E29" s="187">
        <f t="shared" si="1"/>
        <v>0.30105368790767689</v>
      </c>
      <c r="F29" s="184">
        <v>7</v>
      </c>
      <c r="G29" s="184">
        <f t="shared" si="2"/>
        <v>6.6989463120923229</v>
      </c>
      <c r="H29" s="188">
        <f t="shared" si="3"/>
        <v>22.251666666666665</v>
      </c>
      <c r="I29" s="189">
        <f t="shared" si="4"/>
        <v>0.95699233029890329</v>
      </c>
      <c r="J29" s="184">
        <v>12.99</v>
      </c>
      <c r="K29" s="184"/>
      <c r="L29" s="190">
        <f t="shared" si="5"/>
        <v>119.691</v>
      </c>
      <c r="M29" s="178">
        <v>91.25</v>
      </c>
      <c r="N29" s="191">
        <f t="shared" si="6"/>
        <v>1.3116821917808219</v>
      </c>
      <c r="O29" s="178"/>
      <c r="P29" s="191">
        <v>16.682038356164384</v>
      </c>
      <c r="Q29" s="178"/>
      <c r="R29" s="184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</row>
    <row r="30" spans="1:30" ht="12.75" customHeight="1">
      <c r="A30" s="178" t="s">
        <v>202</v>
      </c>
      <c r="B30" s="184">
        <v>80</v>
      </c>
      <c r="C30" s="185">
        <f t="shared" si="0"/>
        <v>2.0070245860511791E-2</v>
      </c>
      <c r="D30" s="186">
        <v>16</v>
      </c>
      <c r="E30" s="187">
        <f t="shared" si="1"/>
        <v>0.32112393376818865</v>
      </c>
      <c r="F30" s="184">
        <v>7</v>
      </c>
      <c r="G30" s="184">
        <f t="shared" si="2"/>
        <v>6.678876066231811</v>
      </c>
      <c r="H30" s="188">
        <f t="shared" si="3"/>
        <v>20.798437499999999</v>
      </c>
      <c r="I30" s="189">
        <f t="shared" si="4"/>
        <v>0.95412515231883011</v>
      </c>
      <c r="J30" s="184">
        <v>12.99</v>
      </c>
      <c r="K30" s="184"/>
      <c r="L30" s="190">
        <f t="shared" si="5"/>
        <v>119.691</v>
      </c>
      <c r="M30" s="178">
        <v>91.25</v>
      </c>
      <c r="N30" s="191">
        <f t="shared" si="6"/>
        <v>1.3116821917808219</v>
      </c>
      <c r="O30" s="178"/>
      <c r="P30" s="191">
        <v>16.682038356164384</v>
      </c>
      <c r="Q30" s="178"/>
      <c r="R30" s="184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</row>
    <row r="31" spans="1:30" ht="12.75" customHeight="1">
      <c r="A31" s="178" t="s">
        <v>203</v>
      </c>
      <c r="B31" s="184">
        <v>75</v>
      </c>
      <c r="C31" s="185">
        <f t="shared" si="0"/>
        <v>1.8815855494229806E-2</v>
      </c>
      <c r="D31" s="186">
        <v>16</v>
      </c>
      <c r="E31" s="187">
        <f t="shared" si="1"/>
        <v>0.30105368790767689</v>
      </c>
      <c r="F31" s="184">
        <v>7</v>
      </c>
      <c r="G31" s="184">
        <f t="shared" si="2"/>
        <v>6.6989463120923229</v>
      </c>
      <c r="H31" s="188">
        <f t="shared" si="3"/>
        <v>22.251666666666665</v>
      </c>
      <c r="I31" s="189">
        <f t="shared" si="4"/>
        <v>0.95699233029890329</v>
      </c>
      <c r="J31" s="184">
        <v>14.99</v>
      </c>
      <c r="K31" s="184"/>
      <c r="L31" s="190">
        <f t="shared" si="5"/>
        <v>119.691</v>
      </c>
      <c r="M31" s="178">
        <v>91.25</v>
      </c>
      <c r="N31" s="191">
        <f t="shared" si="6"/>
        <v>1.3116821917808219</v>
      </c>
      <c r="O31" s="178"/>
      <c r="P31" s="191">
        <v>16.682038356164384</v>
      </c>
      <c r="Q31" s="178"/>
      <c r="R31" s="184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</row>
    <row r="32" spans="1:30" ht="12.75" customHeight="1">
      <c r="A32" s="178" t="s">
        <v>204</v>
      </c>
      <c r="B32" s="184">
        <v>90</v>
      </c>
      <c r="C32" s="185">
        <f t="shared" si="0"/>
        <v>2.2579026593075764E-2</v>
      </c>
      <c r="D32" s="186">
        <v>14</v>
      </c>
      <c r="E32" s="187">
        <f t="shared" si="1"/>
        <v>0.31610637230306071</v>
      </c>
      <c r="F32" s="184">
        <v>8</v>
      </c>
      <c r="G32" s="184">
        <f t="shared" si="2"/>
        <v>7.6838936276969392</v>
      </c>
      <c r="H32" s="188">
        <f t="shared" si="3"/>
        <v>24.307936507936507</v>
      </c>
      <c r="I32" s="189">
        <f t="shared" si="4"/>
        <v>0.9604867034621174</v>
      </c>
      <c r="J32" s="184">
        <v>14.99</v>
      </c>
      <c r="K32" s="184"/>
      <c r="L32" s="190">
        <f t="shared" si="5"/>
        <v>179.53649999999999</v>
      </c>
      <c r="M32" s="178">
        <v>91.25</v>
      </c>
      <c r="N32" s="191">
        <f t="shared" si="6"/>
        <v>1.9675232876712327</v>
      </c>
      <c r="O32" s="178"/>
      <c r="P32" s="191">
        <v>16.067055968688845</v>
      </c>
      <c r="Q32" s="178"/>
      <c r="R32" s="184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</row>
    <row r="33" spans="1:30" ht="12.75" customHeight="1">
      <c r="A33" s="178" t="s">
        <v>205</v>
      </c>
      <c r="B33" s="184">
        <v>80</v>
      </c>
      <c r="C33" s="185">
        <f t="shared" si="0"/>
        <v>2.0070245860511791E-2</v>
      </c>
      <c r="D33" s="186">
        <v>14</v>
      </c>
      <c r="E33" s="187">
        <f t="shared" si="1"/>
        <v>0.28098344204716508</v>
      </c>
      <c r="F33" s="184">
        <v>7.5</v>
      </c>
      <c r="G33" s="184">
        <f t="shared" si="2"/>
        <v>7.2190165579528349</v>
      </c>
      <c r="H33" s="188">
        <f t="shared" si="3"/>
        <v>25.691964285714285</v>
      </c>
      <c r="I33" s="189">
        <f t="shared" si="4"/>
        <v>0.96253554106037797</v>
      </c>
      <c r="J33" s="184">
        <v>18.989999999999998</v>
      </c>
      <c r="K33" s="184"/>
      <c r="L33" s="190">
        <f t="shared" si="5"/>
        <v>241.92089999999999</v>
      </c>
      <c r="M33" s="178">
        <v>90</v>
      </c>
      <c r="N33" s="191">
        <f t="shared" si="6"/>
        <v>2.6880099999999998</v>
      </c>
      <c r="O33" s="178"/>
      <c r="P33" s="191">
        <v>12.945097142857147</v>
      </c>
      <c r="Q33" s="178"/>
      <c r="R33" s="184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</row>
    <row r="34" spans="1:30" ht="12.75" customHeight="1">
      <c r="A34" s="178" t="s">
        <v>206</v>
      </c>
      <c r="B34" s="184">
        <v>120</v>
      </c>
      <c r="C34" s="185">
        <f t="shared" si="0"/>
        <v>3.0105368790767688E-2</v>
      </c>
      <c r="D34" s="186">
        <v>14</v>
      </c>
      <c r="E34" s="187">
        <f t="shared" si="1"/>
        <v>0.42147516307074762</v>
      </c>
      <c r="F34" s="184">
        <v>8</v>
      </c>
      <c r="G34" s="184">
        <f t="shared" si="2"/>
        <v>7.5785248369292528</v>
      </c>
      <c r="H34" s="188">
        <f t="shared" si="3"/>
        <v>17.980952380952381</v>
      </c>
      <c r="I34" s="189">
        <f t="shared" si="4"/>
        <v>0.9473156046161566</v>
      </c>
      <c r="J34" s="184">
        <v>18.989999999999998</v>
      </c>
      <c r="K34" s="184"/>
      <c r="L34" s="190">
        <f t="shared" si="5"/>
        <v>241.92089999999999</v>
      </c>
      <c r="M34" s="178">
        <v>60</v>
      </c>
      <c r="N34" s="191">
        <f t="shared" si="6"/>
        <v>4.0320149999999995</v>
      </c>
      <c r="O34" s="178"/>
      <c r="P34" s="191">
        <v>20.157645714285717</v>
      </c>
      <c r="Q34" s="178"/>
      <c r="R34" s="184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</row>
    <row r="35" spans="1:30" ht="12.75" customHeight="1">
      <c r="A35" s="178" t="s">
        <v>207</v>
      </c>
      <c r="B35" s="184">
        <v>150</v>
      </c>
      <c r="C35" s="185">
        <f t="shared" si="0"/>
        <v>3.7631710988459612E-2</v>
      </c>
      <c r="D35" s="186">
        <v>14</v>
      </c>
      <c r="E35" s="187">
        <f t="shared" si="1"/>
        <v>0.52684395383843452</v>
      </c>
      <c r="F35" s="184">
        <v>8</v>
      </c>
      <c r="G35" s="184">
        <f t="shared" si="2"/>
        <v>7.4731560461615656</v>
      </c>
      <c r="H35" s="188">
        <f t="shared" si="3"/>
        <v>14.184761904761904</v>
      </c>
      <c r="I35" s="189">
        <f t="shared" si="4"/>
        <v>0.9341445057701957</v>
      </c>
      <c r="J35" s="184">
        <v>21.99</v>
      </c>
      <c r="K35" s="184"/>
      <c r="L35" s="190">
        <f t="shared" si="5"/>
        <v>1160.6399999999999</v>
      </c>
      <c r="M35" s="178">
        <v>91.25</v>
      </c>
      <c r="N35" s="192">
        <f t="shared" si="6"/>
        <v>12.719342465753423</v>
      </c>
      <c r="O35" s="178"/>
      <c r="P35" s="191">
        <v>34.426567514677103</v>
      </c>
      <c r="Q35" s="178"/>
      <c r="R35" s="184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</row>
    <row r="36" spans="1:30" ht="12.75" customHeight="1">
      <c r="A36" s="178" t="s">
        <v>208</v>
      </c>
      <c r="B36" s="184">
        <v>150</v>
      </c>
      <c r="C36" s="185">
        <f t="shared" si="0"/>
        <v>3.7631710988459612E-2</v>
      </c>
      <c r="D36" s="186">
        <v>14</v>
      </c>
      <c r="E36" s="187">
        <f t="shared" si="1"/>
        <v>0.52684395383843452</v>
      </c>
      <c r="F36" s="184">
        <v>8</v>
      </c>
      <c r="G36" s="184">
        <f t="shared" si="2"/>
        <v>7.4731560461615656</v>
      </c>
      <c r="H36" s="188">
        <f t="shared" si="3"/>
        <v>14.184761904761904</v>
      </c>
      <c r="I36" s="189">
        <f t="shared" si="4"/>
        <v>0.9341445057701957</v>
      </c>
      <c r="J36" s="184">
        <v>21.99</v>
      </c>
      <c r="K36" s="184"/>
      <c r="L36" s="190">
        <f t="shared" si="5"/>
        <v>580.31999999999994</v>
      </c>
      <c r="M36" s="178">
        <v>91.25</v>
      </c>
      <c r="N36" s="192">
        <f t="shared" si="6"/>
        <v>6.3596712328767113</v>
      </c>
      <c r="O36" s="178"/>
      <c r="P36" s="191">
        <v>15.044712328767123</v>
      </c>
      <c r="Q36" s="178"/>
      <c r="R36" s="184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</row>
    <row r="37" spans="1:30" ht="12.75" customHeight="1">
      <c r="A37" s="178" t="s">
        <v>209</v>
      </c>
      <c r="B37" s="184">
        <v>175</v>
      </c>
      <c r="C37" s="185">
        <f t="shared" si="0"/>
        <v>4.3903662819869543E-2</v>
      </c>
      <c r="D37" s="186">
        <v>10</v>
      </c>
      <c r="E37" s="187">
        <f t="shared" si="1"/>
        <v>0.43903662819869543</v>
      </c>
      <c r="F37" s="184">
        <v>9</v>
      </c>
      <c r="G37" s="184">
        <f t="shared" si="2"/>
        <v>8.5609633718013054</v>
      </c>
      <c r="H37" s="188">
        <f t="shared" si="3"/>
        <v>19.499428571428574</v>
      </c>
      <c r="I37" s="189">
        <f t="shared" si="4"/>
        <v>0.95121815242236729</v>
      </c>
      <c r="J37" s="184">
        <v>23.99</v>
      </c>
      <c r="K37" s="184"/>
      <c r="L37" s="190">
        <f t="shared" si="5"/>
        <v>359.67749999999995</v>
      </c>
      <c r="M37" s="178">
        <v>60</v>
      </c>
      <c r="N37" s="191">
        <f t="shared" si="6"/>
        <v>5.9946249999999992</v>
      </c>
      <c r="O37" s="178"/>
      <c r="P37" s="191">
        <v>1.6983999999999999</v>
      </c>
      <c r="Q37" s="178"/>
      <c r="R37" s="184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</row>
    <row r="38" spans="1:30" ht="12.75" customHeight="1">
      <c r="A38" s="178" t="s">
        <v>210</v>
      </c>
      <c r="B38" s="184">
        <v>200</v>
      </c>
      <c r="C38" s="185">
        <f t="shared" si="0"/>
        <v>5.0175614651279475E-2</v>
      </c>
      <c r="D38" s="186">
        <v>10</v>
      </c>
      <c r="E38" s="187">
        <f t="shared" si="1"/>
        <v>0.50175614651279477</v>
      </c>
      <c r="F38" s="184">
        <v>9</v>
      </c>
      <c r="G38" s="184">
        <f t="shared" si="2"/>
        <v>8.4982438534872049</v>
      </c>
      <c r="H38" s="188">
        <f t="shared" si="3"/>
        <v>16.937000000000001</v>
      </c>
      <c r="I38" s="189">
        <f t="shared" si="4"/>
        <v>0.94424931705413384</v>
      </c>
      <c r="J38" s="184">
        <v>23.99</v>
      </c>
      <c r="K38" s="184"/>
      <c r="L38" s="190">
        <f t="shared" si="5"/>
        <v>359.67749999999995</v>
      </c>
      <c r="M38" s="178">
        <v>60</v>
      </c>
      <c r="N38" s="191">
        <f t="shared" si="6"/>
        <v>5.9946249999999992</v>
      </c>
      <c r="O38" s="178"/>
      <c r="P38" s="191">
        <v>1.6983999999999999</v>
      </c>
      <c r="Q38" s="178"/>
      <c r="R38" s="184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</row>
    <row r="39" spans="1:30" ht="12.75" customHeight="1">
      <c r="A39" s="178"/>
      <c r="B39" s="184"/>
      <c r="C39" s="178"/>
      <c r="D39" s="186"/>
      <c r="E39" s="187"/>
      <c r="F39" s="184"/>
      <c r="G39" s="184"/>
      <c r="H39" s="188"/>
      <c r="I39" s="189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3" t="s">
        <v>342</v>
      </c>
      <c r="X39" s="178"/>
      <c r="Y39" s="178"/>
      <c r="Z39" s="178"/>
      <c r="AA39" s="178"/>
      <c r="AB39" s="178"/>
      <c r="AC39" s="178"/>
      <c r="AD39" s="178"/>
    </row>
    <row r="40" spans="1:30" ht="12.75" customHeight="1">
      <c r="A40" s="173" t="s">
        <v>343</v>
      </c>
      <c r="B40" s="184"/>
      <c r="C40" s="178"/>
      <c r="D40" s="193" t="s">
        <v>344</v>
      </c>
      <c r="E40" s="187"/>
      <c r="F40" s="178"/>
      <c r="G40" s="178"/>
      <c r="H40" s="186"/>
      <c r="I40" s="184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>
        <v>4</v>
      </c>
      <c r="X40" s="178"/>
      <c r="Y40" s="178">
        <v>10</v>
      </c>
      <c r="Z40" s="178"/>
      <c r="AA40" s="194" t="s">
        <v>345</v>
      </c>
      <c r="AB40" s="178"/>
      <c r="AC40" s="178"/>
      <c r="AD40" s="178"/>
    </row>
    <row r="41" spans="1:30" ht="29.25" customHeight="1">
      <c r="A41" s="195">
        <v>10</v>
      </c>
      <c r="B41" s="196" t="s">
        <v>346</v>
      </c>
      <c r="C41" s="196" t="s">
        <v>347</v>
      </c>
      <c r="D41" s="197" t="s">
        <v>348</v>
      </c>
      <c r="E41" s="198" t="s">
        <v>349</v>
      </c>
      <c r="F41" s="199" t="s">
        <v>350</v>
      </c>
      <c r="G41" s="199" t="s">
        <v>351</v>
      </c>
      <c r="H41" s="200" t="s">
        <v>352</v>
      </c>
      <c r="I41" s="201" t="s">
        <v>353</v>
      </c>
      <c r="J41" s="200" t="s">
        <v>354</v>
      </c>
      <c r="K41" s="200" t="s">
        <v>355</v>
      </c>
      <c r="L41" s="200" t="s">
        <v>356</v>
      </c>
      <c r="M41" s="202" t="s">
        <v>357</v>
      </c>
      <c r="N41" s="203" t="s">
        <v>335</v>
      </c>
      <c r="O41" s="201" t="s">
        <v>358</v>
      </c>
      <c r="P41" s="201" t="s">
        <v>359</v>
      </c>
      <c r="Q41" s="204" t="s">
        <v>360</v>
      </c>
      <c r="R41" s="204" t="s">
        <v>339</v>
      </c>
      <c r="S41" s="204" t="s">
        <v>361</v>
      </c>
      <c r="T41" s="178"/>
      <c r="U41" s="175" t="s">
        <v>362</v>
      </c>
      <c r="V41" s="175" t="s">
        <v>363</v>
      </c>
      <c r="W41" s="175" t="s">
        <v>364</v>
      </c>
      <c r="X41" s="175" t="s">
        <v>365</v>
      </c>
      <c r="Y41" s="175" t="s">
        <v>366</v>
      </c>
      <c r="Z41" s="175" t="s">
        <v>367</v>
      </c>
      <c r="AA41" s="178" t="s">
        <v>368</v>
      </c>
      <c r="AB41" s="178"/>
      <c r="AC41" s="178"/>
      <c r="AD41" s="178"/>
    </row>
    <row r="42" spans="1:30" ht="12.75" customHeight="1">
      <c r="A42" s="178" t="s">
        <v>175</v>
      </c>
      <c r="B42" s="188">
        <v>0.9</v>
      </c>
      <c r="C42" s="184">
        <f t="shared" ref="C42:C77" si="7">(B3*A$41)</f>
        <v>400</v>
      </c>
      <c r="D42" s="205">
        <v>5</v>
      </c>
      <c r="E42" s="191">
        <f t="shared" ref="E42:E77" si="8">D42*A$41</f>
        <v>50</v>
      </c>
      <c r="F42" s="191">
        <f>(E42*B42)</f>
        <v>45</v>
      </c>
      <c r="G42" s="191">
        <f t="shared" ref="G42:G77" si="9">F42*0.975</f>
        <v>43.875</v>
      </c>
      <c r="H42" s="206">
        <v>0.68</v>
      </c>
      <c r="I42" s="206">
        <f t="shared" ref="I42:I77" si="10">100%-H42</f>
        <v>0.31999999999999995</v>
      </c>
      <c r="J42" s="207">
        <f t="shared" ref="J42:J77" si="11">G42*H42</f>
        <v>29.835000000000001</v>
      </c>
      <c r="K42" s="207">
        <f t="shared" ref="K42:K77" si="12">J42/D42</f>
        <v>5.9670000000000005</v>
      </c>
      <c r="L42" s="190">
        <f t="shared" ref="L42:L77" si="13">((J42*31)*128)/D3</f>
        <v>7399.08</v>
      </c>
      <c r="M42" s="184">
        <f t="shared" ref="M42:M77" si="14">L42*F3</f>
        <v>51793.56</v>
      </c>
      <c r="N42" s="184">
        <f t="shared" ref="N42:N77" si="15">L42*G3</f>
        <v>50605.54916206724</v>
      </c>
      <c r="O42" s="207">
        <f t="shared" ref="O42:O77" si="16">G42*I42</f>
        <v>14.039999999999997</v>
      </c>
      <c r="P42" s="207">
        <f t="shared" ref="P42:P77" si="17">((((O42*31)*128))/16)/24</f>
        <v>145.07999999999996</v>
      </c>
      <c r="Q42" s="184">
        <f>P42*PkG_Pricing!D$9</f>
        <v>1658.2643999999993</v>
      </c>
      <c r="R42" s="190">
        <f t="shared" ref="R42:R77" si="18">P42*6</f>
        <v>870.47999999999979</v>
      </c>
      <c r="S42" s="184">
        <f t="shared" ref="S42:S77" si="19">R42*J3</f>
        <v>11307.535199999997</v>
      </c>
      <c r="T42" s="178"/>
      <c r="U42" s="191">
        <f t="shared" ref="U42:U79" si="20">(J42*31)*128</f>
        <v>118385.28</v>
      </c>
      <c r="V42" s="191">
        <v>365</v>
      </c>
      <c r="W42" s="178">
        <v>0.12</v>
      </c>
      <c r="X42" s="178">
        <f t="shared" ref="X42:X79" si="21">W42*W$40</f>
        <v>0.48</v>
      </c>
      <c r="Y42" s="178">
        <v>4</v>
      </c>
      <c r="Z42" s="178">
        <f t="shared" ref="Z42:Z79" si="22">Y42*Y$40</f>
        <v>40</v>
      </c>
      <c r="AA42" s="191">
        <f t="shared" ref="AA42:AA77" si="23">((U42-((X42+Z42)*V42))/V42)/D3</f>
        <v>17.741452054794522</v>
      </c>
      <c r="AB42" s="178"/>
      <c r="AC42" s="178"/>
      <c r="AD42" s="178"/>
    </row>
    <row r="43" spans="1:30" ht="12.75" customHeight="1">
      <c r="A43" s="178" t="s">
        <v>176</v>
      </c>
      <c r="B43" s="188">
        <v>0.9</v>
      </c>
      <c r="C43" s="184">
        <f t="shared" si="7"/>
        <v>400</v>
      </c>
      <c r="D43" s="205">
        <v>5</v>
      </c>
      <c r="E43" s="191">
        <f t="shared" si="8"/>
        <v>50</v>
      </c>
      <c r="F43" s="191">
        <f t="shared" ref="F43:F77" si="24">E43*B43</f>
        <v>45</v>
      </c>
      <c r="G43" s="191">
        <f t="shared" si="9"/>
        <v>43.875</v>
      </c>
      <c r="H43" s="206">
        <v>0.68</v>
      </c>
      <c r="I43" s="206">
        <f t="shared" si="10"/>
        <v>0.31999999999999995</v>
      </c>
      <c r="J43" s="207">
        <f t="shared" si="11"/>
        <v>29.835000000000001</v>
      </c>
      <c r="K43" s="207">
        <f t="shared" si="12"/>
        <v>5.9670000000000005</v>
      </c>
      <c r="L43" s="190">
        <f t="shared" si="13"/>
        <v>7399.08</v>
      </c>
      <c r="M43" s="184">
        <f t="shared" si="14"/>
        <v>51793.56</v>
      </c>
      <c r="N43" s="184">
        <f t="shared" si="15"/>
        <v>50605.54916206724</v>
      </c>
      <c r="O43" s="207">
        <f t="shared" si="16"/>
        <v>14.039999999999997</v>
      </c>
      <c r="P43" s="207">
        <f t="shared" si="17"/>
        <v>145.07999999999996</v>
      </c>
      <c r="Q43" s="184">
        <f>P43*PkG_Pricing!D$9</f>
        <v>1658.2643999999993</v>
      </c>
      <c r="R43" s="190">
        <f t="shared" si="18"/>
        <v>870.47999999999979</v>
      </c>
      <c r="S43" s="184">
        <f t="shared" si="19"/>
        <v>11307.535199999997</v>
      </c>
      <c r="T43" s="178"/>
      <c r="U43" s="191">
        <f t="shared" si="20"/>
        <v>118385.28</v>
      </c>
      <c r="V43" s="191">
        <v>365</v>
      </c>
      <c r="W43" s="178">
        <v>0.12</v>
      </c>
      <c r="X43" s="178">
        <f t="shared" si="21"/>
        <v>0.48</v>
      </c>
      <c r="Y43" s="178">
        <v>6</v>
      </c>
      <c r="Z43" s="178">
        <f t="shared" si="22"/>
        <v>60</v>
      </c>
      <c r="AA43" s="191">
        <f t="shared" si="23"/>
        <v>16.491452054794522</v>
      </c>
      <c r="AB43" s="178"/>
      <c r="AC43" s="178"/>
      <c r="AD43" s="178"/>
    </row>
    <row r="44" spans="1:30" ht="12.75" customHeight="1">
      <c r="A44" s="178" t="s">
        <v>177</v>
      </c>
      <c r="B44" s="188">
        <v>0.82</v>
      </c>
      <c r="C44" s="184">
        <f t="shared" si="7"/>
        <v>850</v>
      </c>
      <c r="D44" s="205">
        <v>5</v>
      </c>
      <c r="E44" s="191">
        <f t="shared" si="8"/>
        <v>50</v>
      </c>
      <c r="F44" s="191">
        <f t="shared" si="24"/>
        <v>41</v>
      </c>
      <c r="G44" s="191">
        <f t="shared" si="9"/>
        <v>39.975000000000001</v>
      </c>
      <c r="H44" s="206">
        <v>0.65</v>
      </c>
      <c r="I44" s="206">
        <f t="shared" si="10"/>
        <v>0.35</v>
      </c>
      <c r="J44" s="207">
        <f t="shared" si="11"/>
        <v>25.983750000000001</v>
      </c>
      <c r="K44" s="207">
        <f t="shared" si="12"/>
        <v>5.1967499999999998</v>
      </c>
      <c r="L44" s="190">
        <f t="shared" si="13"/>
        <v>7364.5371428571434</v>
      </c>
      <c r="M44" s="184">
        <f t="shared" si="14"/>
        <v>55234.028571428578</v>
      </c>
      <c r="N44" s="184">
        <f t="shared" si="15"/>
        <v>53035.383513726621</v>
      </c>
      <c r="O44" s="207">
        <f t="shared" si="16"/>
        <v>13.991249999999999</v>
      </c>
      <c r="P44" s="207">
        <f t="shared" si="17"/>
        <v>144.57624999999999</v>
      </c>
      <c r="Q44" s="184">
        <f>P44*PkG_Pricing!D$9</f>
        <v>1652.5065374999999</v>
      </c>
      <c r="R44" s="190">
        <f t="shared" si="18"/>
        <v>867.45749999999998</v>
      </c>
      <c r="S44" s="184">
        <f t="shared" si="19"/>
        <v>14738.102924999999</v>
      </c>
      <c r="T44" s="178"/>
      <c r="U44" s="191">
        <f t="shared" si="20"/>
        <v>103103.52</v>
      </c>
      <c r="V44" s="191">
        <v>365</v>
      </c>
      <c r="W44" s="178">
        <v>0.12</v>
      </c>
      <c r="X44" s="178">
        <f t="shared" si="21"/>
        <v>0.48</v>
      </c>
      <c r="Y44" s="178">
        <v>2</v>
      </c>
      <c r="Z44" s="178">
        <f t="shared" si="22"/>
        <v>20</v>
      </c>
      <c r="AA44" s="191">
        <f t="shared" si="23"/>
        <v>18.713956947162426</v>
      </c>
      <c r="AB44" s="178"/>
      <c r="AC44" s="178"/>
      <c r="AD44" s="178"/>
    </row>
    <row r="45" spans="1:30" ht="12.75" customHeight="1">
      <c r="A45" s="178" t="s">
        <v>178</v>
      </c>
      <c r="B45" s="188">
        <v>0.85</v>
      </c>
      <c r="C45" s="184">
        <f t="shared" si="7"/>
        <v>1300</v>
      </c>
      <c r="D45" s="205">
        <v>5</v>
      </c>
      <c r="E45" s="191">
        <f t="shared" si="8"/>
        <v>50</v>
      </c>
      <c r="F45" s="191">
        <f t="shared" si="24"/>
        <v>42.5</v>
      </c>
      <c r="G45" s="191">
        <f t="shared" si="9"/>
        <v>41.4375</v>
      </c>
      <c r="H45" s="206">
        <v>0.68</v>
      </c>
      <c r="I45" s="206">
        <f t="shared" si="10"/>
        <v>0.31999999999999995</v>
      </c>
      <c r="J45" s="207">
        <f t="shared" si="11"/>
        <v>28.177500000000002</v>
      </c>
      <c r="K45" s="207">
        <f t="shared" si="12"/>
        <v>5.6355000000000004</v>
      </c>
      <c r="L45" s="190">
        <f t="shared" si="13"/>
        <v>7986.3085714285717</v>
      </c>
      <c r="M45" s="184">
        <f t="shared" si="14"/>
        <v>59897.314285714288</v>
      </c>
      <c r="N45" s="184">
        <f t="shared" si="15"/>
        <v>56250.781019281778</v>
      </c>
      <c r="O45" s="207">
        <f t="shared" si="16"/>
        <v>13.259999999999998</v>
      </c>
      <c r="P45" s="207">
        <f t="shared" si="17"/>
        <v>137.01999999999998</v>
      </c>
      <c r="Q45" s="184">
        <f>P45*PkG_Pricing!D$9</f>
        <v>1566.1385999999998</v>
      </c>
      <c r="R45" s="190">
        <f t="shared" si="18"/>
        <v>822.11999999999989</v>
      </c>
      <c r="S45" s="184">
        <f t="shared" si="19"/>
        <v>13967.818799999997</v>
      </c>
      <c r="T45" s="178"/>
      <c r="U45" s="191">
        <f t="shared" si="20"/>
        <v>111808.32000000001</v>
      </c>
      <c r="V45" s="191">
        <v>365</v>
      </c>
      <c r="W45" s="178">
        <v>0.12</v>
      </c>
      <c r="X45" s="178">
        <f t="shared" si="21"/>
        <v>0.48</v>
      </c>
      <c r="Y45" s="178">
        <v>2</v>
      </c>
      <c r="Z45" s="178">
        <f t="shared" si="22"/>
        <v>20</v>
      </c>
      <c r="AA45" s="191">
        <f t="shared" si="23"/>
        <v>20.417440313111548</v>
      </c>
      <c r="AB45" s="178"/>
      <c r="AC45" s="178"/>
      <c r="AD45" s="178"/>
    </row>
    <row r="46" spans="1:30" ht="12.75" customHeight="1">
      <c r="A46" s="178" t="s">
        <v>179</v>
      </c>
      <c r="B46" s="188">
        <v>0.92</v>
      </c>
      <c r="C46" s="184">
        <f t="shared" si="7"/>
        <v>450</v>
      </c>
      <c r="D46" s="205">
        <v>3</v>
      </c>
      <c r="E46" s="191">
        <f t="shared" si="8"/>
        <v>30</v>
      </c>
      <c r="F46" s="191">
        <f t="shared" si="24"/>
        <v>27.6</v>
      </c>
      <c r="G46" s="191">
        <f t="shared" si="9"/>
        <v>26.91</v>
      </c>
      <c r="H46" s="206">
        <v>1</v>
      </c>
      <c r="I46" s="206">
        <f t="shared" si="10"/>
        <v>0</v>
      </c>
      <c r="J46" s="207">
        <f t="shared" si="11"/>
        <v>26.91</v>
      </c>
      <c r="K46" s="207">
        <f t="shared" si="12"/>
        <v>8.9700000000000006</v>
      </c>
      <c r="L46" s="190">
        <f t="shared" si="13"/>
        <v>6673.68</v>
      </c>
      <c r="M46" s="184">
        <f t="shared" si="14"/>
        <v>46715.76</v>
      </c>
      <c r="N46" s="184">
        <f t="shared" si="15"/>
        <v>45510.278414450579</v>
      </c>
      <c r="O46" s="207">
        <f t="shared" si="16"/>
        <v>0</v>
      </c>
      <c r="P46" s="207">
        <f t="shared" si="17"/>
        <v>0</v>
      </c>
      <c r="Q46" s="184">
        <f>P46*PkG_Pricing!D$9</f>
        <v>0</v>
      </c>
      <c r="R46" s="190">
        <f t="shared" si="18"/>
        <v>0</v>
      </c>
      <c r="S46" s="184">
        <f t="shared" si="19"/>
        <v>0</v>
      </c>
      <c r="T46" s="178"/>
      <c r="U46" s="191">
        <f t="shared" si="20"/>
        <v>106778.88</v>
      </c>
      <c r="V46" s="191">
        <v>365</v>
      </c>
      <c r="W46" s="178">
        <v>0.12</v>
      </c>
      <c r="X46" s="178">
        <f t="shared" si="21"/>
        <v>0.48</v>
      </c>
      <c r="Y46" s="178">
        <v>6</v>
      </c>
      <c r="Z46" s="178">
        <f t="shared" si="22"/>
        <v>60</v>
      </c>
      <c r="AA46" s="191">
        <f t="shared" si="23"/>
        <v>14.504054794520549</v>
      </c>
      <c r="AB46" s="178"/>
      <c r="AC46" s="178"/>
      <c r="AD46" s="178"/>
    </row>
    <row r="47" spans="1:30" ht="12.75" customHeight="1">
      <c r="A47" s="178" t="s">
        <v>180</v>
      </c>
      <c r="B47" s="188">
        <v>0.88</v>
      </c>
      <c r="C47" s="184">
        <f t="shared" si="7"/>
        <v>1000</v>
      </c>
      <c r="D47" s="205">
        <v>1</v>
      </c>
      <c r="E47" s="191">
        <f t="shared" si="8"/>
        <v>10</v>
      </c>
      <c r="F47" s="191">
        <f t="shared" si="24"/>
        <v>8.8000000000000007</v>
      </c>
      <c r="G47" s="191">
        <f t="shared" si="9"/>
        <v>8.58</v>
      </c>
      <c r="H47" s="206">
        <v>0.77500000000000002</v>
      </c>
      <c r="I47" s="206">
        <f t="shared" si="10"/>
        <v>0.22499999999999998</v>
      </c>
      <c r="J47" s="207">
        <f t="shared" si="11"/>
        <v>6.6495000000000006</v>
      </c>
      <c r="K47" s="207">
        <f t="shared" si="12"/>
        <v>6.6495000000000006</v>
      </c>
      <c r="L47" s="190">
        <f t="shared" si="13"/>
        <v>2198.7680000000005</v>
      </c>
      <c r="M47" s="184">
        <f t="shared" si="14"/>
        <v>17590.144000000004</v>
      </c>
      <c r="N47" s="184">
        <f t="shared" si="15"/>
        <v>16928.196784746615</v>
      </c>
      <c r="O47" s="207">
        <f t="shared" si="16"/>
        <v>1.9304999999999999</v>
      </c>
      <c r="P47" s="207">
        <f t="shared" si="17"/>
        <v>19.948499999999999</v>
      </c>
      <c r="Q47" s="184">
        <f>P47*PkG_Pricing!D$9</f>
        <v>228.01135499999998</v>
      </c>
      <c r="R47" s="190">
        <f t="shared" si="18"/>
        <v>119.691</v>
      </c>
      <c r="S47" s="184">
        <f t="shared" si="19"/>
        <v>1794.1680900000001</v>
      </c>
      <c r="T47" s="178"/>
      <c r="U47" s="191">
        <f t="shared" si="20"/>
        <v>26385.216000000004</v>
      </c>
      <c r="V47" s="178">
        <v>91.25</v>
      </c>
      <c r="W47" s="178">
        <v>0.18</v>
      </c>
      <c r="X47" s="178">
        <f t="shared" si="21"/>
        <v>0.72</v>
      </c>
      <c r="Y47" s="178">
        <v>4</v>
      </c>
      <c r="Z47" s="178">
        <f t="shared" si="22"/>
        <v>40</v>
      </c>
      <c r="AA47" s="191">
        <f t="shared" si="23"/>
        <v>20.702754337899545</v>
      </c>
      <c r="AB47" s="178"/>
      <c r="AC47" s="178"/>
      <c r="AD47" s="178"/>
    </row>
    <row r="48" spans="1:30" ht="12.75" customHeight="1">
      <c r="A48" s="178" t="s">
        <v>181</v>
      </c>
      <c r="B48" s="188">
        <v>0.88</v>
      </c>
      <c r="C48" s="184">
        <f t="shared" si="7"/>
        <v>850</v>
      </c>
      <c r="D48" s="205">
        <v>1</v>
      </c>
      <c r="E48" s="191">
        <f t="shared" si="8"/>
        <v>10</v>
      </c>
      <c r="F48" s="191">
        <f t="shared" si="24"/>
        <v>8.8000000000000007</v>
      </c>
      <c r="G48" s="191">
        <f t="shared" si="9"/>
        <v>8.58</v>
      </c>
      <c r="H48" s="206">
        <v>0.77500000000000002</v>
      </c>
      <c r="I48" s="206">
        <f t="shared" si="10"/>
        <v>0.22499999999999998</v>
      </c>
      <c r="J48" s="207">
        <f t="shared" si="11"/>
        <v>6.6495000000000006</v>
      </c>
      <c r="K48" s="207">
        <f t="shared" si="12"/>
        <v>6.6495000000000006</v>
      </c>
      <c r="L48" s="190">
        <f t="shared" si="13"/>
        <v>1884.658285714286</v>
      </c>
      <c r="M48" s="184">
        <f t="shared" si="14"/>
        <v>14134.937142857145</v>
      </c>
      <c r="N48" s="184">
        <f t="shared" si="15"/>
        <v>13572.282009891767</v>
      </c>
      <c r="O48" s="207">
        <f t="shared" si="16"/>
        <v>1.9304999999999999</v>
      </c>
      <c r="P48" s="207">
        <f t="shared" si="17"/>
        <v>19.948499999999999</v>
      </c>
      <c r="Q48" s="184">
        <f>P48*PkG_Pricing!D$9</f>
        <v>228.01135499999998</v>
      </c>
      <c r="R48" s="190">
        <f t="shared" si="18"/>
        <v>119.691</v>
      </c>
      <c r="S48" s="184">
        <f t="shared" si="19"/>
        <v>1794.1680900000001</v>
      </c>
      <c r="T48" s="178"/>
      <c r="U48" s="191">
        <f t="shared" si="20"/>
        <v>26385.216000000004</v>
      </c>
      <c r="V48" s="178">
        <v>91.25</v>
      </c>
      <c r="W48" s="178">
        <v>0.18</v>
      </c>
      <c r="X48" s="178">
        <f t="shared" si="21"/>
        <v>0.72</v>
      </c>
      <c r="Y48" s="178">
        <v>4</v>
      </c>
      <c r="Z48" s="178">
        <f t="shared" si="22"/>
        <v>40</v>
      </c>
      <c r="AA48" s="191">
        <f t="shared" si="23"/>
        <v>17.745218003913898</v>
      </c>
      <c r="AB48" s="178"/>
      <c r="AC48" s="178"/>
      <c r="AD48" s="178"/>
    </row>
    <row r="49" spans="1:30" ht="12.75" customHeight="1">
      <c r="A49" s="178" t="s">
        <v>182</v>
      </c>
      <c r="B49" s="188">
        <v>0.88</v>
      </c>
      <c r="C49" s="184">
        <f t="shared" si="7"/>
        <v>900</v>
      </c>
      <c r="D49" s="205">
        <v>1</v>
      </c>
      <c r="E49" s="191">
        <f t="shared" si="8"/>
        <v>10</v>
      </c>
      <c r="F49" s="191">
        <f t="shared" si="24"/>
        <v>8.8000000000000007</v>
      </c>
      <c r="G49" s="191">
        <f t="shared" si="9"/>
        <v>8.58</v>
      </c>
      <c r="H49" s="206">
        <v>0.55000000000000004</v>
      </c>
      <c r="I49" s="206">
        <f t="shared" si="10"/>
        <v>0.44999999999999996</v>
      </c>
      <c r="J49" s="207">
        <f t="shared" si="11"/>
        <v>4.7190000000000003</v>
      </c>
      <c r="K49" s="207">
        <f t="shared" si="12"/>
        <v>4.7190000000000003</v>
      </c>
      <c r="L49" s="190">
        <f t="shared" si="13"/>
        <v>1337.4994285714288</v>
      </c>
      <c r="M49" s="184">
        <f t="shared" si="14"/>
        <v>10031.245714285717</v>
      </c>
      <c r="N49" s="184">
        <f t="shared" si="15"/>
        <v>9608.4536219625843</v>
      </c>
      <c r="O49" s="207">
        <f t="shared" si="16"/>
        <v>3.8609999999999998</v>
      </c>
      <c r="P49" s="207">
        <f t="shared" si="17"/>
        <v>39.896999999999998</v>
      </c>
      <c r="Q49" s="184">
        <f>P49*PkG_Pricing!D$9</f>
        <v>456.02270999999996</v>
      </c>
      <c r="R49" s="190">
        <f t="shared" si="18"/>
        <v>239.38200000000001</v>
      </c>
      <c r="S49" s="184">
        <f t="shared" si="19"/>
        <v>4067.1001799999999</v>
      </c>
      <c r="T49" s="178"/>
      <c r="U49" s="191">
        <f t="shared" si="20"/>
        <v>18724.992000000002</v>
      </c>
      <c r="V49" s="178">
        <v>91.25</v>
      </c>
      <c r="W49" s="178">
        <v>0.18</v>
      </c>
      <c r="X49" s="178">
        <f t="shared" si="21"/>
        <v>0.72</v>
      </c>
      <c r="Y49" s="178">
        <v>4</v>
      </c>
      <c r="Z49" s="178">
        <f t="shared" si="22"/>
        <v>40</v>
      </c>
      <c r="AA49" s="191">
        <f t="shared" si="23"/>
        <v>11.748956555772995</v>
      </c>
      <c r="AB49" s="178"/>
      <c r="AC49" s="178"/>
      <c r="AD49" s="178"/>
    </row>
    <row r="50" spans="1:30" ht="12.75" customHeight="1">
      <c r="A50" s="178" t="s">
        <v>183</v>
      </c>
      <c r="B50" s="188">
        <v>0.88</v>
      </c>
      <c r="C50" s="184">
        <f t="shared" si="7"/>
        <v>650</v>
      </c>
      <c r="D50" s="205">
        <v>1</v>
      </c>
      <c r="E50" s="191">
        <f t="shared" si="8"/>
        <v>10</v>
      </c>
      <c r="F50" s="191">
        <f t="shared" si="24"/>
        <v>8.8000000000000007</v>
      </c>
      <c r="G50" s="191">
        <f t="shared" si="9"/>
        <v>8.58</v>
      </c>
      <c r="H50" s="206">
        <v>0.55000000000000004</v>
      </c>
      <c r="I50" s="206">
        <f t="shared" si="10"/>
        <v>0.44999999999999996</v>
      </c>
      <c r="J50" s="207">
        <f t="shared" si="11"/>
        <v>4.7190000000000003</v>
      </c>
      <c r="K50" s="207">
        <f t="shared" si="12"/>
        <v>4.7190000000000003</v>
      </c>
      <c r="L50" s="190">
        <f t="shared" si="13"/>
        <v>1560.4160000000002</v>
      </c>
      <c r="M50" s="184">
        <f t="shared" si="14"/>
        <v>12483.328000000001</v>
      </c>
      <c r="N50" s="184">
        <f t="shared" si="15"/>
        <v>12177.978155544408</v>
      </c>
      <c r="O50" s="207">
        <f t="shared" si="16"/>
        <v>3.8609999999999998</v>
      </c>
      <c r="P50" s="207">
        <f t="shared" si="17"/>
        <v>39.896999999999998</v>
      </c>
      <c r="Q50" s="184">
        <f>P50*PkG_Pricing!D$9</f>
        <v>456.02270999999996</v>
      </c>
      <c r="R50" s="190">
        <f t="shared" si="18"/>
        <v>239.38200000000001</v>
      </c>
      <c r="S50" s="184">
        <f t="shared" si="19"/>
        <v>5264.0101799999993</v>
      </c>
      <c r="T50" s="178"/>
      <c r="U50" s="191">
        <f t="shared" si="20"/>
        <v>18724.992000000002</v>
      </c>
      <c r="V50" s="178">
        <v>91.25</v>
      </c>
      <c r="W50" s="178">
        <v>0.18</v>
      </c>
      <c r="X50" s="178">
        <f t="shared" si="21"/>
        <v>0.72</v>
      </c>
      <c r="Y50" s="178">
        <v>4</v>
      </c>
      <c r="Z50" s="178">
        <f t="shared" si="22"/>
        <v>40</v>
      </c>
      <c r="AA50" s="191">
        <f t="shared" si="23"/>
        <v>13.707115981735162</v>
      </c>
      <c r="AB50" s="178"/>
      <c r="AC50" s="178"/>
      <c r="AD50" s="178"/>
    </row>
    <row r="51" spans="1:30" ht="12.75" customHeight="1">
      <c r="A51" s="178" t="s">
        <v>184</v>
      </c>
      <c r="B51" s="188">
        <v>0.87</v>
      </c>
      <c r="C51" s="184">
        <f t="shared" si="7"/>
        <v>1100</v>
      </c>
      <c r="D51" s="205">
        <v>1</v>
      </c>
      <c r="E51" s="191">
        <f t="shared" si="8"/>
        <v>10</v>
      </c>
      <c r="F51" s="191">
        <f t="shared" si="24"/>
        <v>8.6999999999999993</v>
      </c>
      <c r="G51" s="191">
        <f t="shared" si="9"/>
        <v>8.4824999999999999</v>
      </c>
      <c r="H51" s="206">
        <v>0.77</v>
      </c>
      <c r="I51" s="206">
        <f t="shared" si="10"/>
        <v>0.22999999999999998</v>
      </c>
      <c r="J51" s="207">
        <f t="shared" si="11"/>
        <v>6.5315250000000002</v>
      </c>
      <c r="K51" s="207">
        <f t="shared" si="12"/>
        <v>6.5315250000000002</v>
      </c>
      <c r="L51" s="190">
        <f t="shared" si="13"/>
        <v>1851.2208000000003</v>
      </c>
      <c r="M51" s="184">
        <f t="shared" si="14"/>
        <v>13884.156000000003</v>
      </c>
      <c r="N51" s="184">
        <f t="shared" si="15"/>
        <v>13168.932710486704</v>
      </c>
      <c r="O51" s="207">
        <f t="shared" si="16"/>
        <v>1.9509749999999999</v>
      </c>
      <c r="P51" s="207">
        <f t="shared" si="17"/>
        <v>20.160074999999999</v>
      </c>
      <c r="Q51" s="184">
        <f>P51*PkG_Pricing!D$9</f>
        <v>230.42965724999999</v>
      </c>
      <c r="R51" s="190">
        <f t="shared" si="18"/>
        <v>120.96044999999999</v>
      </c>
      <c r="S51" s="184">
        <f t="shared" si="19"/>
        <v>1813.1971455</v>
      </c>
      <c r="T51" s="178"/>
      <c r="U51" s="191">
        <f t="shared" si="20"/>
        <v>25917.091200000003</v>
      </c>
      <c r="V51" s="178">
        <v>73</v>
      </c>
      <c r="W51" s="178">
        <v>0.18</v>
      </c>
      <c r="X51" s="178">
        <f t="shared" si="21"/>
        <v>0.72</v>
      </c>
      <c r="Y51" s="178">
        <v>8</v>
      </c>
      <c r="Z51" s="178">
        <f t="shared" si="22"/>
        <v>80</v>
      </c>
      <c r="AA51" s="191">
        <f t="shared" si="23"/>
        <v>19.59347475538161</v>
      </c>
      <c r="AB51" s="178"/>
      <c r="AC51" s="178"/>
      <c r="AD51" s="178"/>
    </row>
    <row r="52" spans="1:30" ht="12.75" customHeight="1">
      <c r="A52" s="178" t="s">
        <v>185</v>
      </c>
      <c r="B52" s="188">
        <v>0.87</v>
      </c>
      <c r="C52" s="184">
        <f t="shared" si="7"/>
        <v>1200</v>
      </c>
      <c r="D52" s="205">
        <v>1</v>
      </c>
      <c r="E52" s="191">
        <f t="shared" si="8"/>
        <v>10</v>
      </c>
      <c r="F52" s="191">
        <f t="shared" si="24"/>
        <v>8.6999999999999993</v>
      </c>
      <c r="G52" s="191">
        <f t="shared" si="9"/>
        <v>8.4824999999999999</v>
      </c>
      <c r="H52" s="206">
        <v>0.77</v>
      </c>
      <c r="I52" s="206">
        <f t="shared" si="10"/>
        <v>0.22999999999999998</v>
      </c>
      <c r="J52" s="207">
        <f t="shared" si="11"/>
        <v>6.5315250000000002</v>
      </c>
      <c r="K52" s="207">
        <f t="shared" si="12"/>
        <v>6.5315250000000002</v>
      </c>
      <c r="L52" s="190">
        <f t="shared" si="13"/>
        <v>1851.2208000000003</v>
      </c>
      <c r="M52" s="184">
        <f t="shared" si="14"/>
        <v>13884.156000000003</v>
      </c>
      <c r="N52" s="184">
        <f t="shared" si="15"/>
        <v>13103.912411440044</v>
      </c>
      <c r="O52" s="207">
        <f t="shared" si="16"/>
        <v>1.9509749999999999</v>
      </c>
      <c r="P52" s="207">
        <f t="shared" si="17"/>
        <v>20.160074999999999</v>
      </c>
      <c r="Q52" s="184">
        <f>P52*PkG_Pricing!D$9</f>
        <v>230.42965724999999</v>
      </c>
      <c r="R52" s="190">
        <f t="shared" si="18"/>
        <v>120.96044999999999</v>
      </c>
      <c r="S52" s="184">
        <f t="shared" si="19"/>
        <v>2055.1180454999999</v>
      </c>
      <c r="T52" s="178"/>
      <c r="U52" s="191">
        <f t="shared" si="20"/>
        <v>25917.091200000003</v>
      </c>
      <c r="V52" s="178">
        <v>73</v>
      </c>
      <c r="W52" s="178">
        <v>0.18</v>
      </c>
      <c r="X52" s="178">
        <f t="shared" si="21"/>
        <v>0.72</v>
      </c>
      <c r="Y52" s="178">
        <v>8</v>
      </c>
      <c r="Z52" s="178">
        <f t="shared" si="22"/>
        <v>80</v>
      </c>
      <c r="AA52" s="191">
        <f t="shared" si="23"/>
        <v>19.59347475538161</v>
      </c>
      <c r="AB52" s="178"/>
      <c r="AC52" s="178"/>
      <c r="AD52" s="178"/>
    </row>
    <row r="53" spans="1:30" ht="12.75" customHeight="1">
      <c r="A53" s="178" t="s">
        <v>186</v>
      </c>
      <c r="B53" s="188">
        <v>0.87</v>
      </c>
      <c r="C53" s="184">
        <f t="shared" si="7"/>
        <v>1300</v>
      </c>
      <c r="D53" s="205">
        <v>1</v>
      </c>
      <c r="E53" s="191">
        <f t="shared" si="8"/>
        <v>10</v>
      </c>
      <c r="F53" s="191">
        <f t="shared" si="24"/>
        <v>8.6999999999999993</v>
      </c>
      <c r="G53" s="191">
        <f t="shared" si="9"/>
        <v>8.4824999999999999</v>
      </c>
      <c r="H53" s="206">
        <v>0.77</v>
      </c>
      <c r="I53" s="206">
        <f t="shared" si="10"/>
        <v>0.22999999999999998</v>
      </c>
      <c r="J53" s="207">
        <f t="shared" si="11"/>
        <v>6.5315250000000002</v>
      </c>
      <c r="K53" s="207">
        <f t="shared" si="12"/>
        <v>6.5315250000000002</v>
      </c>
      <c r="L53" s="190">
        <f t="shared" si="13"/>
        <v>1851.2208000000003</v>
      </c>
      <c r="M53" s="184">
        <f t="shared" si="14"/>
        <v>13884.156000000003</v>
      </c>
      <c r="N53" s="184">
        <f t="shared" si="15"/>
        <v>13038.89211239338</v>
      </c>
      <c r="O53" s="207">
        <f t="shared" si="16"/>
        <v>1.9509749999999999</v>
      </c>
      <c r="P53" s="207">
        <f t="shared" si="17"/>
        <v>20.160074999999999</v>
      </c>
      <c r="Q53" s="184">
        <f>P53*PkG_Pricing!D$9</f>
        <v>230.42965724999999</v>
      </c>
      <c r="R53" s="190">
        <f t="shared" si="18"/>
        <v>120.96044999999999</v>
      </c>
      <c r="S53" s="184">
        <f t="shared" si="19"/>
        <v>2055.1180454999999</v>
      </c>
      <c r="T53" s="178"/>
      <c r="U53" s="191">
        <f t="shared" si="20"/>
        <v>25917.091200000003</v>
      </c>
      <c r="V53" s="178">
        <v>73</v>
      </c>
      <c r="W53" s="178">
        <v>0.18</v>
      </c>
      <c r="X53" s="178">
        <f t="shared" si="21"/>
        <v>0.72</v>
      </c>
      <c r="Y53" s="178">
        <v>8</v>
      </c>
      <c r="Z53" s="178">
        <f t="shared" si="22"/>
        <v>80</v>
      </c>
      <c r="AA53" s="191">
        <f t="shared" si="23"/>
        <v>19.59347475538161</v>
      </c>
      <c r="AB53" s="178"/>
      <c r="AC53" s="178"/>
      <c r="AD53" s="178"/>
    </row>
    <row r="54" spans="1:30" ht="12.75" customHeight="1">
      <c r="A54" s="178" t="s">
        <v>187</v>
      </c>
      <c r="B54" s="188">
        <v>0.87</v>
      </c>
      <c r="C54" s="184">
        <f t="shared" si="7"/>
        <v>1400</v>
      </c>
      <c r="D54" s="205">
        <v>1</v>
      </c>
      <c r="E54" s="191">
        <f t="shared" si="8"/>
        <v>10</v>
      </c>
      <c r="F54" s="191">
        <f t="shared" si="24"/>
        <v>8.6999999999999993</v>
      </c>
      <c r="G54" s="191">
        <f t="shared" si="9"/>
        <v>8.4824999999999999</v>
      </c>
      <c r="H54" s="206">
        <v>0.77</v>
      </c>
      <c r="I54" s="206">
        <f t="shared" si="10"/>
        <v>0.22999999999999998</v>
      </c>
      <c r="J54" s="207">
        <f t="shared" si="11"/>
        <v>6.5315250000000002</v>
      </c>
      <c r="K54" s="207">
        <f t="shared" si="12"/>
        <v>6.5315250000000002</v>
      </c>
      <c r="L54" s="190">
        <f t="shared" si="13"/>
        <v>1851.2208000000003</v>
      </c>
      <c r="M54" s="184">
        <f t="shared" si="14"/>
        <v>13884.156000000003</v>
      </c>
      <c r="N54" s="184">
        <f t="shared" si="15"/>
        <v>12973.871813346715</v>
      </c>
      <c r="O54" s="207">
        <f t="shared" si="16"/>
        <v>1.9509749999999999</v>
      </c>
      <c r="P54" s="207">
        <f t="shared" si="17"/>
        <v>20.160074999999999</v>
      </c>
      <c r="Q54" s="184">
        <f>P54*PkG_Pricing!D$9</f>
        <v>230.42965724999999</v>
      </c>
      <c r="R54" s="190">
        <f t="shared" si="18"/>
        <v>120.96044999999999</v>
      </c>
      <c r="S54" s="184">
        <f t="shared" si="19"/>
        <v>2055.1180454999999</v>
      </c>
      <c r="T54" s="178"/>
      <c r="U54" s="191">
        <f t="shared" si="20"/>
        <v>25917.091200000003</v>
      </c>
      <c r="V54" s="178">
        <v>73</v>
      </c>
      <c r="W54" s="178">
        <v>0.18</v>
      </c>
      <c r="X54" s="178">
        <f t="shared" si="21"/>
        <v>0.72</v>
      </c>
      <c r="Y54" s="178">
        <v>8</v>
      </c>
      <c r="Z54" s="178">
        <f t="shared" si="22"/>
        <v>80</v>
      </c>
      <c r="AA54" s="191">
        <f t="shared" si="23"/>
        <v>19.59347475538161</v>
      </c>
      <c r="AB54" s="178"/>
      <c r="AC54" s="178"/>
      <c r="AD54" s="178"/>
    </row>
    <row r="55" spans="1:30" ht="12.75" customHeight="1">
      <c r="A55" s="178" t="s">
        <v>188</v>
      </c>
      <c r="B55" s="188">
        <v>0.87</v>
      </c>
      <c r="C55" s="184">
        <f t="shared" si="7"/>
        <v>1500</v>
      </c>
      <c r="D55" s="205">
        <v>1</v>
      </c>
      <c r="E55" s="191">
        <f t="shared" si="8"/>
        <v>10</v>
      </c>
      <c r="F55" s="191">
        <f t="shared" si="24"/>
        <v>8.6999999999999993</v>
      </c>
      <c r="G55" s="191">
        <f t="shared" si="9"/>
        <v>8.4824999999999999</v>
      </c>
      <c r="H55" s="206">
        <v>0.66</v>
      </c>
      <c r="I55" s="206">
        <f t="shared" si="10"/>
        <v>0.33999999999999997</v>
      </c>
      <c r="J55" s="207">
        <f t="shared" si="11"/>
        <v>5.5984500000000006</v>
      </c>
      <c r="K55" s="207">
        <f t="shared" si="12"/>
        <v>5.5984500000000006</v>
      </c>
      <c r="L55" s="190">
        <f t="shared" si="13"/>
        <v>1586.7606857142857</v>
      </c>
      <c r="M55" s="184">
        <f t="shared" si="14"/>
        <v>11900.705142857143</v>
      </c>
      <c r="N55" s="184">
        <f t="shared" si="15"/>
        <v>11064.729869400044</v>
      </c>
      <c r="O55" s="207">
        <f t="shared" si="16"/>
        <v>2.8840499999999998</v>
      </c>
      <c r="P55" s="207">
        <f t="shared" si="17"/>
        <v>29.801849999999998</v>
      </c>
      <c r="Q55" s="184">
        <f>P55*PkG_Pricing!D$9</f>
        <v>340.63514549999996</v>
      </c>
      <c r="R55" s="190">
        <f t="shared" si="18"/>
        <v>178.81109999999998</v>
      </c>
      <c r="S55" s="184">
        <f t="shared" si="19"/>
        <v>3395.6227889999996</v>
      </c>
      <c r="T55" s="178"/>
      <c r="U55" s="191">
        <f t="shared" si="20"/>
        <v>22214.649600000001</v>
      </c>
      <c r="V55" s="178">
        <v>73</v>
      </c>
      <c r="W55" s="178">
        <v>0.18</v>
      </c>
      <c r="X55" s="178">
        <f t="shared" si="21"/>
        <v>0.72</v>
      </c>
      <c r="Y55" s="178">
        <v>8</v>
      </c>
      <c r="Z55" s="178">
        <f t="shared" si="22"/>
        <v>80</v>
      </c>
      <c r="AA55" s="191">
        <f t="shared" si="23"/>
        <v>15.970733463796478</v>
      </c>
      <c r="AB55" s="178"/>
      <c r="AC55" s="178"/>
      <c r="AD55" s="178"/>
    </row>
    <row r="56" spans="1:30" ht="12.75" customHeight="1">
      <c r="A56" s="178" t="s">
        <v>189</v>
      </c>
      <c r="B56" s="188">
        <v>0.85</v>
      </c>
      <c r="C56" s="184">
        <f t="shared" si="7"/>
        <v>1050</v>
      </c>
      <c r="D56" s="205">
        <v>1</v>
      </c>
      <c r="E56" s="191">
        <f t="shared" si="8"/>
        <v>10</v>
      </c>
      <c r="F56" s="191">
        <f t="shared" si="24"/>
        <v>8.5</v>
      </c>
      <c r="G56" s="191">
        <f t="shared" si="9"/>
        <v>8.2874999999999996</v>
      </c>
      <c r="H56" s="206">
        <v>0.76500000000000001</v>
      </c>
      <c r="I56" s="206">
        <f t="shared" si="10"/>
        <v>0.23499999999999999</v>
      </c>
      <c r="J56" s="207">
        <f t="shared" si="11"/>
        <v>6.3399374999999996</v>
      </c>
      <c r="K56" s="207">
        <f t="shared" si="12"/>
        <v>6.3399374999999996</v>
      </c>
      <c r="L56" s="190">
        <f t="shared" si="13"/>
        <v>1796.9194285714286</v>
      </c>
      <c r="M56" s="184">
        <f t="shared" si="14"/>
        <v>13476.895714285714</v>
      </c>
      <c r="N56" s="184">
        <f t="shared" si="15"/>
        <v>12814.208418751345</v>
      </c>
      <c r="O56" s="207">
        <f t="shared" si="16"/>
        <v>1.9475624999999999</v>
      </c>
      <c r="P56" s="207">
        <f t="shared" si="17"/>
        <v>20.124812500000001</v>
      </c>
      <c r="Q56" s="184">
        <f>P56*PkG_Pricing!D$9</f>
        <v>230.026606875</v>
      </c>
      <c r="R56" s="190">
        <f t="shared" si="18"/>
        <v>120.748875</v>
      </c>
      <c r="S56" s="184">
        <f t="shared" si="19"/>
        <v>1810.0256362499999</v>
      </c>
      <c r="T56" s="178"/>
      <c r="U56" s="191">
        <f t="shared" si="20"/>
        <v>25156.871999999999</v>
      </c>
      <c r="V56" s="178">
        <v>45.625</v>
      </c>
      <c r="W56" s="178">
        <v>0.18</v>
      </c>
      <c r="X56" s="178">
        <f t="shared" si="21"/>
        <v>0.72</v>
      </c>
      <c r="Y56" s="178">
        <v>5</v>
      </c>
      <c r="Z56" s="178">
        <f t="shared" si="22"/>
        <v>50</v>
      </c>
      <c r="AA56" s="191">
        <f t="shared" si="23"/>
        <v>35.761678277886496</v>
      </c>
      <c r="AB56" s="178"/>
      <c r="AC56" s="178"/>
      <c r="AD56" s="178"/>
    </row>
    <row r="57" spans="1:30" ht="12.75" customHeight="1">
      <c r="A57" s="178" t="s">
        <v>190</v>
      </c>
      <c r="B57" s="188">
        <v>0.85</v>
      </c>
      <c r="C57" s="184">
        <f t="shared" si="7"/>
        <v>1100</v>
      </c>
      <c r="D57" s="205">
        <v>1</v>
      </c>
      <c r="E57" s="191">
        <f t="shared" si="8"/>
        <v>10</v>
      </c>
      <c r="F57" s="191">
        <f t="shared" si="24"/>
        <v>8.5</v>
      </c>
      <c r="G57" s="191">
        <f t="shared" si="9"/>
        <v>8.2874999999999996</v>
      </c>
      <c r="H57" s="206">
        <v>0.76500000000000001</v>
      </c>
      <c r="I57" s="206">
        <f t="shared" si="10"/>
        <v>0.23499999999999999</v>
      </c>
      <c r="J57" s="207">
        <f t="shared" si="11"/>
        <v>6.3399374999999996</v>
      </c>
      <c r="K57" s="207">
        <f t="shared" si="12"/>
        <v>6.3399374999999996</v>
      </c>
      <c r="L57" s="190">
        <f t="shared" si="13"/>
        <v>1796.9194285714286</v>
      </c>
      <c r="M57" s="184">
        <f t="shared" si="14"/>
        <v>13476.895714285714</v>
      </c>
      <c r="N57" s="184">
        <f t="shared" si="15"/>
        <v>12782.651880868754</v>
      </c>
      <c r="O57" s="207">
        <f t="shared" si="16"/>
        <v>1.9475624999999999</v>
      </c>
      <c r="P57" s="207">
        <f t="shared" si="17"/>
        <v>20.124812500000001</v>
      </c>
      <c r="Q57" s="184">
        <f>P57*PkG_Pricing!D$9</f>
        <v>230.026606875</v>
      </c>
      <c r="R57" s="190">
        <f t="shared" si="18"/>
        <v>120.748875</v>
      </c>
      <c r="S57" s="184">
        <f t="shared" si="19"/>
        <v>1810.0256362499999</v>
      </c>
      <c r="T57" s="178"/>
      <c r="U57" s="191">
        <f t="shared" si="20"/>
        <v>25156.871999999999</v>
      </c>
      <c r="V57" s="178">
        <v>45.625</v>
      </c>
      <c r="W57" s="178">
        <v>0.18</v>
      </c>
      <c r="X57" s="178">
        <f t="shared" si="21"/>
        <v>0.72</v>
      </c>
      <c r="Y57" s="178">
        <v>5</v>
      </c>
      <c r="Z57" s="178">
        <f t="shared" si="22"/>
        <v>50</v>
      </c>
      <c r="AA57" s="191">
        <f t="shared" si="23"/>
        <v>35.761678277886496</v>
      </c>
      <c r="AB57" s="178"/>
      <c r="AC57" s="178"/>
      <c r="AD57" s="178"/>
    </row>
    <row r="58" spans="1:30" ht="12.75" customHeight="1">
      <c r="A58" s="178" t="s">
        <v>191</v>
      </c>
      <c r="B58" s="188">
        <v>0.85</v>
      </c>
      <c r="C58" s="184">
        <f t="shared" si="7"/>
        <v>1200</v>
      </c>
      <c r="D58" s="205">
        <v>1</v>
      </c>
      <c r="E58" s="191">
        <f t="shared" si="8"/>
        <v>10</v>
      </c>
      <c r="F58" s="191">
        <f t="shared" si="24"/>
        <v>8.5</v>
      </c>
      <c r="G58" s="191">
        <f t="shared" si="9"/>
        <v>8.2874999999999996</v>
      </c>
      <c r="H58" s="206">
        <v>0.76500000000000001</v>
      </c>
      <c r="I58" s="206">
        <f t="shared" si="10"/>
        <v>0.23499999999999999</v>
      </c>
      <c r="J58" s="207">
        <f t="shared" si="11"/>
        <v>6.3399374999999996</v>
      </c>
      <c r="K58" s="207">
        <f t="shared" si="12"/>
        <v>6.3399374999999996</v>
      </c>
      <c r="L58" s="190">
        <f t="shared" si="13"/>
        <v>1796.9194285714286</v>
      </c>
      <c r="M58" s="184">
        <f t="shared" si="14"/>
        <v>13476.895714285714</v>
      </c>
      <c r="N58" s="184">
        <f t="shared" si="15"/>
        <v>12719.538805103579</v>
      </c>
      <c r="O58" s="207">
        <f t="shared" si="16"/>
        <v>1.9475624999999999</v>
      </c>
      <c r="P58" s="207">
        <f t="shared" si="17"/>
        <v>20.124812500000001</v>
      </c>
      <c r="Q58" s="184">
        <f>P58*PkG_Pricing!D$9</f>
        <v>230.026606875</v>
      </c>
      <c r="R58" s="190">
        <f t="shared" si="18"/>
        <v>120.748875</v>
      </c>
      <c r="S58" s="184">
        <f t="shared" si="19"/>
        <v>2051.5233862499999</v>
      </c>
      <c r="T58" s="178"/>
      <c r="U58" s="191">
        <f t="shared" si="20"/>
        <v>25156.871999999999</v>
      </c>
      <c r="V58" s="178">
        <v>45.625</v>
      </c>
      <c r="W58" s="178">
        <v>0.18</v>
      </c>
      <c r="X58" s="178">
        <f t="shared" si="21"/>
        <v>0.72</v>
      </c>
      <c r="Y58" s="178">
        <v>5</v>
      </c>
      <c r="Z58" s="178">
        <f t="shared" si="22"/>
        <v>50</v>
      </c>
      <c r="AA58" s="191">
        <f t="shared" si="23"/>
        <v>35.761678277886496</v>
      </c>
      <c r="AB58" s="178"/>
      <c r="AC58" s="178"/>
      <c r="AD58" s="178"/>
    </row>
    <row r="59" spans="1:30" ht="12.75" customHeight="1">
      <c r="A59" s="178" t="s">
        <v>192</v>
      </c>
      <c r="B59" s="188">
        <v>0.85</v>
      </c>
      <c r="C59" s="184">
        <f t="shared" si="7"/>
        <v>1300</v>
      </c>
      <c r="D59" s="205">
        <v>1</v>
      </c>
      <c r="E59" s="191">
        <f t="shared" si="8"/>
        <v>10</v>
      </c>
      <c r="F59" s="191">
        <f t="shared" si="24"/>
        <v>8.5</v>
      </c>
      <c r="G59" s="191">
        <f t="shared" si="9"/>
        <v>8.2874999999999996</v>
      </c>
      <c r="H59" s="206">
        <v>0.76500000000000001</v>
      </c>
      <c r="I59" s="206">
        <f t="shared" si="10"/>
        <v>0.23499999999999999</v>
      </c>
      <c r="J59" s="207">
        <f t="shared" si="11"/>
        <v>6.3399374999999996</v>
      </c>
      <c r="K59" s="207">
        <f t="shared" si="12"/>
        <v>6.3399374999999996</v>
      </c>
      <c r="L59" s="190">
        <f t="shared" si="13"/>
        <v>1796.9194285714286</v>
      </c>
      <c r="M59" s="184">
        <f t="shared" si="14"/>
        <v>13476.895714285714</v>
      </c>
      <c r="N59" s="184">
        <f t="shared" si="15"/>
        <v>12656.4257293384</v>
      </c>
      <c r="O59" s="207">
        <f t="shared" si="16"/>
        <v>1.9475624999999999</v>
      </c>
      <c r="P59" s="207">
        <f t="shared" si="17"/>
        <v>20.124812500000001</v>
      </c>
      <c r="Q59" s="184">
        <f>P59*PkG_Pricing!D$9</f>
        <v>230.026606875</v>
      </c>
      <c r="R59" s="190">
        <f t="shared" si="18"/>
        <v>120.748875</v>
      </c>
      <c r="S59" s="184">
        <f t="shared" si="19"/>
        <v>2051.5233862499999</v>
      </c>
      <c r="T59" s="178"/>
      <c r="U59" s="191">
        <f t="shared" si="20"/>
        <v>25156.871999999999</v>
      </c>
      <c r="V59" s="178">
        <v>45.625</v>
      </c>
      <c r="W59" s="178">
        <v>0.18</v>
      </c>
      <c r="X59" s="178">
        <f t="shared" si="21"/>
        <v>0.72</v>
      </c>
      <c r="Y59" s="178">
        <v>5</v>
      </c>
      <c r="Z59" s="178">
        <f t="shared" si="22"/>
        <v>50</v>
      </c>
      <c r="AA59" s="191">
        <f t="shared" si="23"/>
        <v>35.761678277886496</v>
      </c>
      <c r="AB59" s="178"/>
      <c r="AC59" s="178"/>
      <c r="AD59" s="178"/>
    </row>
    <row r="60" spans="1:30" ht="12.75" customHeight="1">
      <c r="A60" s="178" t="s">
        <v>193</v>
      </c>
      <c r="B60" s="188">
        <v>0.85</v>
      </c>
      <c r="C60" s="184">
        <f t="shared" si="7"/>
        <v>1400</v>
      </c>
      <c r="D60" s="205">
        <v>1</v>
      </c>
      <c r="E60" s="191">
        <f t="shared" si="8"/>
        <v>10</v>
      </c>
      <c r="F60" s="191">
        <f t="shared" si="24"/>
        <v>8.5</v>
      </c>
      <c r="G60" s="191">
        <f t="shared" si="9"/>
        <v>8.2874999999999996</v>
      </c>
      <c r="H60" s="206">
        <v>0.76500000000000001</v>
      </c>
      <c r="I60" s="206">
        <f t="shared" si="10"/>
        <v>0.23499999999999999</v>
      </c>
      <c r="J60" s="207">
        <f t="shared" si="11"/>
        <v>6.3399374999999996</v>
      </c>
      <c r="K60" s="207">
        <f t="shared" si="12"/>
        <v>6.3399374999999996</v>
      </c>
      <c r="L60" s="190">
        <f t="shared" si="13"/>
        <v>1796.9194285714286</v>
      </c>
      <c r="M60" s="184">
        <f t="shared" si="14"/>
        <v>13476.895714285714</v>
      </c>
      <c r="N60" s="184">
        <f t="shared" si="15"/>
        <v>12593.312653573221</v>
      </c>
      <c r="O60" s="207">
        <f t="shared" si="16"/>
        <v>1.9475624999999999</v>
      </c>
      <c r="P60" s="207">
        <f t="shared" si="17"/>
        <v>20.124812500000001</v>
      </c>
      <c r="Q60" s="184">
        <f>P60*PkG_Pricing!D$9</f>
        <v>230.026606875</v>
      </c>
      <c r="R60" s="190">
        <f t="shared" si="18"/>
        <v>120.748875</v>
      </c>
      <c r="S60" s="184">
        <f t="shared" si="19"/>
        <v>2293.0211362499999</v>
      </c>
      <c r="T60" s="178"/>
      <c r="U60" s="191">
        <f t="shared" si="20"/>
        <v>25156.871999999999</v>
      </c>
      <c r="V60" s="178">
        <v>45.625</v>
      </c>
      <c r="W60" s="178">
        <v>0.18</v>
      </c>
      <c r="X60" s="178">
        <f t="shared" si="21"/>
        <v>0.72</v>
      </c>
      <c r="Y60" s="178">
        <v>5</v>
      </c>
      <c r="Z60" s="178">
        <f t="shared" si="22"/>
        <v>50</v>
      </c>
      <c r="AA60" s="191">
        <f t="shared" si="23"/>
        <v>35.761678277886496</v>
      </c>
      <c r="AB60" s="178"/>
      <c r="AC60" s="178"/>
      <c r="AD60" s="178"/>
    </row>
    <row r="61" spans="1:30" ht="12.75" customHeight="1">
      <c r="A61" s="178" t="s">
        <v>194</v>
      </c>
      <c r="B61" s="188">
        <v>0.85</v>
      </c>
      <c r="C61" s="184">
        <f t="shared" si="7"/>
        <v>1500</v>
      </c>
      <c r="D61" s="205">
        <v>1</v>
      </c>
      <c r="E61" s="191">
        <f t="shared" si="8"/>
        <v>10</v>
      </c>
      <c r="F61" s="191">
        <f t="shared" si="24"/>
        <v>8.5</v>
      </c>
      <c r="G61" s="191">
        <f t="shared" si="9"/>
        <v>8.2874999999999996</v>
      </c>
      <c r="H61" s="206">
        <v>0.76500000000000001</v>
      </c>
      <c r="I61" s="206">
        <f t="shared" si="10"/>
        <v>0.23499999999999999</v>
      </c>
      <c r="J61" s="207">
        <f t="shared" si="11"/>
        <v>6.3399374999999996</v>
      </c>
      <c r="K61" s="207">
        <f t="shared" si="12"/>
        <v>6.3399374999999996</v>
      </c>
      <c r="L61" s="190">
        <f t="shared" si="13"/>
        <v>1796.9194285714286</v>
      </c>
      <c r="M61" s="184">
        <f t="shared" si="14"/>
        <v>14375.355428571429</v>
      </c>
      <c r="N61" s="184">
        <f t="shared" si="15"/>
        <v>13428.659292093756</v>
      </c>
      <c r="O61" s="207">
        <f t="shared" si="16"/>
        <v>1.9475624999999999</v>
      </c>
      <c r="P61" s="207">
        <f t="shared" si="17"/>
        <v>20.124812500000001</v>
      </c>
      <c r="Q61" s="184">
        <f>P61*PkG_Pricing!D$9</f>
        <v>230.026606875</v>
      </c>
      <c r="R61" s="190">
        <f t="shared" si="18"/>
        <v>120.748875</v>
      </c>
      <c r="S61" s="184">
        <f t="shared" si="19"/>
        <v>2655.2677612499997</v>
      </c>
      <c r="T61" s="178"/>
      <c r="U61" s="191">
        <f t="shared" si="20"/>
        <v>25156.871999999999</v>
      </c>
      <c r="V61" s="178">
        <v>45.625</v>
      </c>
      <c r="W61" s="178">
        <v>0.18</v>
      </c>
      <c r="X61" s="178">
        <f t="shared" si="21"/>
        <v>0.72</v>
      </c>
      <c r="Y61" s="178">
        <v>5</v>
      </c>
      <c r="Z61" s="178">
        <f t="shared" si="22"/>
        <v>50</v>
      </c>
      <c r="AA61" s="191">
        <f t="shared" si="23"/>
        <v>35.761678277886496</v>
      </c>
      <c r="AB61" s="178"/>
      <c r="AC61" s="178"/>
      <c r="AD61" s="178"/>
    </row>
    <row r="62" spans="1:30" ht="12.75" customHeight="1">
      <c r="A62" s="178" t="s">
        <v>195</v>
      </c>
      <c r="B62" s="188">
        <v>0.85</v>
      </c>
      <c r="C62" s="184">
        <f t="shared" si="7"/>
        <v>1500</v>
      </c>
      <c r="D62" s="205">
        <v>1</v>
      </c>
      <c r="E62" s="191">
        <f t="shared" si="8"/>
        <v>10</v>
      </c>
      <c r="F62" s="191">
        <f t="shared" si="24"/>
        <v>8.5</v>
      </c>
      <c r="G62" s="191">
        <f t="shared" si="9"/>
        <v>8.2874999999999996</v>
      </c>
      <c r="H62" s="206">
        <v>0.65</v>
      </c>
      <c r="I62" s="206">
        <f t="shared" si="10"/>
        <v>0.35</v>
      </c>
      <c r="J62" s="207">
        <f t="shared" si="11"/>
        <v>5.3868749999999999</v>
      </c>
      <c r="K62" s="207">
        <f t="shared" si="12"/>
        <v>5.3868749999999999</v>
      </c>
      <c r="L62" s="190">
        <f t="shared" si="13"/>
        <v>1526.7942857142857</v>
      </c>
      <c r="M62" s="184">
        <f t="shared" si="14"/>
        <v>12214.354285714286</v>
      </c>
      <c r="N62" s="184">
        <f t="shared" si="15"/>
        <v>11409.971947530643</v>
      </c>
      <c r="O62" s="207">
        <f t="shared" si="16"/>
        <v>2.9006249999999998</v>
      </c>
      <c r="P62" s="207">
        <f t="shared" si="17"/>
        <v>29.973124999999996</v>
      </c>
      <c r="Q62" s="184">
        <f>P62*PkG_Pricing!D$9</f>
        <v>342.59281874999994</v>
      </c>
      <c r="R62" s="190">
        <f t="shared" si="18"/>
        <v>179.83874999999998</v>
      </c>
      <c r="S62" s="184">
        <f t="shared" si="19"/>
        <v>3954.654112499999</v>
      </c>
      <c r="T62" s="178"/>
      <c r="U62" s="191">
        <f t="shared" si="20"/>
        <v>21375.119999999999</v>
      </c>
      <c r="V62" s="178">
        <v>45.625</v>
      </c>
      <c r="W62" s="178">
        <v>0.18</v>
      </c>
      <c r="X62" s="178">
        <f t="shared" si="21"/>
        <v>0.72</v>
      </c>
      <c r="Y62" s="178">
        <v>5</v>
      </c>
      <c r="Z62" s="178">
        <f t="shared" si="22"/>
        <v>50</v>
      </c>
      <c r="AA62" s="191">
        <f t="shared" si="23"/>
        <v>29.841127201565559</v>
      </c>
      <c r="AB62" s="178"/>
      <c r="AC62" s="178"/>
      <c r="AD62" s="178"/>
    </row>
    <row r="63" spans="1:30" ht="12.75" customHeight="1">
      <c r="A63" s="178" t="s">
        <v>196</v>
      </c>
      <c r="B63" s="188">
        <v>0.85</v>
      </c>
      <c r="C63" s="184">
        <f t="shared" si="7"/>
        <v>1500</v>
      </c>
      <c r="D63" s="205">
        <v>1</v>
      </c>
      <c r="E63" s="191">
        <f t="shared" si="8"/>
        <v>10</v>
      </c>
      <c r="F63" s="191">
        <f t="shared" si="24"/>
        <v>8.5</v>
      </c>
      <c r="G63" s="191">
        <f t="shared" si="9"/>
        <v>8.2874999999999996</v>
      </c>
      <c r="H63" s="206">
        <v>0.65</v>
      </c>
      <c r="I63" s="206">
        <f t="shared" si="10"/>
        <v>0.35</v>
      </c>
      <c r="J63" s="207">
        <f t="shared" si="11"/>
        <v>5.3868749999999999</v>
      </c>
      <c r="K63" s="207">
        <f t="shared" si="12"/>
        <v>5.3868749999999999</v>
      </c>
      <c r="L63" s="190">
        <f t="shared" si="13"/>
        <v>1526.7942857142857</v>
      </c>
      <c r="M63" s="184">
        <f t="shared" si="14"/>
        <v>12214.354285714286</v>
      </c>
      <c r="N63" s="184">
        <f t="shared" si="15"/>
        <v>11409.971947530643</v>
      </c>
      <c r="O63" s="207">
        <f t="shared" si="16"/>
        <v>2.9006249999999998</v>
      </c>
      <c r="P63" s="207">
        <f t="shared" si="17"/>
        <v>29.973124999999996</v>
      </c>
      <c r="Q63" s="184">
        <f>P63*PkG_Pricing!D$9</f>
        <v>342.59281874999994</v>
      </c>
      <c r="R63" s="190">
        <f t="shared" si="18"/>
        <v>179.83874999999998</v>
      </c>
      <c r="S63" s="184">
        <f t="shared" si="19"/>
        <v>3954.654112499999</v>
      </c>
      <c r="T63" s="178"/>
      <c r="U63" s="191">
        <f t="shared" si="20"/>
        <v>21375.119999999999</v>
      </c>
      <c r="V63" s="178">
        <v>45.625</v>
      </c>
      <c r="W63" s="178">
        <v>0.18</v>
      </c>
      <c r="X63" s="178">
        <f t="shared" si="21"/>
        <v>0.72</v>
      </c>
      <c r="Y63" s="178">
        <v>5</v>
      </c>
      <c r="Z63" s="178">
        <f t="shared" si="22"/>
        <v>50</v>
      </c>
      <c r="AA63" s="191">
        <f t="shared" si="23"/>
        <v>29.841127201565559</v>
      </c>
      <c r="AB63" s="178"/>
      <c r="AC63" s="178"/>
      <c r="AD63" s="178"/>
    </row>
    <row r="64" spans="1:30" ht="12.75" customHeight="1">
      <c r="A64" s="178" t="s">
        <v>197</v>
      </c>
      <c r="B64" s="188">
        <v>0.8</v>
      </c>
      <c r="C64" s="184">
        <f t="shared" si="7"/>
        <v>1400</v>
      </c>
      <c r="D64" s="205">
        <v>1</v>
      </c>
      <c r="E64" s="191">
        <f t="shared" si="8"/>
        <v>10</v>
      </c>
      <c r="F64" s="191">
        <f t="shared" si="24"/>
        <v>8</v>
      </c>
      <c r="G64" s="191">
        <f t="shared" si="9"/>
        <v>7.8</v>
      </c>
      <c r="H64" s="206">
        <v>0.63</v>
      </c>
      <c r="I64" s="206">
        <f t="shared" si="10"/>
        <v>0.37</v>
      </c>
      <c r="J64" s="207">
        <f t="shared" si="11"/>
        <v>4.9139999999999997</v>
      </c>
      <c r="K64" s="207">
        <f t="shared" si="12"/>
        <v>4.9139999999999997</v>
      </c>
      <c r="L64" s="190">
        <f t="shared" si="13"/>
        <v>1624.896</v>
      </c>
      <c r="M64" s="184">
        <f t="shared" si="14"/>
        <v>13811.616</v>
      </c>
      <c r="N64" s="184">
        <f t="shared" si="15"/>
        <v>13126.762693426996</v>
      </c>
      <c r="O64" s="207">
        <f t="shared" si="16"/>
        <v>2.8860000000000001</v>
      </c>
      <c r="P64" s="207">
        <f t="shared" si="17"/>
        <v>29.822000000000003</v>
      </c>
      <c r="Q64" s="184">
        <f>P64*PkG_Pricing!D$9</f>
        <v>340.86546000000004</v>
      </c>
      <c r="R64" s="190">
        <f t="shared" si="18"/>
        <v>178.93200000000002</v>
      </c>
      <c r="S64" s="184">
        <f t="shared" si="19"/>
        <v>3397.9186800000002</v>
      </c>
      <c r="T64" s="178"/>
      <c r="U64" s="191">
        <f t="shared" si="20"/>
        <v>19498.752</v>
      </c>
      <c r="V64" s="178">
        <v>91.25</v>
      </c>
      <c r="W64" s="178">
        <v>0.18</v>
      </c>
      <c r="X64" s="178">
        <f t="shared" si="21"/>
        <v>0.72</v>
      </c>
      <c r="Y64" s="178">
        <v>10</v>
      </c>
      <c r="Z64" s="178">
        <f t="shared" si="22"/>
        <v>100</v>
      </c>
      <c r="AA64" s="191">
        <f t="shared" si="23"/>
        <v>9.4137461187214608</v>
      </c>
      <c r="AB64" s="178"/>
      <c r="AC64" s="178"/>
      <c r="AD64" s="178"/>
    </row>
    <row r="65" spans="1:30" ht="12.75" customHeight="1">
      <c r="A65" s="178" t="s">
        <v>198</v>
      </c>
      <c r="B65" s="188">
        <v>0.8</v>
      </c>
      <c r="C65" s="184">
        <f t="shared" si="7"/>
        <v>1500</v>
      </c>
      <c r="D65" s="205">
        <v>1</v>
      </c>
      <c r="E65" s="191">
        <f t="shared" si="8"/>
        <v>10</v>
      </c>
      <c r="F65" s="191">
        <f t="shared" si="24"/>
        <v>8</v>
      </c>
      <c r="G65" s="191">
        <f t="shared" si="9"/>
        <v>7.8</v>
      </c>
      <c r="H65" s="206">
        <v>0.63</v>
      </c>
      <c r="I65" s="206">
        <f t="shared" si="10"/>
        <v>0.37</v>
      </c>
      <c r="J65" s="207">
        <f t="shared" si="11"/>
        <v>4.9139999999999997</v>
      </c>
      <c r="K65" s="207">
        <f t="shared" si="12"/>
        <v>4.9139999999999997</v>
      </c>
      <c r="L65" s="190">
        <f t="shared" si="13"/>
        <v>1624.896</v>
      </c>
      <c r="M65" s="184">
        <f t="shared" si="14"/>
        <v>13811.616</v>
      </c>
      <c r="N65" s="184">
        <f t="shared" si="15"/>
        <v>13077.844600100352</v>
      </c>
      <c r="O65" s="207">
        <f t="shared" si="16"/>
        <v>2.8860000000000001</v>
      </c>
      <c r="P65" s="207">
        <f t="shared" si="17"/>
        <v>29.822000000000003</v>
      </c>
      <c r="Q65" s="184">
        <f>P65*PkG_Pricing!D$9</f>
        <v>340.86546000000004</v>
      </c>
      <c r="R65" s="190">
        <f t="shared" si="18"/>
        <v>178.93200000000002</v>
      </c>
      <c r="S65" s="184">
        <f t="shared" si="19"/>
        <v>3934.71468</v>
      </c>
      <c r="T65" s="178"/>
      <c r="U65" s="191">
        <f t="shared" si="20"/>
        <v>19498.752</v>
      </c>
      <c r="V65" s="178">
        <v>91.25</v>
      </c>
      <c r="W65" s="178">
        <v>0.18</v>
      </c>
      <c r="X65" s="178">
        <f t="shared" si="21"/>
        <v>0.72</v>
      </c>
      <c r="Y65" s="178">
        <v>10</v>
      </c>
      <c r="Z65" s="178">
        <f t="shared" si="22"/>
        <v>100</v>
      </c>
      <c r="AA65" s="191">
        <f t="shared" si="23"/>
        <v>9.4137461187214608</v>
      </c>
      <c r="AB65" s="178"/>
      <c r="AC65" s="178"/>
      <c r="AD65" s="178"/>
    </row>
    <row r="66" spans="1:30" ht="12.75" customHeight="1">
      <c r="A66" s="178" t="s">
        <v>199</v>
      </c>
      <c r="B66" s="188">
        <v>0.8</v>
      </c>
      <c r="C66" s="184">
        <f t="shared" si="7"/>
        <v>1600</v>
      </c>
      <c r="D66" s="205">
        <v>1</v>
      </c>
      <c r="E66" s="191">
        <f t="shared" si="8"/>
        <v>10</v>
      </c>
      <c r="F66" s="191">
        <f t="shared" si="24"/>
        <v>8</v>
      </c>
      <c r="G66" s="191">
        <f t="shared" si="9"/>
        <v>7.8</v>
      </c>
      <c r="H66" s="206">
        <v>0.63</v>
      </c>
      <c r="I66" s="206">
        <f t="shared" si="10"/>
        <v>0.37</v>
      </c>
      <c r="J66" s="207">
        <f t="shared" si="11"/>
        <v>4.9139999999999997</v>
      </c>
      <c r="K66" s="207">
        <f t="shared" si="12"/>
        <v>4.9139999999999997</v>
      </c>
      <c r="L66" s="190">
        <f t="shared" si="13"/>
        <v>1624.896</v>
      </c>
      <c r="M66" s="184">
        <f t="shared" si="14"/>
        <v>13811.616</v>
      </c>
      <c r="N66" s="184">
        <f t="shared" si="15"/>
        <v>13028.926506773709</v>
      </c>
      <c r="O66" s="207">
        <f t="shared" si="16"/>
        <v>2.8860000000000001</v>
      </c>
      <c r="P66" s="207">
        <f t="shared" si="17"/>
        <v>29.822000000000003</v>
      </c>
      <c r="Q66" s="184">
        <f>P66*PkG_Pricing!D$9</f>
        <v>340.86546000000004</v>
      </c>
      <c r="R66" s="190">
        <f t="shared" si="18"/>
        <v>178.93200000000002</v>
      </c>
      <c r="S66" s="184">
        <f t="shared" si="19"/>
        <v>3934.71468</v>
      </c>
      <c r="T66" s="178"/>
      <c r="U66" s="191">
        <f t="shared" si="20"/>
        <v>19498.752</v>
      </c>
      <c r="V66" s="178">
        <v>91.25</v>
      </c>
      <c r="W66" s="178">
        <v>0.18</v>
      </c>
      <c r="X66" s="178">
        <f t="shared" si="21"/>
        <v>0.72</v>
      </c>
      <c r="Y66" s="178">
        <v>10</v>
      </c>
      <c r="Z66" s="178">
        <f t="shared" si="22"/>
        <v>100</v>
      </c>
      <c r="AA66" s="191">
        <f t="shared" si="23"/>
        <v>9.4137461187214608</v>
      </c>
      <c r="AB66" s="178"/>
      <c r="AC66" s="178"/>
      <c r="AD66" s="178"/>
    </row>
    <row r="67" spans="1:30" ht="12.75" customHeight="1">
      <c r="A67" s="178" t="s">
        <v>200</v>
      </c>
      <c r="B67" s="188">
        <v>0.8</v>
      </c>
      <c r="C67" s="184">
        <f t="shared" si="7"/>
        <v>1700</v>
      </c>
      <c r="D67" s="205">
        <v>1</v>
      </c>
      <c r="E67" s="191">
        <f t="shared" si="8"/>
        <v>10</v>
      </c>
      <c r="F67" s="191">
        <f t="shared" si="24"/>
        <v>8</v>
      </c>
      <c r="G67" s="191">
        <f t="shared" si="9"/>
        <v>7.8</v>
      </c>
      <c r="H67" s="206">
        <v>0.63</v>
      </c>
      <c r="I67" s="206">
        <f t="shared" si="10"/>
        <v>0.37</v>
      </c>
      <c r="J67" s="207">
        <f t="shared" si="11"/>
        <v>4.9139999999999997</v>
      </c>
      <c r="K67" s="207">
        <f t="shared" si="12"/>
        <v>4.9139999999999997</v>
      </c>
      <c r="L67" s="190">
        <f t="shared" si="13"/>
        <v>1624.896</v>
      </c>
      <c r="M67" s="184">
        <f t="shared" si="14"/>
        <v>13811.616</v>
      </c>
      <c r="N67" s="184">
        <f t="shared" si="15"/>
        <v>12980.008413447065</v>
      </c>
      <c r="O67" s="207">
        <f t="shared" si="16"/>
        <v>2.8860000000000001</v>
      </c>
      <c r="P67" s="207">
        <f t="shared" si="17"/>
        <v>29.822000000000003</v>
      </c>
      <c r="Q67" s="184">
        <f>P67*PkG_Pricing!D$9</f>
        <v>340.86546000000004</v>
      </c>
      <c r="R67" s="190">
        <f t="shared" si="18"/>
        <v>178.93200000000002</v>
      </c>
      <c r="S67" s="184">
        <f t="shared" si="19"/>
        <v>4292.5786800000005</v>
      </c>
      <c r="T67" s="178"/>
      <c r="U67" s="191">
        <f t="shared" si="20"/>
        <v>19498.752</v>
      </c>
      <c r="V67" s="178">
        <v>91.25</v>
      </c>
      <c r="W67" s="178">
        <v>0.18</v>
      </c>
      <c r="X67" s="178">
        <f t="shared" si="21"/>
        <v>0.72</v>
      </c>
      <c r="Y67" s="178">
        <v>10</v>
      </c>
      <c r="Z67" s="178">
        <f t="shared" si="22"/>
        <v>100</v>
      </c>
      <c r="AA67" s="191">
        <f t="shared" si="23"/>
        <v>9.4137461187214608</v>
      </c>
      <c r="AB67" s="178"/>
      <c r="AC67" s="178"/>
      <c r="AD67" s="178"/>
    </row>
    <row r="68" spans="1:30" ht="12.75" customHeight="1">
      <c r="A68" s="178" t="s">
        <v>201</v>
      </c>
      <c r="B68" s="188">
        <v>0.9</v>
      </c>
      <c r="C68" s="184">
        <f t="shared" si="7"/>
        <v>750</v>
      </c>
      <c r="D68" s="205">
        <v>1</v>
      </c>
      <c r="E68" s="191">
        <f t="shared" si="8"/>
        <v>10</v>
      </c>
      <c r="F68" s="191">
        <f t="shared" si="24"/>
        <v>9</v>
      </c>
      <c r="G68" s="191">
        <f t="shared" si="9"/>
        <v>8.7750000000000004</v>
      </c>
      <c r="H68" s="206">
        <v>0.78</v>
      </c>
      <c r="I68" s="206">
        <f t="shared" si="10"/>
        <v>0.21999999999999997</v>
      </c>
      <c r="J68" s="207">
        <f t="shared" si="11"/>
        <v>6.8445000000000009</v>
      </c>
      <c r="K68" s="207">
        <f t="shared" si="12"/>
        <v>6.8445000000000009</v>
      </c>
      <c r="L68" s="190">
        <f t="shared" si="13"/>
        <v>1697.4360000000001</v>
      </c>
      <c r="M68" s="184">
        <f t="shared" si="14"/>
        <v>11882.052000000001</v>
      </c>
      <c r="N68" s="184">
        <f t="shared" si="15"/>
        <v>11371.032632212746</v>
      </c>
      <c r="O68" s="207">
        <f t="shared" si="16"/>
        <v>1.9304999999999999</v>
      </c>
      <c r="P68" s="207">
        <f t="shared" si="17"/>
        <v>19.948499999999999</v>
      </c>
      <c r="Q68" s="184">
        <f>P68*PkG_Pricing!D$9</f>
        <v>228.01135499999998</v>
      </c>
      <c r="R68" s="190">
        <f t="shared" si="18"/>
        <v>119.691</v>
      </c>
      <c r="S68" s="184">
        <f t="shared" si="19"/>
        <v>1554.7860900000001</v>
      </c>
      <c r="T68" s="178"/>
      <c r="U68" s="191">
        <f t="shared" si="20"/>
        <v>27158.976000000002</v>
      </c>
      <c r="V68" s="178">
        <v>91.25</v>
      </c>
      <c r="W68" s="178">
        <v>0.18</v>
      </c>
      <c r="X68" s="178">
        <f t="shared" si="21"/>
        <v>0.72</v>
      </c>
      <c r="Y68" s="178">
        <v>3</v>
      </c>
      <c r="Z68" s="178">
        <f t="shared" si="22"/>
        <v>30</v>
      </c>
      <c r="AA68" s="191">
        <f t="shared" si="23"/>
        <v>16.682038356164384</v>
      </c>
      <c r="AB68" s="178"/>
      <c r="AC68" s="178"/>
      <c r="AD68" s="178"/>
    </row>
    <row r="69" spans="1:30" ht="12.75" customHeight="1">
      <c r="A69" s="178" t="s">
        <v>202</v>
      </c>
      <c r="B69" s="188">
        <v>0.9</v>
      </c>
      <c r="C69" s="184">
        <f t="shared" si="7"/>
        <v>800</v>
      </c>
      <c r="D69" s="205">
        <v>1</v>
      </c>
      <c r="E69" s="191">
        <f t="shared" si="8"/>
        <v>10</v>
      </c>
      <c r="F69" s="191">
        <f t="shared" si="24"/>
        <v>9</v>
      </c>
      <c r="G69" s="191">
        <f t="shared" si="9"/>
        <v>8.7750000000000004</v>
      </c>
      <c r="H69" s="206">
        <v>0.78</v>
      </c>
      <c r="I69" s="206">
        <f t="shared" si="10"/>
        <v>0.21999999999999997</v>
      </c>
      <c r="J69" s="207">
        <f t="shared" si="11"/>
        <v>6.8445000000000009</v>
      </c>
      <c r="K69" s="207">
        <f t="shared" si="12"/>
        <v>6.8445000000000009</v>
      </c>
      <c r="L69" s="190">
        <f t="shared" si="13"/>
        <v>1697.4360000000001</v>
      </c>
      <c r="M69" s="184">
        <f t="shared" si="14"/>
        <v>11882.052000000001</v>
      </c>
      <c r="N69" s="184">
        <f t="shared" si="15"/>
        <v>11336.964674360261</v>
      </c>
      <c r="O69" s="207">
        <f t="shared" si="16"/>
        <v>1.9304999999999999</v>
      </c>
      <c r="P69" s="207">
        <f t="shared" si="17"/>
        <v>19.948499999999999</v>
      </c>
      <c r="Q69" s="184">
        <f>P69*PkG_Pricing!D$9</f>
        <v>228.01135499999998</v>
      </c>
      <c r="R69" s="190">
        <f t="shared" si="18"/>
        <v>119.691</v>
      </c>
      <c r="S69" s="184">
        <f t="shared" si="19"/>
        <v>1554.7860900000001</v>
      </c>
      <c r="T69" s="178"/>
      <c r="U69" s="191">
        <f t="shared" si="20"/>
        <v>27158.976000000002</v>
      </c>
      <c r="V69" s="178">
        <v>91.25</v>
      </c>
      <c r="W69" s="178">
        <v>0.18</v>
      </c>
      <c r="X69" s="178">
        <f t="shared" si="21"/>
        <v>0.72</v>
      </c>
      <c r="Y69" s="178">
        <v>3</v>
      </c>
      <c r="Z69" s="178">
        <f t="shared" si="22"/>
        <v>30</v>
      </c>
      <c r="AA69" s="191">
        <f t="shared" si="23"/>
        <v>16.682038356164384</v>
      </c>
      <c r="AB69" s="178"/>
      <c r="AC69" s="178"/>
      <c r="AD69" s="178"/>
    </row>
    <row r="70" spans="1:30" ht="12.75" customHeight="1">
      <c r="A70" s="178" t="s">
        <v>203</v>
      </c>
      <c r="B70" s="188">
        <v>0.9</v>
      </c>
      <c r="C70" s="184">
        <f t="shared" si="7"/>
        <v>750</v>
      </c>
      <c r="D70" s="205">
        <v>1</v>
      </c>
      <c r="E70" s="191">
        <f t="shared" si="8"/>
        <v>10</v>
      </c>
      <c r="F70" s="191">
        <f t="shared" si="24"/>
        <v>9</v>
      </c>
      <c r="G70" s="191">
        <f t="shared" si="9"/>
        <v>8.7750000000000004</v>
      </c>
      <c r="H70" s="206">
        <v>0.78</v>
      </c>
      <c r="I70" s="206">
        <f t="shared" si="10"/>
        <v>0.21999999999999997</v>
      </c>
      <c r="J70" s="207">
        <f t="shared" si="11"/>
        <v>6.8445000000000009</v>
      </c>
      <c r="K70" s="207">
        <f t="shared" si="12"/>
        <v>6.8445000000000009</v>
      </c>
      <c r="L70" s="190">
        <f t="shared" si="13"/>
        <v>1697.4360000000001</v>
      </c>
      <c r="M70" s="184">
        <f t="shared" si="14"/>
        <v>11882.052000000001</v>
      </c>
      <c r="N70" s="184">
        <f t="shared" si="15"/>
        <v>11371.032632212746</v>
      </c>
      <c r="O70" s="207">
        <f t="shared" si="16"/>
        <v>1.9304999999999999</v>
      </c>
      <c r="P70" s="207">
        <f t="shared" si="17"/>
        <v>19.948499999999999</v>
      </c>
      <c r="Q70" s="184">
        <f>P70*PkG_Pricing!D$9</f>
        <v>228.01135499999998</v>
      </c>
      <c r="R70" s="190">
        <f t="shared" si="18"/>
        <v>119.691</v>
      </c>
      <c r="S70" s="184">
        <f t="shared" si="19"/>
        <v>1794.1680900000001</v>
      </c>
      <c r="T70" s="178"/>
      <c r="U70" s="191">
        <f t="shared" si="20"/>
        <v>27158.976000000002</v>
      </c>
      <c r="V70" s="178">
        <v>91.25</v>
      </c>
      <c r="W70" s="178">
        <v>0.18</v>
      </c>
      <c r="X70" s="178">
        <f t="shared" si="21"/>
        <v>0.72</v>
      </c>
      <c r="Y70" s="178">
        <v>3</v>
      </c>
      <c r="Z70" s="178">
        <f t="shared" si="22"/>
        <v>30</v>
      </c>
      <c r="AA70" s="191">
        <f t="shared" si="23"/>
        <v>16.682038356164384</v>
      </c>
      <c r="AB70" s="178"/>
      <c r="AC70" s="178"/>
      <c r="AD70" s="178"/>
    </row>
    <row r="71" spans="1:30" ht="12.75" customHeight="1">
      <c r="A71" s="178" t="s">
        <v>204</v>
      </c>
      <c r="B71" s="188">
        <v>0.9</v>
      </c>
      <c r="C71" s="184">
        <f t="shared" si="7"/>
        <v>900</v>
      </c>
      <c r="D71" s="205">
        <v>1</v>
      </c>
      <c r="E71" s="191">
        <f t="shared" si="8"/>
        <v>10</v>
      </c>
      <c r="F71" s="191">
        <f t="shared" si="24"/>
        <v>9</v>
      </c>
      <c r="G71" s="191">
        <f t="shared" si="9"/>
        <v>8.7750000000000004</v>
      </c>
      <c r="H71" s="206">
        <v>0.67</v>
      </c>
      <c r="I71" s="206">
        <f t="shared" si="10"/>
        <v>0.32999999999999996</v>
      </c>
      <c r="J71" s="207">
        <f t="shared" si="11"/>
        <v>5.8792500000000008</v>
      </c>
      <c r="K71" s="207">
        <f t="shared" si="12"/>
        <v>5.8792500000000008</v>
      </c>
      <c r="L71" s="190">
        <f t="shared" si="13"/>
        <v>1666.3474285714287</v>
      </c>
      <c r="M71" s="184">
        <f t="shared" si="14"/>
        <v>13330.77942857143</v>
      </c>
      <c r="N71" s="184">
        <f t="shared" si="15"/>
        <v>12804.036387929182</v>
      </c>
      <c r="O71" s="207">
        <f t="shared" si="16"/>
        <v>2.8957499999999996</v>
      </c>
      <c r="P71" s="207">
        <f t="shared" si="17"/>
        <v>29.922749999999997</v>
      </c>
      <c r="Q71" s="184">
        <f>P71*PkG_Pricing!D$9</f>
        <v>342.01703249999997</v>
      </c>
      <c r="R71" s="190">
        <f t="shared" si="18"/>
        <v>179.53649999999999</v>
      </c>
      <c r="S71" s="184">
        <f t="shared" si="19"/>
        <v>2691.2521349999997</v>
      </c>
      <c r="T71" s="178"/>
      <c r="U71" s="191">
        <f t="shared" si="20"/>
        <v>23328.864000000001</v>
      </c>
      <c r="V71" s="178">
        <v>91.25</v>
      </c>
      <c r="W71" s="178">
        <v>0.18</v>
      </c>
      <c r="X71" s="178">
        <f t="shared" si="21"/>
        <v>0.72</v>
      </c>
      <c r="Y71" s="178">
        <v>3</v>
      </c>
      <c r="Z71" s="178">
        <f t="shared" si="22"/>
        <v>30</v>
      </c>
      <c r="AA71" s="191">
        <f t="shared" si="23"/>
        <v>16.067055968688845</v>
      </c>
      <c r="AB71" s="178"/>
      <c r="AC71" s="178"/>
      <c r="AD71" s="178"/>
    </row>
    <row r="72" spans="1:30" ht="12.75" customHeight="1">
      <c r="A72" s="178" t="s">
        <v>205</v>
      </c>
      <c r="B72" s="188">
        <v>0.87</v>
      </c>
      <c r="C72" s="184">
        <f t="shared" si="7"/>
        <v>800</v>
      </c>
      <c r="D72" s="205">
        <v>1</v>
      </c>
      <c r="E72" s="191">
        <f t="shared" si="8"/>
        <v>10</v>
      </c>
      <c r="F72" s="191">
        <f t="shared" si="24"/>
        <v>8.6999999999999993</v>
      </c>
      <c r="G72" s="191">
        <f t="shared" si="9"/>
        <v>8.4824999999999999</v>
      </c>
      <c r="H72" s="206">
        <v>0.54</v>
      </c>
      <c r="I72" s="206">
        <f t="shared" si="10"/>
        <v>0.45999999999999996</v>
      </c>
      <c r="J72" s="207">
        <f t="shared" si="11"/>
        <v>4.5805500000000006</v>
      </c>
      <c r="K72" s="207">
        <f t="shared" si="12"/>
        <v>4.5805500000000006</v>
      </c>
      <c r="L72" s="190">
        <f t="shared" si="13"/>
        <v>1298.258742857143</v>
      </c>
      <c r="M72" s="184">
        <f t="shared" si="14"/>
        <v>9736.9405714285731</v>
      </c>
      <c r="N72" s="184">
        <f t="shared" si="15"/>
        <v>9372.1513611927476</v>
      </c>
      <c r="O72" s="207">
        <f t="shared" si="16"/>
        <v>3.9019499999999998</v>
      </c>
      <c r="P72" s="207">
        <f t="shared" si="17"/>
        <v>40.320149999999998</v>
      </c>
      <c r="Q72" s="184">
        <f>P72*PkG_Pricing!D$9</f>
        <v>460.85931449999998</v>
      </c>
      <c r="R72" s="190">
        <f t="shared" si="18"/>
        <v>241.92089999999999</v>
      </c>
      <c r="S72" s="184">
        <f t="shared" si="19"/>
        <v>4594.077890999999</v>
      </c>
      <c r="T72" s="178"/>
      <c r="U72" s="191">
        <f t="shared" si="20"/>
        <v>18175.622400000004</v>
      </c>
      <c r="V72" s="178">
        <v>90</v>
      </c>
      <c r="W72" s="178">
        <v>0.18</v>
      </c>
      <c r="X72" s="178">
        <f t="shared" si="21"/>
        <v>0.72</v>
      </c>
      <c r="Y72" s="178">
        <v>2</v>
      </c>
      <c r="Z72" s="178">
        <f t="shared" si="22"/>
        <v>20</v>
      </c>
      <c r="AA72" s="191">
        <f t="shared" si="23"/>
        <v>12.945097142857147</v>
      </c>
      <c r="AB72" s="178"/>
      <c r="AC72" s="178"/>
      <c r="AD72" s="178"/>
    </row>
    <row r="73" spans="1:30" ht="12.75" customHeight="1">
      <c r="A73" s="178" t="s">
        <v>206</v>
      </c>
      <c r="B73" s="188">
        <v>0.87</v>
      </c>
      <c r="C73" s="184">
        <f t="shared" si="7"/>
        <v>1200</v>
      </c>
      <c r="D73" s="205">
        <v>1</v>
      </c>
      <c r="E73" s="191">
        <f t="shared" si="8"/>
        <v>10</v>
      </c>
      <c r="F73" s="191">
        <f t="shared" si="24"/>
        <v>8.6999999999999993</v>
      </c>
      <c r="G73" s="191">
        <f t="shared" si="9"/>
        <v>8.4824999999999999</v>
      </c>
      <c r="H73" s="206">
        <v>0.54</v>
      </c>
      <c r="I73" s="206">
        <f t="shared" si="10"/>
        <v>0.45999999999999996</v>
      </c>
      <c r="J73" s="207">
        <f t="shared" si="11"/>
        <v>4.5805500000000006</v>
      </c>
      <c r="K73" s="207">
        <f t="shared" si="12"/>
        <v>4.5805500000000006</v>
      </c>
      <c r="L73" s="190">
        <f t="shared" si="13"/>
        <v>1298.258742857143</v>
      </c>
      <c r="M73" s="184">
        <f t="shared" si="14"/>
        <v>10386.069942857144</v>
      </c>
      <c r="N73" s="184">
        <f t="shared" si="15"/>
        <v>9838.8861275034069</v>
      </c>
      <c r="O73" s="207">
        <f t="shared" si="16"/>
        <v>3.9019499999999998</v>
      </c>
      <c r="P73" s="207">
        <f t="shared" si="17"/>
        <v>40.320149999999998</v>
      </c>
      <c r="Q73" s="184">
        <f>P73*PkG_Pricing!D$9</f>
        <v>460.85931449999998</v>
      </c>
      <c r="R73" s="190">
        <f t="shared" si="18"/>
        <v>241.92089999999999</v>
      </c>
      <c r="S73" s="184">
        <f t="shared" si="19"/>
        <v>4594.077890999999</v>
      </c>
      <c r="T73" s="178"/>
      <c r="U73" s="191">
        <f t="shared" si="20"/>
        <v>18175.622400000004</v>
      </c>
      <c r="V73" s="178">
        <v>60</v>
      </c>
      <c r="W73" s="178">
        <v>0.18</v>
      </c>
      <c r="X73" s="178">
        <f t="shared" si="21"/>
        <v>0.72</v>
      </c>
      <c r="Y73" s="178">
        <v>2</v>
      </c>
      <c r="Z73" s="178">
        <f t="shared" si="22"/>
        <v>20</v>
      </c>
      <c r="AA73" s="191">
        <f t="shared" si="23"/>
        <v>20.157645714285717</v>
      </c>
      <c r="AB73" s="178"/>
      <c r="AC73" s="178"/>
      <c r="AD73" s="178"/>
    </row>
    <row r="74" spans="1:30" ht="12.75" customHeight="1">
      <c r="A74" s="178" t="s">
        <v>207</v>
      </c>
      <c r="B74" s="188">
        <v>0.8</v>
      </c>
      <c r="C74" s="184">
        <f t="shared" si="7"/>
        <v>1500</v>
      </c>
      <c r="D74" s="205">
        <v>4</v>
      </c>
      <c r="E74" s="191">
        <f t="shared" si="8"/>
        <v>40</v>
      </c>
      <c r="F74" s="191">
        <f t="shared" si="24"/>
        <v>32</v>
      </c>
      <c r="G74" s="191">
        <f t="shared" si="9"/>
        <v>31.2</v>
      </c>
      <c r="H74" s="206">
        <v>0.4</v>
      </c>
      <c r="I74" s="206">
        <f t="shared" si="10"/>
        <v>0.6</v>
      </c>
      <c r="J74" s="207">
        <f t="shared" si="11"/>
        <v>12.48</v>
      </c>
      <c r="K74" s="207">
        <f t="shared" si="12"/>
        <v>3.12</v>
      </c>
      <c r="L74" s="190">
        <f t="shared" si="13"/>
        <v>3537.1885714285713</v>
      </c>
      <c r="M74" s="184">
        <f t="shared" si="14"/>
        <v>28297.508571428571</v>
      </c>
      <c r="N74" s="184">
        <f t="shared" si="15"/>
        <v>26433.962158985018</v>
      </c>
      <c r="O74" s="207">
        <f t="shared" si="16"/>
        <v>18.72</v>
      </c>
      <c r="P74" s="207">
        <f t="shared" si="17"/>
        <v>193.43999999999997</v>
      </c>
      <c r="Q74" s="184">
        <f>P74*PkG_Pricing!D$9</f>
        <v>2211.0191999999997</v>
      </c>
      <c r="R74" s="190">
        <f t="shared" si="18"/>
        <v>1160.6399999999999</v>
      </c>
      <c r="S74" s="184">
        <f t="shared" si="19"/>
        <v>25522.473599999994</v>
      </c>
      <c r="T74" s="178"/>
      <c r="U74" s="191">
        <f t="shared" si="20"/>
        <v>49520.639999999999</v>
      </c>
      <c r="V74" s="178">
        <v>91.25</v>
      </c>
      <c r="W74" s="178">
        <v>0.18</v>
      </c>
      <c r="X74" s="178">
        <f t="shared" si="21"/>
        <v>0.72</v>
      </c>
      <c r="Y74" s="178">
        <v>6</v>
      </c>
      <c r="Z74" s="178">
        <f t="shared" si="22"/>
        <v>60</v>
      </c>
      <c r="AA74" s="191">
        <f t="shared" si="23"/>
        <v>34.426567514677103</v>
      </c>
      <c r="AB74" s="178"/>
      <c r="AC74" s="178"/>
      <c r="AD74" s="178"/>
    </row>
    <row r="75" spans="1:30" ht="12.75" customHeight="1">
      <c r="A75" s="178" t="s">
        <v>208</v>
      </c>
      <c r="B75" s="188">
        <v>0.8</v>
      </c>
      <c r="C75" s="184">
        <f t="shared" si="7"/>
        <v>1500</v>
      </c>
      <c r="D75" s="205">
        <v>2</v>
      </c>
      <c r="E75" s="191">
        <f t="shared" si="8"/>
        <v>20</v>
      </c>
      <c r="F75" s="191">
        <f t="shared" si="24"/>
        <v>16</v>
      </c>
      <c r="G75" s="191">
        <f t="shared" si="9"/>
        <v>15.6</v>
      </c>
      <c r="H75" s="206">
        <v>0.4</v>
      </c>
      <c r="I75" s="206">
        <f t="shared" si="10"/>
        <v>0.6</v>
      </c>
      <c r="J75" s="207">
        <f t="shared" si="11"/>
        <v>6.24</v>
      </c>
      <c r="K75" s="207">
        <f t="shared" si="12"/>
        <v>3.12</v>
      </c>
      <c r="L75" s="190">
        <f t="shared" si="13"/>
        <v>1768.5942857142857</v>
      </c>
      <c r="M75" s="184">
        <f t="shared" si="14"/>
        <v>14148.754285714285</v>
      </c>
      <c r="N75" s="184">
        <f t="shared" si="15"/>
        <v>13216.981079492509</v>
      </c>
      <c r="O75" s="207">
        <f t="shared" si="16"/>
        <v>9.36</v>
      </c>
      <c r="P75" s="207">
        <f t="shared" si="17"/>
        <v>96.719999999999985</v>
      </c>
      <c r="Q75" s="184">
        <f>P75*PkG_Pricing!D$9</f>
        <v>1105.5095999999999</v>
      </c>
      <c r="R75" s="190">
        <f t="shared" si="18"/>
        <v>580.31999999999994</v>
      </c>
      <c r="S75" s="184">
        <f t="shared" si="19"/>
        <v>12761.236799999997</v>
      </c>
      <c r="T75" s="178"/>
      <c r="U75" s="191">
        <f t="shared" si="20"/>
        <v>24760.32</v>
      </c>
      <c r="V75" s="178">
        <v>91.25</v>
      </c>
      <c r="W75" s="178">
        <v>0.18</v>
      </c>
      <c r="X75" s="178">
        <f t="shared" si="21"/>
        <v>0.72</v>
      </c>
      <c r="Y75" s="178">
        <v>6</v>
      </c>
      <c r="Z75" s="178">
        <f t="shared" si="22"/>
        <v>60</v>
      </c>
      <c r="AA75" s="191">
        <f t="shared" si="23"/>
        <v>15.044712328767123</v>
      </c>
      <c r="AB75" s="178"/>
      <c r="AC75" s="178"/>
      <c r="AD75" s="178"/>
    </row>
    <row r="76" spans="1:30" ht="12.75" customHeight="1">
      <c r="A76" s="178" t="s">
        <v>209</v>
      </c>
      <c r="B76" s="188">
        <v>0.7</v>
      </c>
      <c r="C76" s="184">
        <f t="shared" si="7"/>
        <v>1750</v>
      </c>
      <c r="D76" s="205">
        <v>1</v>
      </c>
      <c r="E76" s="191">
        <f t="shared" si="8"/>
        <v>10</v>
      </c>
      <c r="F76" s="191">
        <f t="shared" si="24"/>
        <v>7</v>
      </c>
      <c r="G76" s="191">
        <f t="shared" si="9"/>
        <v>6.8250000000000002</v>
      </c>
      <c r="H76" s="206">
        <v>0.15</v>
      </c>
      <c r="I76" s="206">
        <f t="shared" si="10"/>
        <v>0.85</v>
      </c>
      <c r="J76" s="207">
        <f t="shared" si="11"/>
        <v>1.0237499999999999</v>
      </c>
      <c r="K76" s="207">
        <f t="shared" si="12"/>
        <v>1.0237499999999999</v>
      </c>
      <c r="L76" s="190">
        <f t="shared" si="13"/>
        <v>406.22399999999999</v>
      </c>
      <c r="M76" s="184">
        <f t="shared" si="14"/>
        <v>3656.0160000000001</v>
      </c>
      <c r="N76" s="184">
        <f t="shared" si="15"/>
        <v>3477.6687847466133</v>
      </c>
      <c r="O76" s="207">
        <f t="shared" si="16"/>
        <v>5.8012499999999996</v>
      </c>
      <c r="P76" s="207">
        <f t="shared" si="17"/>
        <v>59.946249999999992</v>
      </c>
      <c r="Q76" s="184">
        <f>P76*PkG_Pricing!D$9</f>
        <v>685.18563749999987</v>
      </c>
      <c r="R76" s="190">
        <f t="shared" si="18"/>
        <v>359.67749999999995</v>
      </c>
      <c r="S76" s="184">
        <f t="shared" si="19"/>
        <v>8628.6632249999984</v>
      </c>
      <c r="T76" s="178"/>
      <c r="U76" s="191">
        <f t="shared" si="20"/>
        <v>4062.24</v>
      </c>
      <c r="V76" s="178">
        <v>60</v>
      </c>
      <c r="W76" s="178">
        <v>0.18</v>
      </c>
      <c r="X76" s="178">
        <f t="shared" si="21"/>
        <v>0.72</v>
      </c>
      <c r="Y76" s="178">
        <v>5</v>
      </c>
      <c r="Z76" s="178">
        <f t="shared" si="22"/>
        <v>50</v>
      </c>
      <c r="AA76" s="208">
        <f t="shared" si="23"/>
        <v>1.6983999999999999</v>
      </c>
      <c r="AB76" s="178"/>
      <c r="AC76" s="178"/>
      <c r="AD76" s="178"/>
    </row>
    <row r="77" spans="1:30" ht="12.75" customHeight="1">
      <c r="A77" s="178" t="s">
        <v>210</v>
      </c>
      <c r="B77" s="188">
        <v>0.7</v>
      </c>
      <c r="C77" s="184">
        <f t="shared" si="7"/>
        <v>2000</v>
      </c>
      <c r="D77" s="205">
        <v>1</v>
      </c>
      <c r="E77" s="191">
        <f t="shared" si="8"/>
        <v>10</v>
      </c>
      <c r="F77" s="191">
        <f t="shared" si="24"/>
        <v>7</v>
      </c>
      <c r="G77" s="191">
        <f t="shared" si="9"/>
        <v>6.8250000000000002</v>
      </c>
      <c r="H77" s="206">
        <v>0.15</v>
      </c>
      <c r="I77" s="206">
        <f t="shared" si="10"/>
        <v>0.85</v>
      </c>
      <c r="J77" s="207">
        <f t="shared" si="11"/>
        <v>1.0237499999999999</v>
      </c>
      <c r="K77" s="207">
        <f t="shared" si="12"/>
        <v>1.0237499999999999</v>
      </c>
      <c r="L77" s="190">
        <f t="shared" si="13"/>
        <v>406.22399999999999</v>
      </c>
      <c r="M77" s="184">
        <f t="shared" si="14"/>
        <v>3656.0160000000001</v>
      </c>
      <c r="N77" s="184">
        <f t="shared" si="15"/>
        <v>3452.1906111389862</v>
      </c>
      <c r="O77" s="207">
        <f t="shared" si="16"/>
        <v>5.8012499999999996</v>
      </c>
      <c r="P77" s="207">
        <f t="shared" si="17"/>
        <v>59.946249999999992</v>
      </c>
      <c r="Q77" s="184">
        <f>P77*PkG_Pricing!D$9</f>
        <v>685.18563749999987</v>
      </c>
      <c r="R77" s="190">
        <f t="shared" si="18"/>
        <v>359.67749999999995</v>
      </c>
      <c r="S77" s="184">
        <f t="shared" si="19"/>
        <v>8628.6632249999984</v>
      </c>
      <c r="T77" s="178"/>
      <c r="U77" s="191">
        <f t="shared" si="20"/>
        <v>4062.24</v>
      </c>
      <c r="V77" s="178">
        <v>60</v>
      </c>
      <c r="W77" s="178">
        <v>0.18</v>
      </c>
      <c r="X77" s="178">
        <f t="shared" si="21"/>
        <v>0.72</v>
      </c>
      <c r="Y77" s="178">
        <v>5</v>
      </c>
      <c r="Z77" s="178">
        <f t="shared" si="22"/>
        <v>50</v>
      </c>
      <c r="AA77" s="208">
        <f t="shared" si="23"/>
        <v>1.6983999999999999</v>
      </c>
      <c r="AB77" s="178"/>
      <c r="AC77" s="178"/>
      <c r="AD77" s="178"/>
    </row>
    <row r="78" spans="1:30" ht="12.75" customHeight="1">
      <c r="A78" s="173" t="s">
        <v>221</v>
      </c>
      <c r="B78" s="209"/>
      <c r="C78" s="210">
        <f>SUM(C42:C77)</f>
        <v>42000</v>
      </c>
      <c r="D78" s="211">
        <f>SUM(D42:D77)</f>
        <v>58</v>
      </c>
      <c r="E78" s="212">
        <f>SUM(E42:E77)</f>
        <v>580</v>
      </c>
      <c r="F78" s="212">
        <f>SUM(F42:F77)</f>
        <v>495.2</v>
      </c>
      <c r="G78" s="212">
        <f>SUM(G42:G77)</f>
        <v>482.82000000000016</v>
      </c>
      <c r="H78" s="212"/>
      <c r="I78" s="212"/>
      <c r="J78" s="212">
        <f>SUM(J42:J77)</f>
        <v>320.0135249999999</v>
      </c>
      <c r="K78" s="212"/>
      <c r="L78" s="213">
        <f t="shared" ref="L78:S78" si="25">SUM(L42:L77)</f>
        <v>88603.76422857141</v>
      </c>
      <c r="M78" s="210">
        <f t="shared" si="25"/>
        <v>667404.4542285715</v>
      </c>
      <c r="N78" s="210">
        <f t="shared" si="25"/>
        <v>636347.98009911831</v>
      </c>
      <c r="O78" s="212">
        <f t="shared" si="25"/>
        <v>162.80647500000003</v>
      </c>
      <c r="P78" s="212">
        <f t="shared" si="25"/>
        <v>1682.3335749999997</v>
      </c>
      <c r="Q78" s="210">
        <f t="shared" si="25"/>
        <v>19229.072762250005</v>
      </c>
      <c r="R78" s="214">
        <f t="shared" si="25"/>
        <v>10094.001449999996</v>
      </c>
      <c r="S78" s="210">
        <f t="shared" si="25"/>
        <v>184079.41966049993</v>
      </c>
      <c r="T78" s="173"/>
      <c r="U78" s="191">
        <f t="shared" si="20"/>
        <v>1269813.6671999996</v>
      </c>
      <c r="V78" s="173"/>
      <c r="W78" s="173"/>
      <c r="X78" s="178">
        <f t="shared" si="21"/>
        <v>0</v>
      </c>
      <c r="Y78" s="173"/>
      <c r="Z78" s="178">
        <f t="shared" si="22"/>
        <v>0</v>
      </c>
      <c r="AA78" s="191"/>
      <c r="AB78" s="173"/>
      <c r="AC78" s="173"/>
      <c r="AD78" s="173"/>
    </row>
    <row r="79" spans="1:30" ht="12.75" customHeight="1">
      <c r="A79" s="178"/>
      <c r="B79" s="173" t="s">
        <v>369</v>
      </c>
      <c r="C79" s="184">
        <f>C78/52</f>
        <v>807.69230769230774</v>
      </c>
      <c r="D79" s="191">
        <f>D78/52</f>
        <v>1.1153846153846154</v>
      </c>
      <c r="E79" s="191">
        <f>E78/52</f>
        <v>11.153846153846153</v>
      </c>
      <c r="F79" s="191">
        <f>F78/52</f>
        <v>9.523076923076923</v>
      </c>
      <c r="G79" s="191">
        <f>G78/52</f>
        <v>9.2850000000000037</v>
      </c>
      <c r="H79" s="186"/>
      <c r="I79" s="184"/>
      <c r="J79" s="191">
        <f>J78/52</f>
        <v>6.1541062499999981</v>
      </c>
      <c r="K79" s="191"/>
      <c r="L79" s="191">
        <f t="shared" ref="L79:S79" si="26">L78/52</f>
        <v>1703.9185428571425</v>
      </c>
      <c r="M79" s="184">
        <f t="shared" si="26"/>
        <v>12834.701042857145</v>
      </c>
      <c r="N79" s="184">
        <f t="shared" si="26"/>
        <v>12237.461155752275</v>
      </c>
      <c r="O79" s="191">
        <f t="shared" si="26"/>
        <v>3.1308937500000007</v>
      </c>
      <c r="P79" s="191">
        <f t="shared" si="26"/>
        <v>32.352568749999996</v>
      </c>
      <c r="Q79" s="184">
        <f t="shared" si="26"/>
        <v>369.78986081250008</v>
      </c>
      <c r="R79" s="191">
        <f t="shared" si="26"/>
        <v>194.11541249999993</v>
      </c>
      <c r="S79" s="184">
        <f t="shared" si="26"/>
        <v>3539.9888396249985</v>
      </c>
      <c r="T79" s="178"/>
      <c r="U79" s="191">
        <f t="shared" si="20"/>
        <v>24419.493599999994</v>
      </c>
      <c r="V79" s="178"/>
      <c r="W79" s="178"/>
      <c r="X79" s="178">
        <f t="shared" si="21"/>
        <v>0</v>
      </c>
      <c r="Y79" s="178"/>
      <c r="Z79" s="178">
        <f t="shared" si="22"/>
        <v>0</v>
      </c>
      <c r="AA79" s="191"/>
      <c r="AB79" s="178"/>
      <c r="AC79" s="178"/>
      <c r="AD79" s="178"/>
    </row>
    <row r="80" spans="1:30" ht="12.75" customHeight="1">
      <c r="A80" s="178"/>
      <c r="B80" s="184"/>
      <c r="C80" s="178"/>
      <c r="D80" s="178"/>
      <c r="E80" s="187"/>
      <c r="F80" s="178"/>
      <c r="G80" s="178"/>
      <c r="H80" s="186"/>
      <c r="I80" s="184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</row>
    <row r="81" spans="1:30" ht="12.75" customHeight="1">
      <c r="A81" s="178"/>
      <c r="B81" s="184"/>
      <c r="C81" s="178"/>
      <c r="D81" s="178"/>
      <c r="E81" s="187"/>
      <c r="F81" s="178"/>
      <c r="G81" s="178"/>
      <c r="H81" s="186"/>
      <c r="I81" s="184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90"/>
      <c r="V81" s="190"/>
      <c r="W81" s="178"/>
      <c r="X81" s="178"/>
      <c r="Y81" s="178"/>
      <c r="Z81" s="178"/>
      <c r="AA81" s="189"/>
      <c r="AB81" s="178"/>
      <c r="AC81" s="178"/>
      <c r="AD81" s="178"/>
    </row>
    <row r="82" spans="1:30" ht="24" customHeight="1">
      <c r="A82" s="173" t="s">
        <v>370</v>
      </c>
      <c r="B82" s="173" t="s">
        <v>371</v>
      </c>
      <c r="C82" s="173" t="s">
        <v>372</v>
      </c>
      <c r="D82" s="215" t="s">
        <v>373</v>
      </c>
      <c r="E82" s="173" t="s">
        <v>374</v>
      </c>
      <c r="F82" s="215" t="s">
        <v>375</v>
      </c>
      <c r="G82" s="215" t="s">
        <v>376</v>
      </c>
      <c r="H82" s="215" t="s">
        <v>377</v>
      </c>
      <c r="I82" s="215" t="s">
        <v>341</v>
      </c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90"/>
      <c r="V82" s="190"/>
      <c r="W82" s="178"/>
      <c r="X82" s="178"/>
      <c r="Y82" s="178"/>
      <c r="Z82" s="178"/>
      <c r="AA82" s="189"/>
      <c r="AB82" s="178"/>
      <c r="AC82" s="178"/>
      <c r="AD82" s="178"/>
    </row>
    <row r="83" spans="1:30" ht="12.75" customHeight="1">
      <c r="A83" s="178" t="s">
        <v>175</v>
      </c>
      <c r="B83" s="190">
        <v>28</v>
      </c>
      <c r="C83" s="178">
        <f t="shared" ref="C83:C114" si="27">D42</f>
        <v>5</v>
      </c>
      <c r="D83" s="190">
        <f t="shared" ref="D83:D118" si="28">C83*B83</f>
        <v>140</v>
      </c>
      <c r="E83" s="189">
        <f t="shared" ref="E83:E118" si="29">E42/E$78</f>
        <v>8.6206896551724144E-2</v>
      </c>
      <c r="F83" s="191">
        <f>365/C83</f>
        <v>73</v>
      </c>
      <c r="G83" s="190">
        <f t="shared" ref="G83:G118" si="30">L42/D42</f>
        <v>1479.816</v>
      </c>
      <c r="H83" s="186">
        <f t="shared" ref="H83:H118" si="31">G83/F83</f>
        <v>20.271452054794523</v>
      </c>
      <c r="I83" s="216">
        <f t="shared" ref="I83:I118" si="32">(P42*6)/365</f>
        <v>2.3848767123287664</v>
      </c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90"/>
      <c r="V83" s="190"/>
      <c r="W83" s="178"/>
      <c r="X83" s="178"/>
      <c r="Y83" s="178"/>
      <c r="Z83" s="178"/>
      <c r="AA83" s="189"/>
      <c r="AB83" s="178"/>
      <c r="AC83" s="178"/>
      <c r="AD83" s="178"/>
    </row>
    <row r="84" spans="1:30" ht="12.75" customHeight="1">
      <c r="A84" s="178" t="s">
        <v>176</v>
      </c>
      <c r="B84" s="190">
        <v>14</v>
      </c>
      <c r="C84" s="178">
        <f t="shared" si="27"/>
        <v>5</v>
      </c>
      <c r="D84" s="178">
        <f t="shared" si="28"/>
        <v>70</v>
      </c>
      <c r="E84" s="189">
        <f t="shared" si="29"/>
        <v>8.6206896551724144E-2</v>
      </c>
      <c r="F84" s="190">
        <f>365/C84</f>
        <v>73</v>
      </c>
      <c r="G84" s="190">
        <f t="shared" si="30"/>
        <v>1479.816</v>
      </c>
      <c r="H84" s="186">
        <f t="shared" si="31"/>
        <v>20.271452054794523</v>
      </c>
      <c r="I84" s="216">
        <f t="shared" si="32"/>
        <v>2.3848767123287664</v>
      </c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90"/>
      <c r="V84" s="190"/>
      <c r="W84" s="178"/>
      <c r="X84" s="178"/>
      <c r="Y84" s="178"/>
      <c r="Z84" s="178"/>
      <c r="AA84" s="189"/>
      <c r="AB84" s="178"/>
      <c r="AC84" s="178"/>
      <c r="AD84" s="178"/>
    </row>
    <row r="85" spans="1:30" ht="12.75" customHeight="1">
      <c r="A85" s="178" t="s">
        <v>177</v>
      </c>
      <c r="B85" s="190">
        <v>16</v>
      </c>
      <c r="C85" s="178">
        <f t="shared" si="27"/>
        <v>5</v>
      </c>
      <c r="D85" s="178">
        <f t="shared" si="28"/>
        <v>80</v>
      </c>
      <c r="E85" s="189">
        <f t="shared" si="29"/>
        <v>8.6206896551724144E-2</v>
      </c>
      <c r="F85" s="190">
        <f>365/C85</f>
        <v>73</v>
      </c>
      <c r="G85" s="190">
        <f t="shared" si="30"/>
        <v>1472.9074285714287</v>
      </c>
      <c r="H85" s="186">
        <f t="shared" si="31"/>
        <v>20.176814090019572</v>
      </c>
      <c r="I85" s="216">
        <f t="shared" si="32"/>
        <v>2.3765958904109588</v>
      </c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90"/>
      <c r="V85" s="190"/>
      <c r="W85" s="178"/>
      <c r="X85" s="178"/>
      <c r="Y85" s="178"/>
      <c r="Z85" s="178"/>
      <c r="AA85" s="189"/>
      <c r="AB85" s="178"/>
      <c r="AC85" s="178"/>
      <c r="AD85" s="178"/>
    </row>
    <row r="86" spans="1:30" ht="12.75" customHeight="1">
      <c r="A86" s="178" t="s">
        <v>178</v>
      </c>
      <c r="B86" s="190">
        <v>17</v>
      </c>
      <c r="C86" s="178">
        <f t="shared" si="27"/>
        <v>5</v>
      </c>
      <c r="D86" s="178">
        <f t="shared" si="28"/>
        <v>85</v>
      </c>
      <c r="E86" s="189">
        <f t="shared" si="29"/>
        <v>8.6206896551724144E-2</v>
      </c>
      <c r="F86" s="190">
        <f>365/C86</f>
        <v>73</v>
      </c>
      <c r="G86" s="190">
        <f t="shared" si="30"/>
        <v>1597.2617142857143</v>
      </c>
      <c r="H86" s="186">
        <f t="shared" si="31"/>
        <v>21.880297455968691</v>
      </c>
      <c r="I86" s="216">
        <f t="shared" si="32"/>
        <v>2.2523835616438355</v>
      </c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90"/>
      <c r="V86" s="190"/>
      <c r="W86" s="178"/>
      <c r="X86" s="178"/>
      <c r="Y86" s="178"/>
      <c r="Z86" s="178"/>
      <c r="AA86" s="189"/>
      <c r="AB86" s="178"/>
      <c r="AC86" s="178"/>
      <c r="AD86" s="178"/>
    </row>
    <row r="87" spans="1:30" ht="12.75" customHeight="1">
      <c r="A87" s="178" t="s">
        <v>179</v>
      </c>
      <c r="B87" s="190">
        <v>14</v>
      </c>
      <c r="C87" s="178">
        <f t="shared" si="27"/>
        <v>3</v>
      </c>
      <c r="D87" s="178">
        <f t="shared" si="28"/>
        <v>42</v>
      </c>
      <c r="E87" s="189">
        <f t="shared" si="29"/>
        <v>5.1724137931034482E-2</v>
      </c>
      <c r="F87" s="190">
        <f>365/C87</f>
        <v>121.66666666666667</v>
      </c>
      <c r="G87" s="190">
        <f t="shared" si="30"/>
        <v>2224.56</v>
      </c>
      <c r="H87" s="186">
        <f t="shared" si="31"/>
        <v>18.284054794520546</v>
      </c>
      <c r="I87" s="216">
        <f t="shared" si="32"/>
        <v>0</v>
      </c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90"/>
      <c r="V87" s="190"/>
      <c r="W87" s="178"/>
      <c r="X87" s="178"/>
      <c r="Y87" s="178"/>
      <c r="Z87" s="178"/>
      <c r="AA87" s="189"/>
      <c r="AB87" s="178"/>
      <c r="AC87" s="178"/>
      <c r="AD87" s="178"/>
    </row>
    <row r="88" spans="1:30" ht="12.75" customHeight="1">
      <c r="A88" s="178" t="s">
        <v>180</v>
      </c>
      <c r="B88" s="190">
        <v>14</v>
      </c>
      <c r="C88" s="178">
        <f t="shared" si="27"/>
        <v>1</v>
      </c>
      <c r="D88" s="178">
        <f t="shared" si="28"/>
        <v>14</v>
      </c>
      <c r="E88" s="189">
        <f t="shared" si="29"/>
        <v>1.7241379310344827E-2</v>
      </c>
      <c r="F88" s="190">
        <f>365/4</f>
        <v>91.25</v>
      </c>
      <c r="G88" s="190">
        <f t="shared" si="30"/>
        <v>2198.7680000000005</v>
      </c>
      <c r="H88" s="186">
        <f t="shared" si="31"/>
        <v>24.096087671232883</v>
      </c>
      <c r="I88" s="216">
        <f t="shared" si="32"/>
        <v>0.32792054794520548</v>
      </c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90"/>
      <c r="V88" s="190"/>
      <c r="W88" s="178"/>
      <c r="X88" s="178"/>
      <c r="Y88" s="178"/>
      <c r="Z88" s="178"/>
      <c r="AA88" s="189"/>
      <c r="AB88" s="178"/>
      <c r="AC88" s="178"/>
      <c r="AD88" s="178"/>
    </row>
    <row r="89" spans="1:30" ht="12.75" customHeight="1">
      <c r="A89" s="178" t="s">
        <v>181</v>
      </c>
      <c r="B89" s="190">
        <v>14</v>
      </c>
      <c r="C89" s="178">
        <f t="shared" si="27"/>
        <v>1</v>
      </c>
      <c r="D89" s="178">
        <f t="shared" si="28"/>
        <v>14</v>
      </c>
      <c r="E89" s="189">
        <f t="shared" si="29"/>
        <v>1.7241379310344827E-2</v>
      </c>
      <c r="F89" s="190">
        <f>365/4</f>
        <v>91.25</v>
      </c>
      <c r="G89" s="190">
        <f t="shared" si="30"/>
        <v>1884.658285714286</v>
      </c>
      <c r="H89" s="186">
        <f t="shared" si="31"/>
        <v>20.653789432485326</v>
      </c>
      <c r="I89" s="216">
        <f t="shared" si="32"/>
        <v>0.32792054794520548</v>
      </c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3"/>
      <c r="U89" s="190"/>
      <c r="V89" s="190"/>
      <c r="W89" s="178"/>
      <c r="X89" s="178"/>
      <c r="Y89" s="178"/>
      <c r="Z89" s="178"/>
      <c r="AA89" s="189"/>
      <c r="AB89" s="178"/>
      <c r="AC89" s="178"/>
      <c r="AD89" s="178"/>
    </row>
    <row r="90" spans="1:30" ht="12.75" customHeight="1">
      <c r="A90" s="178" t="s">
        <v>182</v>
      </c>
      <c r="B90" s="190">
        <v>14</v>
      </c>
      <c r="C90" s="178">
        <f t="shared" si="27"/>
        <v>1</v>
      </c>
      <c r="D90" s="178">
        <f t="shared" si="28"/>
        <v>14</v>
      </c>
      <c r="E90" s="189">
        <f t="shared" si="29"/>
        <v>1.7241379310344827E-2</v>
      </c>
      <c r="F90" s="190">
        <f>365/4</f>
        <v>91.25</v>
      </c>
      <c r="G90" s="190">
        <f t="shared" si="30"/>
        <v>1337.4994285714288</v>
      </c>
      <c r="H90" s="186">
        <f t="shared" si="31"/>
        <v>14.657527984344425</v>
      </c>
      <c r="I90" s="216">
        <f t="shared" si="32"/>
        <v>0.65584109589041095</v>
      </c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3"/>
      <c r="X90" s="173"/>
      <c r="Y90" s="212"/>
      <c r="Z90" s="212"/>
      <c r="AA90" s="178"/>
      <c r="AB90" s="178"/>
      <c r="AC90" s="178"/>
      <c r="AD90" s="178"/>
    </row>
    <row r="91" spans="1:30" ht="12.75" customHeight="1">
      <c r="A91" s="178" t="s">
        <v>183</v>
      </c>
      <c r="B91" s="190">
        <v>14</v>
      </c>
      <c r="C91" s="178">
        <f t="shared" si="27"/>
        <v>1</v>
      </c>
      <c r="D91" s="178">
        <f t="shared" si="28"/>
        <v>14</v>
      </c>
      <c r="E91" s="189">
        <f t="shared" si="29"/>
        <v>1.7241379310344827E-2</v>
      </c>
      <c r="F91" s="190">
        <f>365/4</f>
        <v>91.25</v>
      </c>
      <c r="G91" s="190">
        <f t="shared" si="30"/>
        <v>1560.4160000000002</v>
      </c>
      <c r="H91" s="186">
        <f t="shared" si="31"/>
        <v>17.100449315068495</v>
      </c>
      <c r="I91" s="216">
        <f t="shared" si="32"/>
        <v>0.65584109589041095</v>
      </c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</row>
    <row r="92" spans="1:30" ht="12.75" customHeight="1">
      <c r="A92" s="178" t="s">
        <v>184</v>
      </c>
      <c r="B92" s="190">
        <v>14</v>
      </c>
      <c r="C92" s="178">
        <f t="shared" si="27"/>
        <v>1</v>
      </c>
      <c r="D92" s="178">
        <f t="shared" si="28"/>
        <v>14</v>
      </c>
      <c r="E92" s="189">
        <f t="shared" si="29"/>
        <v>1.7241379310344827E-2</v>
      </c>
      <c r="F92" s="178">
        <v>91</v>
      </c>
      <c r="G92" s="190">
        <f t="shared" si="30"/>
        <v>1851.2208000000003</v>
      </c>
      <c r="H92" s="186">
        <f t="shared" si="31"/>
        <v>20.343085714285717</v>
      </c>
      <c r="I92" s="216">
        <f t="shared" si="32"/>
        <v>0.33139849315068493</v>
      </c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</row>
    <row r="93" spans="1:30" ht="12.75" customHeight="1">
      <c r="A93" s="178" t="s">
        <v>185</v>
      </c>
      <c r="B93" s="190">
        <v>14</v>
      </c>
      <c r="C93" s="178">
        <f t="shared" si="27"/>
        <v>1</v>
      </c>
      <c r="D93" s="178">
        <f t="shared" si="28"/>
        <v>14</v>
      </c>
      <c r="E93" s="189">
        <f t="shared" si="29"/>
        <v>1.7241379310344827E-2</v>
      </c>
      <c r="F93" s="178">
        <v>91</v>
      </c>
      <c r="G93" s="190">
        <f t="shared" si="30"/>
        <v>1851.2208000000003</v>
      </c>
      <c r="H93" s="186">
        <f t="shared" si="31"/>
        <v>20.343085714285717</v>
      </c>
      <c r="I93" s="216">
        <f t="shared" si="32"/>
        <v>0.33139849315068493</v>
      </c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</row>
    <row r="94" spans="1:30" ht="12.75" customHeight="1">
      <c r="A94" s="178" t="s">
        <v>186</v>
      </c>
      <c r="B94" s="190">
        <v>14</v>
      </c>
      <c r="C94" s="178">
        <f t="shared" si="27"/>
        <v>1</v>
      </c>
      <c r="D94" s="178">
        <f t="shared" si="28"/>
        <v>14</v>
      </c>
      <c r="E94" s="189">
        <f t="shared" si="29"/>
        <v>1.7241379310344827E-2</v>
      </c>
      <c r="F94" s="178">
        <v>91</v>
      </c>
      <c r="G94" s="190">
        <f t="shared" si="30"/>
        <v>1851.2208000000003</v>
      </c>
      <c r="H94" s="186">
        <f t="shared" si="31"/>
        <v>20.343085714285717</v>
      </c>
      <c r="I94" s="216">
        <f t="shared" si="32"/>
        <v>0.33139849315068493</v>
      </c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</row>
    <row r="95" spans="1:30" ht="12.75" customHeight="1">
      <c r="A95" s="178" t="s">
        <v>187</v>
      </c>
      <c r="B95" s="190">
        <v>14</v>
      </c>
      <c r="C95" s="178">
        <f t="shared" si="27"/>
        <v>1</v>
      </c>
      <c r="D95" s="178">
        <f t="shared" si="28"/>
        <v>14</v>
      </c>
      <c r="E95" s="189">
        <f t="shared" si="29"/>
        <v>1.7241379310344827E-2</v>
      </c>
      <c r="F95" s="178">
        <v>91</v>
      </c>
      <c r="G95" s="190">
        <f t="shared" si="30"/>
        <v>1851.2208000000003</v>
      </c>
      <c r="H95" s="186">
        <f t="shared" si="31"/>
        <v>20.343085714285717</v>
      </c>
      <c r="I95" s="216">
        <f t="shared" si="32"/>
        <v>0.33139849315068493</v>
      </c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</row>
    <row r="96" spans="1:30" ht="12.75" customHeight="1">
      <c r="A96" s="178" t="s">
        <v>188</v>
      </c>
      <c r="B96" s="190">
        <v>14</v>
      </c>
      <c r="C96" s="178">
        <f t="shared" si="27"/>
        <v>1</v>
      </c>
      <c r="D96" s="178">
        <f t="shared" si="28"/>
        <v>14</v>
      </c>
      <c r="E96" s="189">
        <f t="shared" si="29"/>
        <v>1.7241379310344827E-2</v>
      </c>
      <c r="F96" s="178">
        <v>91</v>
      </c>
      <c r="G96" s="190">
        <f t="shared" si="30"/>
        <v>1586.7606857142857</v>
      </c>
      <c r="H96" s="186">
        <f t="shared" si="31"/>
        <v>17.436930612244897</v>
      </c>
      <c r="I96" s="216">
        <f t="shared" si="32"/>
        <v>0.48989342465753422</v>
      </c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</row>
    <row r="97" spans="1:30" ht="12.75" customHeight="1">
      <c r="A97" s="178" t="s">
        <v>189</v>
      </c>
      <c r="B97" s="190">
        <v>17</v>
      </c>
      <c r="C97" s="178">
        <f t="shared" si="27"/>
        <v>1</v>
      </c>
      <c r="D97" s="178">
        <f t="shared" si="28"/>
        <v>17</v>
      </c>
      <c r="E97" s="189">
        <f t="shared" si="29"/>
        <v>1.7241379310344827E-2</v>
      </c>
      <c r="F97" s="178">
        <v>60</v>
      </c>
      <c r="G97" s="190">
        <f t="shared" si="30"/>
        <v>1796.9194285714286</v>
      </c>
      <c r="H97" s="186">
        <f t="shared" si="31"/>
        <v>29.948657142857144</v>
      </c>
      <c r="I97" s="216">
        <f t="shared" si="32"/>
        <v>0.33081883561643838</v>
      </c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</row>
    <row r="98" spans="1:30" ht="12.75" customHeight="1">
      <c r="A98" s="178" t="s">
        <v>190</v>
      </c>
      <c r="B98" s="190">
        <v>17</v>
      </c>
      <c r="C98" s="178">
        <f t="shared" si="27"/>
        <v>1</v>
      </c>
      <c r="D98" s="178">
        <f t="shared" si="28"/>
        <v>17</v>
      </c>
      <c r="E98" s="189">
        <f t="shared" si="29"/>
        <v>1.7241379310344827E-2</v>
      </c>
      <c r="F98" s="178">
        <v>45</v>
      </c>
      <c r="G98" s="190">
        <f t="shared" si="30"/>
        <v>1796.9194285714286</v>
      </c>
      <c r="H98" s="186">
        <f t="shared" si="31"/>
        <v>39.931542857142858</v>
      </c>
      <c r="I98" s="216">
        <f t="shared" si="32"/>
        <v>0.33081883561643838</v>
      </c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</row>
    <row r="99" spans="1:30" ht="12.75" customHeight="1">
      <c r="A99" s="178" t="s">
        <v>191</v>
      </c>
      <c r="B99" s="190">
        <v>17</v>
      </c>
      <c r="C99" s="178">
        <f t="shared" si="27"/>
        <v>1</v>
      </c>
      <c r="D99" s="178">
        <f t="shared" si="28"/>
        <v>17</v>
      </c>
      <c r="E99" s="189">
        <f t="shared" si="29"/>
        <v>1.7241379310344827E-2</v>
      </c>
      <c r="F99" s="178">
        <v>45</v>
      </c>
      <c r="G99" s="190">
        <f t="shared" si="30"/>
        <v>1796.9194285714286</v>
      </c>
      <c r="H99" s="186">
        <f t="shared" si="31"/>
        <v>39.931542857142858</v>
      </c>
      <c r="I99" s="216">
        <f t="shared" si="32"/>
        <v>0.33081883561643838</v>
      </c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</row>
    <row r="100" spans="1:30" ht="12.75" customHeight="1">
      <c r="A100" s="178" t="s">
        <v>192</v>
      </c>
      <c r="B100" s="190">
        <v>17</v>
      </c>
      <c r="C100" s="178">
        <f t="shared" si="27"/>
        <v>1</v>
      </c>
      <c r="D100" s="178">
        <f t="shared" si="28"/>
        <v>17</v>
      </c>
      <c r="E100" s="189">
        <f t="shared" si="29"/>
        <v>1.7241379310344827E-2</v>
      </c>
      <c r="F100" s="178">
        <v>45</v>
      </c>
      <c r="G100" s="190">
        <f t="shared" si="30"/>
        <v>1796.9194285714286</v>
      </c>
      <c r="H100" s="186">
        <f t="shared" si="31"/>
        <v>39.931542857142858</v>
      </c>
      <c r="I100" s="216">
        <f t="shared" si="32"/>
        <v>0.33081883561643838</v>
      </c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</row>
    <row r="101" spans="1:30" ht="12.75" customHeight="1">
      <c r="A101" s="178" t="s">
        <v>193</v>
      </c>
      <c r="B101" s="190">
        <v>17</v>
      </c>
      <c r="C101" s="178">
        <f t="shared" si="27"/>
        <v>1</v>
      </c>
      <c r="D101" s="178">
        <f t="shared" si="28"/>
        <v>17</v>
      </c>
      <c r="E101" s="189">
        <f t="shared" si="29"/>
        <v>1.7241379310344827E-2</v>
      </c>
      <c r="F101" s="178">
        <v>45</v>
      </c>
      <c r="G101" s="190">
        <f t="shared" si="30"/>
        <v>1796.9194285714286</v>
      </c>
      <c r="H101" s="186">
        <f t="shared" si="31"/>
        <v>39.931542857142858</v>
      </c>
      <c r="I101" s="216">
        <f t="shared" si="32"/>
        <v>0.33081883561643838</v>
      </c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</row>
    <row r="102" spans="1:30" ht="12.75" customHeight="1">
      <c r="A102" s="178" t="s">
        <v>194</v>
      </c>
      <c r="B102" s="190">
        <v>17</v>
      </c>
      <c r="C102" s="178">
        <f t="shared" si="27"/>
        <v>1</v>
      </c>
      <c r="D102" s="178">
        <f t="shared" si="28"/>
        <v>17</v>
      </c>
      <c r="E102" s="189">
        <f t="shared" si="29"/>
        <v>1.7241379310344827E-2</v>
      </c>
      <c r="F102" s="178">
        <v>45</v>
      </c>
      <c r="G102" s="190">
        <f t="shared" si="30"/>
        <v>1796.9194285714286</v>
      </c>
      <c r="H102" s="186">
        <f t="shared" si="31"/>
        <v>39.931542857142858</v>
      </c>
      <c r="I102" s="216">
        <f t="shared" si="32"/>
        <v>0.33081883561643838</v>
      </c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</row>
    <row r="103" spans="1:30" ht="12.75" customHeight="1">
      <c r="A103" s="178" t="s">
        <v>195</v>
      </c>
      <c r="B103" s="190">
        <v>17</v>
      </c>
      <c r="C103" s="178">
        <f t="shared" si="27"/>
        <v>1</v>
      </c>
      <c r="D103" s="178">
        <f t="shared" si="28"/>
        <v>17</v>
      </c>
      <c r="E103" s="189">
        <f t="shared" si="29"/>
        <v>1.7241379310344827E-2</v>
      </c>
      <c r="F103" s="178">
        <v>45</v>
      </c>
      <c r="G103" s="190">
        <f t="shared" si="30"/>
        <v>1526.7942857142857</v>
      </c>
      <c r="H103" s="186">
        <f t="shared" si="31"/>
        <v>33.928761904761906</v>
      </c>
      <c r="I103" s="216">
        <f t="shared" si="32"/>
        <v>0.49270890410958895</v>
      </c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</row>
    <row r="104" spans="1:30" ht="12.75" customHeight="1">
      <c r="A104" s="178" t="s">
        <v>196</v>
      </c>
      <c r="B104" s="190">
        <v>17</v>
      </c>
      <c r="C104" s="178">
        <f t="shared" si="27"/>
        <v>1</v>
      </c>
      <c r="D104" s="178">
        <f t="shared" si="28"/>
        <v>17</v>
      </c>
      <c r="E104" s="189">
        <f t="shared" si="29"/>
        <v>1.7241379310344827E-2</v>
      </c>
      <c r="F104" s="178">
        <v>60</v>
      </c>
      <c r="G104" s="190">
        <f t="shared" si="30"/>
        <v>1526.7942857142857</v>
      </c>
      <c r="H104" s="186">
        <f t="shared" si="31"/>
        <v>25.446571428571428</v>
      </c>
      <c r="I104" s="216">
        <f t="shared" si="32"/>
        <v>0.49270890410958895</v>
      </c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</row>
    <row r="105" spans="1:30" ht="12.75" customHeight="1">
      <c r="A105" s="178" t="s">
        <v>197</v>
      </c>
      <c r="B105" s="190">
        <v>18</v>
      </c>
      <c r="C105" s="178">
        <f t="shared" si="27"/>
        <v>1</v>
      </c>
      <c r="D105" s="178">
        <f t="shared" si="28"/>
        <v>18</v>
      </c>
      <c r="E105" s="189">
        <f t="shared" si="29"/>
        <v>1.7241379310344827E-2</v>
      </c>
      <c r="F105" s="190">
        <f t="shared" ref="F105:F112" si="33">365/4</f>
        <v>91.25</v>
      </c>
      <c r="G105" s="190">
        <f t="shared" si="30"/>
        <v>1624.896</v>
      </c>
      <c r="H105" s="186">
        <f t="shared" si="31"/>
        <v>17.807079452054793</v>
      </c>
      <c r="I105" s="216">
        <f t="shared" si="32"/>
        <v>0.4902246575342466</v>
      </c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</row>
    <row r="106" spans="1:30" ht="12.75" customHeight="1">
      <c r="A106" s="178" t="s">
        <v>198</v>
      </c>
      <c r="B106" s="190">
        <v>18</v>
      </c>
      <c r="C106" s="178">
        <f t="shared" si="27"/>
        <v>1</v>
      </c>
      <c r="D106" s="178">
        <f t="shared" si="28"/>
        <v>18</v>
      </c>
      <c r="E106" s="189">
        <f t="shared" si="29"/>
        <v>1.7241379310344827E-2</v>
      </c>
      <c r="F106" s="190">
        <f t="shared" si="33"/>
        <v>91.25</v>
      </c>
      <c r="G106" s="190">
        <f t="shared" si="30"/>
        <v>1624.896</v>
      </c>
      <c r="H106" s="186">
        <f t="shared" si="31"/>
        <v>17.807079452054793</v>
      </c>
      <c r="I106" s="216">
        <f t="shared" si="32"/>
        <v>0.4902246575342466</v>
      </c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</row>
    <row r="107" spans="1:30" ht="12.75" customHeight="1">
      <c r="A107" s="178" t="s">
        <v>199</v>
      </c>
      <c r="B107" s="190">
        <v>18</v>
      </c>
      <c r="C107" s="178">
        <f t="shared" si="27"/>
        <v>1</v>
      </c>
      <c r="D107" s="178">
        <f t="shared" si="28"/>
        <v>18</v>
      </c>
      <c r="E107" s="189">
        <f t="shared" si="29"/>
        <v>1.7241379310344827E-2</v>
      </c>
      <c r="F107" s="190">
        <f t="shared" si="33"/>
        <v>91.25</v>
      </c>
      <c r="G107" s="190">
        <f t="shared" si="30"/>
        <v>1624.896</v>
      </c>
      <c r="H107" s="186">
        <f t="shared" si="31"/>
        <v>17.807079452054793</v>
      </c>
      <c r="I107" s="216">
        <f t="shared" si="32"/>
        <v>0.4902246575342466</v>
      </c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</row>
    <row r="108" spans="1:30" ht="12.75" customHeight="1">
      <c r="A108" s="178" t="s">
        <v>200</v>
      </c>
      <c r="B108" s="190">
        <v>18</v>
      </c>
      <c r="C108" s="178">
        <f t="shared" si="27"/>
        <v>1</v>
      </c>
      <c r="D108" s="178">
        <f t="shared" si="28"/>
        <v>18</v>
      </c>
      <c r="E108" s="189">
        <f t="shared" si="29"/>
        <v>1.7241379310344827E-2</v>
      </c>
      <c r="F108" s="190">
        <f t="shared" si="33"/>
        <v>91.25</v>
      </c>
      <c r="G108" s="190">
        <f t="shared" si="30"/>
        <v>1624.896</v>
      </c>
      <c r="H108" s="186">
        <f t="shared" si="31"/>
        <v>17.807079452054793</v>
      </c>
      <c r="I108" s="216">
        <f t="shared" si="32"/>
        <v>0.4902246575342466</v>
      </c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</row>
    <row r="109" spans="1:30" ht="12.75" customHeight="1">
      <c r="A109" s="178" t="s">
        <v>201</v>
      </c>
      <c r="B109" s="190">
        <v>28</v>
      </c>
      <c r="C109" s="178">
        <f t="shared" si="27"/>
        <v>1</v>
      </c>
      <c r="D109" s="178">
        <f t="shared" si="28"/>
        <v>28</v>
      </c>
      <c r="E109" s="189">
        <f t="shared" si="29"/>
        <v>1.7241379310344827E-2</v>
      </c>
      <c r="F109" s="190">
        <f t="shared" si="33"/>
        <v>91.25</v>
      </c>
      <c r="G109" s="190">
        <f t="shared" si="30"/>
        <v>1697.4360000000001</v>
      </c>
      <c r="H109" s="186">
        <f t="shared" si="31"/>
        <v>18.602038356164385</v>
      </c>
      <c r="I109" s="216">
        <f t="shared" si="32"/>
        <v>0.32792054794520548</v>
      </c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</row>
    <row r="110" spans="1:30" ht="12.75" customHeight="1">
      <c r="A110" s="178" t="s">
        <v>202</v>
      </c>
      <c r="B110" s="190">
        <v>28</v>
      </c>
      <c r="C110" s="178">
        <f t="shared" si="27"/>
        <v>1</v>
      </c>
      <c r="D110" s="178">
        <f t="shared" si="28"/>
        <v>28</v>
      </c>
      <c r="E110" s="189">
        <f t="shared" si="29"/>
        <v>1.7241379310344827E-2</v>
      </c>
      <c r="F110" s="190">
        <f t="shared" si="33"/>
        <v>91.25</v>
      </c>
      <c r="G110" s="190">
        <f t="shared" si="30"/>
        <v>1697.4360000000001</v>
      </c>
      <c r="H110" s="186">
        <f t="shared" si="31"/>
        <v>18.602038356164385</v>
      </c>
      <c r="I110" s="216">
        <f t="shared" si="32"/>
        <v>0.32792054794520548</v>
      </c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</row>
    <row r="111" spans="1:30" ht="12.75" customHeight="1">
      <c r="A111" s="178" t="s">
        <v>203</v>
      </c>
      <c r="B111" s="190">
        <v>28</v>
      </c>
      <c r="C111" s="178">
        <f t="shared" si="27"/>
        <v>1</v>
      </c>
      <c r="D111" s="178">
        <f t="shared" si="28"/>
        <v>28</v>
      </c>
      <c r="E111" s="189">
        <f t="shared" si="29"/>
        <v>1.7241379310344827E-2</v>
      </c>
      <c r="F111" s="190">
        <f t="shared" si="33"/>
        <v>91.25</v>
      </c>
      <c r="G111" s="190">
        <f t="shared" si="30"/>
        <v>1697.4360000000001</v>
      </c>
      <c r="H111" s="186">
        <f t="shared" si="31"/>
        <v>18.602038356164385</v>
      </c>
      <c r="I111" s="216">
        <f t="shared" si="32"/>
        <v>0.32792054794520548</v>
      </c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</row>
    <row r="112" spans="1:30" ht="12.75" customHeight="1">
      <c r="A112" s="178" t="s">
        <v>204</v>
      </c>
      <c r="B112" s="190">
        <v>28</v>
      </c>
      <c r="C112" s="178">
        <f t="shared" si="27"/>
        <v>1</v>
      </c>
      <c r="D112" s="178">
        <f t="shared" si="28"/>
        <v>28</v>
      </c>
      <c r="E112" s="189">
        <f t="shared" si="29"/>
        <v>1.7241379310344827E-2</v>
      </c>
      <c r="F112" s="190">
        <f t="shared" si="33"/>
        <v>91.25</v>
      </c>
      <c r="G112" s="190">
        <f t="shared" si="30"/>
        <v>1666.3474285714287</v>
      </c>
      <c r="H112" s="186">
        <f t="shared" si="31"/>
        <v>18.26134168297456</v>
      </c>
      <c r="I112" s="216">
        <f t="shared" si="32"/>
        <v>0.49188082191780819</v>
      </c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</row>
    <row r="113" spans="1:30" ht="12.75" customHeight="1">
      <c r="A113" s="178" t="s">
        <v>205</v>
      </c>
      <c r="B113" s="190">
        <v>16</v>
      </c>
      <c r="C113" s="178">
        <f t="shared" si="27"/>
        <v>1</v>
      </c>
      <c r="D113" s="178">
        <f t="shared" si="28"/>
        <v>16</v>
      </c>
      <c r="E113" s="189">
        <f t="shared" si="29"/>
        <v>1.7241379310344827E-2</v>
      </c>
      <c r="F113" s="178">
        <v>60</v>
      </c>
      <c r="G113" s="190">
        <f t="shared" si="30"/>
        <v>1298.258742857143</v>
      </c>
      <c r="H113" s="186">
        <f t="shared" si="31"/>
        <v>21.637645714285718</v>
      </c>
      <c r="I113" s="216">
        <f t="shared" si="32"/>
        <v>0.66279698630136985</v>
      </c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</row>
    <row r="114" spans="1:30" ht="12.75" customHeight="1">
      <c r="A114" s="178" t="s">
        <v>206</v>
      </c>
      <c r="B114" s="190">
        <v>16</v>
      </c>
      <c r="C114" s="178">
        <f t="shared" si="27"/>
        <v>1</v>
      </c>
      <c r="D114" s="178">
        <f t="shared" si="28"/>
        <v>16</v>
      </c>
      <c r="E114" s="189">
        <f t="shared" si="29"/>
        <v>1.7241379310344827E-2</v>
      </c>
      <c r="F114" s="178">
        <v>60</v>
      </c>
      <c r="G114" s="190">
        <f t="shared" si="30"/>
        <v>1298.258742857143</v>
      </c>
      <c r="H114" s="186">
        <f t="shared" si="31"/>
        <v>21.637645714285718</v>
      </c>
      <c r="I114" s="216">
        <f t="shared" si="32"/>
        <v>0.66279698630136985</v>
      </c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</row>
    <row r="115" spans="1:30" ht="12.75" customHeight="1">
      <c r="A115" s="178" t="s">
        <v>207</v>
      </c>
      <c r="B115" s="190">
        <v>14</v>
      </c>
      <c r="C115" s="178">
        <v>4</v>
      </c>
      <c r="D115" s="178">
        <f t="shared" si="28"/>
        <v>56</v>
      </c>
      <c r="E115" s="189">
        <f t="shared" si="29"/>
        <v>6.8965517241379309E-2</v>
      </c>
      <c r="F115" s="178">
        <v>90</v>
      </c>
      <c r="G115" s="190">
        <f t="shared" si="30"/>
        <v>884.29714285714283</v>
      </c>
      <c r="H115" s="186">
        <f t="shared" si="31"/>
        <v>9.8255238095238084</v>
      </c>
      <c r="I115" s="216">
        <f t="shared" si="32"/>
        <v>3.1798356164383557</v>
      </c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</row>
    <row r="116" spans="1:30" ht="12.75" customHeight="1">
      <c r="A116" s="178" t="s">
        <v>208</v>
      </c>
      <c r="B116" s="190">
        <v>18</v>
      </c>
      <c r="C116" s="178">
        <v>4</v>
      </c>
      <c r="D116" s="178">
        <f t="shared" si="28"/>
        <v>72</v>
      </c>
      <c r="E116" s="189">
        <f t="shared" si="29"/>
        <v>3.4482758620689655E-2</v>
      </c>
      <c r="F116" s="178">
        <v>90</v>
      </c>
      <c r="G116" s="190">
        <f t="shared" si="30"/>
        <v>884.29714285714283</v>
      </c>
      <c r="H116" s="186">
        <f t="shared" si="31"/>
        <v>9.8255238095238084</v>
      </c>
      <c r="I116" s="216">
        <f t="shared" si="32"/>
        <v>1.5899178082191778</v>
      </c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</row>
    <row r="117" spans="1:30" ht="12.75" customHeight="1">
      <c r="A117" s="178" t="s">
        <v>209</v>
      </c>
      <c r="B117" s="190">
        <v>18</v>
      </c>
      <c r="C117" s="178">
        <f>D76</f>
        <v>1</v>
      </c>
      <c r="D117" s="178">
        <f t="shared" si="28"/>
        <v>18</v>
      </c>
      <c r="E117" s="189">
        <f t="shared" si="29"/>
        <v>1.7241379310344827E-2</v>
      </c>
      <c r="F117" s="178">
        <v>60</v>
      </c>
      <c r="G117" s="190">
        <f t="shared" si="30"/>
        <v>406.22399999999999</v>
      </c>
      <c r="H117" s="186">
        <f t="shared" si="31"/>
        <v>6.7703999999999995</v>
      </c>
      <c r="I117" s="216">
        <f t="shared" si="32"/>
        <v>0.9854178082191779</v>
      </c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</row>
    <row r="118" spans="1:30" ht="12.75" customHeight="1">
      <c r="A118" s="178" t="s">
        <v>210</v>
      </c>
      <c r="B118" s="190">
        <v>18</v>
      </c>
      <c r="C118" s="178">
        <f>D77</f>
        <v>1</v>
      </c>
      <c r="D118" s="178">
        <f t="shared" si="28"/>
        <v>18</v>
      </c>
      <c r="E118" s="189">
        <f t="shared" si="29"/>
        <v>1.7241379310344827E-2</v>
      </c>
      <c r="F118" s="178">
        <v>60</v>
      </c>
      <c r="G118" s="190">
        <f t="shared" si="30"/>
        <v>406.22399999999999</v>
      </c>
      <c r="H118" s="186">
        <f t="shared" si="31"/>
        <v>6.7703999999999995</v>
      </c>
      <c r="I118" s="216">
        <f t="shared" si="32"/>
        <v>0.9854178082191779</v>
      </c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</row>
    <row r="119" spans="1:30" ht="12.75" customHeight="1">
      <c r="A119" s="173" t="s">
        <v>378</v>
      </c>
      <c r="B119" s="214">
        <f>SUM(B83:B118)</f>
        <v>635</v>
      </c>
      <c r="C119" s="214">
        <f>SUM(C83:C118)</f>
        <v>60</v>
      </c>
      <c r="D119" s="214">
        <f>SUM(D83:D118)</f>
        <v>1059</v>
      </c>
      <c r="E119" s="217">
        <f>SUM(E83:E118)</f>
        <v>1.0000000000000007</v>
      </c>
      <c r="F119" s="178"/>
      <c r="G119" s="178"/>
      <c r="H119" s="186"/>
      <c r="I119" s="184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</row>
    <row r="120" spans="1:30" ht="12.75" customHeight="1">
      <c r="A120" s="178"/>
      <c r="B120" s="184"/>
      <c r="C120" s="215" t="s">
        <v>379</v>
      </c>
      <c r="D120" s="218">
        <f>(D119/350)*1.2</f>
        <v>3.6308571428571428</v>
      </c>
      <c r="E120" s="187"/>
      <c r="F120" s="178"/>
      <c r="G120" s="178"/>
      <c r="H120" s="186"/>
      <c r="I120" s="184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</row>
    <row r="121" spans="1:30" ht="12.75" customHeight="1">
      <c r="A121" s="178"/>
      <c r="B121" s="184"/>
      <c r="C121" s="178"/>
      <c r="D121" s="178"/>
      <c r="E121" s="187"/>
      <c r="F121" s="178"/>
      <c r="G121" s="178"/>
      <c r="H121" s="186"/>
      <c r="I121" s="184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</row>
    <row r="122" spans="1:30" ht="12.75" customHeight="1">
      <c r="A122" s="178"/>
      <c r="B122" s="184"/>
      <c r="C122" s="178"/>
      <c r="D122" s="178"/>
      <c r="E122" s="187"/>
      <c r="F122" s="178"/>
      <c r="G122" s="178"/>
      <c r="H122" s="186"/>
      <c r="I122" s="184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</row>
    <row r="123" spans="1:30" ht="12.75" customHeight="1">
      <c r="A123" s="178"/>
      <c r="B123" s="184"/>
      <c r="C123" s="178"/>
      <c r="D123" s="178"/>
      <c r="E123" s="187"/>
      <c r="F123" s="178"/>
      <c r="G123" s="178"/>
      <c r="H123" s="186"/>
      <c r="I123" s="184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</row>
    <row r="124" spans="1:30" ht="12.75" customHeight="1">
      <c r="A124" s="178"/>
      <c r="B124" s="184"/>
      <c r="C124" s="178"/>
      <c r="D124" s="178"/>
      <c r="E124" s="187"/>
      <c r="F124" s="178"/>
      <c r="G124" s="178"/>
      <c r="H124" s="186"/>
      <c r="I124" s="184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</row>
    <row r="125" spans="1:30" ht="12.75" customHeight="1">
      <c r="A125" s="178"/>
      <c r="B125" s="184"/>
      <c r="C125" s="178"/>
      <c r="D125" s="178"/>
      <c r="E125" s="187"/>
      <c r="F125" s="178"/>
      <c r="G125" s="178"/>
      <c r="H125" s="186"/>
      <c r="I125" s="184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</row>
    <row r="126" spans="1:30" ht="12.75" customHeight="1">
      <c r="A126" s="178"/>
      <c r="B126" s="184"/>
      <c r="C126" s="178"/>
      <c r="D126" s="178"/>
      <c r="E126" s="187"/>
      <c r="F126" s="178"/>
      <c r="G126" s="178"/>
      <c r="H126" s="186"/>
      <c r="I126" s="184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</row>
    <row r="127" spans="1:30" ht="12.75" customHeight="1">
      <c r="A127" s="178"/>
      <c r="B127" s="184"/>
      <c r="C127" s="178"/>
      <c r="D127" s="178"/>
      <c r="E127" s="187"/>
      <c r="F127" s="178"/>
      <c r="G127" s="178"/>
      <c r="H127" s="186"/>
      <c r="I127" s="184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</row>
    <row r="128" spans="1:30" ht="12.75" customHeight="1">
      <c r="A128" s="178"/>
      <c r="B128" s="184"/>
      <c r="C128" s="178"/>
      <c r="D128" s="178"/>
      <c r="E128" s="187"/>
      <c r="F128" s="178"/>
      <c r="G128" s="178"/>
      <c r="H128" s="186"/>
      <c r="I128" s="184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</row>
    <row r="129" spans="1:30" ht="12.75" customHeight="1">
      <c r="A129" s="178"/>
      <c r="B129" s="184"/>
      <c r="C129" s="178"/>
      <c r="D129" s="178"/>
      <c r="E129" s="187"/>
      <c r="F129" s="178"/>
      <c r="G129" s="178"/>
      <c r="H129" s="186"/>
      <c r="I129" s="184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</row>
    <row r="130" spans="1:30" ht="12.75" customHeight="1">
      <c r="A130" s="178"/>
      <c r="B130" s="184"/>
      <c r="C130" s="178"/>
      <c r="D130" s="178"/>
      <c r="E130" s="187"/>
      <c r="F130" s="178"/>
      <c r="G130" s="178"/>
      <c r="H130" s="186"/>
      <c r="I130" s="184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</row>
    <row r="131" spans="1:30" ht="12.75" customHeight="1">
      <c r="A131" s="178"/>
      <c r="B131" s="184"/>
      <c r="C131" s="178"/>
      <c r="D131" s="178"/>
      <c r="E131" s="187"/>
      <c r="F131" s="178"/>
      <c r="G131" s="178"/>
      <c r="H131" s="186"/>
      <c r="I131" s="184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</row>
    <row r="132" spans="1:30" ht="12.75" customHeight="1">
      <c r="A132" s="178"/>
      <c r="B132" s="184"/>
      <c r="C132" s="178"/>
      <c r="D132" s="178"/>
      <c r="E132" s="187"/>
      <c r="F132" s="178"/>
      <c r="G132" s="178"/>
      <c r="H132" s="186"/>
      <c r="I132" s="184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</row>
    <row r="133" spans="1:30" ht="12.75" customHeight="1">
      <c r="A133" s="178"/>
      <c r="B133" s="184"/>
      <c r="C133" s="178"/>
      <c r="D133" s="178"/>
      <c r="E133" s="187"/>
      <c r="F133" s="178"/>
      <c r="G133" s="178"/>
      <c r="H133" s="186"/>
      <c r="I133" s="184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</row>
    <row r="134" spans="1:30" ht="12.75" customHeight="1">
      <c r="A134" s="178"/>
      <c r="B134" s="184"/>
      <c r="C134" s="178"/>
      <c r="D134" s="178"/>
      <c r="E134" s="187"/>
      <c r="F134" s="178"/>
      <c r="G134" s="178"/>
      <c r="H134" s="186"/>
      <c r="I134" s="184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</row>
    <row r="135" spans="1:30" ht="12.75" customHeight="1">
      <c r="A135" s="178"/>
      <c r="B135" s="184"/>
      <c r="C135" s="178"/>
      <c r="D135" s="178"/>
      <c r="E135" s="187"/>
      <c r="F135" s="178"/>
      <c r="G135" s="178"/>
      <c r="H135" s="186"/>
      <c r="I135" s="184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</row>
    <row r="136" spans="1:30" ht="12.75" customHeight="1">
      <c r="A136" s="178"/>
      <c r="B136" s="184"/>
      <c r="C136" s="178"/>
      <c r="D136" s="178"/>
      <c r="E136" s="187"/>
      <c r="F136" s="178"/>
      <c r="G136" s="178"/>
      <c r="H136" s="186"/>
      <c r="I136" s="184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</row>
    <row r="137" spans="1:30" ht="12.75" customHeight="1">
      <c r="A137" s="178"/>
      <c r="B137" s="184"/>
      <c r="C137" s="178"/>
      <c r="D137" s="178"/>
      <c r="E137" s="187"/>
      <c r="F137" s="178"/>
      <c r="G137" s="178"/>
      <c r="H137" s="186"/>
      <c r="I137" s="184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</row>
    <row r="138" spans="1:30" ht="12.75" customHeight="1">
      <c r="A138" s="178"/>
      <c r="B138" s="184"/>
      <c r="C138" s="178"/>
      <c r="D138" s="178"/>
      <c r="E138" s="187"/>
      <c r="F138" s="178"/>
      <c r="G138" s="178"/>
      <c r="H138" s="186"/>
      <c r="I138" s="184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</row>
    <row r="139" spans="1:30" ht="12.75" customHeight="1">
      <c r="A139" s="178"/>
      <c r="B139" s="184"/>
      <c r="C139" s="178"/>
      <c r="D139" s="178"/>
      <c r="E139" s="187"/>
      <c r="F139" s="178"/>
      <c r="G139" s="178"/>
      <c r="H139" s="186"/>
      <c r="I139" s="184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</row>
    <row r="140" spans="1:30" ht="12.75" customHeight="1">
      <c r="A140" s="178"/>
      <c r="B140" s="184"/>
      <c r="C140" s="178"/>
      <c r="D140" s="178"/>
      <c r="E140" s="187"/>
      <c r="F140" s="178"/>
      <c r="G140" s="178"/>
      <c r="H140" s="186"/>
      <c r="I140" s="184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</row>
    <row r="141" spans="1:30" ht="12.75" customHeight="1">
      <c r="A141" s="178"/>
      <c r="B141" s="184"/>
      <c r="C141" s="178"/>
      <c r="D141" s="178"/>
      <c r="E141" s="187"/>
      <c r="F141" s="178"/>
      <c r="G141" s="178"/>
      <c r="H141" s="186"/>
      <c r="I141" s="184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</row>
    <row r="142" spans="1:30" ht="12.75" customHeight="1">
      <c r="A142" s="178"/>
      <c r="B142" s="184"/>
      <c r="C142" s="178"/>
      <c r="D142" s="178"/>
      <c r="E142" s="187"/>
      <c r="F142" s="178"/>
      <c r="G142" s="178"/>
      <c r="H142" s="186"/>
      <c r="I142" s="184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</row>
    <row r="143" spans="1:30" ht="12.75" customHeight="1">
      <c r="A143" s="178"/>
      <c r="B143" s="184"/>
      <c r="C143" s="178"/>
      <c r="D143" s="178"/>
      <c r="E143" s="187"/>
      <c r="F143" s="178"/>
      <c r="G143" s="178"/>
      <c r="H143" s="186"/>
      <c r="I143" s="184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</row>
    <row r="144" spans="1:30" ht="12.75" customHeight="1">
      <c r="A144" s="178"/>
      <c r="B144" s="184"/>
      <c r="C144" s="178"/>
      <c r="D144" s="178"/>
      <c r="E144" s="187"/>
      <c r="F144" s="178"/>
      <c r="G144" s="178"/>
      <c r="H144" s="186"/>
      <c r="I144" s="184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</row>
    <row r="145" spans="1:30" ht="12.75" customHeight="1">
      <c r="A145" s="178"/>
      <c r="B145" s="184"/>
      <c r="C145" s="178"/>
      <c r="D145" s="178"/>
      <c r="E145" s="187"/>
      <c r="F145" s="178"/>
      <c r="G145" s="178"/>
      <c r="H145" s="186"/>
      <c r="I145" s="184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</row>
    <row r="146" spans="1:30" ht="12.75" customHeight="1">
      <c r="A146" s="178"/>
      <c r="B146" s="184"/>
      <c r="C146" s="178"/>
      <c r="D146" s="178"/>
      <c r="E146" s="187"/>
      <c r="F146" s="178"/>
      <c r="G146" s="178"/>
      <c r="H146" s="186"/>
      <c r="I146" s="184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</row>
    <row r="147" spans="1:30" ht="12.75" customHeight="1">
      <c r="A147" s="178"/>
      <c r="B147" s="184"/>
      <c r="C147" s="178"/>
      <c r="D147" s="178"/>
      <c r="E147" s="187"/>
      <c r="F147" s="178"/>
      <c r="G147" s="178"/>
      <c r="H147" s="186"/>
      <c r="I147" s="184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</row>
    <row r="148" spans="1:30" ht="12.75" customHeight="1">
      <c r="A148" s="178"/>
      <c r="B148" s="184"/>
      <c r="C148" s="178"/>
      <c r="D148" s="178"/>
      <c r="E148" s="187"/>
      <c r="F148" s="178"/>
      <c r="G148" s="178"/>
      <c r="H148" s="186"/>
      <c r="I148" s="184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</row>
    <row r="149" spans="1:30" ht="12.75" customHeight="1">
      <c r="A149" s="178"/>
      <c r="B149" s="184"/>
      <c r="C149" s="178"/>
      <c r="D149" s="178"/>
      <c r="E149" s="187"/>
      <c r="F149" s="178"/>
      <c r="G149" s="178"/>
      <c r="H149" s="186"/>
      <c r="I149" s="184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</row>
    <row r="150" spans="1:30" ht="12.75" customHeight="1">
      <c r="A150" s="178"/>
      <c r="B150" s="184"/>
      <c r="C150" s="178"/>
      <c r="D150" s="178"/>
      <c r="E150" s="187"/>
      <c r="F150" s="178"/>
      <c r="G150" s="178"/>
      <c r="H150" s="186"/>
      <c r="I150" s="184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</row>
    <row r="151" spans="1:30" ht="12.75" customHeight="1">
      <c r="A151" s="178"/>
      <c r="B151" s="184"/>
      <c r="C151" s="178"/>
      <c r="D151" s="178"/>
      <c r="E151" s="187"/>
      <c r="F151" s="178"/>
      <c r="G151" s="178"/>
      <c r="H151" s="186"/>
      <c r="I151" s="184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</row>
    <row r="152" spans="1:30" ht="12.75" customHeight="1">
      <c r="A152" s="178"/>
      <c r="B152" s="184"/>
      <c r="C152" s="178"/>
      <c r="D152" s="178"/>
      <c r="E152" s="187"/>
      <c r="F152" s="178"/>
      <c r="G152" s="178"/>
      <c r="H152" s="186"/>
      <c r="I152" s="184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</row>
    <row r="153" spans="1:30" ht="12.75" customHeight="1">
      <c r="A153" s="178"/>
      <c r="B153" s="184"/>
      <c r="C153" s="178"/>
      <c r="D153" s="178"/>
      <c r="E153" s="187"/>
      <c r="F153" s="178"/>
      <c r="G153" s="178"/>
      <c r="H153" s="186"/>
      <c r="I153" s="184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</row>
    <row r="154" spans="1:30" ht="12.75" customHeight="1">
      <c r="A154" s="173" t="s">
        <v>380</v>
      </c>
      <c r="B154" s="184" t="s">
        <v>381</v>
      </c>
      <c r="C154" s="178" t="s">
        <v>382</v>
      </c>
      <c r="D154" s="178" t="s">
        <v>383</v>
      </c>
      <c r="E154" s="187"/>
      <c r="F154" s="178"/>
      <c r="G154" s="178"/>
      <c r="H154" s="186"/>
      <c r="I154" s="184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</row>
    <row r="155" spans="1:30" ht="12.75" customHeight="1">
      <c r="A155" s="212">
        <f>Y90</f>
        <v>0</v>
      </c>
      <c r="B155" s="190">
        <f t="shared" ref="B155:B163" si="34">A155*350</f>
        <v>0</v>
      </c>
      <c r="C155" s="191" t="e">
        <f t="shared" ref="C155:C163" si="35">(B155/Y$89)*E$78</f>
        <v>#DIV/0!</v>
      </c>
      <c r="D155" s="191" t="e">
        <f t="shared" ref="D155:D163" si="36">(C155/50)/A$41</f>
        <v>#DIV/0!</v>
      </c>
      <c r="E155" s="187"/>
      <c r="F155" s="178"/>
      <c r="G155" s="178"/>
      <c r="H155" s="186"/>
      <c r="I155" s="184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</row>
    <row r="156" spans="1:30" ht="12.75" customHeight="1">
      <c r="A156" s="178">
        <v>3</v>
      </c>
      <c r="B156" s="190">
        <f t="shared" si="34"/>
        <v>1050</v>
      </c>
      <c r="C156" s="191" t="e">
        <f t="shared" si="35"/>
        <v>#DIV/0!</v>
      </c>
      <c r="D156" s="191" t="e">
        <f t="shared" si="36"/>
        <v>#DIV/0!</v>
      </c>
      <c r="E156" s="187"/>
      <c r="F156" s="178"/>
      <c r="G156" s="178"/>
      <c r="H156" s="186"/>
      <c r="I156" s="184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</row>
    <row r="157" spans="1:30" ht="12.75" customHeight="1">
      <c r="A157" s="178">
        <v>4</v>
      </c>
      <c r="B157" s="190">
        <f t="shared" si="34"/>
        <v>1400</v>
      </c>
      <c r="C157" s="191" t="e">
        <f t="shared" si="35"/>
        <v>#DIV/0!</v>
      </c>
      <c r="D157" s="191" t="e">
        <f t="shared" si="36"/>
        <v>#DIV/0!</v>
      </c>
      <c r="E157" s="187"/>
      <c r="F157" s="178"/>
      <c r="G157" s="178"/>
      <c r="H157" s="186"/>
      <c r="I157" s="184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</row>
    <row r="158" spans="1:30" ht="12.75" customHeight="1">
      <c r="A158" s="178">
        <v>5</v>
      </c>
      <c r="B158" s="190">
        <f t="shared" si="34"/>
        <v>1750</v>
      </c>
      <c r="C158" s="191" t="e">
        <f t="shared" si="35"/>
        <v>#DIV/0!</v>
      </c>
      <c r="D158" s="191" t="e">
        <f t="shared" si="36"/>
        <v>#DIV/0!</v>
      </c>
      <c r="E158" s="187"/>
      <c r="F158" s="178"/>
      <c r="G158" s="178"/>
      <c r="H158" s="186"/>
      <c r="I158" s="184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</row>
    <row r="159" spans="1:30" ht="12.75" customHeight="1">
      <c r="A159" s="178">
        <v>6</v>
      </c>
      <c r="B159" s="190">
        <f t="shared" si="34"/>
        <v>2100</v>
      </c>
      <c r="C159" s="191" t="e">
        <f t="shared" si="35"/>
        <v>#DIV/0!</v>
      </c>
      <c r="D159" s="191" t="e">
        <f t="shared" si="36"/>
        <v>#DIV/0!</v>
      </c>
      <c r="E159" s="187"/>
      <c r="F159" s="178"/>
      <c r="G159" s="178"/>
      <c r="H159" s="186"/>
      <c r="I159" s="184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</row>
    <row r="160" spans="1:30" ht="12.75" customHeight="1">
      <c r="A160" s="178">
        <v>7</v>
      </c>
      <c r="B160" s="190">
        <f t="shared" si="34"/>
        <v>2450</v>
      </c>
      <c r="C160" s="191" t="e">
        <f t="shared" si="35"/>
        <v>#DIV/0!</v>
      </c>
      <c r="D160" s="191" t="e">
        <f t="shared" si="36"/>
        <v>#DIV/0!</v>
      </c>
      <c r="E160" s="187"/>
      <c r="F160" s="178"/>
      <c r="G160" s="178"/>
      <c r="H160" s="186"/>
      <c r="I160" s="184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</row>
    <row r="161" spans="1:30" ht="12.75" customHeight="1">
      <c r="A161" s="178">
        <v>8</v>
      </c>
      <c r="B161" s="190">
        <f t="shared" si="34"/>
        <v>2800</v>
      </c>
      <c r="C161" s="191" t="e">
        <f t="shared" si="35"/>
        <v>#DIV/0!</v>
      </c>
      <c r="D161" s="191" t="e">
        <f t="shared" si="36"/>
        <v>#DIV/0!</v>
      </c>
      <c r="E161" s="187"/>
      <c r="F161" s="178"/>
      <c r="G161" s="178"/>
      <c r="H161" s="186"/>
      <c r="I161" s="184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</row>
    <row r="162" spans="1:30" ht="12.75" customHeight="1">
      <c r="A162" s="178">
        <v>9</v>
      </c>
      <c r="B162" s="190">
        <f t="shared" si="34"/>
        <v>3150</v>
      </c>
      <c r="C162" s="191" t="e">
        <f t="shared" si="35"/>
        <v>#DIV/0!</v>
      </c>
      <c r="D162" s="191" t="e">
        <f t="shared" si="36"/>
        <v>#DIV/0!</v>
      </c>
      <c r="E162" s="187"/>
      <c r="F162" s="178"/>
      <c r="G162" s="178"/>
      <c r="H162" s="186"/>
      <c r="I162" s="184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</row>
    <row r="163" spans="1:30" ht="12.75" customHeight="1">
      <c r="A163" s="178">
        <v>10</v>
      </c>
      <c r="B163" s="190">
        <f t="shared" si="34"/>
        <v>3500</v>
      </c>
      <c r="C163" s="191" t="e">
        <f t="shared" si="35"/>
        <v>#DIV/0!</v>
      </c>
      <c r="D163" s="191" t="e">
        <f t="shared" si="36"/>
        <v>#DIV/0!</v>
      </c>
      <c r="E163" s="187"/>
      <c r="F163" s="178"/>
      <c r="G163" s="178"/>
      <c r="H163" s="186"/>
      <c r="I163" s="184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</row>
    <row r="164" spans="1:30" ht="12.75" customHeight="1">
      <c r="A164" s="178"/>
      <c r="B164" s="184"/>
      <c r="C164" s="178"/>
      <c r="D164" s="178"/>
      <c r="E164" s="187"/>
      <c r="F164" s="178"/>
      <c r="G164" s="178"/>
      <c r="H164" s="186"/>
      <c r="I164" s="184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</row>
    <row r="165" spans="1:30" ht="12.75" customHeight="1">
      <c r="A165" s="178"/>
      <c r="B165" s="184"/>
      <c r="C165" s="178"/>
      <c r="D165" s="178"/>
      <c r="E165" s="187"/>
      <c r="F165" s="178"/>
      <c r="G165" s="178"/>
      <c r="H165" s="186"/>
      <c r="I165" s="184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</row>
    <row r="166" spans="1:30" ht="12.75" customHeight="1">
      <c r="A166" s="178"/>
      <c r="B166" s="184"/>
      <c r="C166" s="178"/>
      <c r="D166" s="178"/>
      <c r="E166" s="187"/>
      <c r="F166" s="178"/>
      <c r="G166" s="178"/>
      <c r="H166" s="186"/>
      <c r="I166" s="184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</row>
    <row r="167" spans="1:30" ht="12.75" customHeight="1">
      <c r="A167" s="178"/>
      <c r="B167" s="184"/>
      <c r="C167" s="178"/>
      <c r="D167" s="178"/>
      <c r="E167" s="187"/>
      <c r="F167" s="178"/>
      <c r="G167" s="178"/>
      <c r="H167" s="186"/>
      <c r="I167" s="184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</row>
    <row r="168" spans="1:30" ht="12.75" customHeight="1">
      <c r="A168" s="178"/>
      <c r="B168" s="184"/>
      <c r="C168" s="178"/>
      <c r="D168" s="178"/>
      <c r="E168" s="187"/>
      <c r="F168" s="178"/>
      <c r="G168" s="178"/>
      <c r="H168" s="186"/>
      <c r="I168" s="184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</row>
    <row r="169" spans="1:30" ht="12.75" customHeight="1">
      <c r="A169" s="178"/>
      <c r="B169" s="184"/>
      <c r="C169" s="178"/>
      <c r="D169" s="178"/>
      <c r="E169" s="187"/>
      <c r="F169" s="178"/>
      <c r="G169" s="178"/>
      <c r="H169" s="186"/>
      <c r="I169" s="184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</row>
    <row r="170" spans="1:30" ht="12.75" customHeight="1">
      <c r="A170" s="178"/>
      <c r="B170" s="184"/>
      <c r="C170" s="178"/>
      <c r="D170" s="178"/>
      <c r="E170" s="187"/>
      <c r="F170" s="178"/>
      <c r="G170" s="178"/>
      <c r="H170" s="186"/>
      <c r="I170" s="184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</row>
    <row r="171" spans="1:30" ht="12.75" customHeight="1">
      <c r="A171" s="178"/>
      <c r="B171" s="184"/>
      <c r="C171" s="178"/>
      <c r="D171" s="178"/>
      <c r="E171" s="187"/>
      <c r="F171" s="178"/>
      <c r="G171" s="178"/>
      <c r="H171" s="186"/>
      <c r="I171" s="184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</row>
    <row r="172" spans="1:30" ht="12.75" customHeight="1">
      <c r="A172" s="178"/>
      <c r="B172" s="184"/>
      <c r="C172" s="178"/>
      <c r="D172" s="178"/>
      <c r="E172" s="187"/>
      <c r="F172" s="178"/>
      <c r="G172" s="178"/>
      <c r="H172" s="186"/>
      <c r="I172" s="184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</row>
    <row r="173" spans="1:30" ht="12.75" customHeight="1">
      <c r="A173" s="178"/>
      <c r="B173" s="184"/>
      <c r="C173" s="178"/>
      <c r="D173" s="178"/>
      <c r="E173" s="187"/>
      <c r="F173" s="178"/>
      <c r="G173" s="178"/>
      <c r="H173" s="186"/>
      <c r="I173" s="184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</row>
    <row r="174" spans="1:30" ht="12.75" customHeight="1">
      <c r="A174" s="178"/>
      <c r="B174" s="184"/>
      <c r="C174" s="178"/>
      <c r="D174" s="178"/>
      <c r="E174" s="187"/>
      <c r="F174" s="178"/>
      <c r="G174" s="178"/>
      <c r="H174" s="186"/>
      <c r="I174" s="184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</row>
    <row r="175" spans="1:30" ht="12.75" customHeight="1">
      <c r="A175" s="178"/>
      <c r="B175" s="184"/>
      <c r="C175" s="178"/>
      <c r="D175" s="178"/>
      <c r="E175" s="187"/>
      <c r="F175" s="178"/>
      <c r="G175" s="178"/>
      <c r="H175" s="186"/>
      <c r="I175" s="184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</row>
    <row r="176" spans="1:30" ht="12.75" customHeight="1">
      <c r="A176" s="178"/>
      <c r="B176" s="184"/>
      <c r="C176" s="178"/>
      <c r="D176" s="178"/>
      <c r="E176" s="187"/>
      <c r="F176" s="178"/>
      <c r="G176" s="178"/>
      <c r="H176" s="186"/>
      <c r="I176" s="184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</row>
    <row r="177" spans="1:30" ht="12.75" customHeight="1">
      <c r="A177" s="178"/>
      <c r="B177" s="184"/>
      <c r="C177" s="178"/>
      <c r="D177" s="178"/>
      <c r="E177" s="187"/>
      <c r="F177" s="178"/>
      <c r="G177" s="178"/>
      <c r="H177" s="186"/>
      <c r="I177" s="184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</row>
    <row r="178" spans="1:30" ht="12.75" customHeight="1">
      <c r="A178" s="178"/>
      <c r="B178" s="184"/>
      <c r="C178" s="178"/>
      <c r="D178" s="178"/>
      <c r="E178" s="187"/>
      <c r="F178" s="178"/>
      <c r="G178" s="178"/>
      <c r="H178" s="186"/>
      <c r="I178" s="184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</row>
    <row r="179" spans="1:30" ht="12.75" customHeight="1">
      <c r="A179" s="178"/>
      <c r="B179" s="184"/>
      <c r="C179" s="178"/>
      <c r="D179" s="178"/>
      <c r="E179" s="187"/>
      <c r="F179" s="178"/>
      <c r="G179" s="178"/>
      <c r="H179" s="186"/>
      <c r="I179" s="184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</row>
    <row r="180" spans="1:30" ht="12.75" customHeight="1">
      <c r="A180" s="178"/>
      <c r="B180" s="184"/>
      <c r="C180" s="178"/>
      <c r="D180" s="178"/>
      <c r="E180" s="187"/>
      <c r="F180" s="178"/>
      <c r="G180" s="178"/>
      <c r="H180" s="186"/>
      <c r="I180" s="184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</row>
    <row r="181" spans="1:30" ht="12.75" customHeight="1">
      <c r="A181" s="178"/>
      <c r="B181" s="184"/>
      <c r="C181" s="178"/>
      <c r="D181" s="178"/>
      <c r="E181" s="187"/>
      <c r="F181" s="178"/>
      <c r="G181" s="178"/>
      <c r="H181" s="186"/>
      <c r="I181" s="184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</row>
    <row r="182" spans="1:30" ht="12.75" customHeight="1">
      <c r="A182" s="178"/>
      <c r="B182" s="184"/>
      <c r="C182" s="178"/>
      <c r="D182" s="178"/>
      <c r="E182" s="187"/>
      <c r="F182" s="178"/>
      <c r="G182" s="178"/>
      <c r="H182" s="186"/>
      <c r="I182" s="184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</row>
    <row r="183" spans="1:30" ht="12.75" customHeight="1">
      <c r="A183" s="178"/>
      <c r="B183" s="184"/>
      <c r="C183" s="178"/>
      <c r="D183" s="178"/>
      <c r="E183" s="187"/>
      <c r="F183" s="178"/>
      <c r="G183" s="178"/>
      <c r="H183" s="186"/>
      <c r="I183" s="184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</row>
    <row r="184" spans="1:30" ht="12.75" customHeight="1">
      <c r="A184" s="178"/>
      <c r="B184" s="184"/>
      <c r="C184" s="178"/>
      <c r="D184" s="178"/>
      <c r="E184" s="187"/>
      <c r="F184" s="178"/>
      <c r="G184" s="178"/>
      <c r="H184" s="186"/>
      <c r="I184" s="184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</row>
    <row r="185" spans="1:30" ht="12.75" customHeight="1">
      <c r="A185" s="178"/>
      <c r="B185" s="184"/>
      <c r="C185" s="178"/>
      <c r="D185" s="178"/>
      <c r="E185" s="187"/>
      <c r="F185" s="178"/>
      <c r="G185" s="178"/>
      <c r="H185" s="186"/>
      <c r="I185" s="184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</row>
    <row r="186" spans="1:30" ht="12.75" customHeight="1">
      <c r="A186" s="178"/>
      <c r="B186" s="184"/>
      <c r="C186" s="178"/>
      <c r="D186" s="178"/>
      <c r="E186" s="187"/>
      <c r="F186" s="178"/>
      <c r="G186" s="178"/>
      <c r="H186" s="186"/>
      <c r="I186" s="184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</row>
    <row r="187" spans="1:30" ht="12.75" customHeight="1">
      <c r="A187" s="178"/>
      <c r="B187" s="184"/>
      <c r="C187" s="178"/>
      <c r="D187" s="178"/>
      <c r="E187" s="187"/>
      <c r="F187" s="178"/>
      <c r="G187" s="178"/>
      <c r="H187" s="186"/>
      <c r="I187" s="184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</row>
    <row r="188" spans="1:30" ht="12.75" customHeight="1">
      <c r="A188" s="178"/>
      <c r="B188" s="184"/>
      <c r="C188" s="178"/>
      <c r="D188" s="178"/>
      <c r="E188" s="187"/>
      <c r="F188" s="178"/>
      <c r="G188" s="178"/>
      <c r="H188" s="186"/>
      <c r="I188" s="184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</row>
    <row r="189" spans="1:30" ht="12.75" customHeight="1">
      <c r="A189" s="178"/>
      <c r="B189" s="184"/>
      <c r="C189" s="178"/>
      <c r="D189" s="178"/>
      <c r="E189" s="187"/>
      <c r="F189" s="178"/>
      <c r="G189" s="178"/>
      <c r="H189" s="186"/>
      <c r="I189" s="184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</row>
    <row r="190" spans="1:30" ht="12.75" customHeight="1">
      <c r="A190" s="178"/>
      <c r="B190" s="184"/>
      <c r="C190" s="178"/>
      <c r="D190" s="178"/>
      <c r="E190" s="187"/>
      <c r="F190" s="178"/>
      <c r="G190" s="178"/>
      <c r="H190" s="186"/>
      <c r="I190" s="184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</row>
    <row r="191" spans="1:30" ht="12.75" customHeight="1">
      <c r="A191" s="178"/>
      <c r="B191" s="184"/>
      <c r="C191" s="178"/>
      <c r="D191" s="178"/>
      <c r="E191" s="187"/>
      <c r="F191" s="178"/>
      <c r="G191" s="178"/>
      <c r="H191" s="186"/>
      <c r="I191" s="184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</row>
    <row r="192" spans="1:30" ht="12.75" customHeight="1">
      <c r="A192" s="178"/>
      <c r="B192" s="184"/>
      <c r="C192" s="178"/>
      <c r="D192" s="178"/>
      <c r="E192" s="187"/>
      <c r="F192" s="178"/>
      <c r="G192" s="178"/>
      <c r="H192" s="186"/>
      <c r="I192" s="184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</row>
    <row r="193" spans="1:30" ht="12.75" customHeight="1">
      <c r="A193" s="178"/>
      <c r="B193" s="184"/>
      <c r="C193" s="178"/>
      <c r="D193" s="178"/>
      <c r="E193" s="187"/>
      <c r="F193" s="178"/>
      <c r="G193" s="178"/>
      <c r="H193" s="186"/>
      <c r="I193" s="184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</row>
    <row r="194" spans="1:30" ht="12.75" customHeight="1">
      <c r="A194" s="178"/>
      <c r="B194" s="184"/>
      <c r="C194" s="178"/>
      <c r="D194" s="178"/>
      <c r="E194" s="187"/>
      <c r="F194" s="178"/>
      <c r="G194" s="178"/>
      <c r="H194" s="186"/>
      <c r="I194" s="184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</row>
    <row r="195" spans="1:30" ht="12.75" customHeight="1">
      <c r="A195" s="178"/>
      <c r="B195" s="184"/>
      <c r="C195" s="178"/>
      <c r="D195" s="178"/>
      <c r="E195" s="187"/>
      <c r="F195" s="178"/>
      <c r="G195" s="178"/>
      <c r="H195" s="186"/>
      <c r="I195" s="184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</row>
    <row r="196" spans="1:30" ht="12.75" customHeight="1">
      <c r="A196" s="178"/>
      <c r="B196" s="184"/>
      <c r="C196" s="178"/>
      <c r="D196" s="178"/>
      <c r="E196" s="187"/>
      <c r="F196" s="178"/>
      <c r="G196" s="178"/>
      <c r="H196" s="186"/>
      <c r="I196" s="184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</row>
    <row r="197" spans="1:30" ht="12.75" customHeight="1">
      <c r="A197" s="178"/>
      <c r="B197" s="184"/>
      <c r="C197" s="178"/>
      <c r="D197" s="178"/>
      <c r="E197" s="187"/>
      <c r="F197" s="178"/>
      <c r="G197" s="178"/>
      <c r="H197" s="186"/>
      <c r="I197" s="184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</row>
    <row r="198" spans="1:30" ht="12.75" customHeight="1">
      <c r="A198" s="178"/>
      <c r="B198" s="184"/>
      <c r="C198" s="178"/>
      <c r="D198" s="178"/>
      <c r="E198" s="187"/>
      <c r="F198" s="178"/>
      <c r="G198" s="178"/>
      <c r="H198" s="186"/>
      <c r="I198" s="184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</row>
    <row r="199" spans="1:30" ht="12.75" customHeight="1">
      <c r="A199" s="178"/>
      <c r="B199" s="184"/>
      <c r="C199" s="178"/>
      <c r="D199" s="178"/>
      <c r="E199" s="187"/>
      <c r="F199" s="178"/>
      <c r="G199" s="178"/>
      <c r="H199" s="186"/>
      <c r="I199" s="184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</row>
    <row r="200" spans="1:30" ht="12.75" customHeight="1">
      <c r="A200" s="178"/>
      <c r="B200" s="184"/>
      <c r="C200" s="178"/>
      <c r="D200" s="178"/>
      <c r="E200" s="187"/>
      <c r="F200" s="178"/>
      <c r="G200" s="178"/>
      <c r="H200" s="186"/>
      <c r="I200" s="184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</row>
    <row r="201" spans="1:30" ht="12.75" customHeight="1">
      <c r="A201" s="178"/>
      <c r="B201" s="184"/>
      <c r="C201" s="178"/>
      <c r="D201" s="178"/>
      <c r="E201" s="187"/>
      <c r="F201" s="178"/>
      <c r="G201" s="178"/>
      <c r="H201" s="186"/>
      <c r="I201" s="184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</row>
    <row r="202" spans="1:30" ht="12.75" customHeight="1">
      <c r="A202" s="178"/>
      <c r="B202" s="184"/>
      <c r="C202" s="178"/>
      <c r="D202" s="178"/>
      <c r="E202" s="187"/>
      <c r="F202" s="178"/>
      <c r="G202" s="178"/>
      <c r="H202" s="186"/>
      <c r="I202" s="184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</row>
    <row r="203" spans="1:30" ht="12.75" customHeight="1">
      <c r="A203" s="178"/>
      <c r="B203" s="184"/>
      <c r="C203" s="178"/>
      <c r="D203" s="178"/>
      <c r="E203" s="187"/>
      <c r="F203" s="178"/>
      <c r="G203" s="178"/>
      <c r="H203" s="186"/>
      <c r="I203" s="184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</row>
    <row r="204" spans="1:30" ht="12.75" customHeight="1">
      <c r="A204" s="178"/>
      <c r="B204" s="184"/>
      <c r="C204" s="178"/>
      <c r="D204" s="178"/>
      <c r="E204" s="187"/>
      <c r="F204" s="178"/>
      <c r="G204" s="178"/>
      <c r="H204" s="186"/>
      <c r="I204" s="184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</row>
    <row r="205" spans="1:30" ht="12.75" customHeight="1">
      <c r="A205" s="178"/>
      <c r="B205" s="184"/>
      <c r="C205" s="178"/>
      <c r="D205" s="178"/>
      <c r="E205" s="187"/>
      <c r="F205" s="178"/>
      <c r="G205" s="178"/>
      <c r="H205" s="186"/>
      <c r="I205" s="184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</row>
    <row r="206" spans="1:30" ht="12.75" customHeight="1">
      <c r="A206" s="178"/>
      <c r="B206" s="184"/>
      <c r="C206" s="178"/>
      <c r="D206" s="178"/>
      <c r="E206" s="187"/>
      <c r="F206" s="178"/>
      <c r="G206" s="178"/>
      <c r="H206" s="186"/>
      <c r="I206" s="184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</row>
    <row r="207" spans="1:30" ht="12.75" customHeight="1">
      <c r="A207" s="178"/>
      <c r="B207" s="184"/>
      <c r="C207" s="178"/>
      <c r="D207" s="178"/>
      <c r="E207" s="187"/>
      <c r="F207" s="178"/>
      <c r="G207" s="178"/>
      <c r="H207" s="186"/>
      <c r="I207" s="184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</row>
    <row r="208" spans="1:30" ht="12.75" customHeight="1">
      <c r="A208" s="178"/>
      <c r="B208" s="184"/>
      <c r="C208" s="178"/>
      <c r="D208" s="178"/>
      <c r="E208" s="187"/>
      <c r="F208" s="178"/>
      <c r="G208" s="178"/>
      <c r="H208" s="186"/>
      <c r="I208" s="184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</row>
    <row r="209" spans="1:30" ht="12.75" customHeight="1">
      <c r="A209" s="178"/>
      <c r="B209" s="184"/>
      <c r="C209" s="178"/>
      <c r="D209" s="178"/>
      <c r="E209" s="187"/>
      <c r="F209" s="178"/>
      <c r="G209" s="178"/>
      <c r="H209" s="186"/>
      <c r="I209" s="184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</row>
    <row r="210" spans="1:30" ht="12.75" customHeight="1">
      <c r="A210" s="178"/>
      <c r="B210" s="184"/>
      <c r="C210" s="178"/>
      <c r="D210" s="178"/>
      <c r="E210" s="187"/>
      <c r="F210" s="178"/>
      <c r="G210" s="178"/>
      <c r="H210" s="186"/>
      <c r="I210" s="184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</row>
    <row r="211" spans="1:30" ht="12.75" customHeight="1">
      <c r="A211" s="178"/>
      <c r="B211" s="184"/>
      <c r="C211" s="178"/>
      <c r="D211" s="178"/>
      <c r="E211" s="187"/>
      <c r="F211" s="178"/>
      <c r="G211" s="178"/>
      <c r="H211" s="186"/>
      <c r="I211" s="184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</row>
    <row r="212" spans="1:30" ht="12.75" customHeight="1">
      <c r="A212" s="178"/>
      <c r="B212" s="184"/>
      <c r="C212" s="178"/>
      <c r="D212" s="178"/>
      <c r="E212" s="187"/>
      <c r="F212" s="178"/>
      <c r="G212" s="178"/>
      <c r="H212" s="186"/>
      <c r="I212" s="184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</row>
    <row r="213" spans="1:30" ht="12.75" customHeight="1">
      <c r="A213" s="178"/>
      <c r="B213" s="184"/>
      <c r="C213" s="178"/>
      <c r="D213" s="178"/>
      <c r="E213" s="187"/>
      <c r="F213" s="178"/>
      <c r="G213" s="178"/>
      <c r="H213" s="186"/>
      <c r="I213" s="184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</row>
    <row r="214" spans="1:30" ht="12.75" customHeight="1">
      <c r="A214" s="178"/>
      <c r="B214" s="184"/>
      <c r="C214" s="178"/>
      <c r="D214" s="178"/>
      <c r="E214" s="187"/>
      <c r="F214" s="178"/>
      <c r="G214" s="178"/>
      <c r="H214" s="186"/>
      <c r="I214" s="184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</row>
    <row r="215" spans="1:30" ht="12.75" customHeight="1">
      <c r="A215" s="178"/>
      <c r="B215" s="184"/>
      <c r="C215" s="178"/>
      <c r="D215" s="178"/>
      <c r="E215" s="187"/>
      <c r="F215" s="178"/>
      <c r="G215" s="178"/>
      <c r="H215" s="186"/>
      <c r="I215" s="184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</row>
    <row r="216" spans="1:30" ht="12.75" customHeight="1">
      <c r="A216" s="178"/>
      <c r="B216" s="184"/>
      <c r="C216" s="178"/>
      <c r="D216" s="178"/>
      <c r="E216" s="187"/>
      <c r="F216" s="178"/>
      <c r="G216" s="178"/>
      <c r="H216" s="186"/>
      <c r="I216" s="184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</row>
    <row r="217" spans="1:30" ht="12.75" customHeight="1">
      <c r="A217" s="178"/>
      <c r="B217" s="184"/>
      <c r="C217" s="178"/>
      <c r="D217" s="178"/>
      <c r="E217" s="187"/>
      <c r="F217" s="178"/>
      <c r="G217" s="178"/>
      <c r="H217" s="186"/>
      <c r="I217" s="184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</row>
    <row r="218" spans="1:30" ht="12.75" customHeight="1">
      <c r="A218" s="178"/>
      <c r="B218" s="184"/>
      <c r="C218" s="178"/>
      <c r="D218" s="178"/>
      <c r="E218" s="187"/>
      <c r="F218" s="178"/>
      <c r="G218" s="178"/>
      <c r="H218" s="186"/>
      <c r="I218" s="184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</row>
    <row r="219" spans="1:30" ht="12.75" customHeight="1">
      <c r="A219" s="178"/>
      <c r="B219" s="184"/>
      <c r="C219" s="178"/>
      <c r="D219" s="178"/>
      <c r="E219" s="187"/>
      <c r="F219" s="178"/>
      <c r="G219" s="178"/>
      <c r="H219" s="186"/>
      <c r="I219" s="184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</row>
    <row r="220" spans="1:30" ht="12.75" customHeight="1">
      <c r="A220" s="178"/>
      <c r="B220" s="184"/>
      <c r="C220" s="178"/>
      <c r="D220" s="178"/>
      <c r="E220" s="187"/>
      <c r="F220" s="178"/>
      <c r="G220" s="178"/>
      <c r="H220" s="186"/>
      <c r="I220" s="184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</row>
    <row r="221" spans="1:30" ht="12.75" customHeight="1">
      <c r="A221" s="178"/>
      <c r="B221" s="184"/>
      <c r="C221" s="178"/>
      <c r="D221" s="178"/>
      <c r="E221" s="187"/>
      <c r="F221" s="178"/>
      <c r="G221" s="178"/>
      <c r="H221" s="186"/>
      <c r="I221" s="184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</row>
    <row r="222" spans="1:30" ht="12.75" customHeight="1">
      <c r="A222" s="178"/>
      <c r="B222" s="184"/>
      <c r="C222" s="178"/>
      <c r="D222" s="178"/>
      <c r="E222" s="187"/>
      <c r="F222" s="178"/>
      <c r="G222" s="178"/>
      <c r="H222" s="186"/>
      <c r="I222" s="184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</row>
    <row r="223" spans="1:30" ht="12.75" customHeight="1">
      <c r="A223" s="178"/>
      <c r="B223" s="184"/>
      <c r="C223" s="178"/>
      <c r="D223" s="178"/>
      <c r="E223" s="187"/>
      <c r="F223" s="178"/>
      <c r="G223" s="178"/>
      <c r="H223" s="186"/>
      <c r="I223" s="184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</row>
    <row r="224" spans="1:30" ht="12.75" customHeight="1">
      <c r="A224" s="178"/>
      <c r="B224" s="184"/>
      <c r="C224" s="178"/>
      <c r="D224" s="178"/>
      <c r="E224" s="187"/>
      <c r="F224" s="178"/>
      <c r="G224" s="178"/>
      <c r="H224" s="186"/>
      <c r="I224" s="184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</row>
    <row r="225" spans="1:30" ht="12.75" customHeight="1">
      <c r="A225" s="178"/>
      <c r="B225" s="184"/>
      <c r="C225" s="178"/>
      <c r="D225" s="178"/>
      <c r="E225" s="187"/>
      <c r="F225" s="178"/>
      <c r="G225" s="178"/>
      <c r="H225" s="186"/>
      <c r="I225" s="184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</row>
    <row r="226" spans="1:30" ht="12.75" customHeight="1">
      <c r="A226" s="178"/>
      <c r="B226" s="184"/>
      <c r="C226" s="178"/>
      <c r="D226" s="178"/>
      <c r="E226" s="187"/>
      <c r="F226" s="178"/>
      <c r="G226" s="178"/>
      <c r="H226" s="186"/>
      <c r="I226" s="184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</row>
    <row r="227" spans="1:30" ht="12.75" customHeight="1">
      <c r="A227" s="178"/>
      <c r="B227" s="184"/>
      <c r="C227" s="178"/>
      <c r="D227" s="178"/>
      <c r="E227" s="187"/>
      <c r="F227" s="178"/>
      <c r="G227" s="178"/>
      <c r="H227" s="186"/>
      <c r="I227" s="184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</row>
    <row r="228" spans="1:30" ht="12.75" customHeight="1">
      <c r="A228" s="178"/>
      <c r="B228" s="184"/>
      <c r="C228" s="178"/>
      <c r="D228" s="178"/>
      <c r="E228" s="187"/>
      <c r="F228" s="178"/>
      <c r="G228" s="178"/>
      <c r="H228" s="186"/>
      <c r="I228" s="184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</row>
    <row r="229" spans="1:30" ht="12.75" customHeight="1">
      <c r="A229" s="178"/>
      <c r="B229" s="184"/>
      <c r="C229" s="178"/>
      <c r="D229" s="178"/>
      <c r="E229" s="187"/>
      <c r="F229" s="178"/>
      <c r="G229" s="178"/>
      <c r="H229" s="186"/>
      <c r="I229" s="184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</row>
    <row r="230" spans="1:30" ht="12.75" customHeight="1">
      <c r="A230" s="178"/>
      <c r="B230" s="184"/>
      <c r="C230" s="178"/>
      <c r="D230" s="178"/>
      <c r="E230" s="187"/>
      <c r="F230" s="178"/>
      <c r="G230" s="178"/>
      <c r="H230" s="186"/>
      <c r="I230" s="184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</row>
    <row r="231" spans="1:30" ht="12.75" customHeight="1">
      <c r="A231" s="178"/>
      <c r="B231" s="184"/>
      <c r="C231" s="178"/>
      <c r="D231" s="178"/>
      <c r="E231" s="187"/>
      <c r="F231" s="178"/>
      <c r="G231" s="178"/>
      <c r="H231" s="186"/>
      <c r="I231" s="184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</row>
    <row r="232" spans="1:30" ht="12.75" customHeight="1">
      <c r="A232" s="178"/>
      <c r="B232" s="184"/>
      <c r="C232" s="178"/>
      <c r="D232" s="178"/>
      <c r="E232" s="187"/>
      <c r="F232" s="178"/>
      <c r="G232" s="178"/>
      <c r="H232" s="186"/>
      <c r="I232" s="184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</row>
    <row r="233" spans="1:30" ht="12.75" customHeight="1">
      <c r="A233" s="178"/>
      <c r="B233" s="184"/>
      <c r="C233" s="178"/>
      <c r="D233" s="178"/>
      <c r="E233" s="187"/>
      <c r="F233" s="178"/>
      <c r="G233" s="178"/>
      <c r="H233" s="186"/>
      <c r="I233" s="184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</row>
    <row r="234" spans="1:30" ht="12.75" customHeight="1">
      <c r="A234" s="178"/>
      <c r="B234" s="184"/>
      <c r="C234" s="178"/>
      <c r="D234" s="178"/>
      <c r="E234" s="187"/>
      <c r="F234" s="178"/>
      <c r="G234" s="178"/>
      <c r="H234" s="186"/>
      <c r="I234" s="184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</row>
    <row r="235" spans="1:30" ht="12.75" customHeight="1">
      <c r="A235" s="178"/>
      <c r="B235" s="184"/>
      <c r="C235" s="178"/>
      <c r="D235" s="178"/>
      <c r="E235" s="187"/>
      <c r="F235" s="178"/>
      <c r="G235" s="178"/>
      <c r="H235" s="186"/>
      <c r="I235" s="184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</row>
    <row r="236" spans="1:30" ht="12.75" customHeight="1">
      <c r="A236" s="178"/>
      <c r="B236" s="184"/>
      <c r="C236" s="178"/>
      <c r="D236" s="178"/>
      <c r="E236" s="187"/>
      <c r="F236" s="178"/>
      <c r="G236" s="178"/>
      <c r="H236" s="186"/>
      <c r="I236" s="184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</row>
    <row r="237" spans="1:30" ht="12.75" customHeight="1">
      <c r="A237" s="178"/>
      <c r="B237" s="184"/>
      <c r="C237" s="178"/>
      <c r="D237" s="178"/>
      <c r="E237" s="187"/>
      <c r="F237" s="178"/>
      <c r="G237" s="178"/>
      <c r="H237" s="186"/>
      <c r="I237" s="184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</row>
    <row r="238" spans="1:30" ht="12.75" customHeight="1">
      <c r="A238" s="178"/>
      <c r="B238" s="184"/>
      <c r="C238" s="178"/>
      <c r="D238" s="178"/>
      <c r="E238" s="187"/>
      <c r="F238" s="178"/>
      <c r="G238" s="178"/>
      <c r="H238" s="186"/>
      <c r="I238" s="184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</row>
    <row r="239" spans="1:30" ht="12.75" customHeight="1">
      <c r="A239" s="178"/>
      <c r="B239" s="184"/>
      <c r="C239" s="178"/>
      <c r="D239" s="178"/>
      <c r="E239" s="187"/>
      <c r="F239" s="178"/>
      <c r="G239" s="178"/>
      <c r="H239" s="186"/>
      <c r="I239" s="184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</row>
    <row r="240" spans="1:30" ht="12.75" customHeight="1">
      <c r="A240" s="178"/>
      <c r="B240" s="184"/>
      <c r="C240" s="178"/>
      <c r="D240" s="178"/>
      <c r="E240" s="187"/>
      <c r="F240" s="178"/>
      <c r="G240" s="178"/>
      <c r="H240" s="186"/>
      <c r="I240" s="184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</row>
    <row r="241" spans="1:30" ht="12.75" customHeight="1">
      <c r="A241" s="178"/>
      <c r="B241" s="184"/>
      <c r="C241" s="178"/>
      <c r="D241" s="178"/>
      <c r="E241" s="187"/>
      <c r="F241" s="178"/>
      <c r="G241" s="178"/>
      <c r="H241" s="186"/>
      <c r="I241" s="184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</row>
    <row r="242" spans="1:30" ht="12.75" customHeight="1">
      <c r="A242" s="178"/>
      <c r="B242" s="184"/>
      <c r="C242" s="178"/>
      <c r="D242" s="178"/>
      <c r="E242" s="187"/>
      <c r="F242" s="178"/>
      <c r="G242" s="178"/>
      <c r="H242" s="186"/>
      <c r="I242" s="184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</row>
    <row r="243" spans="1:30" ht="12.75" customHeight="1">
      <c r="A243" s="178"/>
      <c r="B243" s="184"/>
      <c r="C243" s="178"/>
      <c r="D243" s="178"/>
      <c r="E243" s="187"/>
      <c r="F243" s="178"/>
      <c r="G243" s="178"/>
      <c r="H243" s="186"/>
      <c r="I243" s="184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</row>
    <row r="244" spans="1:30" ht="12.75" customHeight="1">
      <c r="A244" s="178"/>
      <c r="B244" s="184"/>
      <c r="C244" s="178"/>
      <c r="D244" s="178"/>
      <c r="E244" s="187"/>
      <c r="F244" s="178"/>
      <c r="G244" s="178"/>
      <c r="H244" s="186"/>
      <c r="I244" s="184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</row>
    <row r="245" spans="1:30" ht="12.75" customHeight="1">
      <c r="A245" s="178"/>
      <c r="B245" s="184"/>
      <c r="C245" s="178"/>
      <c r="D245" s="178"/>
      <c r="E245" s="187"/>
      <c r="F245" s="178"/>
      <c r="G245" s="178"/>
      <c r="H245" s="186"/>
      <c r="I245" s="184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</row>
    <row r="246" spans="1:30" ht="12.75" customHeight="1">
      <c r="A246" s="178"/>
      <c r="B246" s="184"/>
      <c r="C246" s="178"/>
      <c r="D246" s="178"/>
      <c r="E246" s="187"/>
      <c r="F246" s="178"/>
      <c r="G246" s="178"/>
      <c r="H246" s="186"/>
      <c r="I246" s="184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</row>
    <row r="247" spans="1:30" ht="12.75" customHeight="1">
      <c r="A247" s="178"/>
      <c r="B247" s="184"/>
      <c r="C247" s="178"/>
      <c r="D247" s="178"/>
      <c r="E247" s="187"/>
      <c r="F247" s="178"/>
      <c r="G247" s="178"/>
      <c r="H247" s="186"/>
      <c r="I247" s="184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</row>
    <row r="248" spans="1:30" ht="12.75" customHeight="1">
      <c r="A248" s="178"/>
      <c r="B248" s="184"/>
      <c r="C248" s="178"/>
      <c r="D248" s="178"/>
      <c r="E248" s="187"/>
      <c r="F248" s="178"/>
      <c r="G248" s="178"/>
      <c r="H248" s="186"/>
      <c r="I248" s="184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</row>
    <row r="249" spans="1:30" ht="12.75" customHeight="1">
      <c r="A249" s="178"/>
      <c r="B249" s="184"/>
      <c r="C249" s="178"/>
      <c r="D249" s="178"/>
      <c r="E249" s="187"/>
      <c r="F249" s="178"/>
      <c r="G249" s="178"/>
      <c r="H249" s="186"/>
      <c r="I249" s="184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</row>
    <row r="250" spans="1:30" ht="12.75" customHeight="1">
      <c r="A250" s="178"/>
      <c r="B250" s="184"/>
      <c r="C250" s="178"/>
      <c r="D250" s="178"/>
      <c r="E250" s="187"/>
      <c r="F250" s="178"/>
      <c r="G250" s="178"/>
      <c r="H250" s="186"/>
      <c r="I250" s="184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</row>
    <row r="251" spans="1:30" ht="12.75" customHeight="1">
      <c r="A251" s="178"/>
      <c r="B251" s="184"/>
      <c r="C251" s="178"/>
      <c r="D251" s="178"/>
      <c r="E251" s="187"/>
      <c r="F251" s="178"/>
      <c r="G251" s="178"/>
      <c r="H251" s="186"/>
      <c r="I251" s="184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</row>
    <row r="252" spans="1:30" ht="12.75" customHeight="1">
      <c r="A252" s="178"/>
      <c r="B252" s="184"/>
      <c r="C252" s="178"/>
      <c r="D252" s="178"/>
      <c r="E252" s="187"/>
      <c r="F252" s="178"/>
      <c r="G252" s="178"/>
      <c r="H252" s="186"/>
      <c r="I252" s="184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</row>
    <row r="253" spans="1:30" ht="12.75" customHeight="1">
      <c r="A253" s="178"/>
      <c r="B253" s="184"/>
      <c r="C253" s="178"/>
      <c r="D253" s="178"/>
      <c r="E253" s="187"/>
      <c r="F253" s="178"/>
      <c r="G253" s="178"/>
      <c r="H253" s="186"/>
      <c r="I253" s="184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</row>
    <row r="254" spans="1:30" ht="12.75" customHeight="1">
      <c r="A254" s="178"/>
      <c r="B254" s="184"/>
      <c r="C254" s="178"/>
      <c r="D254" s="178"/>
      <c r="E254" s="187"/>
      <c r="F254" s="178"/>
      <c r="G254" s="178"/>
      <c r="H254" s="186"/>
      <c r="I254" s="184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</row>
    <row r="255" spans="1:30" ht="12.75" customHeight="1">
      <c r="A255" s="178"/>
      <c r="B255" s="184"/>
      <c r="C255" s="178"/>
      <c r="D255" s="178"/>
      <c r="E255" s="187"/>
      <c r="F255" s="178"/>
      <c r="G255" s="178"/>
      <c r="H255" s="186"/>
      <c r="I255" s="184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</row>
    <row r="256" spans="1:30" ht="12.75" customHeight="1">
      <c r="A256" s="178"/>
      <c r="B256" s="184"/>
      <c r="C256" s="178"/>
      <c r="D256" s="178"/>
      <c r="E256" s="187"/>
      <c r="F256" s="178"/>
      <c r="G256" s="178"/>
      <c r="H256" s="186"/>
      <c r="I256" s="184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</row>
    <row r="257" spans="1:30" ht="12.75" customHeight="1">
      <c r="A257" s="178"/>
      <c r="B257" s="184"/>
      <c r="C257" s="178"/>
      <c r="D257" s="178"/>
      <c r="E257" s="187"/>
      <c r="F257" s="178"/>
      <c r="G257" s="178"/>
      <c r="H257" s="186"/>
      <c r="I257" s="184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</row>
    <row r="258" spans="1:30" ht="12.75" customHeight="1">
      <c r="A258" s="178"/>
      <c r="B258" s="184"/>
      <c r="C258" s="178"/>
      <c r="D258" s="178"/>
      <c r="E258" s="187"/>
      <c r="F258" s="178"/>
      <c r="G258" s="178"/>
      <c r="H258" s="186"/>
      <c r="I258" s="184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</row>
    <row r="259" spans="1:30" ht="12.75" customHeight="1">
      <c r="A259" s="178"/>
      <c r="B259" s="184"/>
      <c r="C259" s="178"/>
      <c r="D259" s="178"/>
      <c r="E259" s="187"/>
      <c r="F259" s="178"/>
      <c r="G259" s="178"/>
      <c r="H259" s="186"/>
      <c r="I259" s="184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</row>
    <row r="260" spans="1:30" ht="12.75" customHeight="1">
      <c r="A260" s="178"/>
      <c r="B260" s="184"/>
      <c r="C260" s="178"/>
      <c r="D260" s="178"/>
      <c r="E260" s="187"/>
      <c r="F260" s="178"/>
      <c r="G260" s="178"/>
      <c r="H260" s="186"/>
      <c r="I260" s="184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</row>
    <row r="261" spans="1:30" ht="12.75" customHeight="1">
      <c r="A261" s="178"/>
      <c r="B261" s="184"/>
      <c r="C261" s="178"/>
      <c r="D261" s="178"/>
      <c r="E261" s="187"/>
      <c r="F261" s="178"/>
      <c r="G261" s="178"/>
      <c r="H261" s="186"/>
      <c r="I261" s="184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</row>
    <row r="262" spans="1:30" ht="12.75" customHeight="1">
      <c r="A262" s="178"/>
      <c r="B262" s="184"/>
      <c r="C262" s="178"/>
      <c r="D262" s="178"/>
      <c r="E262" s="187"/>
      <c r="F262" s="178"/>
      <c r="G262" s="178"/>
      <c r="H262" s="186"/>
      <c r="I262" s="184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</row>
    <row r="263" spans="1:30" ht="12.75" customHeight="1">
      <c r="A263" s="178"/>
      <c r="B263" s="184"/>
      <c r="C263" s="178"/>
      <c r="D263" s="178"/>
      <c r="E263" s="187"/>
      <c r="F263" s="178"/>
      <c r="G263" s="178"/>
      <c r="H263" s="186"/>
      <c r="I263" s="184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</row>
    <row r="264" spans="1:30" ht="12.75" customHeight="1">
      <c r="A264" s="178"/>
      <c r="B264" s="184"/>
      <c r="C264" s="178"/>
      <c r="D264" s="178"/>
      <c r="E264" s="187"/>
      <c r="F264" s="178"/>
      <c r="G264" s="178"/>
      <c r="H264" s="186"/>
      <c r="I264" s="184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</row>
    <row r="265" spans="1:30" ht="12.75" customHeight="1">
      <c r="A265" s="178"/>
      <c r="B265" s="184"/>
      <c r="C265" s="178"/>
      <c r="D265" s="178"/>
      <c r="E265" s="187"/>
      <c r="F265" s="178"/>
      <c r="G265" s="178"/>
      <c r="H265" s="186"/>
      <c r="I265" s="184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</row>
    <row r="266" spans="1:30" ht="12.75" customHeight="1">
      <c r="A266" s="178"/>
      <c r="B266" s="184"/>
      <c r="C266" s="178"/>
      <c r="D266" s="178"/>
      <c r="E266" s="187"/>
      <c r="F266" s="178"/>
      <c r="G266" s="178"/>
      <c r="H266" s="186"/>
      <c r="I266" s="184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</row>
    <row r="267" spans="1:30" ht="12.75" customHeight="1">
      <c r="A267" s="178"/>
      <c r="B267" s="184"/>
      <c r="C267" s="178"/>
      <c r="D267" s="178"/>
      <c r="E267" s="187"/>
      <c r="F267" s="178"/>
      <c r="G267" s="178"/>
      <c r="H267" s="186"/>
      <c r="I267" s="184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</row>
    <row r="268" spans="1:30" ht="12.75" customHeight="1">
      <c r="A268" s="178"/>
      <c r="B268" s="184"/>
      <c r="C268" s="178"/>
      <c r="D268" s="178"/>
      <c r="E268" s="187"/>
      <c r="F268" s="178"/>
      <c r="G268" s="178"/>
      <c r="H268" s="186"/>
      <c r="I268" s="184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</row>
    <row r="269" spans="1:30" ht="12.75" customHeight="1">
      <c r="A269" s="178"/>
      <c r="B269" s="184"/>
      <c r="C269" s="178"/>
      <c r="D269" s="178"/>
      <c r="E269" s="187"/>
      <c r="F269" s="178"/>
      <c r="G269" s="178"/>
      <c r="H269" s="186"/>
      <c r="I269" s="184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</row>
    <row r="270" spans="1:30" ht="12.75" customHeight="1">
      <c r="A270" s="178"/>
      <c r="B270" s="184"/>
      <c r="C270" s="178"/>
      <c r="D270" s="178"/>
      <c r="E270" s="187"/>
      <c r="F270" s="178"/>
      <c r="G270" s="178"/>
      <c r="H270" s="186"/>
      <c r="I270" s="184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</row>
    <row r="271" spans="1:30" ht="12.75" customHeight="1">
      <c r="A271" s="178"/>
      <c r="B271" s="184"/>
      <c r="C271" s="178"/>
      <c r="D271" s="178"/>
      <c r="E271" s="187"/>
      <c r="F271" s="178"/>
      <c r="G271" s="178"/>
      <c r="H271" s="186"/>
      <c r="I271" s="184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</row>
    <row r="272" spans="1:30" ht="12.75" customHeight="1">
      <c r="A272" s="178"/>
      <c r="B272" s="184"/>
      <c r="C272" s="178"/>
      <c r="D272" s="178"/>
      <c r="E272" s="187"/>
      <c r="F272" s="178"/>
      <c r="G272" s="178"/>
      <c r="H272" s="186"/>
      <c r="I272" s="184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</row>
    <row r="273" spans="1:30" ht="12.75" customHeight="1">
      <c r="A273" s="178"/>
      <c r="B273" s="184"/>
      <c r="C273" s="178"/>
      <c r="D273" s="178"/>
      <c r="E273" s="187"/>
      <c r="F273" s="178"/>
      <c r="G273" s="178"/>
      <c r="H273" s="186"/>
      <c r="I273" s="184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</row>
    <row r="274" spans="1:30" ht="12.75" customHeight="1">
      <c r="A274" s="178"/>
      <c r="B274" s="184"/>
      <c r="C274" s="178"/>
      <c r="D274" s="178"/>
      <c r="E274" s="187"/>
      <c r="F274" s="178"/>
      <c r="G274" s="178"/>
      <c r="H274" s="186"/>
      <c r="I274" s="184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</row>
    <row r="275" spans="1:30" ht="12.75" customHeight="1">
      <c r="A275" s="178"/>
      <c r="B275" s="184"/>
      <c r="C275" s="178"/>
      <c r="D275" s="178"/>
      <c r="E275" s="187"/>
      <c r="F275" s="178"/>
      <c r="G275" s="178"/>
      <c r="H275" s="186"/>
      <c r="I275" s="184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</row>
    <row r="276" spans="1:30" ht="12.75" customHeight="1">
      <c r="A276" s="178"/>
      <c r="B276" s="184"/>
      <c r="C276" s="178"/>
      <c r="D276" s="178"/>
      <c r="E276" s="187"/>
      <c r="F276" s="178"/>
      <c r="G276" s="178"/>
      <c r="H276" s="186"/>
      <c r="I276" s="184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</row>
    <row r="277" spans="1:30" ht="12.75" customHeight="1">
      <c r="A277" s="178"/>
      <c r="B277" s="184"/>
      <c r="C277" s="178"/>
      <c r="D277" s="178"/>
      <c r="E277" s="187"/>
      <c r="F277" s="178"/>
      <c r="G277" s="178"/>
      <c r="H277" s="186"/>
      <c r="I277" s="184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</row>
    <row r="278" spans="1:30" ht="12.75" customHeight="1">
      <c r="A278" s="178"/>
      <c r="B278" s="184"/>
      <c r="C278" s="178"/>
      <c r="D278" s="178"/>
      <c r="E278" s="187"/>
      <c r="F278" s="178"/>
      <c r="G278" s="178"/>
      <c r="H278" s="186"/>
      <c r="I278" s="184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</row>
    <row r="279" spans="1:30" ht="12.75" customHeight="1">
      <c r="A279" s="178"/>
      <c r="B279" s="184"/>
      <c r="C279" s="178"/>
      <c r="D279" s="178"/>
      <c r="E279" s="187"/>
      <c r="F279" s="178"/>
      <c r="G279" s="178"/>
      <c r="H279" s="186"/>
      <c r="I279" s="184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</row>
    <row r="280" spans="1:30" ht="12.75" customHeight="1">
      <c r="A280" s="178"/>
      <c r="B280" s="184"/>
      <c r="C280" s="178"/>
      <c r="D280" s="178"/>
      <c r="E280" s="187"/>
      <c r="F280" s="178"/>
      <c r="G280" s="178"/>
      <c r="H280" s="186"/>
      <c r="I280" s="184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</row>
    <row r="281" spans="1:30" ht="12.75" customHeight="1">
      <c r="A281" s="178"/>
      <c r="B281" s="184"/>
      <c r="C281" s="178"/>
      <c r="D281" s="178"/>
      <c r="E281" s="187"/>
      <c r="F281" s="178"/>
      <c r="G281" s="178"/>
      <c r="H281" s="186"/>
      <c r="I281" s="184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</row>
    <row r="282" spans="1:30" ht="12.75" customHeight="1">
      <c r="A282" s="178"/>
      <c r="B282" s="184"/>
      <c r="C282" s="178"/>
      <c r="D282" s="178"/>
      <c r="E282" s="187"/>
      <c r="F282" s="178"/>
      <c r="G282" s="178"/>
      <c r="H282" s="186"/>
      <c r="I282" s="184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</row>
    <row r="283" spans="1:30" ht="12.75" customHeight="1">
      <c r="A283" s="178"/>
      <c r="B283" s="184"/>
      <c r="C283" s="178"/>
      <c r="D283" s="178"/>
      <c r="E283" s="187"/>
      <c r="F283" s="178"/>
      <c r="G283" s="178"/>
      <c r="H283" s="186"/>
      <c r="I283" s="184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</row>
    <row r="284" spans="1:30" ht="12.75" customHeight="1">
      <c r="A284" s="178"/>
      <c r="B284" s="184"/>
      <c r="C284" s="178"/>
      <c r="D284" s="178"/>
      <c r="E284" s="187"/>
      <c r="F284" s="178"/>
      <c r="G284" s="178"/>
      <c r="H284" s="186"/>
      <c r="I284" s="184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</row>
    <row r="285" spans="1:30" ht="12.75" customHeight="1">
      <c r="A285" s="178"/>
      <c r="B285" s="184"/>
      <c r="C285" s="178"/>
      <c r="D285" s="178"/>
      <c r="E285" s="187"/>
      <c r="F285" s="178"/>
      <c r="G285" s="178"/>
      <c r="H285" s="186"/>
      <c r="I285" s="184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</row>
    <row r="286" spans="1:30" ht="12.75" customHeight="1">
      <c r="A286" s="178"/>
      <c r="B286" s="184"/>
      <c r="C286" s="178"/>
      <c r="D286" s="178"/>
      <c r="E286" s="187"/>
      <c r="F286" s="178"/>
      <c r="G286" s="178"/>
      <c r="H286" s="186"/>
      <c r="I286" s="184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</row>
    <row r="287" spans="1:30" ht="12.75" customHeight="1">
      <c r="A287" s="178"/>
      <c r="B287" s="184"/>
      <c r="C287" s="178"/>
      <c r="D287" s="178"/>
      <c r="E287" s="187"/>
      <c r="F287" s="178"/>
      <c r="G287" s="178"/>
      <c r="H287" s="186"/>
      <c r="I287" s="184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</row>
    <row r="288" spans="1:30" ht="12.75" customHeight="1">
      <c r="A288" s="178"/>
      <c r="B288" s="184"/>
      <c r="C288" s="178"/>
      <c r="D288" s="178"/>
      <c r="E288" s="187"/>
      <c r="F288" s="178"/>
      <c r="G288" s="178"/>
      <c r="H288" s="186"/>
      <c r="I288" s="184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</row>
    <row r="289" spans="1:30" ht="12.75" customHeight="1">
      <c r="A289" s="178"/>
      <c r="B289" s="184"/>
      <c r="C289" s="178"/>
      <c r="D289" s="178"/>
      <c r="E289" s="187"/>
      <c r="F289" s="178"/>
      <c r="G289" s="178"/>
      <c r="H289" s="186"/>
      <c r="I289" s="184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</row>
    <row r="290" spans="1:30" ht="12.75" customHeight="1">
      <c r="A290" s="178"/>
      <c r="B290" s="184"/>
      <c r="C290" s="178"/>
      <c r="D290" s="178"/>
      <c r="E290" s="187"/>
      <c r="F290" s="178"/>
      <c r="G290" s="178"/>
      <c r="H290" s="186"/>
      <c r="I290" s="184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</row>
    <row r="291" spans="1:30" ht="12.75" customHeight="1">
      <c r="A291" s="178"/>
      <c r="B291" s="184"/>
      <c r="C291" s="178"/>
      <c r="D291" s="178"/>
      <c r="E291" s="187"/>
      <c r="F291" s="178"/>
      <c r="G291" s="178"/>
      <c r="H291" s="186"/>
      <c r="I291" s="184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</row>
    <row r="292" spans="1:30" ht="12.75" customHeight="1">
      <c r="A292" s="178"/>
      <c r="B292" s="184"/>
      <c r="C292" s="178"/>
      <c r="D292" s="178"/>
      <c r="E292" s="187"/>
      <c r="F292" s="178"/>
      <c r="G292" s="178"/>
      <c r="H292" s="186"/>
      <c r="I292" s="184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</row>
    <row r="293" spans="1:30" ht="12.75" customHeight="1">
      <c r="A293" s="178"/>
      <c r="B293" s="184"/>
      <c r="C293" s="178"/>
      <c r="D293" s="178"/>
      <c r="E293" s="187"/>
      <c r="F293" s="178"/>
      <c r="G293" s="178"/>
      <c r="H293" s="186"/>
      <c r="I293" s="184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</row>
    <row r="294" spans="1:30" ht="12.75" customHeight="1">
      <c r="A294" s="178"/>
      <c r="B294" s="184"/>
      <c r="C294" s="178"/>
      <c r="D294" s="178"/>
      <c r="E294" s="187"/>
      <c r="F294" s="178"/>
      <c r="G294" s="178"/>
      <c r="H294" s="186"/>
      <c r="I294" s="184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</row>
    <row r="295" spans="1:30" ht="12.75" customHeight="1">
      <c r="A295" s="178"/>
      <c r="B295" s="184"/>
      <c r="C295" s="178"/>
      <c r="D295" s="178"/>
      <c r="E295" s="187"/>
      <c r="F295" s="178"/>
      <c r="G295" s="178"/>
      <c r="H295" s="186"/>
      <c r="I295" s="184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</row>
    <row r="296" spans="1:30" ht="12.75" customHeight="1">
      <c r="A296" s="178"/>
      <c r="B296" s="184"/>
      <c r="C296" s="178"/>
      <c r="D296" s="178"/>
      <c r="E296" s="187"/>
      <c r="F296" s="178"/>
      <c r="G296" s="178"/>
      <c r="H296" s="186"/>
      <c r="I296" s="184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</row>
    <row r="297" spans="1:30" ht="12.75" customHeight="1">
      <c r="A297" s="178"/>
      <c r="B297" s="184"/>
      <c r="C297" s="178"/>
      <c r="D297" s="178"/>
      <c r="E297" s="187"/>
      <c r="F297" s="178"/>
      <c r="G297" s="178"/>
      <c r="H297" s="186"/>
      <c r="I297" s="184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</row>
    <row r="298" spans="1:30" ht="12.75" customHeight="1">
      <c r="A298" s="178"/>
      <c r="B298" s="184"/>
      <c r="C298" s="178"/>
      <c r="D298" s="178"/>
      <c r="E298" s="187"/>
      <c r="F298" s="178"/>
      <c r="G298" s="178"/>
      <c r="H298" s="186"/>
      <c r="I298" s="184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</row>
    <row r="299" spans="1:30" ht="12.75" customHeight="1">
      <c r="A299" s="178"/>
      <c r="B299" s="184"/>
      <c r="C299" s="178"/>
      <c r="D299" s="178"/>
      <c r="E299" s="187"/>
      <c r="F299" s="178"/>
      <c r="G299" s="178"/>
      <c r="H299" s="186"/>
      <c r="I299" s="184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</row>
    <row r="300" spans="1:30" ht="12.75" customHeight="1">
      <c r="A300" s="178"/>
      <c r="B300" s="184"/>
      <c r="C300" s="178"/>
      <c r="D300" s="178"/>
      <c r="E300" s="187"/>
      <c r="F300" s="178"/>
      <c r="G300" s="178"/>
      <c r="H300" s="186"/>
      <c r="I300" s="184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</row>
    <row r="301" spans="1:30" ht="12.75" customHeight="1">
      <c r="A301" s="178"/>
      <c r="B301" s="184"/>
      <c r="C301" s="178"/>
      <c r="D301" s="178"/>
      <c r="E301" s="187"/>
      <c r="F301" s="178"/>
      <c r="G301" s="178"/>
      <c r="H301" s="186"/>
      <c r="I301" s="184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</row>
    <row r="302" spans="1:30" ht="12.75" customHeight="1">
      <c r="A302" s="178"/>
      <c r="B302" s="184"/>
      <c r="C302" s="178"/>
      <c r="D302" s="178"/>
      <c r="E302" s="187"/>
      <c r="F302" s="178"/>
      <c r="G302" s="178"/>
      <c r="H302" s="186"/>
      <c r="I302" s="184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</row>
    <row r="303" spans="1:30" ht="12.75" customHeight="1">
      <c r="A303" s="178"/>
      <c r="B303" s="184"/>
      <c r="C303" s="178"/>
      <c r="D303" s="178"/>
      <c r="E303" s="187"/>
      <c r="F303" s="178"/>
      <c r="G303" s="178"/>
      <c r="H303" s="186"/>
      <c r="I303" s="184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</row>
    <row r="304" spans="1:30" ht="12.75" customHeight="1">
      <c r="A304" s="178"/>
      <c r="B304" s="184"/>
      <c r="C304" s="178"/>
      <c r="D304" s="178"/>
      <c r="E304" s="187"/>
      <c r="F304" s="178"/>
      <c r="G304" s="178"/>
      <c r="H304" s="186"/>
      <c r="I304" s="184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</row>
    <row r="305" spans="1:30" ht="12.75" customHeight="1">
      <c r="A305" s="178"/>
      <c r="B305" s="184"/>
      <c r="C305" s="178"/>
      <c r="D305" s="178"/>
      <c r="E305" s="187"/>
      <c r="F305" s="178"/>
      <c r="G305" s="178"/>
      <c r="H305" s="186"/>
      <c r="I305" s="184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</row>
    <row r="306" spans="1:30" ht="12.75" customHeight="1">
      <c r="A306" s="178"/>
      <c r="B306" s="184"/>
      <c r="C306" s="178"/>
      <c r="D306" s="178"/>
      <c r="E306" s="187"/>
      <c r="F306" s="178"/>
      <c r="G306" s="178"/>
      <c r="H306" s="186"/>
      <c r="I306" s="184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</row>
    <row r="307" spans="1:30" ht="12.75" customHeight="1">
      <c r="A307" s="178"/>
      <c r="B307" s="184"/>
      <c r="C307" s="178"/>
      <c r="D307" s="178"/>
      <c r="E307" s="187"/>
      <c r="F307" s="178"/>
      <c r="G307" s="178"/>
      <c r="H307" s="186"/>
      <c r="I307" s="184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</row>
    <row r="308" spans="1:30" ht="12.75" customHeight="1">
      <c r="A308" s="178"/>
      <c r="B308" s="184"/>
      <c r="C308" s="178"/>
      <c r="D308" s="178"/>
      <c r="E308" s="187"/>
      <c r="F308" s="178"/>
      <c r="G308" s="178"/>
      <c r="H308" s="186"/>
      <c r="I308" s="184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</row>
    <row r="309" spans="1:30" ht="12.75" customHeight="1">
      <c r="A309" s="178"/>
      <c r="B309" s="184"/>
      <c r="C309" s="178"/>
      <c r="D309" s="178"/>
      <c r="E309" s="187"/>
      <c r="F309" s="178"/>
      <c r="G309" s="178"/>
      <c r="H309" s="186"/>
      <c r="I309" s="184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</row>
    <row r="310" spans="1:30" ht="12.75" customHeight="1">
      <c r="A310" s="178"/>
      <c r="B310" s="184"/>
      <c r="C310" s="178"/>
      <c r="D310" s="178"/>
      <c r="E310" s="187"/>
      <c r="F310" s="178"/>
      <c r="G310" s="178"/>
      <c r="H310" s="186"/>
      <c r="I310" s="184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</row>
    <row r="311" spans="1:30" ht="12.75" customHeight="1">
      <c r="A311" s="178"/>
      <c r="B311" s="184"/>
      <c r="C311" s="178"/>
      <c r="D311" s="178"/>
      <c r="E311" s="187"/>
      <c r="F311" s="178"/>
      <c r="G311" s="178"/>
      <c r="H311" s="186"/>
      <c r="I311" s="184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</row>
    <row r="312" spans="1:30" ht="12.75" customHeight="1">
      <c r="A312" s="178"/>
      <c r="B312" s="184"/>
      <c r="C312" s="178"/>
      <c r="D312" s="178"/>
      <c r="E312" s="187"/>
      <c r="F312" s="178"/>
      <c r="G312" s="178"/>
      <c r="H312" s="186"/>
      <c r="I312" s="184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</row>
    <row r="313" spans="1:30" ht="12.75" customHeight="1">
      <c r="A313" s="178"/>
      <c r="B313" s="184"/>
      <c r="C313" s="178"/>
      <c r="D313" s="178"/>
      <c r="E313" s="187"/>
      <c r="F313" s="178"/>
      <c r="G313" s="178"/>
      <c r="H313" s="186"/>
      <c r="I313" s="184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</row>
    <row r="314" spans="1:30" ht="12.75" customHeight="1">
      <c r="A314" s="178"/>
      <c r="B314" s="184"/>
      <c r="C314" s="178"/>
      <c r="D314" s="178"/>
      <c r="E314" s="187"/>
      <c r="F314" s="178"/>
      <c r="G314" s="178"/>
      <c r="H314" s="186"/>
      <c r="I314" s="184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</row>
    <row r="315" spans="1:30" ht="12.75" customHeight="1">
      <c r="A315" s="178"/>
      <c r="B315" s="184"/>
      <c r="C315" s="178"/>
      <c r="D315" s="178"/>
      <c r="E315" s="187"/>
      <c r="F315" s="178"/>
      <c r="G315" s="178"/>
      <c r="H315" s="186"/>
      <c r="I315" s="184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</row>
    <row r="316" spans="1:30" ht="12.75" customHeight="1">
      <c r="A316" s="178"/>
      <c r="B316" s="184"/>
      <c r="C316" s="178"/>
      <c r="D316" s="178"/>
      <c r="E316" s="187"/>
      <c r="F316" s="178"/>
      <c r="G316" s="178"/>
      <c r="H316" s="186"/>
      <c r="I316" s="184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</row>
    <row r="317" spans="1:30" ht="12.75" customHeight="1">
      <c r="A317" s="178"/>
      <c r="B317" s="184"/>
      <c r="C317" s="178"/>
      <c r="D317" s="178"/>
      <c r="E317" s="187"/>
      <c r="F317" s="178"/>
      <c r="G317" s="178"/>
      <c r="H317" s="186"/>
      <c r="I317" s="184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</row>
    <row r="318" spans="1:30" ht="12.75" customHeight="1">
      <c r="A318" s="178"/>
      <c r="B318" s="184"/>
      <c r="C318" s="178"/>
      <c r="D318" s="178"/>
      <c r="E318" s="187"/>
      <c r="F318" s="178"/>
      <c r="G318" s="178"/>
      <c r="H318" s="186"/>
      <c r="I318" s="184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</row>
    <row r="319" spans="1:30" ht="12.75" customHeight="1">
      <c r="A319" s="178"/>
      <c r="B319" s="184"/>
      <c r="C319" s="178"/>
      <c r="D319" s="178"/>
      <c r="E319" s="187"/>
      <c r="F319" s="178"/>
      <c r="G319" s="178"/>
      <c r="H319" s="186"/>
      <c r="I319" s="184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</row>
    <row r="320" spans="1:30" ht="12.75" customHeight="1">
      <c r="A320" s="178"/>
      <c r="B320" s="184"/>
      <c r="C320" s="178"/>
      <c r="D320" s="178"/>
      <c r="E320" s="187"/>
      <c r="F320" s="178"/>
      <c r="G320" s="178"/>
      <c r="H320" s="186"/>
      <c r="I320" s="184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</row>
    <row r="321" spans="1:30" ht="12.75" customHeight="1">
      <c r="A321" s="178"/>
      <c r="B321" s="184"/>
      <c r="C321" s="178"/>
      <c r="D321" s="178"/>
      <c r="E321" s="187"/>
      <c r="F321" s="178"/>
      <c r="G321" s="178"/>
      <c r="H321" s="186"/>
      <c r="I321" s="184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</row>
    <row r="322" spans="1:30" ht="12.75" customHeight="1">
      <c r="A322" s="178"/>
      <c r="B322" s="184"/>
      <c r="C322" s="178"/>
      <c r="D322" s="178"/>
      <c r="E322" s="187"/>
      <c r="F322" s="178"/>
      <c r="G322" s="178"/>
      <c r="H322" s="186"/>
      <c r="I322" s="184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</row>
    <row r="323" spans="1:30" ht="12.75" customHeight="1">
      <c r="A323" s="178"/>
      <c r="B323" s="184"/>
      <c r="C323" s="178"/>
      <c r="D323" s="178"/>
      <c r="E323" s="187"/>
      <c r="F323" s="178"/>
      <c r="G323" s="178"/>
      <c r="H323" s="186"/>
      <c r="I323" s="184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</row>
    <row r="324" spans="1:30" ht="12.75" customHeight="1">
      <c r="A324" s="178"/>
      <c r="B324" s="184"/>
      <c r="C324" s="178"/>
      <c r="D324" s="178"/>
      <c r="E324" s="187"/>
      <c r="F324" s="178"/>
      <c r="G324" s="178"/>
      <c r="H324" s="186"/>
      <c r="I324" s="184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</row>
    <row r="325" spans="1:30" ht="12.75" customHeight="1">
      <c r="A325" s="178"/>
      <c r="B325" s="184"/>
      <c r="C325" s="178"/>
      <c r="D325" s="178"/>
      <c r="E325" s="187"/>
      <c r="F325" s="178"/>
      <c r="G325" s="178"/>
      <c r="H325" s="186"/>
      <c r="I325" s="184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</row>
    <row r="326" spans="1:30" ht="12.75" customHeight="1">
      <c r="A326" s="178"/>
      <c r="B326" s="184"/>
      <c r="C326" s="178"/>
      <c r="D326" s="178"/>
      <c r="E326" s="187"/>
      <c r="F326" s="178"/>
      <c r="G326" s="178"/>
      <c r="H326" s="186"/>
      <c r="I326" s="184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</row>
    <row r="327" spans="1:30" ht="12.75" customHeight="1">
      <c r="A327" s="178"/>
      <c r="B327" s="184"/>
      <c r="C327" s="178"/>
      <c r="D327" s="178"/>
      <c r="E327" s="187"/>
      <c r="F327" s="178"/>
      <c r="G327" s="178"/>
      <c r="H327" s="186"/>
      <c r="I327" s="184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</row>
    <row r="328" spans="1:30" ht="12.75" customHeight="1">
      <c r="A328" s="178"/>
      <c r="B328" s="184"/>
      <c r="C328" s="178"/>
      <c r="D328" s="178"/>
      <c r="E328" s="187"/>
      <c r="F328" s="178"/>
      <c r="G328" s="178"/>
      <c r="H328" s="186"/>
      <c r="I328" s="184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</row>
    <row r="329" spans="1:30" ht="12.75" customHeight="1">
      <c r="A329" s="178"/>
      <c r="B329" s="184"/>
      <c r="C329" s="178"/>
      <c r="D329" s="178"/>
      <c r="E329" s="187"/>
      <c r="F329" s="178"/>
      <c r="G329" s="178"/>
      <c r="H329" s="186"/>
      <c r="I329" s="184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</row>
    <row r="330" spans="1:30" ht="12.75" customHeight="1">
      <c r="A330" s="178"/>
      <c r="B330" s="184"/>
      <c r="C330" s="178"/>
      <c r="D330" s="178"/>
      <c r="E330" s="187"/>
      <c r="F330" s="178"/>
      <c r="G330" s="178"/>
      <c r="H330" s="186"/>
      <c r="I330" s="184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</row>
    <row r="331" spans="1:30" ht="12.75" customHeight="1">
      <c r="A331" s="178"/>
      <c r="B331" s="184"/>
      <c r="C331" s="178"/>
      <c r="D331" s="178"/>
      <c r="E331" s="187"/>
      <c r="F331" s="178"/>
      <c r="G331" s="178"/>
      <c r="H331" s="186"/>
      <c r="I331" s="184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</row>
    <row r="332" spans="1:30" ht="12.75" customHeight="1">
      <c r="A332" s="178"/>
      <c r="B332" s="184"/>
      <c r="C332" s="178"/>
      <c r="D332" s="178"/>
      <c r="E332" s="187"/>
      <c r="F332" s="178"/>
      <c r="G332" s="178"/>
      <c r="H332" s="186"/>
      <c r="I332" s="184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</row>
    <row r="333" spans="1:30" ht="12.75" customHeight="1">
      <c r="A333" s="178"/>
      <c r="B333" s="184"/>
      <c r="C333" s="178"/>
      <c r="D333" s="178"/>
      <c r="E333" s="187"/>
      <c r="F333" s="178"/>
      <c r="G333" s="178"/>
      <c r="H333" s="186"/>
      <c r="I333" s="184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</row>
    <row r="334" spans="1:30" ht="12.75" customHeight="1">
      <c r="A334" s="178"/>
      <c r="B334" s="184"/>
      <c r="C334" s="178"/>
      <c r="D334" s="178"/>
      <c r="E334" s="187"/>
      <c r="F334" s="178"/>
      <c r="G334" s="178"/>
      <c r="H334" s="186"/>
      <c r="I334" s="184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</row>
    <row r="335" spans="1:30" ht="12.75" customHeight="1">
      <c r="A335" s="178"/>
      <c r="B335" s="184"/>
      <c r="C335" s="178"/>
      <c r="D335" s="178"/>
      <c r="E335" s="187"/>
      <c r="F335" s="178"/>
      <c r="G335" s="178"/>
      <c r="H335" s="186"/>
      <c r="I335" s="184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</row>
    <row r="336" spans="1:30" ht="12.75" customHeight="1">
      <c r="A336" s="178"/>
      <c r="B336" s="184"/>
      <c r="C336" s="178"/>
      <c r="D336" s="178"/>
      <c r="E336" s="187"/>
      <c r="F336" s="178"/>
      <c r="G336" s="178"/>
      <c r="H336" s="186"/>
      <c r="I336" s="184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</row>
    <row r="337" spans="1:30" ht="12.75" customHeight="1">
      <c r="A337" s="178"/>
      <c r="B337" s="184"/>
      <c r="C337" s="178"/>
      <c r="D337" s="178"/>
      <c r="E337" s="187"/>
      <c r="F337" s="178"/>
      <c r="G337" s="178"/>
      <c r="H337" s="186"/>
      <c r="I337" s="184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</row>
    <row r="338" spans="1:30" ht="12.75" customHeight="1">
      <c r="A338" s="178"/>
      <c r="B338" s="184"/>
      <c r="C338" s="178"/>
      <c r="D338" s="178"/>
      <c r="E338" s="187"/>
      <c r="F338" s="178"/>
      <c r="G338" s="178"/>
      <c r="H338" s="186"/>
      <c r="I338" s="184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</row>
    <row r="339" spans="1:30" ht="12.75" customHeight="1">
      <c r="A339" s="178"/>
      <c r="B339" s="184"/>
      <c r="C339" s="178"/>
      <c r="D339" s="178"/>
      <c r="E339" s="187"/>
      <c r="F339" s="178"/>
      <c r="G339" s="178"/>
      <c r="H339" s="186"/>
      <c r="I339" s="184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</row>
    <row r="340" spans="1:30" ht="12.75" customHeight="1">
      <c r="A340" s="178"/>
      <c r="B340" s="184"/>
      <c r="C340" s="178"/>
      <c r="D340" s="178"/>
      <c r="E340" s="187"/>
      <c r="F340" s="178"/>
      <c r="G340" s="178"/>
      <c r="H340" s="186"/>
      <c r="I340" s="184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</row>
    <row r="341" spans="1:30" ht="12.75" customHeight="1">
      <c r="A341" s="178"/>
      <c r="B341" s="184"/>
      <c r="C341" s="178"/>
      <c r="D341" s="178"/>
      <c r="E341" s="187"/>
      <c r="F341" s="178"/>
      <c r="G341" s="178"/>
      <c r="H341" s="186"/>
      <c r="I341" s="184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</row>
    <row r="342" spans="1:30" ht="12.75" customHeight="1">
      <c r="A342" s="178"/>
      <c r="B342" s="184"/>
      <c r="C342" s="178"/>
      <c r="D342" s="178"/>
      <c r="E342" s="187"/>
      <c r="F342" s="178"/>
      <c r="G342" s="178"/>
      <c r="H342" s="186"/>
      <c r="I342" s="184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</row>
    <row r="343" spans="1:30" ht="12.75" customHeight="1">
      <c r="A343" s="178"/>
      <c r="B343" s="184"/>
      <c r="C343" s="178"/>
      <c r="D343" s="178"/>
      <c r="E343" s="187"/>
      <c r="F343" s="178"/>
      <c r="G343" s="178"/>
      <c r="H343" s="186"/>
      <c r="I343" s="184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</row>
    <row r="344" spans="1:30" ht="12.75" customHeight="1">
      <c r="A344" s="178"/>
      <c r="B344" s="184"/>
      <c r="C344" s="178"/>
      <c r="D344" s="178"/>
      <c r="E344" s="187"/>
      <c r="F344" s="178"/>
      <c r="G344" s="178"/>
      <c r="H344" s="186"/>
      <c r="I344" s="184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</row>
    <row r="345" spans="1:30" ht="12.75" customHeight="1">
      <c r="A345" s="178"/>
      <c r="B345" s="184"/>
      <c r="C345" s="178"/>
      <c r="D345" s="178"/>
      <c r="E345" s="187"/>
      <c r="F345" s="178"/>
      <c r="G345" s="178"/>
      <c r="H345" s="186"/>
      <c r="I345" s="184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</row>
    <row r="346" spans="1:30" ht="12.75" customHeight="1">
      <c r="A346" s="178"/>
      <c r="B346" s="184"/>
      <c r="C346" s="178"/>
      <c r="D346" s="178"/>
      <c r="E346" s="187"/>
      <c r="F346" s="178"/>
      <c r="G346" s="178"/>
      <c r="H346" s="186"/>
      <c r="I346" s="184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</row>
    <row r="347" spans="1:30" ht="12.75" customHeight="1">
      <c r="A347" s="178"/>
      <c r="B347" s="184"/>
      <c r="C347" s="178"/>
      <c r="D347" s="178"/>
      <c r="E347" s="187"/>
      <c r="F347" s="178"/>
      <c r="G347" s="178"/>
      <c r="H347" s="186"/>
      <c r="I347" s="184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</row>
    <row r="348" spans="1:30" ht="12.75" customHeight="1">
      <c r="A348" s="178"/>
      <c r="B348" s="184"/>
      <c r="C348" s="178"/>
      <c r="D348" s="178"/>
      <c r="E348" s="187"/>
      <c r="F348" s="178"/>
      <c r="G348" s="178"/>
      <c r="H348" s="186"/>
      <c r="I348" s="184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</row>
    <row r="349" spans="1:30" ht="12.75" customHeight="1">
      <c r="A349" s="178"/>
      <c r="B349" s="184"/>
      <c r="C349" s="178"/>
      <c r="D349" s="178"/>
      <c r="E349" s="187"/>
      <c r="F349" s="178"/>
      <c r="G349" s="178"/>
      <c r="H349" s="186"/>
      <c r="I349" s="184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</row>
    <row r="350" spans="1:30" ht="12.75" customHeight="1">
      <c r="A350" s="178"/>
      <c r="B350" s="184"/>
      <c r="C350" s="178"/>
      <c r="D350" s="178"/>
      <c r="E350" s="187"/>
      <c r="F350" s="178"/>
      <c r="G350" s="178"/>
      <c r="H350" s="186"/>
      <c r="I350" s="184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</row>
    <row r="351" spans="1:30" ht="12.75" customHeight="1">
      <c r="A351" s="178"/>
      <c r="B351" s="184"/>
      <c r="C351" s="178"/>
      <c r="D351" s="178"/>
      <c r="E351" s="187"/>
      <c r="F351" s="178"/>
      <c r="G351" s="178"/>
      <c r="H351" s="186"/>
      <c r="I351" s="184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</row>
    <row r="352" spans="1:30" ht="12.75" customHeight="1">
      <c r="A352" s="178"/>
      <c r="B352" s="184"/>
      <c r="C352" s="178"/>
      <c r="D352" s="178"/>
      <c r="E352" s="187"/>
      <c r="F352" s="178"/>
      <c r="G352" s="178"/>
      <c r="H352" s="186"/>
      <c r="I352" s="184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</row>
    <row r="353" spans="1:30" ht="12.75" customHeight="1">
      <c r="A353" s="178"/>
      <c r="B353" s="184"/>
      <c r="C353" s="178"/>
      <c r="D353" s="178"/>
      <c r="E353" s="187"/>
      <c r="F353" s="178"/>
      <c r="G353" s="178"/>
      <c r="H353" s="186"/>
      <c r="I353" s="184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</row>
    <row r="354" spans="1:30" ht="12.75" customHeight="1">
      <c r="A354" s="178"/>
      <c r="B354" s="184"/>
      <c r="C354" s="178"/>
      <c r="D354" s="178"/>
      <c r="E354" s="187"/>
      <c r="F354" s="178"/>
      <c r="G354" s="178"/>
      <c r="H354" s="186"/>
      <c r="I354" s="184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</row>
    <row r="355" spans="1:30" ht="12.75" customHeight="1">
      <c r="A355" s="178"/>
      <c r="B355" s="184"/>
      <c r="C355" s="178"/>
      <c r="D355" s="178"/>
      <c r="E355" s="187"/>
      <c r="F355" s="178"/>
      <c r="G355" s="178"/>
      <c r="H355" s="186"/>
      <c r="I355" s="184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</row>
    <row r="356" spans="1:30" ht="12.75" customHeight="1">
      <c r="A356" s="178"/>
      <c r="B356" s="184"/>
      <c r="C356" s="178"/>
      <c r="D356" s="178"/>
      <c r="E356" s="187"/>
      <c r="F356" s="178"/>
      <c r="G356" s="178"/>
      <c r="H356" s="186"/>
      <c r="I356" s="184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</row>
    <row r="357" spans="1:30" ht="12.75" customHeight="1">
      <c r="A357" s="178"/>
      <c r="B357" s="184"/>
      <c r="C357" s="178"/>
      <c r="D357" s="178"/>
      <c r="E357" s="187"/>
      <c r="F357" s="178"/>
      <c r="G357" s="178"/>
      <c r="H357" s="186"/>
      <c r="I357" s="184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</row>
    <row r="358" spans="1:30" ht="12.75" customHeight="1">
      <c r="A358" s="178"/>
      <c r="B358" s="184"/>
      <c r="C358" s="178"/>
      <c r="D358" s="178"/>
      <c r="E358" s="187"/>
      <c r="F358" s="178"/>
      <c r="G358" s="178"/>
      <c r="H358" s="186"/>
      <c r="I358" s="184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</row>
    <row r="359" spans="1:30" ht="12.75" customHeight="1">
      <c r="A359" s="178"/>
      <c r="B359" s="184"/>
      <c r="C359" s="178"/>
      <c r="D359" s="178"/>
      <c r="E359" s="187"/>
      <c r="F359" s="178"/>
      <c r="G359" s="178"/>
      <c r="H359" s="186"/>
      <c r="I359" s="184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</row>
    <row r="360" spans="1:30" ht="12.75" customHeight="1">
      <c r="A360" s="178"/>
      <c r="B360" s="184"/>
      <c r="C360" s="178"/>
      <c r="D360" s="178"/>
      <c r="E360" s="187"/>
      <c r="F360" s="178"/>
      <c r="G360" s="178"/>
      <c r="H360" s="186"/>
      <c r="I360" s="184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</row>
    <row r="361" spans="1:30" ht="12.75" customHeight="1">
      <c r="A361" s="178"/>
      <c r="B361" s="184"/>
      <c r="C361" s="178"/>
      <c r="D361" s="178"/>
      <c r="E361" s="187"/>
      <c r="F361" s="178"/>
      <c r="G361" s="178"/>
      <c r="H361" s="186"/>
      <c r="I361" s="184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</row>
    <row r="362" spans="1:30" ht="12.75" customHeight="1">
      <c r="A362" s="178"/>
      <c r="B362" s="184"/>
      <c r="C362" s="178"/>
      <c r="D362" s="178"/>
      <c r="E362" s="187"/>
      <c r="F362" s="178"/>
      <c r="G362" s="178"/>
      <c r="H362" s="186"/>
      <c r="I362" s="184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</row>
    <row r="363" spans="1:30" ht="12.75" customHeight="1">
      <c r="A363" s="178"/>
      <c r="B363" s="184"/>
      <c r="C363" s="178"/>
      <c r="D363" s="178"/>
      <c r="E363" s="187"/>
      <c r="F363" s="178"/>
      <c r="G363" s="178"/>
      <c r="H363" s="186"/>
      <c r="I363" s="184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</row>
    <row r="364" spans="1:30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</row>
    <row r="365" spans="1:30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</row>
    <row r="366" spans="1:30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</row>
    <row r="367" spans="1:30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</row>
    <row r="368" spans="1:30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</row>
    <row r="369" spans="1:30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</row>
    <row r="370" spans="1:3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</row>
    <row r="371" spans="1:30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</row>
    <row r="372" spans="1:30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</row>
    <row r="373" spans="1:30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</row>
    <row r="374" spans="1:30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</row>
    <row r="375" spans="1:30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</row>
    <row r="376" spans="1:30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</row>
    <row r="377" spans="1:30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</row>
    <row r="378" spans="1:30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</row>
    <row r="379" spans="1:30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</row>
    <row r="380" spans="1:3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</row>
    <row r="381" spans="1:30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</row>
    <row r="382" spans="1:30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</row>
    <row r="383" spans="1:30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</row>
    <row r="384" spans="1:30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</row>
    <row r="385" spans="1:30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</row>
    <row r="386" spans="1:30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</row>
    <row r="387" spans="1:30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</row>
    <row r="388" spans="1:30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</row>
    <row r="389" spans="1:30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</row>
    <row r="390" spans="1:3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</row>
    <row r="391" spans="1:30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</row>
    <row r="392" spans="1:30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</row>
    <row r="393" spans="1:30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</row>
    <row r="394" spans="1:30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</row>
    <row r="395" spans="1:30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</row>
    <row r="396" spans="1:30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</row>
    <row r="397" spans="1:30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</row>
    <row r="398" spans="1:30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</row>
    <row r="399" spans="1:30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</row>
    <row r="400" spans="1:3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</row>
    <row r="401" spans="1:30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</row>
    <row r="402" spans="1:30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</row>
    <row r="403" spans="1:30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</row>
    <row r="404" spans="1:30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</row>
    <row r="405" spans="1:30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</row>
    <row r="406" spans="1:30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</row>
    <row r="407" spans="1:30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</row>
    <row r="408" spans="1:30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</row>
    <row r="409" spans="1:30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</row>
    <row r="410" spans="1:3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</row>
    <row r="411" spans="1:30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</row>
    <row r="412" spans="1:30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</row>
    <row r="413" spans="1:30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</row>
    <row r="414" spans="1:30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</row>
    <row r="415" spans="1:30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</row>
    <row r="416" spans="1:30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</row>
    <row r="417" spans="1:30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</row>
    <row r="418" spans="1:30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</row>
    <row r="419" spans="1:30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</row>
    <row r="420" spans="1:3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</row>
    <row r="421" spans="1:30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</row>
    <row r="422" spans="1:30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</row>
    <row r="423" spans="1:30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</row>
    <row r="424" spans="1:30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</row>
    <row r="425" spans="1:30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</row>
    <row r="426" spans="1:30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</row>
    <row r="427" spans="1:30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</row>
    <row r="428" spans="1:30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</row>
    <row r="429" spans="1:30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</row>
    <row r="430" spans="1: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</row>
    <row r="431" spans="1:30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</row>
    <row r="432" spans="1:30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</row>
    <row r="433" spans="1:30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</row>
    <row r="434" spans="1:30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</row>
    <row r="435" spans="1:30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</row>
    <row r="436" spans="1:30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</row>
    <row r="437" spans="1:30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</row>
    <row r="438" spans="1:30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</row>
    <row r="439" spans="1:30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</row>
    <row r="440" spans="1:3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</row>
    <row r="441" spans="1:30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</row>
    <row r="442" spans="1:30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</row>
    <row r="443" spans="1:30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</row>
    <row r="444" spans="1:30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</row>
    <row r="445" spans="1:30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</row>
    <row r="446" spans="1:30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</row>
    <row r="447" spans="1:30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</row>
    <row r="448" spans="1:30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</row>
    <row r="449" spans="1:30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</row>
    <row r="450" spans="1:3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</row>
    <row r="451" spans="1:30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</row>
    <row r="452" spans="1:30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</row>
    <row r="453" spans="1:30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</row>
    <row r="454" spans="1:30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</row>
    <row r="455" spans="1:30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</row>
    <row r="456" spans="1:30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</row>
    <row r="457" spans="1:30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</row>
    <row r="458" spans="1:30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</row>
    <row r="459" spans="1:30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</row>
    <row r="460" spans="1:3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</row>
    <row r="461" spans="1:30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</row>
    <row r="462" spans="1:30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</row>
    <row r="463" spans="1:30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</row>
    <row r="464" spans="1:30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</row>
    <row r="465" spans="1:30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</row>
    <row r="466" spans="1:30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</row>
    <row r="467" spans="1:30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</row>
    <row r="468" spans="1:30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</row>
    <row r="469" spans="1:30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</row>
    <row r="470" spans="1:3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</row>
    <row r="471" spans="1:30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</row>
    <row r="472" spans="1:30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</row>
    <row r="473" spans="1:30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</row>
    <row r="474" spans="1:30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</row>
    <row r="475" spans="1:30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</row>
    <row r="476" spans="1:30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</row>
    <row r="477" spans="1:30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</row>
    <row r="478" spans="1:30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</row>
    <row r="479" spans="1:30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</row>
    <row r="480" spans="1:3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</row>
    <row r="481" spans="1:30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</row>
    <row r="482" spans="1:30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</row>
    <row r="483" spans="1:30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</row>
    <row r="484" spans="1:30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</row>
    <row r="485" spans="1:30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</row>
    <row r="486" spans="1:30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</row>
    <row r="487" spans="1:30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</row>
    <row r="488" spans="1:30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</row>
    <row r="489" spans="1:30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</row>
    <row r="490" spans="1:3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</row>
    <row r="491" spans="1:30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</row>
    <row r="492" spans="1:30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</row>
    <row r="493" spans="1:30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</row>
    <row r="494" spans="1:30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</row>
    <row r="495" spans="1:30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</row>
    <row r="496" spans="1:30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</row>
    <row r="497" spans="1:30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</row>
    <row r="498" spans="1:30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</row>
    <row r="499" spans="1:30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</row>
    <row r="500" spans="1:3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</row>
    <row r="501" spans="1:30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</row>
    <row r="502" spans="1:30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</row>
    <row r="503" spans="1:30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</row>
    <row r="504" spans="1:30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</row>
    <row r="505" spans="1:30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</row>
    <row r="506" spans="1:30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</row>
    <row r="507" spans="1:30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</row>
    <row r="508" spans="1:30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</row>
    <row r="509" spans="1:30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</row>
    <row r="510" spans="1:3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</row>
    <row r="511" spans="1:30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</row>
    <row r="512" spans="1:30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</row>
    <row r="513" spans="1:30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</row>
    <row r="514" spans="1:30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</row>
    <row r="515" spans="1:30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</row>
    <row r="516" spans="1:30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</row>
    <row r="517" spans="1:30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</row>
    <row r="518" spans="1:30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</row>
    <row r="519" spans="1:30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</row>
    <row r="520" spans="1:3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</row>
    <row r="521" spans="1:30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</row>
    <row r="522" spans="1:30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</row>
    <row r="523" spans="1:30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</row>
    <row r="524" spans="1:30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</row>
    <row r="525" spans="1:30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</row>
    <row r="526" spans="1:30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</row>
    <row r="527" spans="1:30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</row>
    <row r="528" spans="1:30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</row>
    <row r="529" spans="1:30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</row>
    <row r="530" spans="1: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</row>
    <row r="531" spans="1:30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</row>
    <row r="532" spans="1:30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</row>
    <row r="533" spans="1:30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</row>
    <row r="534" spans="1:30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</row>
    <row r="535" spans="1:30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</row>
    <row r="536" spans="1:30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</row>
    <row r="537" spans="1:30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</row>
    <row r="538" spans="1:30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</row>
    <row r="539" spans="1:30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</row>
    <row r="540" spans="1:3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</row>
    <row r="541" spans="1:30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</row>
    <row r="542" spans="1:30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</row>
    <row r="543" spans="1:30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</row>
    <row r="544" spans="1:30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</row>
    <row r="545" spans="1:30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</row>
    <row r="546" spans="1:30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</row>
    <row r="547" spans="1:30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</row>
    <row r="548" spans="1:30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</row>
    <row r="549" spans="1:30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</row>
    <row r="550" spans="1:3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</row>
    <row r="551" spans="1:30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</row>
    <row r="552" spans="1:30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</row>
    <row r="553" spans="1:30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</row>
    <row r="554" spans="1:30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</row>
    <row r="555" spans="1:30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</row>
    <row r="556" spans="1:30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</row>
    <row r="557" spans="1:30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</row>
    <row r="558" spans="1:30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</row>
    <row r="559" spans="1:30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</row>
    <row r="560" spans="1:3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</row>
    <row r="561" spans="1:30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</row>
    <row r="562" spans="1:30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</row>
    <row r="563" spans="1:30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</row>
    <row r="564" spans="1:30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</row>
    <row r="565" spans="1:30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</row>
    <row r="566" spans="1:30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</row>
    <row r="567" spans="1:30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</row>
    <row r="568" spans="1:30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</row>
    <row r="569" spans="1:30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</row>
    <row r="570" spans="1:3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</row>
    <row r="571" spans="1:30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</row>
    <row r="572" spans="1:30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</row>
    <row r="573" spans="1:30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</row>
    <row r="574" spans="1:30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</row>
    <row r="575" spans="1:30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</row>
    <row r="576" spans="1:30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</row>
    <row r="577" spans="1:30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</row>
    <row r="578" spans="1:30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</row>
    <row r="579" spans="1:30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</row>
    <row r="580" spans="1:3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</row>
    <row r="581" spans="1:30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</row>
    <row r="582" spans="1:30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</row>
    <row r="583" spans="1:30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</row>
    <row r="584" spans="1:30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</row>
    <row r="585" spans="1:30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</row>
    <row r="586" spans="1:30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</row>
    <row r="587" spans="1:30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</row>
    <row r="588" spans="1:30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</row>
    <row r="589" spans="1:30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</row>
    <row r="590" spans="1:3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</row>
    <row r="591" spans="1:30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</row>
    <row r="592" spans="1:30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</row>
    <row r="593" spans="1:30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</row>
    <row r="594" spans="1:30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</row>
    <row r="595" spans="1:30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</row>
    <row r="596" spans="1:30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</row>
    <row r="597" spans="1:30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</row>
    <row r="598" spans="1:30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</row>
    <row r="599" spans="1:30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</row>
    <row r="600" spans="1:3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</row>
    <row r="601" spans="1:30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</row>
    <row r="602" spans="1:30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</row>
    <row r="603" spans="1:30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</row>
    <row r="604" spans="1:30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</row>
    <row r="605" spans="1:30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</row>
    <row r="606" spans="1:30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</row>
    <row r="607" spans="1:30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</row>
    <row r="608" spans="1:30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</row>
    <row r="609" spans="1:30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</row>
    <row r="610" spans="1:3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</row>
    <row r="611" spans="1:30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</row>
    <row r="612" spans="1:30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</row>
    <row r="613" spans="1:30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</row>
    <row r="614" spans="1:30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</row>
    <row r="615" spans="1:30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</row>
    <row r="616" spans="1:30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</row>
    <row r="617" spans="1:30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</row>
    <row r="618" spans="1:30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</row>
    <row r="619" spans="1:30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</row>
    <row r="620" spans="1:3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</row>
    <row r="621" spans="1:30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</row>
    <row r="622" spans="1:30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</row>
    <row r="623" spans="1:30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</row>
    <row r="624" spans="1:30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</row>
    <row r="625" spans="1:30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</row>
    <row r="626" spans="1:30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</row>
    <row r="627" spans="1:30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</row>
    <row r="628" spans="1:30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</row>
    <row r="629" spans="1:30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</row>
    <row r="630" spans="1: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</row>
    <row r="631" spans="1:30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</row>
    <row r="632" spans="1:30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</row>
    <row r="633" spans="1:30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</row>
    <row r="634" spans="1:30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</row>
    <row r="635" spans="1:30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</row>
    <row r="636" spans="1:30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</row>
    <row r="637" spans="1:30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</row>
    <row r="638" spans="1:30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</row>
    <row r="639" spans="1:30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</row>
    <row r="640" spans="1:3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</row>
    <row r="641" spans="1:30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</row>
    <row r="642" spans="1:30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</row>
    <row r="643" spans="1:30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</row>
    <row r="644" spans="1:30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</row>
    <row r="645" spans="1:30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</row>
    <row r="646" spans="1:30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</row>
    <row r="647" spans="1:30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</row>
    <row r="648" spans="1:30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</row>
    <row r="649" spans="1:30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</row>
    <row r="650" spans="1:3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</row>
    <row r="651" spans="1:30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</row>
    <row r="652" spans="1:30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</row>
    <row r="653" spans="1:30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</row>
    <row r="654" spans="1:30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</row>
    <row r="655" spans="1:30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</row>
    <row r="656" spans="1:30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</row>
    <row r="657" spans="1:30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</row>
    <row r="658" spans="1:30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</row>
    <row r="659" spans="1:30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</row>
    <row r="660" spans="1:3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</row>
    <row r="661" spans="1:30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</row>
    <row r="662" spans="1:30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</row>
    <row r="663" spans="1:30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</row>
    <row r="664" spans="1:30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</row>
    <row r="665" spans="1:30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</row>
    <row r="666" spans="1:30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</row>
    <row r="667" spans="1:30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</row>
    <row r="668" spans="1:30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</row>
    <row r="669" spans="1:30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</row>
    <row r="670" spans="1:3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</row>
    <row r="671" spans="1:30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</row>
    <row r="672" spans="1:30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</row>
    <row r="673" spans="1:30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</row>
    <row r="674" spans="1:30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</row>
    <row r="675" spans="1:30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</row>
    <row r="676" spans="1:30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</row>
    <row r="677" spans="1:30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</row>
    <row r="678" spans="1:30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</row>
    <row r="679" spans="1:30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</row>
    <row r="680" spans="1:3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</row>
    <row r="681" spans="1:30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</row>
    <row r="682" spans="1:30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</row>
    <row r="683" spans="1:30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</row>
    <row r="684" spans="1:30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</row>
    <row r="685" spans="1:30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</row>
    <row r="686" spans="1:30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</row>
    <row r="687" spans="1:30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</row>
    <row r="688" spans="1:30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</row>
    <row r="689" spans="1:30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</row>
    <row r="690" spans="1:3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</row>
    <row r="691" spans="1:30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</row>
    <row r="692" spans="1:30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</row>
    <row r="693" spans="1:30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</row>
    <row r="694" spans="1:30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</row>
    <row r="695" spans="1:30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</row>
    <row r="696" spans="1:30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</row>
    <row r="697" spans="1:30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</row>
    <row r="698" spans="1:30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</row>
    <row r="699" spans="1:30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</row>
    <row r="700" spans="1:3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</row>
    <row r="701" spans="1:30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</row>
    <row r="702" spans="1:30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</row>
    <row r="703" spans="1:30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</row>
    <row r="704" spans="1:30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</row>
    <row r="705" spans="1:30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</row>
    <row r="706" spans="1:30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</row>
    <row r="707" spans="1:30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</row>
    <row r="708" spans="1:30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</row>
    <row r="709" spans="1:30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</row>
    <row r="710" spans="1:3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</row>
    <row r="711" spans="1:30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</row>
    <row r="712" spans="1:30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</row>
    <row r="713" spans="1:30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</row>
    <row r="714" spans="1:30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</row>
    <row r="715" spans="1:30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</row>
    <row r="716" spans="1:30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</row>
    <row r="717" spans="1:30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</row>
    <row r="718" spans="1:30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</row>
    <row r="719" spans="1:30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</row>
    <row r="720" spans="1:3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</row>
    <row r="721" spans="1:30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</row>
    <row r="722" spans="1:30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</row>
    <row r="723" spans="1:30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</row>
    <row r="724" spans="1:30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</row>
    <row r="725" spans="1:30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</row>
    <row r="726" spans="1:30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</row>
    <row r="727" spans="1:30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</row>
    <row r="728" spans="1:30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</row>
    <row r="729" spans="1:30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</row>
    <row r="730" spans="1: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</row>
    <row r="731" spans="1:30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</row>
    <row r="732" spans="1:30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</row>
    <row r="733" spans="1:30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</row>
    <row r="734" spans="1:30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</row>
    <row r="735" spans="1:30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</row>
    <row r="736" spans="1:30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</row>
    <row r="737" spans="1:30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</row>
    <row r="738" spans="1:30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</row>
    <row r="739" spans="1:30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</row>
    <row r="740" spans="1:3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</row>
    <row r="741" spans="1:30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</row>
    <row r="742" spans="1:30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</row>
    <row r="743" spans="1:30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</row>
    <row r="744" spans="1:30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</row>
    <row r="745" spans="1:30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</row>
    <row r="746" spans="1:30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</row>
    <row r="747" spans="1:30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</row>
    <row r="748" spans="1:30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</row>
    <row r="749" spans="1:30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</row>
    <row r="750" spans="1:3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</row>
    <row r="751" spans="1:30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</row>
    <row r="752" spans="1:30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</row>
    <row r="753" spans="1:30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</row>
    <row r="754" spans="1:30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</row>
    <row r="755" spans="1:30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</row>
    <row r="756" spans="1:30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</row>
    <row r="757" spans="1:30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</row>
    <row r="758" spans="1:30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</row>
    <row r="759" spans="1:30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</row>
    <row r="760" spans="1:3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</row>
    <row r="761" spans="1:30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</row>
    <row r="762" spans="1:30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</row>
    <row r="763" spans="1:30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</row>
    <row r="764" spans="1:30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</row>
    <row r="765" spans="1:30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</row>
    <row r="766" spans="1:30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</row>
    <row r="767" spans="1:30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</row>
    <row r="768" spans="1:30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</row>
    <row r="769" spans="1:30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</row>
    <row r="770" spans="1:3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</row>
    <row r="771" spans="1:30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</row>
    <row r="772" spans="1:30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</row>
    <row r="773" spans="1:30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</row>
    <row r="774" spans="1:30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</row>
    <row r="775" spans="1:30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</row>
    <row r="776" spans="1:30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</row>
    <row r="777" spans="1:30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</row>
    <row r="778" spans="1:30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</row>
    <row r="779" spans="1:30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</row>
    <row r="780" spans="1:3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</row>
    <row r="781" spans="1:30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</row>
    <row r="782" spans="1:30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</row>
    <row r="783" spans="1:30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</row>
    <row r="784" spans="1:30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</row>
    <row r="785" spans="1:30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</row>
    <row r="786" spans="1:30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</row>
    <row r="787" spans="1:30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</row>
    <row r="788" spans="1:30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</row>
    <row r="789" spans="1:30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</row>
    <row r="790" spans="1:3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</row>
    <row r="791" spans="1:30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</row>
    <row r="792" spans="1:30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</row>
    <row r="793" spans="1:30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</row>
    <row r="794" spans="1:30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</row>
    <row r="795" spans="1:30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</row>
    <row r="796" spans="1:30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</row>
    <row r="797" spans="1:30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</row>
    <row r="798" spans="1:30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</row>
    <row r="799" spans="1:30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</row>
    <row r="800" spans="1:3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</row>
    <row r="801" spans="1:30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</row>
    <row r="802" spans="1:30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</row>
    <row r="803" spans="1:30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</row>
    <row r="804" spans="1:30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</row>
    <row r="805" spans="1:30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</row>
    <row r="806" spans="1:30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</row>
    <row r="807" spans="1:30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</row>
    <row r="808" spans="1:30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</row>
    <row r="809" spans="1:30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</row>
    <row r="810" spans="1:3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</row>
    <row r="811" spans="1:30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</row>
    <row r="812" spans="1:30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</row>
    <row r="813" spans="1:30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</row>
    <row r="814" spans="1:30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</row>
    <row r="815" spans="1:30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</row>
    <row r="816" spans="1:30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</row>
    <row r="817" spans="1:30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</row>
    <row r="818" spans="1:30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</row>
    <row r="819" spans="1:30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</row>
    <row r="820" spans="1:3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</row>
    <row r="821" spans="1:30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</row>
    <row r="822" spans="1:30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</row>
    <row r="823" spans="1:30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</row>
    <row r="824" spans="1:30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</row>
    <row r="825" spans="1:30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</row>
    <row r="826" spans="1:30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</row>
    <row r="827" spans="1:30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</row>
    <row r="828" spans="1:30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</row>
    <row r="829" spans="1:30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</row>
    <row r="830" spans="1: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</row>
    <row r="831" spans="1:30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</row>
    <row r="832" spans="1:30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</row>
    <row r="833" spans="1:30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</row>
    <row r="834" spans="1:30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</row>
    <row r="835" spans="1:30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</row>
    <row r="836" spans="1:30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</row>
    <row r="837" spans="1:30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</row>
    <row r="838" spans="1:30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</row>
    <row r="839" spans="1:30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</row>
    <row r="840" spans="1:3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</row>
    <row r="841" spans="1:30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</row>
    <row r="842" spans="1:30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</row>
    <row r="843" spans="1:30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</row>
    <row r="844" spans="1:30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</row>
    <row r="845" spans="1:30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</row>
    <row r="846" spans="1:30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</row>
    <row r="847" spans="1:30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</row>
    <row r="848" spans="1:30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</row>
    <row r="849" spans="1:30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</row>
    <row r="850" spans="1:3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</row>
    <row r="851" spans="1:30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</row>
    <row r="852" spans="1:30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</row>
    <row r="853" spans="1:30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</row>
    <row r="854" spans="1:30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</row>
    <row r="855" spans="1:30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</row>
    <row r="856" spans="1:30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</row>
    <row r="857" spans="1:30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</row>
    <row r="858" spans="1:30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</row>
    <row r="859" spans="1:30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</row>
    <row r="860" spans="1:3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</row>
    <row r="861" spans="1:30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</row>
    <row r="862" spans="1:30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</row>
    <row r="863" spans="1:30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</row>
    <row r="864" spans="1:30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</row>
    <row r="865" spans="1:30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</row>
    <row r="866" spans="1:30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</row>
    <row r="867" spans="1:30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</row>
    <row r="868" spans="1:30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</row>
    <row r="869" spans="1:30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</row>
    <row r="870" spans="1:3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</row>
    <row r="871" spans="1:30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</row>
    <row r="872" spans="1:30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</row>
    <row r="873" spans="1:30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</row>
    <row r="874" spans="1:30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</row>
    <row r="875" spans="1:30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</row>
    <row r="876" spans="1:30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</row>
    <row r="877" spans="1:30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</row>
    <row r="878" spans="1:30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</row>
    <row r="879" spans="1:30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</row>
    <row r="880" spans="1:3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</row>
    <row r="881" spans="1:30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</row>
    <row r="882" spans="1:30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</row>
    <row r="883" spans="1:30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</row>
    <row r="884" spans="1:30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</row>
    <row r="885" spans="1:30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</row>
    <row r="886" spans="1:30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</row>
    <row r="887" spans="1:30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</row>
    <row r="888" spans="1:30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</row>
    <row r="889" spans="1:30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</row>
    <row r="890" spans="1:3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</row>
    <row r="891" spans="1:30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</row>
    <row r="892" spans="1:30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</row>
    <row r="893" spans="1:30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</row>
    <row r="894" spans="1:30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</row>
    <row r="895" spans="1:30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</row>
    <row r="896" spans="1:30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</row>
    <row r="897" spans="1:30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</row>
    <row r="898" spans="1:30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</row>
    <row r="899" spans="1:30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</row>
    <row r="900" spans="1:3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</row>
    <row r="901" spans="1:30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</row>
    <row r="902" spans="1:30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</row>
    <row r="903" spans="1:30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</row>
    <row r="904" spans="1:30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</row>
    <row r="905" spans="1:30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</row>
    <row r="906" spans="1:30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</row>
    <row r="907" spans="1:30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</row>
    <row r="908" spans="1:30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</row>
    <row r="909" spans="1:30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</row>
    <row r="910" spans="1:3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</row>
    <row r="911" spans="1:30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</row>
    <row r="912" spans="1:30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</row>
    <row r="913" spans="1:30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</row>
    <row r="914" spans="1:30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</row>
    <row r="915" spans="1:30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</row>
    <row r="916" spans="1:30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</row>
    <row r="917" spans="1:30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</row>
    <row r="918" spans="1:30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</row>
    <row r="919" spans="1:30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</row>
    <row r="920" spans="1:3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</row>
    <row r="921" spans="1:30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</row>
    <row r="922" spans="1:30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</row>
    <row r="923" spans="1:30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</row>
    <row r="924" spans="1:30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</row>
    <row r="925" spans="1:30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</row>
    <row r="926" spans="1:30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</row>
    <row r="927" spans="1:30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</row>
    <row r="928" spans="1:30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</row>
    <row r="929" spans="1:30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</row>
    <row r="930" spans="1: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</row>
    <row r="931" spans="1:30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</row>
    <row r="932" spans="1:30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</row>
    <row r="933" spans="1:30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</row>
    <row r="934" spans="1:30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</row>
    <row r="935" spans="1:30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</row>
    <row r="936" spans="1:30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</row>
    <row r="937" spans="1:30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</row>
    <row r="938" spans="1:30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</row>
    <row r="939" spans="1:30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</row>
    <row r="940" spans="1:3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</row>
    <row r="941" spans="1:30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</row>
    <row r="942" spans="1:30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</row>
    <row r="943" spans="1:30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</row>
    <row r="944" spans="1:30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</row>
    <row r="945" spans="1:30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</row>
    <row r="946" spans="1:30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</row>
    <row r="947" spans="1:30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</row>
    <row r="948" spans="1:30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</row>
    <row r="949" spans="1:30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</row>
    <row r="950" spans="1:3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</row>
    <row r="951" spans="1:30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</row>
    <row r="952" spans="1:30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</row>
    <row r="953" spans="1:30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</row>
    <row r="954" spans="1:30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</row>
    <row r="955" spans="1:30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</row>
    <row r="956" spans="1:30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</row>
    <row r="957" spans="1:30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</row>
    <row r="958" spans="1:30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</row>
    <row r="959" spans="1:30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</row>
    <row r="960" spans="1:3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</row>
    <row r="961" spans="1:30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</row>
    <row r="962" spans="1:30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</row>
    <row r="963" spans="1:30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</row>
    <row r="964" spans="1:30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</row>
    <row r="965" spans="1:30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</row>
    <row r="966" spans="1:30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</row>
    <row r="967" spans="1:30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</row>
    <row r="968" spans="1:30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</row>
    <row r="969" spans="1:30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</row>
    <row r="970" spans="1:3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</row>
    <row r="971" spans="1:30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</row>
    <row r="972" spans="1:30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</row>
    <row r="973" spans="1:30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</row>
    <row r="974" spans="1:30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</row>
    <row r="975" spans="1:30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</row>
    <row r="976" spans="1:30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</row>
    <row r="977" spans="1:30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</row>
    <row r="978" spans="1:30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</row>
    <row r="979" spans="1:30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</row>
    <row r="980" spans="1:3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</row>
    <row r="981" spans="1:30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</row>
    <row r="982" spans="1:30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</row>
    <row r="983" spans="1:30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</row>
    <row r="984" spans="1:30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</row>
    <row r="985" spans="1:30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</row>
    <row r="986" spans="1:30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</row>
    <row r="987" spans="1:30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</row>
    <row r="988" spans="1:30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</row>
    <row r="989" spans="1:30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</row>
    <row r="990" spans="1:3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</row>
    <row r="991" spans="1:30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</row>
    <row r="992" spans="1:30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</row>
    <row r="993" spans="1:30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</row>
    <row r="994" spans="1:30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</row>
    <row r="995" spans="1:30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</row>
    <row r="996" spans="1:30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</row>
    <row r="997" spans="1:30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</row>
    <row r="998" spans="1:30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</row>
    <row r="999" spans="1:30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</row>
    <row r="1000" spans="1:3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</row>
  </sheetData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T1000"/>
  <sheetViews>
    <sheetView topLeftCell="A59" workbookViewId="0">
      <selection activeCell="J35" sqref="J35"/>
    </sheetView>
  </sheetViews>
  <sheetFormatPr defaultColWidth="14.42578125" defaultRowHeight="15" customHeight="1"/>
  <cols>
    <col min="1" max="4" width="3.7109375" customWidth="1"/>
    <col min="5" max="5" width="40.28515625" customWidth="1"/>
    <col min="6" max="6" width="18.7109375" customWidth="1"/>
    <col min="7" max="7" width="10.7109375" customWidth="1"/>
    <col min="8" max="8" width="2.7109375" customWidth="1"/>
    <col min="9" max="9" width="18.7109375" customWidth="1"/>
    <col min="10" max="10" width="10.7109375" customWidth="1"/>
    <col min="11" max="11" width="2.7109375" customWidth="1"/>
    <col min="12" max="12" width="18.7109375" customWidth="1"/>
    <col min="13" max="13" width="10.7109375" customWidth="1"/>
    <col min="14" max="14" width="2.7109375" customWidth="1"/>
    <col min="15" max="15" width="18.7109375" customWidth="1"/>
    <col min="16" max="16" width="10.7109375" customWidth="1"/>
    <col min="17" max="17" width="2.7109375" customWidth="1"/>
    <col min="18" max="18" width="18.7109375" customWidth="1"/>
    <col min="19" max="19" width="10.7109375" customWidth="1"/>
    <col min="20" max="20" width="2.7109375" customWidth="1"/>
    <col min="21" max="26" width="17.28515625" customWidth="1"/>
  </cols>
  <sheetData>
    <row r="1" spans="1:20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3"/>
      <c r="J1" s="4"/>
      <c r="K1" s="2"/>
      <c r="L1" s="3"/>
      <c r="M1" s="5"/>
      <c r="N1" s="2"/>
      <c r="O1" s="3"/>
      <c r="P1" s="5"/>
      <c r="Q1" s="2"/>
      <c r="R1" s="3"/>
      <c r="S1" s="5"/>
      <c r="T1" s="2"/>
    </row>
    <row r="2" spans="1:20">
      <c r="A2" s="1" t="s">
        <v>0</v>
      </c>
      <c r="B2" s="2"/>
      <c r="C2" s="2"/>
      <c r="D2" s="2"/>
      <c r="E2" s="2"/>
      <c r="F2" s="2"/>
      <c r="G2" s="2"/>
      <c r="H2" s="2"/>
      <c r="I2" s="3"/>
      <c r="J2" s="4"/>
      <c r="K2" s="2"/>
      <c r="L2" s="3"/>
      <c r="M2" s="5"/>
      <c r="N2" s="2"/>
      <c r="O2" s="3"/>
      <c r="P2" s="5"/>
      <c r="Q2" s="2"/>
      <c r="R2" s="3"/>
      <c r="S2" s="5"/>
      <c r="T2" s="2"/>
    </row>
    <row r="3" spans="1:20" ht="15.75" customHeight="1">
      <c r="A3" s="6" t="s">
        <v>1</v>
      </c>
      <c r="B3" s="7"/>
      <c r="C3" s="7"/>
      <c r="D3" s="7"/>
      <c r="E3" s="7"/>
      <c r="F3" s="7"/>
      <c r="G3" s="7"/>
      <c r="H3" s="7"/>
      <c r="I3" s="8"/>
      <c r="J3" s="9"/>
      <c r="K3" s="7"/>
      <c r="L3" s="8"/>
      <c r="M3" s="10"/>
      <c r="N3" s="2"/>
      <c r="O3" s="8"/>
      <c r="P3" s="10"/>
      <c r="Q3" s="2"/>
      <c r="R3" s="8"/>
      <c r="S3" s="10"/>
      <c r="T3" s="2"/>
    </row>
    <row r="4" spans="1:20">
      <c r="A4" s="11"/>
      <c r="B4" s="11"/>
      <c r="C4" s="11"/>
      <c r="D4" s="11"/>
      <c r="E4" s="11"/>
      <c r="F4" s="12" t="s">
        <v>2</v>
      </c>
      <c r="G4" s="1"/>
      <c r="H4" s="1"/>
      <c r="I4" s="13" t="s">
        <v>3</v>
      </c>
      <c r="J4" s="14"/>
      <c r="K4" s="1"/>
      <c r="L4" s="13" t="s">
        <v>4</v>
      </c>
      <c r="M4" s="15"/>
      <c r="N4" s="1"/>
      <c r="O4" s="13" t="s">
        <v>5</v>
      </c>
      <c r="P4" s="15"/>
      <c r="Q4" s="1"/>
      <c r="R4" s="13" t="s">
        <v>6</v>
      </c>
      <c r="S4" s="15"/>
      <c r="T4" s="1"/>
    </row>
    <row r="5" spans="1:20">
      <c r="A5" s="1" t="s">
        <v>7</v>
      </c>
      <c r="B5" s="2"/>
      <c r="C5" s="2"/>
      <c r="D5" s="2"/>
      <c r="E5" s="2"/>
      <c r="F5" s="2"/>
      <c r="G5" s="2"/>
      <c r="H5" s="2"/>
      <c r="I5" s="3"/>
      <c r="J5" s="4"/>
      <c r="K5" s="2"/>
      <c r="L5" s="3"/>
      <c r="M5" s="5"/>
      <c r="N5" s="2"/>
      <c r="O5" s="3"/>
      <c r="P5" s="5"/>
      <c r="Q5" s="2"/>
      <c r="R5" s="3"/>
      <c r="S5" s="5"/>
      <c r="T5" s="2"/>
    </row>
    <row r="6" spans="1:20">
      <c r="A6" s="2"/>
      <c r="B6" s="1" t="s">
        <v>8</v>
      </c>
      <c r="C6" s="16"/>
      <c r="D6" s="16"/>
      <c r="E6" s="16"/>
      <c r="F6" s="3"/>
      <c r="G6" s="2"/>
      <c r="H6" s="2"/>
      <c r="I6" s="3"/>
      <c r="J6" s="4"/>
      <c r="K6" s="2"/>
      <c r="L6" s="3"/>
      <c r="M6" s="5"/>
      <c r="N6" s="2"/>
      <c r="O6" s="3"/>
      <c r="P6" s="5"/>
      <c r="Q6" s="2"/>
      <c r="R6" s="3"/>
      <c r="S6" s="5"/>
      <c r="T6" s="2"/>
    </row>
    <row r="7" spans="1:20">
      <c r="A7" s="2"/>
      <c r="B7" s="2"/>
      <c r="C7" s="2" t="s">
        <v>9</v>
      </c>
      <c r="D7" s="2"/>
      <c r="E7" s="2"/>
      <c r="F7" s="3">
        <f>SOFP!Q8</f>
        <v>127028.72899517168</v>
      </c>
      <c r="G7" s="2"/>
      <c r="H7" s="2"/>
      <c r="I7" s="3">
        <f>SOFP!AD8</f>
        <v>71365.665462587727</v>
      </c>
      <c r="J7" s="4"/>
      <c r="K7" s="2"/>
      <c r="L7" s="3">
        <f>SOFP!AQ8</f>
        <v>102137.35348095003</v>
      </c>
      <c r="M7" s="5"/>
      <c r="N7" s="2"/>
      <c r="O7" s="3">
        <f>SOFP!BD8</f>
        <v>95682.808042634162</v>
      </c>
      <c r="P7" s="5"/>
      <c r="Q7" s="2"/>
      <c r="R7" s="3">
        <f>SOFP!BQ8</f>
        <v>55003.628733279009</v>
      </c>
      <c r="S7" s="5"/>
      <c r="T7" s="2"/>
    </row>
    <row r="8" spans="1:20">
      <c r="A8" s="2"/>
      <c r="B8" s="2"/>
      <c r="C8" s="2" t="s">
        <v>10</v>
      </c>
      <c r="D8" s="2"/>
      <c r="E8" s="2"/>
      <c r="F8" s="3">
        <f>SOFP!Q9</f>
        <v>1238.7798033374136</v>
      </c>
      <c r="G8" s="2"/>
      <c r="H8" s="2"/>
      <c r="I8" s="3">
        <f>SOFP!AD9</f>
        <v>1422.3027371651788</v>
      </c>
      <c r="J8" s="4"/>
      <c r="K8" s="2"/>
      <c r="L8" s="3">
        <f>SOFP!AQ9</f>
        <v>1635.6481477399552</v>
      </c>
      <c r="M8" s="5"/>
      <c r="N8" s="2"/>
      <c r="O8" s="3">
        <f>SOFP!BD9</f>
        <v>1799.2129625139507</v>
      </c>
      <c r="P8" s="5"/>
      <c r="Q8" s="2"/>
      <c r="R8" s="3">
        <f>SOFP!BQ9</f>
        <v>1979.1342587653462</v>
      </c>
      <c r="S8" s="5"/>
      <c r="T8" s="2"/>
    </row>
    <row r="9" spans="1:20">
      <c r="A9" s="2"/>
      <c r="B9" s="2"/>
      <c r="C9" s="2" t="s">
        <v>11</v>
      </c>
      <c r="D9" s="2"/>
      <c r="E9" s="2"/>
      <c r="F9" s="3"/>
      <c r="G9" s="2"/>
      <c r="H9" s="2"/>
      <c r="I9" s="3"/>
      <c r="J9" s="4"/>
      <c r="K9" s="2"/>
      <c r="L9" s="3"/>
      <c r="M9" s="5"/>
      <c r="N9" s="2"/>
      <c r="O9" s="3"/>
      <c r="P9" s="5"/>
      <c r="Q9" s="2"/>
      <c r="R9" s="3"/>
      <c r="S9" s="5"/>
      <c r="T9" s="2"/>
    </row>
    <row r="10" spans="1:20">
      <c r="A10" s="2"/>
      <c r="B10" s="2"/>
      <c r="C10" s="2"/>
      <c r="D10" s="2" t="s">
        <v>574</v>
      </c>
      <c r="E10" s="2"/>
      <c r="F10" s="3">
        <f>SOFP!Q11</f>
        <v>2442.2716801190754</v>
      </c>
      <c r="G10" s="2"/>
      <c r="H10" s="2"/>
      <c r="I10" s="3">
        <f>SOFP!AD11</f>
        <v>2756.6010908010676</v>
      </c>
      <c r="J10" s="4"/>
      <c r="K10" s="2"/>
      <c r="L10" s="3">
        <f>SOFP!AQ11</f>
        <v>2975.0487244117189</v>
      </c>
      <c r="M10" s="5"/>
      <c r="N10" s="2"/>
      <c r="O10" s="3">
        <f>SOFP!BD11</f>
        <v>3272.5535968528902</v>
      </c>
      <c r="P10" s="5"/>
      <c r="Q10" s="2"/>
      <c r="R10" s="3">
        <f>SOFP!BQ11</f>
        <v>4104.1380127409193</v>
      </c>
      <c r="S10" s="5"/>
      <c r="T10" s="2"/>
    </row>
    <row r="11" spans="1:20">
      <c r="A11" s="2"/>
      <c r="B11" s="2"/>
      <c r="C11" s="2"/>
      <c r="D11" s="2" t="s">
        <v>552</v>
      </c>
      <c r="E11" s="2"/>
      <c r="F11" s="3">
        <f>SOFP!Q12</f>
        <v>18848</v>
      </c>
      <c r="G11" s="2"/>
      <c r="H11" s="2"/>
      <c r="I11" s="3">
        <f>SOFP!AD12</f>
        <v>24502.400000000001</v>
      </c>
      <c r="J11" s="4"/>
      <c r="K11" s="2"/>
      <c r="L11" s="3">
        <f>SOFP!AQ12</f>
        <v>29023.092799999999</v>
      </c>
      <c r="M11" s="5"/>
      <c r="N11" s="2"/>
      <c r="O11" s="3">
        <f>SOFP!BD12</f>
        <v>32883.164142399997</v>
      </c>
      <c r="P11" s="5"/>
      <c r="Q11" s="2"/>
      <c r="R11" s="3">
        <f>SOFP!BQ12</f>
        <v>37256.624973339203</v>
      </c>
      <c r="S11" s="5"/>
      <c r="T11" s="2"/>
    </row>
    <row r="12" spans="1:20">
      <c r="A12" s="2"/>
      <c r="B12" s="2"/>
      <c r="C12" s="2"/>
      <c r="D12" s="2" t="s">
        <v>554</v>
      </c>
      <c r="E12" s="2"/>
      <c r="F12" s="3">
        <f>SOFP!Q13</f>
        <v>1860.1846714285716</v>
      </c>
      <c r="G12" s="2"/>
      <c r="H12" s="2"/>
      <c r="I12" s="3">
        <f>SOFP!AD13</f>
        <v>2203.3887433071432</v>
      </c>
      <c r="J12" s="4"/>
      <c r="K12" s="2"/>
      <c r="L12" s="3">
        <f>SOFP!AQ13</f>
        <v>2496.4394461669931</v>
      </c>
      <c r="M12" s="5"/>
      <c r="N12" s="2"/>
      <c r="O12" s="3">
        <f>SOFP!BD13</f>
        <v>2828.4658925072035</v>
      </c>
      <c r="P12" s="5"/>
      <c r="Q12" s="2"/>
      <c r="R12" s="3">
        <f>SOFP!BQ13</f>
        <v>3771.2878566762715</v>
      </c>
      <c r="S12" s="5"/>
      <c r="T12" s="2"/>
    </row>
    <row r="13" spans="1:20">
      <c r="A13" s="17"/>
      <c r="B13" s="17"/>
      <c r="C13" s="17" t="s">
        <v>12</v>
      </c>
      <c r="D13" s="17"/>
      <c r="E13" s="17"/>
      <c r="F13" s="3">
        <f>SOFP!Q14</f>
        <v>0</v>
      </c>
      <c r="G13" s="2"/>
      <c r="H13" s="2"/>
      <c r="I13" s="3">
        <f>SOFP!AD14</f>
        <v>0</v>
      </c>
      <c r="J13" s="4"/>
      <c r="K13" s="2"/>
      <c r="L13" s="3">
        <f>SOFP!AQ14</f>
        <v>0</v>
      </c>
      <c r="M13" s="5"/>
      <c r="N13" s="2"/>
      <c r="O13" s="3">
        <f>SOFP!BD14</f>
        <v>0</v>
      </c>
      <c r="P13" s="5"/>
      <c r="Q13" s="2"/>
      <c r="R13" s="3">
        <f>SOFP!BQ14</f>
        <v>0</v>
      </c>
      <c r="S13" s="5"/>
      <c r="T13" s="2"/>
    </row>
    <row r="14" spans="1:20">
      <c r="A14" s="2"/>
      <c r="B14" s="2"/>
      <c r="C14" s="2"/>
      <c r="D14" s="2" t="s">
        <v>13</v>
      </c>
      <c r="E14" s="2"/>
      <c r="F14" s="18">
        <f>SUM(F7:F13)</f>
        <v>151417.96515005676</v>
      </c>
      <c r="G14" s="2"/>
      <c r="H14" s="2"/>
      <c r="I14" s="18">
        <f>SUM(I7:I13)</f>
        <v>102250.35803386112</v>
      </c>
      <c r="J14" s="4"/>
      <c r="K14" s="2"/>
      <c r="L14" s="18">
        <f>SUM(L7:L13)</f>
        <v>138267.5825992687</v>
      </c>
      <c r="M14" s="5"/>
      <c r="N14" s="2"/>
      <c r="O14" s="18">
        <f>SUM(O7:O13)</f>
        <v>136466.20463690819</v>
      </c>
      <c r="P14" s="5"/>
      <c r="Q14" s="2"/>
      <c r="R14" s="18">
        <f>SUM(R7:R13)</f>
        <v>102114.81383480075</v>
      </c>
      <c r="S14" s="5"/>
      <c r="T14" s="2"/>
    </row>
    <row r="15" spans="1:20">
      <c r="A15" s="2"/>
      <c r="B15" s="2"/>
      <c r="C15" s="2"/>
      <c r="D15" s="2"/>
      <c r="E15" s="2"/>
      <c r="F15" s="3"/>
      <c r="G15" s="2"/>
      <c r="H15" s="2"/>
      <c r="I15" s="3"/>
      <c r="J15" s="4"/>
      <c r="K15" s="2"/>
      <c r="L15" s="3"/>
      <c r="M15" s="5"/>
      <c r="N15" s="2"/>
      <c r="O15" s="3"/>
      <c r="P15" s="5"/>
      <c r="Q15" s="2"/>
      <c r="R15" s="3"/>
      <c r="S15" s="5"/>
      <c r="T15" s="2"/>
    </row>
    <row r="16" spans="1:20">
      <c r="A16" s="2"/>
      <c r="B16" s="2" t="s">
        <v>14</v>
      </c>
      <c r="C16" s="2"/>
      <c r="D16" s="2"/>
      <c r="E16" s="2"/>
      <c r="F16" s="3">
        <f>SOFP!Q17</f>
        <v>706004.5</v>
      </c>
      <c r="G16" s="2"/>
      <c r="H16" s="2"/>
      <c r="I16" s="3">
        <f>SOFP!AD17</f>
        <v>672176.5</v>
      </c>
      <c r="J16" s="4"/>
      <c r="K16" s="2"/>
      <c r="L16" s="3">
        <f>SOFP!AQ17</f>
        <v>638348.5</v>
      </c>
      <c r="M16" s="5"/>
      <c r="N16" s="2"/>
      <c r="O16" s="3">
        <f>SOFP!BD17</f>
        <v>604520.5</v>
      </c>
      <c r="P16" s="5"/>
      <c r="Q16" s="2"/>
      <c r="R16" s="3">
        <f>SOFP!BQ17</f>
        <v>570692.5</v>
      </c>
      <c r="S16" s="5"/>
      <c r="T16" s="2"/>
    </row>
    <row r="17" spans="1:20">
      <c r="A17" s="2"/>
      <c r="B17" s="2"/>
      <c r="C17" s="2"/>
      <c r="D17" s="2"/>
      <c r="E17" s="2"/>
      <c r="F17" s="3"/>
      <c r="G17" s="2"/>
      <c r="H17" s="2"/>
      <c r="I17" s="3"/>
      <c r="J17" s="4"/>
      <c r="K17" s="2"/>
      <c r="L17" s="3"/>
      <c r="M17" s="5"/>
      <c r="N17" s="2"/>
      <c r="O17" s="3"/>
      <c r="P17" s="5"/>
      <c r="Q17" s="2"/>
      <c r="R17" s="3"/>
      <c r="S17" s="5"/>
      <c r="T17" s="2"/>
    </row>
    <row r="18" spans="1:20">
      <c r="A18" s="2"/>
      <c r="B18" s="2" t="s">
        <v>15</v>
      </c>
      <c r="C18" s="2"/>
      <c r="D18" s="2"/>
      <c r="E18" s="2"/>
      <c r="F18" s="3">
        <f>SOFP!Q19</f>
        <v>0</v>
      </c>
      <c r="G18" s="2"/>
      <c r="H18" s="2"/>
      <c r="I18" s="3">
        <f>SOFP!AD19</f>
        <v>0</v>
      </c>
      <c r="J18" s="4"/>
      <c r="K18" s="2"/>
      <c r="L18" s="3">
        <f>SOFP!AQ19</f>
        <v>0</v>
      </c>
      <c r="M18" s="5"/>
      <c r="N18" s="2"/>
      <c r="O18" s="3">
        <f>SOFP!BD19</f>
        <v>0</v>
      </c>
      <c r="P18" s="5"/>
      <c r="Q18" s="2"/>
      <c r="R18" s="3">
        <f>SOFP!BQ19</f>
        <v>0</v>
      </c>
      <c r="S18" s="5"/>
      <c r="T18" s="2"/>
    </row>
    <row r="19" spans="1:20">
      <c r="A19" s="2"/>
      <c r="B19" s="2"/>
      <c r="C19" s="2"/>
      <c r="D19" s="2"/>
      <c r="E19" s="2"/>
      <c r="F19" s="3"/>
      <c r="G19" s="2"/>
      <c r="H19" s="2"/>
      <c r="I19" s="3"/>
      <c r="J19" s="4"/>
      <c r="K19" s="2"/>
      <c r="L19" s="3"/>
      <c r="M19" s="5"/>
      <c r="N19" s="2"/>
      <c r="O19" s="3"/>
      <c r="P19" s="5"/>
      <c r="Q19" s="2"/>
      <c r="R19" s="3"/>
      <c r="S19" s="5"/>
      <c r="T19" s="2"/>
    </row>
    <row r="20" spans="1:20" ht="15.75" customHeight="1">
      <c r="A20" s="1" t="s">
        <v>16</v>
      </c>
      <c r="B20" s="1"/>
      <c r="C20" s="1"/>
      <c r="D20" s="16"/>
      <c r="E20" s="16"/>
      <c r="F20" s="19">
        <f>F14+F16+F18</f>
        <v>857422.46515005676</v>
      </c>
      <c r="G20" s="2"/>
      <c r="H20" s="2"/>
      <c r="I20" s="19">
        <f>I14+I16+I18</f>
        <v>774426.85803386115</v>
      </c>
      <c r="J20" s="4"/>
      <c r="K20" s="2"/>
      <c r="L20" s="19">
        <f>L14+L16+L18</f>
        <v>776616.08259926876</v>
      </c>
      <c r="M20" s="5"/>
      <c r="N20" s="2"/>
      <c r="O20" s="19">
        <f>O14+O16+O18</f>
        <v>740986.70463690814</v>
      </c>
      <c r="P20" s="5"/>
      <c r="Q20" s="2"/>
      <c r="R20" s="19">
        <f>R14+R16+R18</f>
        <v>672807.31383480073</v>
      </c>
      <c r="S20" s="5"/>
      <c r="T20" s="2"/>
    </row>
    <row r="21" spans="1:20" ht="15.75" customHeight="1">
      <c r="A21" s="2"/>
      <c r="B21" s="2"/>
      <c r="C21" s="2"/>
      <c r="D21" s="2"/>
      <c r="E21" s="2"/>
      <c r="F21" s="3"/>
      <c r="G21" s="2"/>
      <c r="H21" s="2"/>
      <c r="I21" s="3"/>
      <c r="J21" s="4"/>
      <c r="K21" s="2"/>
      <c r="L21" s="3"/>
      <c r="M21" s="5"/>
      <c r="N21" s="2"/>
      <c r="O21" s="3"/>
      <c r="P21" s="5"/>
      <c r="Q21" s="2"/>
      <c r="R21" s="3"/>
      <c r="S21" s="5"/>
      <c r="T21" s="2"/>
    </row>
    <row r="22" spans="1:20" ht="15.75" customHeight="1">
      <c r="A22" s="16" t="s">
        <v>17</v>
      </c>
      <c r="B22" s="2"/>
      <c r="C22" s="2"/>
      <c r="D22" s="2"/>
      <c r="E22" s="2"/>
      <c r="F22" s="3"/>
      <c r="G22" s="2"/>
      <c r="H22" s="2"/>
      <c r="I22" s="3"/>
      <c r="J22" s="4"/>
      <c r="K22" s="2"/>
      <c r="L22" s="3"/>
      <c r="M22" s="5"/>
      <c r="N22" s="2"/>
      <c r="O22" s="3"/>
      <c r="P22" s="5"/>
      <c r="Q22" s="2"/>
      <c r="R22" s="3"/>
      <c r="S22" s="5"/>
      <c r="T22" s="2"/>
    </row>
    <row r="23" spans="1:20" ht="15.75" customHeight="1">
      <c r="A23" s="20"/>
      <c r="B23" s="16" t="s">
        <v>18</v>
      </c>
      <c r="C23" s="2"/>
      <c r="D23" s="16"/>
      <c r="E23" s="16"/>
      <c r="F23" s="3"/>
      <c r="G23" s="2"/>
      <c r="H23" s="2"/>
      <c r="I23" s="3"/>
      <c r="J23" s="4"/>
      <c r="K23" s="2"/>
      <c r="L23" s="3"/>
      <c r="M23" s="5"/>
      <c r="N23" s="2"/>
      <c r="O23" s="3"/>
      <c r="P23" s="5"/>
      <c r="Q23" s="2"/>
      <c r="R23" s="3"/>
      <c r="S23" s="5"/>
      <c r="T23" s="2"/>
    </row>
    <row r="24" spans="1:20" ht="15.75" customHeight="1">
      <c r="A24" s="2"/>
      <c r="B24" s="2"/>
      <c r="C24" s="2" t="s">
        <v>19</v>
      </c>
      <c r="D24" s="2"/>
      <c r="E24" s="2"/>
      <c r="F24" s="3">
        <f>SOFP!Q25</f>
        <v>74392.047201727706</v>
      </c>
      <c r="G24" s="2"/>
      <c r="H24" s="2"/>
      <c r="I24" s="3">
        <f>SOFP!AD25</f>
        <v>90358.488682129682</v>
      </c>
      <c r="J24" s="4"/>
      <c r="K24" s="2"/>
      <c r="L24" s="3">
        <f>SOFP!AQ25</f>
        <v>103298.21654402354</v>
      </c>
      <c r="M24" s="5"/>
      <c r="N24" s="2"/>
      <c r="O24" s="3">
        <f>SOFP!BD25</f>
        <v>114898.00846866154</v>
      </c>
      <c r="P24" s="5"/>
      <c r="Q24" s="2"/>
      <c r="R24" s="3">
        <f>SOFP!BQ25</f>
        <v>129887.95359700687</v>
      </c>
      <c r="S24" s="5"/>
      <c r="T24" s="2"/>
    </row>
    <row r="25" spans="1:20" ht="15.75" customHeight="1">
      <c r="A25" s="2"/>
      <c r="B25" s="2"/>
      <c r="C25" s="2" t="s">
        <v>20</v>
      </c>
      <c r="D25" s="2"/>
      <c r="E25" s="2"/>
      <c r="F25" s="3">
        <f>SOFP!Q26</f>
        <v>0</v>
      </c>
      <c r="G25" s="2"/>
      <c r="H25" s="2"/>
      <c r="I25" s="3">
        <f>SOFP!AD26</f>
        <v>0</v>
      </c>
      <c r="J25" s="4"/>
      <c r="K25" s="2"/>
      <c r="L25" s="3">
        <f>SOFP!AQ26</f>
        <v>0</v>
      </c>
      <c r="M25" s="5"/>
      <c r="N25" s="2"/>
      <c r="O25" s="3">
        <f>SOFP!BD26</f>
        <v>0</v>
      </c>
      <c r="P25" s="5"/>
      <c r="Q25" s="2"/>
      <c r="R25" s="3">
        <f>SOFP!BQ26</f>
        <v>0</v>
      </c>
      <c r="S25" s="5"/>
      <c r="T25" s="2"/>
    </row>
    <row r="26" spans="1:20" ht="15.75" customHeight="1">
      <c r="A26" s="2"/>
      <c r="B26" s="2"/>
      <c r="C26" s="2" t="s">
        <v>21</v>
      </c>
      <c r="D26" s="2"/>
      <c r="E26" s="2"/>
      <c r="F26" s="3">
        <f>SOFP!Q27</f>
        <v>0</v>
      </c>
      <c r="G26" s="2"/>
      <c r="H26" s="2"/>
      <c r="I26" s="3">
        <f>SOFP!AD27</f>
        <v>0</v>
      </c>
      <c r="J26" s="4"/>
      <c r="K26" s="2"/>
      <c r="L26" s="3">
        <f>SOFP!AQ27</f>
        <v>0</v>
      </c>
      <c r="M26" s="5"/>
      <c r="N26" s="2"/>
      <c r="O26" s="3">
        <f>SOFP!BD27</f>
        <v>0</v>
      </c>
      <c r="P26" s="5"/>
      <c r="Q26" s="2"/>
      <c r="R26" s="3">
        <f>SOFP!BQ27</f>
        <v>0</v>
      </c>
      <c r="S26" s="5"/>
      <c r="T26" s="2"/>
    </row>
    <row r="27" spans="1:20" ht="15.75" customHeight="1">
      <c r="A27" s="2"/>
      <c r="B27" s="2"/>
      <c r="C27" s="2" t="s">
        <v>22</v>
      </c>
      <c r="D27" s="2"/>
      <c r="E27" s="2"/>
      <c r="F27" s="3">
        <f>SOFP!Q28</f>
        <v>19980.096218208848</v>
      </c>
      <c r="G27" s="2"/>
      <c r="H27" s="2"/>
      <c r="I27" s="3">
        <f>SOFP!AD28</f>
        <v>26185.870204684918</v>
      </c>
      <c r="J27" s="4"/>
      <c r="K27" s="2"/>
      <c r="L27" s="3">
        <f>SOFP!AQ28</f>
        <v>30306.638628489964</v>
      </c>
      <c r="M27" s="5"/>
      <c r="N27" s="2"/>
      <c r="O27" s="3">
        <f>SOFP!BD28</f>
        <v>33746.566169272584</v>
      </c>
      <c r="P27" s="5"/>
      <c r="Q27" s="2"/>
      <c r="R27" s="3">
        <f>SOFP!BQ28</f>
        <v>37584.918533298624</v>
      </c>
      <c r="S27" s="5"/>
      <c r="T27" s="2"/>
    </row>
    <row r="28" spans="1:20" ht="15.75" customHeight="1">
      <c r="A28" s="2"/>
      <c r="B28" s="2"/>
      <c r="C28" s="2"/>
      <c r="D28" s="2"/>
      <c r="E28" s="2"/>
      <c r="F28" s="3"/>
      <c r="G28" s="2"/>
      <c r="H28" s="2"/>
      <c r="I28" s="3"/>
      <c r="J28" s="4"/>
      <c r="K28" s="2"/>
      <c r="L28" s="3"/>
      <c r="M28" s="5"/>
      <c r="N28" s="2"/>
      <c r="O28" s="3"/>
      <c r="P28" s="5"/>
      <c r="Q28" s="2"/>
      <c r="R28" s="3"/>
      <c r="S28" s="5"/>
      <c r="T28" s="2"/>
    </row>
    <row r="29" spans="1:20" ht="15.75" customHeight="1">
      <c r="A29" s="2"/>
      <c r="B29" s="2"/>
      <c r="C29" s="2"/>
      <c r="D29" s="2" t="s">
        <v>24</v>
      </c>
      <c r="E29" s="2"/>
      <c r="F29" s="18">
        <f>SUM(F24:F28)</f>
        <v>94372.143419936561</v>
      </c>
      <c r="G29" s="2"/>
      <c r="H29" s="2"/>
      <c r="I29" s="18">
        <f>SUM(I24:I28)</f>
        <v>116544.3588868146</v>
      </c>
      <c r="J29" s="4"/>
      <c r="K29" s="2"/>
      <c r="L29" s="18">
        <f>SUM(L24:L28)</f>
        <v>133604.85517251352</v>
      </c>
      <c r="M29" s="5"/>
      <c r="N29" s="2"/>
      <c r="O29" s="18">
        <f>SUM(O24:O28)</f>
        <v>148644.57463793413</v>
      </c>
      <c r="P29" s="5"/>
      <c r="Q29" s="2"/>
      <c r="R29" s="18">
        <f>SUM(R24:R28)</f>
        <v>167472.87213030551</v>
      </c>
      <c r="S29" s="5"/>
      <c r="T29" s="2"/>
    </row>
    <row r="30" spans="1:20" ht="15.75" customHeight="1">
      <c r="A30" s="2"/>
      <c r="B30" s="2"/>
      <c r="C30" s="2"/>
      <c r="D30" s="2"/>
      <c r="E30" s="2"/>
      <c r="F30" s="3"/>
      <c r="G30" s="2"/>
      <c r="H30" s="2"/>
      <c r="I30" s="3"/>
      <c r="J30" s="4"/>
      <c r="K30" s="2"/>
      <c r="L30" s="3"/>
      <c r="M30" s="5"/>
      <c r="N30" s="2"/>
      <c r="O30" s="3"/>
      <c r="P30" s="5"/>
      <c r="Q30" s="2"/>
      <c r="R30" s="3"/>
      <c r="S30" s="5"/>
      <c r="T30" s="2"/>
    </row>
    <row r="31" spans="1:20" ht="15.75" customHeight="1">
      <c r="A31" s="2"/>
      <c r="B31" s="1" t="s">
        <v>25</v>
      </c>
      <c r="C31" s="2"/>
      <c r="D31" s="2"/>
      <c r="E31" s="2"/>
      <c r="F31" s="3"/>
      <c r="G31" s="2"/>
      <c r="H31" s="2"/>
      <c r="I31" s="3"/>
      <c r="J31" s="4"/>
      <c r="K31" s="2"/>
      <c r="L31" s="3"/>
      <c r="M31" s="5"/>
      <c r="N31" s="2"/>
      <c r="O31" s="3"/>
      <c r="P31" s="5"/>
      <c r="Q31" s="2"/>
      <c r="R31" s="3"/>
      <c r="S31" s="5"/>
      <c r="T31" s="2"/>
    </row>
    <row r="32" spans="1:20" ht="15.75" customHeight="1">
      <c r="A32" s="2"/>
      <c r="B32" s="1"/>
      <c r="C32" s="2" t="s">
        <v>26</v>
      </c>
      <c r="D32" s="2"/>
      <c r="E32" s="2"/>
      <c r="F32" s="3">
        <f>SOFP!Q33</f>
        <v>750926.52732727444</v>
      </c>
      <c r="G32" s="2"/>
      <c r="H32" s="2"/>
      <c r="I32" s="3">
        <f>SOFP!AD33</f>
        <v>696714.42080099124</v>
      </c>
      <c r="J32" s="4"/>
      <c r="K32" s="2"/>
      <c r="L32" s="3">
        <f>SOFP!AQ33</f>
        <v>636825.59830788639</v>
      </c>
      <c r="M32" s="5"/>
      <c r="N32" s="2"/>
      <c r="O32" s="3">
        <f>SOFP!BD33</f>
        <v>570665.63350608107</v>
      </c>
      <c r="P32" s="5"/>
      <c r="Q32" s="2"/>
      <c r="R32" s="3">
        <f>SOFP!BQ33</f>
        <v>497577.85584807041</v>
      </c>
      <c r="S32" s="5"/>
      <c r="T32" s="2"/>
    </row>
    <row r="33" spans="1:20" ht="15.75" customHeight="1">
      <c r="A33" s="2"/>
      <c r="B33" s="2"/>
      <c r="C33" s="2"/>
      <c r="D33" s="2" t="s">
        <v>27</v>
      </c>
      <c r="E33" s="2"/>
      <c r="F33" s="18">
        <f>SUM(F32)</f>
        <v>750926.52732727444</v>
      </c>
      <c r="G33" s="2"/>
      <c r="H33" s="2"/>
      <c r="I33" s="18">
        <f>SUM(I32)</f>
        <v>696714.42080099124</v>
      </c>
      <c r="J33" s="4"/>
      <c r="K33" s="2"/>
      <c r="L33" s="18">
        <f>SUM(L32)</f>
        <v>636825.59830788639</v>
      </c>
      <c r="M33" s="5"/>
      <c r="N33" s="2"/>
      <c r="O33" s="18">
        <f>SUM(O32)</f>
        <v>570665.63350608107</v>
      </c>
      <c r="P33" s="5"/>
      <c r="Q33" s="2"/>
      <c r="R33" s="18">
        <f>SUM(R32)</f>
        <v>497577.85584807041</v>
      </c>
      <c r="S33" s="5"/>
      <c r="T33" s="2"/>
    </row>
    <row r="34" spans="1:20" ht="15.75" customHeight="1">
      <c r="A34" s="2"/>
      <c r="B34" s="2"/>
      <c r="C34" s="2"/>
      <c r="D34" s="2"/>
      <c r="E34" s="2"/>
      <c r="F34" s="3"/>
      <c r="G34" s="2"/>
      <c r="H34" s="2"/>
      <c r="I34" s="3"/>
      <c r="J34" s="4"/>
      <c r="K34" s="2"/>
      <c r="L34" s="3"/>
      <c r="M34" s="5"/>
      <c r="N34" s="2"/>
      <c r="O34" s="3"/>
      <c r="P34" s="5"/>
      <c r="Q34" s="2"/>
      <c r="R34" s="3"/>
      <c r="S34" s="5"/>
      <c r="T34" s="2"/>
    </row>
    <row r="35" spans="1:20" ht="15.75" customHeight="1">
      <c r="A35" s="2"/>
      <c r="B35" s="2"/>
      <c r="C35" s="2"/>
      <c r="D35" s="16"/>
      <c r="E35" s="16" t="s">
        <v>28</v>
      </c>
      <c r="F35" s="3">
        <f>F29+F33</f>
        <v>845298.67074721097</v>
      </c>
      <c r="G35" s="2"/>
      <c r="H35" s="2"/>
      <c r="I35" s="3">
        <f>I29+I33</f>
        <v>813258.7796878058</v>
      </c>
      <c r="J35" s="4"/>
      <c r="K35" s="2"/>
      <c r="L35" s="3">
        <f>L29+L33</f>
        <v>770430.45348039991</v>
      </c>
      <c r="M35" s="5"/>
      <c r="N35" s="2"/>
      <c r="O35" s="3">
        <f>O29+O33</f>
        <v>719310.20814401517</v>
      </c>
      <c r="P35" s="5"/>
      <c r="Q35" s="2"/>
      <c r="R35" s="3">
        <f>R29+R33</f>
        <v>665050.72797837597</v>
      </c>
      <c r="S35" s="5"/>
      <c r="T35" s="2"/>
    </row>
    <row r="36" spans="1:20" ht="15.75" customHeight="1">
      <c r="A36" s="2"/>
      <c r="B36" s="2"/>
      <c r="C36" s="2"/>
      <c r="D36" s="2"/>
      <c r="E36" s="2"/>
      <c r="F36" s="3"/>
      <c r="G36" s="2"/>
      <c r="H36" s="2"/>
      <c r="I36" s="3"/>
      <c r="J36" s="4"/>
      <c r="K36" s="2"/>
      <c r="L36" s="3"/>
      <c r="M36" s="5"/>
      <c r="N36" s="2"/>
      <c r="O36" s="3"/>
      <c r="P36" s="5"/>
      <c r="Q36" s="2"/>
      <c r="R36" s="3"/>
      <c r="S36" s="5"/>
      <c r="T36" s="2"/>
    </row>
    <row r="37" spans="1:20" ht="15.75" customHeight="1">
      <c r="A37" s="2"/>
      <c r="B37" s="16" t="s">
        <v>29</v>
      </c>
      <c r="C37" s="2"/>
      <c r="D37" s="16"/>
      <c r="E37" s="16"/>
      <c r="F37" s="3"/>
      <c r="G37" s="2"/>
      <c r="H37" s="2"/>
      <c r="I37" s="3"/>
      <c r="J37" s="4"/>
      <c r="K37" s="2"/>
      <c r="L37" s="3"/>
      <c r="M37" s="5"/>
      <c r="N37" s="2"/>
      <c r="O37" s="3"/>
      <c r="P37" s="5"/>
      <c r="Q37" s="2"/>
      <c r="R37" s="3"/>
      <c r="S37" s="5"/>
      <c r="T37" s="2"/>
    </row>
    <row r="38" spans="1:20" ht="15.75" customHeight="1">
      <c r="A38" s="2"/>
      <c r="B38" s="2"/>
      <c r="C38" s="17" t="s">
        <v>30</v>
      </c>
      <c r="D38" s="17"/>
      <c r="E38" s="17"/>
      <c r="F38" s="3">
        <f>SOFP!Q39</f>
        <v>0</v>
      </c>
      <c r="G38" s="2"/>
      <c r="H38" s="2"/>
      <c r="I38" s="3">
        <f>SOFP!AD39</f>
        <v>0</v>
      </c>
      <c r="J38" s="4"/>
      <c r="K38" s="2"/>
      <c r="L38" s="3">
        <f>SOFP!AQ39</f>
        <v>0</v>
      </c>
      <c r="M38" s="5"/>
      <c r="N38" s="2"/>
      <c r="O38" s="3">
        <f>SOFP!BD39</f>
        <v>0</v>
      </c>
      <c r="P38" s="5"/>
      <c r="Q38" s="2"/>
      <c r="R38" s="3">
        <f>SOFP!BQ39</f>
        <v>0</v>
      </c>
      <c r="S38" s="5"/>
      <c r="T38" s="2"/>
    </row>
    <row r="39" spans="1:20" ht="15.75" customHeight="1">
      <c r="A39" s="2"/>
      <c r="B39" s="2"/>
      <c r="C39" s="2" t="s">
        <v>31</v>
      </c>
      <c r="D39" s="17"/>
      <c r="E39" s="17"/>
      <c r="F39" s="3">
        <f>SOFP!Q40</f>
        <v>0</v>
      </c>
      <c r="G39" s="2"/>
      <c r="H39" s="2"/>
      <c r="I39" s="3">
        <f>SOFP!AD40</f>
        <v>0</v>
      </c>
      <c r="J39" s="4"/>
      <c r="K39" s="2"/>
      <c r="L39" s="3">
        <f>SOFP!AQ40</f>
        <v>0</v>
      </c>
      <c r="M39" s="5"/>
      <c r="N39" s="2"/>
      <c r="O39" s="3">
        <f>SOFP!BD40</f>
        <v>0</v>
      </c>
      <c r="P39" s="5"/>
      <c r="Q39" s="2"/>
      <c r="R39" s="3">
        <f>SOFP!BQ40</f>
        <v>0</v>
      </c>
      <c r="S39" s="5"/>
      <c r="T39" s="2"/>
    </row>
    <row r="40" spans="1:20" ht="15.75" customHeight="1">
      <c r="A40" s="2"/>
      <c r="B40" s="2"/>
      <c r="C40" s="2" t="s">
        <v>32</v>
      </c>
      <c r="D40" s="2"/>
      <c r="E40" s="2"/>
      <c r="F40" s="3">
        <f>SOFP!Q41</f>
        <v>12123.794402845844</v>
      </c>
      <c r="G40" s="2"/>
      <c r="H40" s="2"/>
      <c r="I40" s="3">
        <f>SOFP!AD41</f>
        <v>-38831.9216539443</v>
      </c>
      <c r="J40" s="4"/>
      <c r="K40" s="2"/>
      <c r="L40" s="3">
        <f>SOFP!AQ41</f>
        <v>6185.629118869314</v>
      </c>
      <c r="M40" s="5"/>
      <c r="N40" s="2"/>
      <c r="O40" s="3">
        <f>SOFP!BD41</f>
        <v>21676.496492893435</v>
      </c>
      <c r="P40" s="5"/>
      <c r="Q40" s="2"/>
      <c r="R40" s="3">
        <f>SOFP!BQ41</f>
        <v>7756.5858564252849</v>
      </c>
      <c r="S40" s="5"/>
      <c r="T40" s="2"/>
    </row>
    <row r="41" spans="1:20" ht="15.75" customHeight="1">
      <c r="A41" s="2"/>
      <c r="B41" s="2"/>
      <c r="C41" s="2"/>
      <c r="D41" s="16"/>
      <c r="E41" s="16" t="str">
        <f>CONCATENATE("Total ",B37)</f>
        <v>Total Shareholders's equity</v>
      </c>
      <c r="F41" s="18">
        <f>SUM(F38:F40)</f>
        <v>12123.794402845844</v>
      </c>
      <c r="G41" s="2"/>
      <c r="H41" s="2"/>
      <c r="I41" s="18">
        <f>SUM(I38:I40)</f>
        <v>-38831.9216539443</v>
      </c>
      <c r="J41" s="4"/>
      <c r="K41" s="2"/>
      <c r="L41" s="18">
        <f>SUM(L38:L40)</f>
        <v>6185.629118869314</v>
      </c>
      <c r="M41" s="5"/>
      <c r="N41" s="2"/>
      <c r="O41" s="18">
        <f>SUM(O38:O40)</f>
        <v>21676.496492893435</v>
      </c>
      <c r="P41" s="5"/>
      <c r="Q41" s="2"/>
      <c r="R41" s="18">
        <f>SUM(R38:R40)</f>
        <v>7756.5858564252849</v>
      </c>
      <c r="S41" s="5"/>
      <c r="T41" s="2"/>
    </row>
    <row r="42" spans="1:20" ht="15.75" customHeight="1">
      <c r="A42" s="2"/>
      <c r="B42" s="2"/>
      <c r="C42" s="2"/>
      <c r="D42" s="2"/>
      <c r="E42" s="2"/>
      <c r="F42" s="3"/>
      <c r="G42" s="2"/>
      <c r="H42" s="2"/>
      <c r="I42" s="3"/>
      <c r="J42" s="4"/>
      <c r="K42" s="2"/>
      <c r="L42" s="3"/>
      <c r="M42" s="5"/>
      <c r="N42" s="2"/>
      <c r="O42" s="3"/>
      <c r="P42" s="5"/>
      <c r="Q42" s="2"/>
      <c r="R42" s="3"/>
      <c r="S42" s="5"/>
      <c r="T42" s="2"/>
    </row>
    <row r="43" spans="1:20" ht="15.75" customHeight="1">
      <c r="A43" s="1" t="s">
        <v>33</v>
      </c>
      <c r="B43" s="1"/>
      <c r="C43" s="1"/>
      <c r="D43" s="1"/>
      <c r="E43" s="1"/>
      <c r="F43" s="19">
        <f>F35+F41</f>
        <v>857422.46515005687</v>
      </c>
      <c r="G43" s="2"/>
      <c r="H43" s="2"/>
      <c r="I43" s="19">
        <f>I35+I41</f>
        <v>774426.8580338615</v>
      </c>
      <c r="J43" s="4"/>
      <c r="K43" s="2"/>
      <c r="L43" s="19">
        <f>L35+L41</f>
        <v>776616.08259926923</v>
      </c>
      <c r="M43" s="5"/>
      <c r="N43" s="2"/>
      <c r="O43" s="19">
        <f>O35+O41</f>
        <v>740986.7046369086</v>
      </c>
      <c r="P43" s="5"/>
      <c r="Q43" s="2"/>
      <c r="R43" s="19">
        <f>R35+R41</f>
        <v>672807.31383480132</v>
      </c>
      <c r="S43" s="5"/>
      <c r="T43" s="2"/>
    </row>
    <row r="44" spans="1:20" ht="15.75" customHeight="1">
      <c r="A44" s="1"/>
      <c r="B44" s="1"/>
      <c r="C44" s="1"/>
      <c r="D44" s="1"/>
      <c r="E44" s="1"/>
      <c r="F44" s="3"/>
      <c r="G44" s="2"/>
      <c r="H44" s="2"/>
      <c r="I44" s="3"/>
      <c r="J44" s="4"/>
      <c r="K44" s="2"/>
      <c r="L44" s="3"/>
      <c r="M44" s="5"/>
      <c r="N44" s="2"/>
      <c r="O44" s="3"/>
      <c r="P44" s="5"/>
      <c r="Q44" s="2"/>
      <c r="R44" s="3"/>
      <c r="S44" s="5"/>
      <c r="T44" s="2"/>
    </row>
    <row r="45" spans="1:20" ht="15.75" customHeight="1">
      <c r="A45" s="1"/>
      <c r="B45" s="1"/>
      <c r="C45" s="1"/>
      <c r="D45" s="1"/>
      <c r="E45" s="1"/>
      <c r="F45" s="2"/>
      <c r="G45" s="2"/>
      <c r="H45" s="2"/>
      <c r="I45" s="3"/>
      <c r="J45" s="4"/>
      <c r="K45" s="2"/>
      <c r="L45" s="3"/>
      <c r="M45" s="5"/>
      <c r="N45" s="2"/>
      <c r="O45" s="3"/>
      <c r="P45" s="5"/>
      <c r="Q45" s="2"/>
      <c r="R45" s="3"/>
      <c r="S45" s="5"/>
      <c r="T45" s="2"/>
    </row>
    <row r="46" spans="1:20" ht="15.75" customHeight="1">
      <c r="A46" s="1" t="s">
        <v>0</v>
      </c>
      <c r="B46" s="2"/>
      <c r="C46" s="2"/>
      <c r="D46" s="2"/>
      <c r="E46" s="2"/>
      <c r="F46" s="2"/>
      <c r="G46" s="2"/>
      <c r="H46" s="2"/>
      <c r="I46" s="3"/>
      <c r="J46" s="4"/>
      <c r="K46" s="2"/>
      <c r="L46" s="3"/>
      <c r="M46" s="5"/>
      <c r="N46" s="2"/>
      <c r="O46" s="3"/>
      <c r="P46" s="5"/>
      <c r="Q46" s="2"/>
      <c r="R46" s="3"/>
      <c r="S46" s="5"/>
      <c r="T46" s="2"/>
    </row>
    <row r="47" spans="1:20" ht="15.75" customHeight="1">
      <c r="A47" s="6" t="s">
        <v>1</v>
      </c>
      <c r="B47" s="7"/>
      <c r="C47" s="7"/>
      <c r="D47" s="7"/>
      <c r="E47" s="7"/>
      <c r="F47" s="7"/>
      <c r="G47" s="7"/>
      <c r="H47" s="7"/>
      <c r="I47" s="8"/>
      <c r="J47" s="9"/>
      <c r="K47" s="7"/>
      <c r="L47" s="8"/>
      <c r="M47" s="10"/>
      <c r="N47" s="2"/>
      <c r="O47" s="8"/>
      <c r="P47" s="10"/>
      <c r="Q47" s="2"/>
      <c r="R47" s="8"/>
      <c r="S47" s="10"/>
      <c r="T47" s="2"/>
    </row>
    <row r="48" spans="1:20" ht="15.75" customHeight="1">
      <c r="A48" s="2"/>
      <c r="B48" s="2"/>
      <c r="C48" s="2"/>
      <c r="D48" s="2"/>
      <c r="E48" s="2"/>
      <c r="F48" s="371" t="s">
        <v>2</v>
      </c>
      <c r="G48" s="372"/>
      <c r="H48" s="1"/>
      <c r="I48" s="371" t="s">
        <v>3</v>
      </c>
      <c r="J48" s="372"/>
      <c r="K48" s="1"/>
      <c r="L48" s="371" t="s">
        <v>4</v>
      </c>
      <c r="M48" s="372"/>
      <c r="N48" s="2"/>
      <c r="O48" s="371" t="s">
        <v>5</v>
      </c>
      <c r="P48" s="372"/>
      <c r="Q48" s="2"/>
      <c r="R48" s="371" t="s">
        <v>6</v>
      </c>
      <c r="S48" s="372"/>
      <c r="T48" s="2"/>
    </row>
    <row r="49" spans="1:20" ht="15.75" customHeight="1">
      <c r="A49" s="1"/>
      <c r="B49" s="1" t="s">
        <v>34</v>
      </c>
      <c r="C49" s="1"/>
      <c r="D49" s="1"/>
      <c r="E49" s="1"/>
      <c r="F49" s="2"/>
      <c r="G49" s="2"/>
      <c r="H49" s="2"/>
      <c r="I49" s="3"/>
      <c r="J49" s="4"/>
      <c r="K49" s="2"/>
      <c r="L49" s="3"/>
      <c r="M49" s="5"/>
      <c r="N49" s="2"/>
      <c r="O49" s="3"/>
      <c r="P49" s="5"/>
      <c r="Q49" s="2"/>
      <c r="R49" s="3"/>
      <c r="S49" s="5"/>
      <c r="T49" s="2"/>
    </row>
    <row r="50" spans="1:20" ht="15.75" customHeight="1">
      <c r="A50" s="2"/>
      <c r="B50" s="2"/>
      <c r="C50" s="21" t="s">
        <v>35</v>
      </c>
      <c r="D50" s="2"/>
      <c r="E50" s="2"/>
      <c r="F50" s="3">
        <f>SOO!R8</f>
        <v>16779.731243539834</v>
      </c>
      <c r="G50" s="4">
        <f>F50/F$53</f>
        <v>3.1386064338657142E-2</v>
      </c>
      <c r="H50" s="2"/>
      <c r="I50" s="3">
        <f>SOO!AE8</f>
        <v>20974.664054424793</v>
      </c>
      <c r="J50" s="4">
        <f>I50/I$53</f>
        <v>3.0215382708158618E-2</v>
      </c>
      <c r="K50" s="2"/>
      <c r="L50" s="3">
        <f>SOO!AR8</f>
        <v>24120.863662588512</v>
      </c>
      <c r="M50" s="4">
        <f>L50/L$53</f>
        <v>3.0491300449495468E-2</v>
      </c>
      <c r="N50" s="2"/>
      <c r="O50" s="3">
        <f>SOO!BE8</f>
        <v>26532.950028847365</v>
      </c>
      <c r="P50" s="4">
        <f>O50/O$53</f>
        <v>3.0484682872364156E-2</v>
      </c>
      <c r="Q50" s="2"/>
      <c r="R50" s="3">
        <f>SOO!BR8</f>
        <v>29186.245031732102</v>
      </c>
      <c r="S50" s="4">
        <f>R50/R$53</f>
        <v>3.047786977024779E-2</v>
      </c>
      <c r="T50" s="2"/>
    </row>
    <row r="51" spans="1:20" ht="15.75" customHeight="1">
      <c r="A51" s="2"/>
      <c r="B51" s="2"/>
      <c r="C51" s="21" t="s">
        <v>36</v>
      </c>
      <c r="D51" s="2"/>
      <c r="E51" s="2"/>
      <c r="F51" s="3">
        <f>SOO!R9</f>
        <v>508721.64637499989</v>
      </c>
      <c r="G51" s="4">
        <f>F51/F$53</f>
        <v>0.9515510166314799</v>
      </c>
      <c r="H51" s="2"/>
      <c r="I51" s="3">
        <f>SOO!AE9</f>
        <v>661338.14028749987</v>
      </c>
      <c r="J51" s="4">
        <f>I51/I$53</f>
        <v>0.95270107575683427</v>
      </c>
      <c r="K51" s="2"/>
      <c r="L51" s="3">
        <f>SOO!AR9</f>
        <v>753225.98766398442</v>
      </c>
      <c r="M51" s="4">
        <f>L51/L$53</f>
        <v>0.95215661501590887</v>
      </c>
      <c r="N51" s="2"/>
      <c r="O51" s="3">
        <f>SOO!BE9</f>
        <v>828548.58643038268</v>
      </c>
      <c r="P51" s="4">
        <f>O51/O$53</f>
        <v>0.95194996689831224</v>
      </c>
      <c r="Q51" s="2"/>
      <c r="R51" s="3">
        <f>SOO!BR9</f>
        <v>911403.44507342111</v>
      </c>
      <c r="S51" s="4">
        <f>R51/R$53</f>
        <v>0.95173721309138237</v>
      </c>
      <c r="T51" s="2"/>
    </row>
    <row r="52" spans="1:20" ht="15.75" customHeight="1">
      <c r="A52" s="2"/>
      <c r="B52" s="2"/>
      <c r="C52" s="2" t="s">
        <v>37</v>
      </c>
      <c r="D52" s="2"/>
      <c r="E52" s="2"/>
      <c r="F52" s="3">
        <f>SOO!R13</f>
        <v>9122.2394901785719</v>
      </c>
      <c r="G52" s="4">
        <f>F52/F$53</f>
        <v>1.7062919029863063E-2</v>
      </c>
      <c r="H52" s="2"/>
      <c r="I52" s="3">
        <f>SOO!AE13</f>
        <v>11858.911337232141</v>
      </c>
      <c r="J52" s="4">
        <f>I52/I$53</f>
        <v>1.7083541535007286E-2</v>
      </c>
      <c r="K52" s="2"/>
      <c r="L52" s="3">
        <f>SOO!AR13</f>
        <v>13726.776462484977</v>
      </c>
      <c r="M52" s="4">
        <f>L52/L$53</f>
        <v>1.7352084534595635E-2</v>
      </c>
      <c r="N52" s="2"/>
      <c r="O52" s="3">
        <f>SOO!BE13</f>
        <v>15288.351918410621</v>
      </c>
      <c r="P52" s="4">
        <f>O52/O$53</f>
        <v>1.7565350229323685E-2</v>
      </c>
      <c r="Q52" s="2"/>
      <c r="R52" s="3">
        <f>SOO!BR13</f>
        <v>17031.208328615889</v>
      </c>
      <c r="S52" s="4">
        <f>R52/R$53</f>
        <v>1.7784917138369865E-2</v>
      </c>
      <c r="T52" s="2"/>
    </row>
    <row r="53" spans="1:20" ht="15.75" customHeight="1">
      <c r="A53" s="1"/>
      <c r="B53" s="1"/>
      <c r="C53" s="1"/>
      <c r="D53" s="1" t="s">
        <v>38</v>
      </c>
      <c r="E53" s="1"/>
      <c r="F53" s="18">
        <f>SUM(F50:F52)</f>
        <v>534623.61710871826</v>
      </c>
      <c r="G53" s="22">
        <f>F53/F$53</f>
        <v>1</v>
      </c>
      <c r="H53" s="2"/>
      <c r="I53" s="18">
        <f>SUM(I50:I52)</f>
        <v>694171.71567915671</v>
      </c>
      <c r="J53" s="22">
        <f>I53/I$53</f>
        <v>1</v>
      </c>
      <c r="K53" s="2"/>
      <c r="L53" s="18">
        <f>SUM(L50:L52)</f>
        <v>791073.62778905791</v>
      </c>
      <c r="M53" s="22">
        <f>L53/L$53</f>
        <v>1</v>
      </c>
      <c r="N53" s="2"/>
      <c r="O53" s="18">
        <f>SUM(O50:O52)</f>
        <v>870369.88837764063</v>
      </c>
      <c r="P53" s="22">
        <f>O53/O$53</f>
        <v>1</v>
      </c>
      <c r="Q53" s="2"/>
      <c r="R53" s="18">
        <f>SUM(R50:R52)</f>
        <v>957620.89843376912</v>
      </c>
      <c r="S53" s="22">
        <f>R53/R$53</f>
        <v>1</v>
      </c>
      <c r="T53" s="2"/>
    </row>
    <row r="54" spans="1:20" ht="15.75" customHeight="1">
      <c r="A54" s="2"/>
      <c r="B54" s="2"/>
      <c r="C54" s="2"/>
      <c r="D54" s="2"/>
      <c r="E54" s="2"/>
      <c r="F54" s="3"/>
      <c r="G54" s="4"/>
      <c r="H54" s="2"/>
      <c r="I54" s="3"/>
      <c r="J54" s="4"/>
      <c r="K54" s="2"/>
      <c r="L54" s="3"/>
      <c r="M54" s="4"/>
      <c r="N54" s="2"/>
      <c r="O54" s="3"/>
      <c r="P54" s="4"/>
      <c r="Q54" s="2"/>
      <c r="R54" s="3"/>
      <c r="S54" s="4"/>
      <c r="T54" s="2"/>
    </row>
    <row r="55" spans="1:20" ht="15.75" customHeight="1">
      <c r="A55" s="2"/>
      <c r="B55" s="1" t="s">
        <v>39</v>
      </c>
      <c r="C55" s="2"/>
      <c r="D55" s="2"/>
      <c r="E55" s="2"/>
      <c r="F55" s="3"/>
      <c r="G55" s="4"/>
      <c r="H55" s="2"/>
      <c r="I55" s="3"/>
      <c r="J55" s="4"/>
      <c r="K55" s="2"/>
      <c r="L55" s="3"/>
      <c r="M55" s="4"/>
      <c r="N55" s="2"/>
      <c r="O55" s="3"/>
      <c r="P55" s="4"/>
      <c r="Q55" s="2"/>
      <c r="R55" s="3"/>
      <c r="S55" s="4"/>
      <c r="T55" s="2"/>
    </row>
    <row r="56" spans="1:20" ht="15.75" customHeight="1">
      <c r="A56" s="2"/>
      <c r="B56" s="2"/>
      <c r="C56" s="21" t="s">
        <v>35</v>
      </c>
      <c r="D56" s="2"/>
      <c r="E56" s="2"/>
      <c r="F56" s="3">
        <f>SOO!R19</f>
        <v>0</v>
      </c>
      <c r="G56" s="4">
        <f>F56/F$53</f>
        <v>0</v>
      </c>
      <c r="H56" s="2"/>
      <c r="I56" s="3">
        <f>SOO!AE19</f>
        <v>0</v>
      </c>
      <c r="J56" s="4">
        <f>I56/I$53</f>
        <v>0</v>
      </c>
      <c r="K56" s="2"/>
      <c r="L56" s="3">
        <f>SOO!AR19</f>
        <v>0</v>
      </c>
      <c r="M56" s="4">
        <f>L56/L$53</f>
        <v>0</v>
      </c>
      <c r="N56" s="2"/>
      <c r="O56" s="3">
        <f>SOO!BE19</f>
        <v>0</v>
      </c>
      <c r="P56" s="4">
        <f>O56/O$53</f>
        <v>0</v>
      </c>
      <c r="Q56" s="2"/>
      <c r="R56" s="3">
        <f>SOO!BR19</f>
        <v>0</v>
      </c>
      <c r="S56" s="4">
        <f>R56/R$53</f>
        <v>0</v>
      </c>
      <c r="T56" s="2"/>
    </row>
    <row r="57" spans="1:20" ht="15.75" customHeight="1">
      <c r="A57" s="2"/>
      <c r="B57" s="2"/>
      <c r="C57" s="21" t="s">
        <v>36</v>
      </c>
      <c r="D57" s="2"/>
      <c r="E57" s="2"/>
      <c r="F57" s="3">
        <f>SOO!R20</f>
        <v>25742.962856197795</v>
      </c>
      <c r="G57" s="4">
        <f>F57/F$53</f>
        <v>4.8151563141593953E-2</v>
      </c>
      <c r="H57" s="2"/>
      <c r="I57" s="3">
        <f>SOO!AE20</f>
        <v>34752.999855867027</v>
      </c>
      <c r="J57" s="4">
        <f>I57/I$53</f>
        <v>5.0063981390923912E-2</v>
      </c>
      <c r="K57" s="2"/>
      <c r="L57" s="3">
        <f>SOO!AR20</f>
        <v>39225.839652131384</v>
      </c>
      <c r="M57" s="4">
        <f>L57/L$53</f>
        <v>4.9585573673795971E-2</v>
      </c>
      <c r="N57" s="2"/>
      <c r="O57" s="3">
        <f>SOO!BE20</f>
        <v>42334.302417017272</v>
      </c>
      <c r="P57" s="4">
        <f>O57/O$53</f>
        <v>4.8639438223130535E-2</v>
      </c>
      <c r="Q57" s="2"/>
      <c r="R57" s="3">
        <f>SOO!BR20</f>
        <v>46567.732658719011</v>
      </c>
      <c r="S57" s="4">
        <f>R57/R$53</f>
        <v>4.8628567666894669E-2</v>
      </c>
      <c r="T57" s="2"/>
    </row>
    <row r="58" spans="1:20" ht="15.75" customHeight="1">
      <c r="A58" s="2"/>
      <c r="B58" s="2"/>
      <c r="C58" s="2" t="s">
        <v>37</v>
      </c>
      <c r="D58" s="2"/>
      <c r="E58" s="2"/>
      <c r="F58" s="3">
        <f>SOO!R24</f>
        <v>6841.6796176339294</v>
      </c>
      <c r="G58" s="4">
        <f>F58/F$53</f>
        <v>1.2797189272397298E-2</v>
      </c>
      <c r="H58" s="2"/>
      <c r="I58" s="3">
        <f>SOO!AE24</f>
        <v>8894.1835029241065</v>
      </c>
      <c r="J58" s="4">
        <f>I58/I$53</f>
        <v>1.2812656151255465E-2</v>
      </c>
      <c r="K58" s="2"/>
      <c r="L58" s="3">
        <f>SOO!AR24</f>
        <v>10295.082346863734</v>
      </c>
      <c r="M58" s="4">
        <f>L58/L$53</f>
        <v>1.3014063400946728E-2</v>
      </c>
      <c r="N58" s="2"/>
      <c r="O58" s="3">
        <f>SOO!BE24</f>
        <v>11466.263938807966</v>
      </c>
      <c r="P58" s="4">
        <f>O58/O$53</f>
        <v>1.3174012671992766E-2</v>
      </c>
      <c r="Q58" s="2"/>
      <c r="R58" s="3">
        <f>SOO!BR24</f>
        <v>12773.406246461916</v>
      </c>
      <c r="S58" s="4">
        <f>R58/R$53</f>
        <v>1.33386878537774E-2</v>
      </c>
      <c r="T58" s="2"/>
    </row>
    <row r="59" spans="1:20" ht="15.75" customHeight="1">
      <c r="A59" s="2"/>
      <c r="B59" s="2"/>
      <c r="C59" s="2"/>
      <c r="D59" s="2"/>
      <c r="E59" s="1" t="s">
        <v>40</v>
      </c>
      <c r="F59" s="18">
        <f>SUM(F56:F58)</f>
        <v>32584.642473831726</v>
      </c>
      <c r="G59" s="22">
        <f>F59/F$53</f>
        <v>6.0948752413991253E-2</v>
      </c>
      <c r="H59" s="2"/>
      <c r="I59" s="18">
        <f>SUM(I56:I58)</f>
        <v>43647.183358791131</v>
      </c>
      <c r="J59" s="22">
        <f>I59/I$53</f>
        <v>6.287663754217937E-2</v>
      </c>
      <c r="K59" s="2"/>
      <c r="L59" s="18">
        <f>SUM(L56:L58)</f>
        <v>49520.921998995116</v>
      </c>
      <c r="M59" s="22">
        <f>L59/L$53</f>
        <v>6.2599637074742698E-2</v>
      </c>
      <c r="N59" s="2"/>
      <c r="O59" s="18">
        <f>SUM(O56:O58)</f>
        <v>53800.566355825242</v>
      </c>
      <c r="P59" s="22">
        <f>O59/O$53</f>
        <v>6.1813450895123308E-2</v>
      </c>
      <c r="Q59" s="2"/>
      <c r="R59" s="18">
        <f>SUM(R56:R58)</f>
        <v>59341.138905180924</v>
      </c>
      <c r="S59" s="22">
        <f>R59/R$53</f>
        <v>6.1967255520672067E-2</v>
      </c>
      <c r="T59" s="2"/>
    </row>
    <row r="60" spans="1:20" ht="15.75" customHeight="1">
      <c r="A60" s="2"/>
      <c r="B60" s="2"/>
      <c r="C60" s="2"/>
      <c r="D60" s="2"/>
      <c r="E60" s="2"/>
      <c r="F60" s="3"/>
      <c r="G60" s="4"/>
      <c r="H60" s="2"/>
      <c r="I60" s="3"/>
      <c r="J60" s="4"/>
      <c r="K60" s="2"/>
      <c r="L60" s="3"/>
      <c r="M60" s="4"/>
      <c r="N60" s="2"/>
      <c r="O60" s="3"/>
      <c r="P60" s="4"/>
      <c r="Q60" s="2"/>
      <c r="R60" s="3"/>
      <c r="S60" s="4"/>
      <c r="T60" s="2"/>
    </row>
    <row r="61" spans="1:20" ht="15.75" customHeight="1">
      <c r="A61" s="2"/>
      <c r="B61" s="1" t="s">
        <v>41</v>
      </c>
      <c r="C61" s="2"/>
      <c r="D61" s="2"/>
      <c r="E61" s="2"/>
      <c r="F61" s="3">
        <f>SOO!R29</f>
        <v>505556.01292613405</v>
      </c>
      <c r="G61" s="4">
        <f>F61/F$53</f>
        <v>0.94562977905880063</v>
      </c>
      <c r="H61" s="2"/>
      <c r="I61" s="3">
        <f>SOO!AE29</f>
        <v>706235.29748963425</v>
      </c>
      <c r="J61" s="4">
        <f>I61/I$53</f>
        <v>1.0173783828093239</v>
      </c>
      <c r="K61" s="2"/>
      <c r="L61" s="3">
        <f>SOO!AR29</f>
        <v>771146.77279180067</v>
      </c>
      <c r="M61" s="4">
        <f>L61/L$53</f>
        <v>0.97481036619442107</v>
      </c>
      <c r="N61" s="2"/>
      <c r="O61" s="3">
        <f>SOO!BE29</f>
        <v>873144.20302450215</v>
      </c>
      <c r="P61" s="4">
        <f>O61/O$53</f>
        <v>1.0031875122105072</v>
      </c>
      <c r="Q61" s="2"/>
      <c r="R61" s="3">
        <f>SOO!BR29</f>
        <v>998863.76430214569</v>
      </c>
      <c r="S61" s="4">
        <f>R61/R$53</f>
        <v>1.0430680511837525</v>
      </c>
      <c r="T61" s="2"/>
    </row>
    <row r="62" spans="1:20" ht="15.75" customHeight="1">
      <c r="A62" s="2"/>
      <c r="B62" s="2"/>
      <c r="C62" s="2"/>
      <c r="D62" s="2"/>
      <c r="E62" s="2"/>
      <c r="F62" s="3"/>
      <c r="G62" s="4"/>
      <c r="H62" s="2"/>
      <c r="I62" s="3"/>
      <c r="J62" s="4"/>
      <c r="K62" s="2"/>
      <c r="L62" s="3"/>
      <c r="M62" s="4"/>
      <c r="N62" s="2"/>
      <c r="O62" s="3"/>
      <c r="P62" s="4"/>
      <c r="Q62" s="2"/>
      <c r="R62" s="3"/>
      <c r="S62" s="4"/>
      <c r="T62" s="2"/>
    </row>
    <row r="63" spans="1:20" ht="15.75" customHeight="1">
      <c r="A63" s="1"/>
      <c r="B63" s="23" t="s">
        <v>42</v>
      </c>
      <c r="C63" s="24"/>
      <c r="D63" s="24"/>
      <c r="E63" s="21"/>
      <c r="F63" s="3"/>
      <c r="G63" s="4"/>
      <c r="H63" s="2"/>
      <c r="I63" s="3"/>
      <c r="J63" s="4"/>
      <c r="K63" s="2"/>
      <c r="L63" s="3"/>
      <c r="M63" s="4"/>
      <c r="N63" s="2"/>
      <c r="O63" s="3"/>
      <c r="P63" s="4"/>
      <c r="Q63" s="2"/>
      <c r="R63" s="3"/>
      <c r="S63" s="4"/>
      <c r="T63" s="2"/>
    </row>
    <row r="64" spans="1:20" ht="15.75" customHeight="1">
      <c r="A64" s="1"/>
      <c r="B64" s="23"/>
      <c r="C64" s="25" t="s">
        <v>43</v>
      </c>
      <c r="D64" s="24"/>
      <c r="E64" s="21"/>
      <c r="F64" s="3"/>
      <c r="G64" s="4"/>
      <c r="H64" s="2"/>
      <c r="I64" s="3"/>
      <c r="J64" s="4"/>
      <c r="K64" s="2"/>
      <c r="L64" s="3"/>
      <c r="M64" s="4"/>
      <c r="N64" s="2"/>
      <c r="O64" s="3"/>
      <c r="P64" s="4"/>
      <c r="Q64" s="2"/>
      <c r="R64" s="3"/>
      <c r="S64" s="4"/>
      <c r="T64" s="2"/>
    </row>
    <row r="65" spans="1:20" ht="15.75" customHeight="1">
      <c r="A65" s="2"/>
      <c r="B65" s="2"/>
      <c r="C65" s="24" t="s">
        <v>44</v>
      </c>
      <c r="D65" s="24"/>
      <c r="E65" s="24"/>
      <c r="F65" s="3">
        <f>SOO!R33</f>
        <v>75000</v>
      </c>
      <c r="G65" s="4">
        <f>F65/F$53</f>
        <v>0.14028560953892238</v>
      </c>
      <c r="H65" s="2"/>
      <c r="I65" s="3">
        <f>SOO!AE33</f>
        <v>85932</v>
      </c>
      <c r="J65" s="4">
        <f>I65/I$53</f>
        <v>0.12379069624858846</v>
      </c>
      <c r="K65" s="2"/>
      <c r="L65" s="3">
        <f>SOO!AR33</f>
        <v>146880</v>
      </c>
      <c r="M65" s="4">
        <f>L65/L$53</f>
        <v>0.18567171858643478</v>
      </c>
      <c r="N65" s="2"/>
      <c r="O65" s="3">
        <f>SOO!BE33</f>
        <v>146880</v>
      </c>
      <c r="P65" s="4">
        <f>O65/O$53</f>
        <v>0.16875583813427025</v>
      </c>
      <c r="Q65" s="2"/>
      <c r="R65" s="3">
        <f>SOO!BR33</f>
        <v>168756</v>
      </c>
      <c r="S65" s="4">
        <f>R65/R$53</f>
        <v>0.17622422430004173</v>
      </c>
      <c r="T65" s="2"/>
    </row>
    <row r="66" spans="1:20" ht="15.75" customHeight="1">
      <c r="A66" s="2"/>
      <c r="B66" s="2"/>
      <c r="C66" s="26" t="s">
        <v>45</v>
      </c>
      <c r="D66" s="24"/>
      <c r="E66" s="24"/>
      <c r="F66" s="3"/>
      <c r="G66" s="4"/>
      <c r="H66" s="2"/>
      <c r="I66" s="3"/>
      <c r="J66" s="4"/>
      <c r="K66" s="2"/>
      <c r="L66" s="3"/>
      <c r="M66" s="4"/>
      <c r="N66" s="2"/>
      <c r="O66" s="3"/>
      <c r="P66" s="4"/>
      <c r="Q66" s="2"/>
      <c r="R66" s="3"/>
      <c r="S66" s="4"/>
      <c r="T66" s="2"/>
    </row>
    <row r="67" spans="1:20" ht="15.75" customHeight="1">
      <c r="A67" s="2"/>
      <c r="B67" s="21"/>
      <c r="C67" s="2" t="s">
        <v>46</v>
      </c>
      <c r="D67" s="2"/>
      <c r="E67" s="2"/>
      <c r="F67" s="3">
        <f>SOO!R36</f>
        <v>3000</v>
      </c>
      <c r="G67" s="4">
        <f t="shared" ref="G67:G78" si="0">F67/F$53</f>
        <v>5.6114243815568957E-3</v>
      </c>
      <c r="H67" s="2"/>
      <c r="I67" s="3">
        <f>SOO!AE36</f>
        <v>3150</v>
      </c>
      <c r="J67" s="4">
        <f t="shared" ref="J67:J78" si="1">I67/I$53</f>
        <v>4.5377821205494304E-3</v>
      </c>
      <c r="K67" s="2"/>
      <c r="L67" s="3">
        <f>SOO!AR36</f>
        <v>3622.5</v>
      </c>
      <c r="M67" s="4">
        <f t="shared" ref="M67:M78" si="2">L67/L$53</f>
        <v>4.5792197751862744E-3</v>
      </c>
      <c r="N67" s="2"/>
      <c r="O67" s="3">
        <f>SOO!BE36</f>
        <v>4165.875</v>
      </c>
      <c r="P67" s="4">
        <f t="shared" ref="P67:P78" si="3">O67/O$53</f>
        <v>4.7863271186519823E-3</v>
      </c>
      <c r="Q67" s="2"/>
      <c r="R67" s="3">
        <f>SOO!BR36</f>
        <v>4790.7562500000004</v>
      </c>
      <c r="S67" s="4">
        <f t="shared" ref="S67:S78" si="4">R67/R$53</f>
        <v>5.0027691102350544E-3</v>
      </c>
      <c r="T67" s="2"/>
    </row>
    <row r="68" spans="1:20" ht="15.75" customHeight="1">
      <c r="A68" s="2"/>
      <c r="B68" s="21"/>
      <c r="C68" s="24" t="s">
        <v>47</v>
      </c>
      <c r="D68" s="24"/>
      <c r="E68" s="2"/>
      <c r="F68" s="3">
        <f>SOO!R37</f>
        <v>27640.385655241073</v>
      </c>
      <c r="G68" s="4">
        <f t="shared" si="0"/>
        <v>5.1700644660485073E-2</v>
      </c>
      <c r="H68" s="2"/>
      <c r="I68" s="3">
        <f>SOO!AE37</f>
        <v>35932.501351813386</v>
      </c>
      <c r="J68" s="4">
        <f t="shared" si="1"/>
        <v>5.1763130851072071E-2</v>
      </c>
      <c r="K68" s="2"/>
      <c r="L68" s="3">
        <f>SOO!AR37</f>
        <v>41592.13268132948</v>
      </c>
      <c r="M68" s="4">
        <f t="shared" si="2"/>
        <v>5.2576816139824782E-2</v>
      </c>
      <c r="N68" s="2"/>
      <c r="O68" s="3">
        <f>SOO!BE37</f>
        <v>46323.706312784183</v>
      </c>
      <c r="P68" s="4">
        <f t="shared" si="3"/>
        <v>5.3223011194850768E-2</v>
      </c>
      <c r="Q68" s="2"/>
      <c r="R68" s="3">
        <f>SOO!BR37</f>
        <v>51604.56123570614</v>
      </c>
      <c r="S68" s="4">
        <f t="shared" si="4"/>
        <v>5.388829892926069E-2</v>
      </c>
      <c r="T68" s="2"/>
    </row>
    <row r="69" spans="1:20" ht="15.75" customHeight="1">
      <c r="A69" s="2"/>
      <c r="B69" s="21"/>
      <c r="C69" s="24" t="s">
        <v>48</v>
      </c>
      <c r="D69" s="24"/>
      <c r="E69" s="2"/>
      <c r="F69" s="3">
        <f>SOO!R62</f>
        <v>33828</v>
      </c>
      <c r="G69" s="4">
        <f t="shared" si="0"/>
        <v>6.3274421326435557E-2</v>
      </c>
      <c r="H69" s="2"/>
      <c r="I69" s="3">
        <f>SOO!AE62</f>
        <v>33828</v>
      </c>
      <c r="J69" s="4">
        <f t="shared" si="1"/>
        <v>4.873145827744322E-2</v>
      </c>
      <c r="K69" s="2"/>
      <c r="L69" s="3">
        <f>SOO!AR62</f>
        <v>33828</v>
      </c>
      <c r="M69" s="4">
        <f t="shared" si="2"/>
        <v>4.2762138455486896E-2</v>
      </c>
      <c r="N69" s="2"/>
      <c r="O69" s="3">
        <f>SOO!BE62</f>
        <v>33828</v>
      </c>
      <c r="P69" s="4">
        <f t="shared" si="3"/>
        <v>3.886623428925718E-2</v>
      </c>
      <c r="Q69" s="2"/>
      <c r="R69" s="3">
        <f>SOO!BR62</f>
        <v>33828</v>
      </c>
      <c r="S69" s="4">
        <f t="shared" si="4"/>
        <v>3.532504361102308E-2</v>
      </c>
      <c r="T69" s="2"/>
    </row>
    <row r="70" spans="1:20" ht="15.75" customHeight="1">
      <c r="A70" s="2"/>
      <c r="B70" s="21"/>
      <c r="C70" s="24" t="s">
        <v>49</v>
      </c>
      <c r="D70" s="24"/>
      <c r="E70" s="24"/>
      <c r="F70" s="3">
        <f>SOO!R39</f>
        <v>1263</v>
      </c>
      <c r="G70" s="4">
        <f t="shared" si="0"/>
        <v>2.3624096646354532E-3</v>
      </c>
      <c r="H70" s="2"/>
      <c r="I70" s="3">
        <f>SOO!AE39</f>
        <v>1326.1500000000003</v>
      </c>
      <c r="J70" s="4">
        <f t="shared" si="1"/>
        <v>1.9104062727513106E-3</v>
      </c>
      <c r="K70" s="2"/>
      <c r="L70" s="3">
        <f>SOO!AR39</f>
        <v>1392.4575000000002</v>
      </c>
      <c r="M70" s="4">
        <f t="shared" si="2"/>
        <v>1.7602122622792111E-3</v>
      </c>
      <c r="N70" s="2"/>
      <c r="O70" s="3">
        <f>SOO!BE39</f>
        <v>1462.0803750000002</v>
      </c>
      <c r="P70" s="4">
        <f t="shared" si="3"/>
        <v>1.679837956854529E-3</v>
      </c>
      <c r="Q70" s="2"/>
      <c r="R70" s="3">
        <f>SOO!BR39</f>
        <v>1535.18439375</v>
      </c>
      <c r="S70" s="4">
        <f t="shared" si="4"/>
        <v>1.6031233197404749E-3</v>
      </c>
      <c r="T70" s="2"/>
    </row>
    <row r="71" spans="1:20" ht="15.75" customHeight="1">
      <c r="A71" s="2"/>
      <c r="B71" s="21"/>
      <c r="C71" s="21" t="s">
        <v>50</v>
      </c>
      <c r="D71" s="24"/>
      <c r="E71" s="24"/>
      <c r="F71" s="3">
        <f>SOO!R40</f>
        <v>1200</v>
      </c>
      <c r="G71" s="4">
        <f t="shared" si="0"/>
        <v>2.2445697526227585E-3</v>
      </c>
      <c r="H71" s="2"/>
      <c r="I71" s="3">
        <f>SOO!AE40</f>
        <v>1260</v>
      </c>
      <c r="J71" s="4">
        <f t="shared" si="1"/>
        <v>1.8151128482197722E-3</v>
      </c>
      <c r="K71" s="2"/>
      <c r="L71" s="3">
        <f>SOO!AR40</f>
        <v>1310.4000000000003</v>
      </c>
      <c r="M71" s="4">
        <f t="shared" si="2"/>
        <v>1.656482979545644E-3</v>
      </c>
      <c r="N71" s="2"/>
      <c r="O71" s="3">
        <f>SOO!BE40</f>
        <v>1349.712</v>
      </c>
      <c r="P71" s="4">
        <f t="shared" si="3"/>
        <v>1.5507337949338385E-3</v>
      </c>
      <c r="Q71" s="2"/>
      <c r="R71" s="3">
        <f>SOO!BR40</f>
        <v>1376.7062399999998</v>
      </c>
      <c r="S71" s="4">
        <f t="shared" si="4"/>
        <v>1.4376317833619369E-3</v>
      </c>
      <c r="T71" s="2"/>
    </row>
    <row r="72" spans="1:20" ht="15.75" customHeight="1">
      <c r="A72" s="2"/>
      <c r="B72" s="21"/>
      <c r="C72" s="24" t="s">
        <v>51</v>
      </c>
      <c r="D72" s="24"/>
      <c r="E72" s="2"/>
      <c r="F72" s="3">
        <f>SOO!R41</f>
        <v>5400</v>
      </c>
      <c r="G72" s="4">
        <f t="shared" si="0"/>
        <v>1.0100563886802413E-2</v>
      </c>
      <c r="H72" s="2"/>
      <c r="I72" s="3">
        <f>SOO!AE41</f>
        <v>5670</v>
      </c>
      <c r="J72" s="4">
        <f t="shared" si="1"/>
        <v>8.1680078169889744E-3</v>
      </c>
      <c r="K72" s="2"/>
      <c r="L72" s="3">
        <f>SOO!AR41</f>
        <v>5896.7999999999993</v>
      </c>
      <c r="M72" s="4">
        <f t="shared" si="2"/>
        <v>7.4541734079553949E-3</v>
      </c>
      <c r="N72" s="2"/>
      <c r="O72" s="3">
        <f>SOO!BE41</f>
        <v>6073.7039999999988</v>
      </c>
      <c r="P72" s="4">
        <f t="shared" si="3"/>
        <v>6.9783020772022719E-3</v>
      </c>
      <c r="Q72" s="2"/>
      <c r="R72" s="3">
        <f>SOO!BR41</f>
        <v>6195.1780799999988</v>
      </c>
      <c r="S72" s="4">
        <f t="shared" si="4"/>
        <v>6.4693430251287157E-3</v>
      </c>
      <c r="T72" s="2"/>
    </row>
    <row r="73" spans="1:20" ht="15.75" customHeight="1">
      <c r="A73" s="2"/>
      <c r="B73" s="21"/>
      <c r="C73" s="24" t="s">
        <v>52</v>
      </c>
      <c r="D73" s="24"/>
      <c r="E73" s="2"/>
      <c r="F73" s="3">
        <f>SOO!R42</f>
        <v>1674.9999999999998</v>
      </c>
      <c r="G73" s="4">
        <f t="shared" si="0"/>
        <v>3.1330452797025997E-3</v>
      </c>
      <c r="H73" s="2"/>
      <c r="I73" s="3">
        <f>SOO!AE42</f>
        <v>1674.9999999999998</v>
      </c>
      <c r="J73" s="4">
        <f t="shared" si="1"/>
        <v>2.4129476355302525E-3</v>
      </c>
      <c r="K73" s="2"/>
      <c r="L73" s="3">
        <f>SOO!AR42</f>
        <v>1674.9999999999998</v>
      </c>
      <c r="M73" s="4">
        <f t="shared" si="2"/>
        <v>2.1173756034332664E-3</v>
      </c>
      <c r="N73" s="2"/>
      <c r="O73" s="3">
        <f>SOO!BE42</f>
        <v>1674.9999999999998</v>
      </c>
      <c r="P73" s="4">
        <f t="shared" si="3"/>
        <v>1.9244691508367555E-3</v>
      </c>
      <c r="Q73" s="2"/>
      <c r="R73" s="3">
        <f>SOO!BR42</f>
        <v>1674.9999999999998</v>
      </c>
      <c r="S73" s="4">
        <f t="shared" si="4"/>
        <v>1.7491264055948816E-3</v>
      </c>
      <c r="T73" s="2"/>
    </row>
    <row r="74" spans="1:20" ht="15.75" customHeight="1">
      <c r="A74" s="2"/>
      <c r="B74" s="21"/>
      <c r="C74" s="24" t="s">
        <v>53</v>
      </c>
      <c r="D74" s="24"/>
      <c r="E74" s="2"/>
      <c r="F74" s="3">
        <f>SOO!R43</f>
        <v>1200</v>
      </c>
      <c r="G74" s="4">
        <f t="shared" si="0"/>
        <v>2.2445697526227585E-3</v>
      </c>
      <c r="H74" s="2"/>
      <c r="I74" s="3">
        <f>SOO!AE43</f>
        <v>1260</v>
      </c>
      <c r="J74" s="4">
        <f t="shared" si="1"/>
        <v>1.8151128482197722E-3</v>
      </c>
      <c r="K74" s="2"/>
      <c r="L74" s="3">
        <f>SOO!AR43</f>
        <v>1335.5999999999997</v>
      </c>
      <c r="M74" s="4">
        <f t="shared" si="2"/>
        <v>1.6883384214599823E-3</v>
      </c>
      <c r="N74" s="2"/>
      <c r="O74" s="3">
        <f>SOO!BE43</f>
        <v>1469.1600000000005</v>
      </c>
      <c r="P74" s="4">
        <f t="shared" si="3"/>
        <v>1.6879719985930324E-3</v>
      </c>
      <c r="Q74" s="2"/>
      <c r="R74" s="3">
        <f>SOO!BR43</f>
        <v>1616.0760000000002</v>
      </c>
      <c r="S74" s="4">
        <f t="shared" si="4"/>
        <v>1.6875947492824804E-3</v>
      </c>
      <c r="T74" s="2"/>
    </row>
    <row r="75" spans="1:20" ht="15.75" customHeight="1">
      <c r="A75" s="2"/>
      <c r="B75" s="21"/>
      <c r="C75" s="24" t="s">
        <v>54</v>
      </c>
      <c r="D75" s="24"/>
      <c r="E75" s="24"/>
      <c r="F75" s="3">
        <f>SOO!R44</f>
        <v>1200</v>
      </c>
      <c r="G75" s="4">
        <f t="shared" si="0"/>
        <v>2.2445697526227585E-3</v>
      </c>
      <c r="H75" s="2"/>
      <c r="I75" s="3">
        <f>SOO!AE44</f>
        <v>1236</v>
      </c>
      <c r="J75" s="4">
        <f t="shared" si="1"/>
        <v>1.7805392701584432E-3</v>
      </c>
      <c r="K75" s="2"/>
      <c r="L75" s="3">
        <f>SOO!AR44</f>
        <v>1273.08</v>
      </c>
      <c r="M75" s="4">
        <f t="shared" si="2"/>
        <v>1.6093065869963123E-3</v>
      </c>
      <c r="N75" s="2"/>
      <c r="O75" s="3">
        <f>SOO!BE44</f>
        <v>1311.2724000000001</v>
      </c>
      <c r="P75" s="4">
        <f t="shared" si="3"/>
        <v>1.5065691236678656E-3</v>
      </c>
      <c r="Q75" s="2"/>
      <c r="R75" s="3">
        <f>SOO!BR44</f>
        <v>1350.610572</v>
      </c>
      <c r="S75" s="4">
        <f t="shared" si="4"/>
        <v>1.4103812627825716E-3</v>
      </c>
      <c r="T75" s="2"/>
    </row>
    <row r="76" spans="1:20" ht="15.75" customHeight="1">
      <c r="A76" s="2"/>
      <c r="B76" s="21"/>
      <c r="C76" s="21" t="s">
        <v>55</v>
      </c>
      <c r="D76" s="2"/>
      <c r="E76" s="2"/>
      <c r="F76" s="3">
        <f>SOO!R45</f>
        <v>92400</v>
      </c>
      <c r="G76" s="4">
        <f t="shared" si="0"/>
        <v>0.17283187095195238</v>
      </c>
      <c r="H76" s="2"/>
      <c r="I76" s="3">
        <f>SOO!AE45</f>
        <v>97860</v>
      </c>
      <c r="J76" s="4">
        <f t="shared" si="1"/>
        <v>0.14097376454506896</v>
      </c>
      <c r="K76" s="2"/>
      <c r="L76" s="3">
        <f>SOO!AR45</f>
        <v>103913.39999999998</v>
      </c>
      <c r="M76" s="4">
        <f t="shared" si="2"/>
        <v>0.13135743165958352</v>
      </c>
      <c r="N76" s="2"/>
      <c r="O76" s="3">
        <f>SOO!BE45</f>
        <v>110585.99099999998</v>
      </c>
      <c r="P76" s="4">
        <f t="shared" si="3"/>
        <v>0.1270563153398275</v>
      </c>
      <c r="Q76" s="2"/>
      <c r="R76" s="3">
        <f>SOO!BR45</f>
        <v>118950.67722000003</v>
      </c>
      <c r="S76" s="4">
        <f t="shared" si="4"/>
        <v>0.12421478835157948</v>
      </c>
      <c r="T76" s="2"/>
    </row>
    <row r="77" spans="1:20" ht="15.75" customHeight="1">
      <c r="A77" s="2"/>
      <c r="B77" s="21"/>
      <c r="C77" s="21" t="s">
        <v>56</v>
      </c>
      <c r="D77" s="24"/>
      <c r="E77" s="24"/>
      <c r="F77" s="3">
        <f>SOO!R46</f>
        <v>240</v>
      </c>
      <c r="G77" s="4">
        <f t="shared" si="0"/>
        <v>4.4891395052455165E-4</v>
      </c>
      <c r="H77" s="2"/>
      <c r="I77" s="3">
        <f>SOO!AE46</f>
        <v>240</v>
      </c>
      <c r="J77" s="4">
        <f t="shared" si="1"/>
        <v>3.4573578061328995E-4</v>
      </c>
      <c r="K77" s="2"/>
      <c r="L77" s="3">
        <f>SOO!AR46</f>
        <v>240</v>
      </c>
      <c r="M77" s="4">
        <f t="shared" si="2"/>
        <v>3.0338516108894571E-4</v>
      </c>
      <c r="N77" s="2"/>
      <c r="O77" s="3">
        <f>SOO!BE46</f>
        <v>240</v>
      </c>
      <c r="P77" s="4">
        <f t="shared" si="3"/>
        <v>2.7574483355272919E-4</v>
      </c>
      <c r="Q77" s="2"/>
      <c r="R77" s="3">
        <f>SOO!BR46</f>
        <v>240</v>
      </c>
      <c r="S77" s="4">
        <f t="shared" si="4"/>
        <v>2.5062109692105768E-4</v>
      </c>
      <c r="T77" s="2"/>
    </row>
    <row r="78" spans="1:20" ht="15.75" customHeight="1">
      <c r="A78" s="1"/>
      <c r="B78" s="21"/>
      <c r="C78" s="21" t="s">
        <v>57</v>
      </c>
      <c r="D78" s="24"/>
      <c r="E78" s="24"/>
      <c r="F78" s="3">
        <f>SOO!R47</f>
        <v>4800</v>
      </c>
      <c r="G78" s="4">
        <f t="shared" si="0"/>
        <v>8.9782790104910339E-3</v>
      </c>
      <c r="H78" s="2"/>
      <c r="I78" s="3">
        <f>SOO!AE47</f>
        <v>4800</v>
      </c>
      <c r="J78" s="4">
        <f t="shared" si="1"/>
        <v>6.9147156122657989E-3</v>
      </c>
      <c r="K78" s="2"/>
      <c r="L78" s="3">
        <f>SOO!AR47</f>
        <v>4800</v>
      </c>
      <c r="M78" s="4">
        <f t="shared" si="2"/>
        <v>6.0677032217789136E-3</v>
      </c>
      <c r="N78" s="2"/>
      <c r="O78" s="3">
        <f>SOO!BE47</f>
        <v>4800</v>
      </c>
      <c r="P78" s="4">
        <f t="shared" si="3"/>
        <v>5.5148966710545835E-3</v>
      </c>
      <c r="Q78" s="2"/>
      <c r="R78" s="3">
        <f>SOO!BR47</f>
        <v>4800</v>
      </c>
      <c r="S78" s="4">
        <f t="shared" si="4"/>
        <v>5.0124219384211537E-3</v>
      </c>
      <c r="T78" s="2"/>
    </row>
    <row r="79" spans="1:20" ht="15.75" customHeight="1">
      <c r="A79" s="2"/>
      <c r="B79" s="21"/>
      <c r="C79" s="21" t="s">
        <v>58</v>
      </c>
      <c r="D79" s="24"/>
      <c r="E79" s="24"/>
      <c r="F79" s="3"/>
      <c r="G79" s="4"/>
      <c r="H79" s="2"/>
      <c r="I79" s="3"/>
      <c r="J79" s="4"/>
      <c r="K79" s="2"/>
      <c r="L79" s="3"/>
      <c r="M79" s="4"/>
      <c r="N79" s="2"/>
      <c r="O79" s="3"/>
      <c r="P79" s="4"/>
      <c r="Q79" s="2"/>
      <c r="R79" s="3"/>
      <c r="S79" s="4"/>
      <c r="T79" s="2"/>
    </row>
    <row r="80" spans="1:20" ht="15.75" customHeight="1">
      <c r="A80" s="1"/>
      <c r="B80" s="21"/>
      <c r="C80" s="21"/>
      <c r="D80" s="2" t="s">
        <v>59</v>
      </c>
      <c r="E80" s="2"/>
      <c r="F80" s="3">
        <f>SOO!R49</f>
        <v>1500</v>
      </c>
      <c r="G80" s="4">
        <f t="shared" ref="G80:G88" si="5">F80/F$53</f>
        <v>2.8057121907784479E-3</v>
      </c>
      <c r="H80" s="2"/>
      <c r="I80" s="3">
        <f>SOO!AE49</f>
        <v>1650</v>
      </c>
      <c r="J80" s="4">
        <f t="shared" ref="J80:J88" si="6">I80/I$53</f>
        <v>2.3769334917163685E-3</v>
      </c>
      <c r="K80" s="2"/>
      <c r="L80" s="3">
        <f>SOO!AR49</f>
        <v>1773.75</v>
      </c>
      <c r="M80" s="4">
        <f t="shared" ref="M80:M88" si="7">L80/L$53</f>
        <v>2.2422059561729895E-3</v>
      </c>
      <c r="N80" s="2"/>
      <c r="O80" s="3">
        <f>SOO!BE49</f>
        <v>1862.4375</v>
      </c>
      <c r="P80" s="4">
        <f t="shared" ref="P80:P88" si="8">O80/O$53</f>
        <v>2.1398229934994212E-3</v>
      </c>
      <c r="Q80" s="2"/>
      <c r="R80" s="3">
        <f>SOO!BR49</f>
        <v>1908.9984374999997</v>
      </c>
      <c r="S80" s="4">
        <f t="shared" ref="S80:S88" si="9">R80/R$53</f>
        <v>1.9934803434451462E-3</v>
      </c>
      <c r="T80" s="2"/>
    </row>
    <row r="81" spans="1:20" ht="15.75" customHeight="1">
      <c r="A81" s="2"/>
      <c r="B81" s="21"/>
      <c r="C81" s="21"/>
      <c r="D81" s="2" t="s">
        <v>60</v>
      </c>
      <c r="E81" s="2"/>
      <c r="F81" s="3">
        <f>SOO!R50</f>
        <v>9200</v>
      </c>
      <c r="G81" s="4">
        <f t="shared" si="5"/>
        <v>1.7208368103441146E-2</v>
      </c>
      <c r="H81" s="2"/>
      <c r="I81" s="3">
        <f>SOO!AE50</f>
        <v>4410</v>
      </c>
      <c r="J81" s="4">
        <f t="shared" si="6"/>
        <v>6.3528949687692024E-3</v>
      </c>
      <c r="K81" s="2"/>
      <c r="L81" s="3">
        <f>SOO!AR50</f>
        <v>4630.5</v>
      </c>
      <c r="M81" s="4">
        <f t="shared" si="7"/>
        <v>5.8534374517598461E-3</v>
      </c>
      <c r="N81" s="2"/>
      <c r="O81" s="3">
        <f>SOO!BE50</f>
        <v>4862.0249999999996</v>
      </c>
      <c r="P81" s="4">
        <f t="shared" si="8"/>
        <v>5.5861594764758668E-3</v>
      </c>
      <c r="Q81" s="2"/>
      <c r="R81" s="3">
        <f>SOO!BR50</f>
        <v>5105.1262500000012</v>
      </c>
      <c r="S81" s="4">
        <f t="shared" si="9"/>
        <v>5.3310514195645253E-3</v>
      </c>
      <c r="T81" s="2"/>
    </row>
    <row r="82" spans="1:20" ht="15.75" customHeight="1">
      <c r="A82" s="2"/>
      <c r="B82" s="21"/>
      <c r="C82" s="21"/>
      <c r="D82" s="2" t="s">
        <v>61</v>
      </c>
      <c r="E82" s="2"/>
      <c r="F82" s="3">
        <f>SOO!R51</f>
        <v>2400</v>
      </c>
      <c r="G82" s="4">
        <f t="shared" si="5"/>
        <v>4.4891395052455169E-3</v>
      </c>
      <c r="H82" s="2"/>
      <c r="I82" s="3">
        <f>SOO!AE51</f>
        <v>2520</v>
      </c>
      <c r="J82" s="4">
        <f t="shared" si="6"/>
        <v>3.6302256964395444E-3</v>
      </c>
      <c r="K82" s="2"/>
      <c r="L82" s="3">
        <f>SOO!AR51</f>
        <v>2646</v>
      </c>
      <c r="M82" s="4">
        <f t="shared" si="7"/>
        <v>3.3448214010056263E-3</v>
      </c>
      <c r="N82" s="2"/>
      <c r="O82" s="3">
        <f>SOO!BE51</f>
        <v>2778.3000000000006</v>
      </c>
      <c r="P82" s="4">
        <f t="shared" si="8"/>
        <v>3.192091129414782E-3</v>
      </c>
      <c r="Q82" s="2"/>
      <c r="R82" s="3">
        <f>SOO!BR51</f>
        <v>2917.2150000000006</v>
      </c>
      <c r="S82" s="4">
        <f t="shared" si="9"/>
        <v>3.0463150968940145E-3</v>
      </c>
      <c r="T82" s="2"/>
    </row>
    <row r="83" spans="1:20" ht="15.75" customHeight="1">
      <c r="A83" s="2"/>
      <c r="B83" s="21"/>
      <c r="C83" s="21" t="s">
        <v>62</v>
      </c>
      <c r="D83" s="2"/>
      <c r="E83" s="2"/>
      <c r="F83" s="3">
        <f>SOO!R52</f>
        <v>600</v>
      </c>
      <c r="G83" s="4">
        <f t="shared" si="5"/>
        <v>1.1222848763113792E-3</v>
      </c>
      <c r="H83" s="2"/>
      <c r="I83" s="3">
        <f>SOO!AE52</f>
        <v>630</v>
      </c>
      <c r="J83" s="4">
        <f t="shared" si="6"/>
        <v>9.0755642410988611E-4</v>
      </c>
      <c r="K83" s="2"/>
      <c r="L83" s="3">
        <f>SOO!AR52</f>
        <v>693.00000000000011</v>
      </c>
      <c r="M83" s="4">
        <f t="shared" si="7"/>
        <v>8.7602465264433082E-4</v>
      </c>
      <c r="N83" s="2"/>
      <c r="O83" s="3">
        <f>SOO!BE52</f>
        <v>779.62500000000011</v>
      </c>
      <c r="P83" s="4">
        <f t="shared" si="8"/>
        <v>8.957398577439439E-4</v>
      </c>
      <c r="Q83" s="2"/>
      <c r="R83" s="3">
        <f>SOO!BR52</f>
        <v>896.56874999999991</v>
      </c>
      <c r="S83" s="4">
        <f t="shared" si="9"/>
        <v>9.3624601495892305E-4</v>
      </c>
      <c r="T83" s="2"/>
    </row>
    <row r="84" spans="1:20" ht="15.75" customHeight="1">
      <c r="A84" s="2"/>
      <c r="B84" s="21"/>
      <c r="C84" s="21" t="s">
        <v>63</v>
      </c>
      <c r="D84" s="2"/>
      <c r="E84" s="2"/>
      <c r="F84" s="3">
        <f>SOO!R53</f>
        <v>0</v>
      </c>
      <c r="G84" s="4">
        <f t="shared" si="5"/>
        <v>0</v>
      </c>
      <c r="H84" s="2"/>
      <c r="I84" s="3">
        <f>SOO!AE53</f>
        <v>0</v>
      </c>
      <c r="J84" s="4">
        <f t="shared" si="6"/>
        <v>0</v>
      </c>
      <c r="K84" s="2"/>
      <c r="L84" s="3">
        <f>SOO!AR53</f>
        <v>0</v>
      </c>
      <c r="M84" s="4">
        <f t="shared" si="7"/>
        <v>0</v>
      </c>
      <c r="N84" s="2"/>
      <c r="O84" s="3">
        <f>SOO!BE53</f>
        <v>0</v>
      </c>
      <c r="P84" s="4">
        <f t="shared" si="8"/>
        <v>0</v>
      </c>
      <c r="Q84" s="2"/>
      <c r="R84" s="3">
        <f>SOO!BR53</f>
        <v>0</v>
      </c>
      <c r="S84" s="4">
        <f t="shared" si="9"/>
        <v>0</v>
      </c>
      <c r="T84" s="2"/>
    </row>
    <row r="85" spans="1:20" ht="15.75" customHeight="1">
      <c r="A85" s="2"/>
      <c r="B85" s="21"/>
      <c r="C85" s="24" t="s">
        <v>64</v>
      </c>
      <c r="D85" s="24"/>
      <c r="E85" s="24"/>
      <c r="F85" s="3">
        <f>SOO!R54</f>
        <v>1200</v>
      </c>
      <c r="G85" s="4">
        <f t="shared" si="5"/>
        <v>2.2445697526227585E-3</v>
      </c>
      <c r="H85" s="2"/>
      <c r="I85" s="3">
        <f>SOO!AE54</f>
        <v>1260</v>
      </c>
      <c r="J85" s="4">
        <f t="shared" si="6"/>
        <v>1.8151128482197722E-3</v>
      </c>
      <c r="K85" s="2"/>
      <c r="L85" s="3">
        <f>SOO!AR54</f>
        <v>1310.4000000000003</v>
      </c>
      <c r="M85" s="4">
        <f t="shared" si="7"/>
        <v>1.656482979545644E-3</v>
      </c>
      <c r="N85" s="2"/>
      <c r="O85" s="3">
        <f>SOO!BE54</f>
        <v>1349.712</v>
      </c>
      <c r="P85" s="4">
        <f t="shared" si="8"/>
        <v>1.5507337949338385E-3</v>
      </c>
      <c r="Q85" s="2"/>
      <c r="R85" s="3">
        <f>SOO!BR54</f>
        <v>1376.7062399999998</v>
      </c>
      <c r="S85" s="4">
        <f t="shared" si="9"/>
        <v>1.4376317833619369E-3</v>
      </c>
      <c r="T85" s="2"/>
    </row>
    <row r="86" spans="1:20" ht="15.75" customHeight="1">
      <c r="A86" s="1"/>
      <c r="B86" s="21"/>
      <c r="C86" s="24" t="s">
        <v>65</v>
      </c>
      <c r="D86" s="24"/>
      <c r="E86" s="2"/>
      <c r="F86" s="3">
        <f>SOO!R55</f>
        <v>4800</v>
      </c>
      <c r="G86" s="4">
        <f t="shared" si="5"/>
        <v>8.9782790104910339E-3</v>
      </c>
      <c r="H86" s="2"/>
      <c r="I86" s="3">
        <f>SOO!AE55</f>
        <v>5040</v>
      </c>
      <c r="J86" s="4">
        <f t="shared" si="6"/>
        <v>7.2604513928790889E-3</v>
      </c>
      <c r="K86" s="2"/>
      <c r="L86" s="3">
        <f>SOO!AR55</f>
        <v>5241.6000000000013</v>
      </c>
      <c r="M86" s="4">
        <f t="shared" si="7"/>
        <v>6.6259319181825758E-3</v>
      </c>
      <c r="N86" s="2"/>
      <c r="O86" s="3">
        <f>SOO!BE55</f>
        <v>5372.6399999999994</v>
      </c>
      <c r="P86" s="4">
        <f t="shared" si="8"/>
        <v>6.1728238439113948E-3</v>
      </c>
      <c r="Q86" s="2"/>
      <c r="R86" s="3">
        <f>SOO!BR55</f>
        <v>5480.0927999999994</v>
      </c>
      <c r="S86" s="4">
        <f t="shared" si="9"/>
        <v>5.7226119531882929E-3</v>
      </c>
      <c r="T86" s="2"/>
    </row>
    <row r="87" spans="1:20" ht="15.75" customHeight="1">
      <c r="A87" s="1"/>
      <c r="B87" s="21"/>
      <c r="C87" s="24" t="s">
        <v>66</v>
      </c>
      <c r="D87" s="24"/>
      <c r="E87" s="2"/>
      <c r="F87" s="3">
        <f>SOO!R56</f>
        <v>1800</v>
      </c>
      <c r="G87" s="4">
        <f t="shared" si="5"/>
        <v>3.3668546289341373E-3</v>
      </c>
      <c r="H87" s="2"/>
      <c r="I87" s="3">
        <f>SOO!AE56</f>
        <v>1944</v>
      </c>
      <c r="J87" s="4">
        <f t="shared" si="6"/>
        <v>2.8004598229676484E-3</v>
      </c>
      <c r="K87" s="2"/>
      <c r="L87" s="3">
        <f>SOO!AR56</f>
        <v>2041.1999999999996</v>
      </c>
      <c r="M87" s="4">
        <f t="shared" si="7"/>
        <v>2.5802907950614826E-3</v>
      </c>
      <c r="N87" s="2"/>
      <c r="O87" s="3">
        <f>SOO!BE56</f>
        <v>2092.23</v>
      </c>
      <c r="P87" s="4">
        <f t="shared" si="8"/>
        <v>2.4038400546001109E-3</v>
      </c>
      <c r="Q87" s="2"/>
      <c r="R87" s="3">
        <f>SOO!BR56</f>
        <v>2134.0745999999995</v>
      </c>
      <c r="S87" s="4">
        <f t="shared" si="9"/>
        <v>2.2285171548473638E-3</v>
      </c>
      <c r="T87" s="2"/>
    </row>
    <row r="88" spans="1:20" ht="15.75" customHeight="1">
      <c r="A88" s="2"/>
      <c r="B88" s="27"/>
      <c r="C88" s="27"/>
      <c r="D88" s="27"/>
      <c r="E88" s="23" t="s">
        <v>67</v>
      </c>
      <c r="F88" s="18">
        <f>SUM(F65:F87)</f>
        <v>270346.38565524109</v>
      </c>
      <c r="G88" s="22">
        <f t="shared" si="5"/>
        <v>0.50567609997720109</v>
      </c>
      <c r="H88" s="2"/>
      <c r="I88" s="18">
        <f>SUM(I65:I87)</f>
        <v>291623.65135181334</v>
      </c>
      <c r="J88" s="22">
        <f t="shared" si="6"/>
        <v>0.42010304477257121</v>
      </c>
      <c r="K88" s="2"/>
      <c r="L88" s="18">
        <f>SUM(L65:L87)</f>
        <v>366095.82018132944</v>
      </c>
      <c r="M88" s="22">
        <f t="shared" si="7"/>
        <v>0.46278349741542635</v>
      </c>
      <c r="N88" s="2"/>
      <c r="O88" s="18">
        <f>SUM(O65:O87)</f>
        <v>379261.47058778413</v>
      </c>
      <c r="P88" s="22">
        <f t="shared" si="8"/>
        <v>0.43574746283413263</v>
      </c>
      <c r="Q88" s="2"/>
      <c r="R88" s="18">
        <f>SUM(R65:R87)</f>
        <v>416537.53206895612</v>
      </c>
      <c r="S88" s="22">
        <f t="shared" si="9"/>
        <v>0.43497122164963348</v>
      </c>
      <c r="T88" s="2"/>
    </row>
    <row r="89" spans="1:20" ht="15.75" customHeight="1">
      <c r="A89" s="2"/>
      <c r="B89" s="24"/>
      <c r="C89" s="24"/>
      <c r="D89" s="24"/>
      <c r="E89" s="28"/>
      <c r="F89" s="3"/>
      <c r="G89" s="4"/>
      <c r="H89" s="2"/>
      <c r="I89" s="3"/>
      <c r="J89" s="4"/>
      <c r="K89" s="2"/>
      <c r="L89" s="3"/>
      <c r="M89" s="4"/>
      <c r="N89" s="2"/>
      <c r="O89" s="3"/>
      <c r="P89" s="4"/>
      <c r="Q89" s="2"/>
      <c r="R89" s="3"/>
      <c r="S89" s="4"/>
      <c r="T89" s="2"/>
    </row>
    <row r="90" spans="1:20" ht="15.75" customHeight="1">
      <c r="A90" s="1"/>
      <c r="B90" s="23" t="s">
        <v>68</v>
      </c>
      <c r="C90" s="27"/>
      <c r="D90" s="27"/>
      <c r="E90" s="29"/>
      <c r="F90" s="3">
        <f>F61-F88</f>
        <v>235209.62727089296</v>
      </c>
      <c r="G90" s="4">
        <f>F90/F$53</f>
        <v>0.43995367908159949</v>
      </c>
      <c r="H90" s="2"/>
      <c r="I90" s="3">
        <f>I61-I88</f>
        <v>414611.64613782091</v>
      </c>
      <c r="J90" s="4">
        <f>I90/I$53</f>
        <v>0.5972753380367527</v>
      </c>
      <c r="K90" s="2"/>
      <c r="L90" s="3">
        <f>L61-L88</f>
        <v>405050.95261047123</v>
      </c>
      <c r="M90" s="4">
        <f>L90/L$53</f>
        <v>0.51202686877899473</v>
      </c>
      <c r="N90" s="2"/>
      <c r="O90" s="3">
        <f>O61-O88</f>
        <v>493882.73243671801</v>
      </c>
      <c r="P90" s="4">
        <f>O90/O$53</f>
        <v>0.5674400493763746</v>
      </c>
      <c r="Q90" s="2"/>
      <c r="R90" s="3">
        <f>R61-R88</f>
        <v>582326.23223318951</v>
      </c>
      <c r="S90" s="4">
        <f>R90/R$53</f>
        <v>0.60809682953411892</v>
      </c>
      <c r="T90" s="2"/>
    </row>
    <row r="91" spans="1:20" ht="15.75" customHeight="1">
      <c r="A91" s="2"/>
      <c r="B91" s="28"/>
      <c r="C91" s="24"/>
      <c r="D91" s="24"/>
      <c r="E91" s="21"/>
      <c r="F91" s="3"/>
      <c r="G91" s="4"/>
      <c r="H91" s="2"/>
      <c r="I91" s="3"/>
      <c r="J91" s="4"/>
      <c r="K91" s="2"/>
      <c r="L91" s="3"/>
      <c r="M91" s="4"/>
      <c r="N91" s="2"/>
      <c r="O91" s="3"/>
      <c r="P91" s="4"/>
      <c r="Q91" s="2"/>
      <c r="R91" s="3"/>
      <c r="S91" s="4"/>
      <c r="T91" s="2"/>
    </row>
    <row r="92" spans="1:20" ht="15.75" customHeight="1">
      <c r="A92" s="2"/>
      <c r="B92" s="23" t="s">
        <v>69</v>
      </c>
      <c r="C92" s="24"/>
      <c r="D92" s="24"/>
      <c r="E92" s="21"/>
      <c r="F92" s="3"/>
      <c r="G92" s="4"/>
      <c r="H92" s="2"/>
      <c r="I92" s="3"/>
      <c r="J92" s="4"/>
      <c r="K92" s="2"/>
      <c r="L92" s="3"/>
      <c r="M92" s="4"/>
      <c r="N92" s="2"/>
      <c r="O92" s="3"/>
      <c r="P92" s="4"/>
      <c r="Q92" s="2"/>
      <c r="R92" s="3"/>
      <c r="S92" s="4"/>
      <c r="T92" s="2"/>
    </row>
    <row r="93" spans="1:20" ht="15.75" customHeight="1">
      <c r="A93" s="2"/>
      <c r="B93" s="28"/>
      <c r="C93" s="24" t="s">
        <v>70</v>
      </c>
      <c r="D93" s="24"/>
      <c r="E93" s="21"/>
      <c r="F93" s="3">
        <f>SOO!R69</f>
        <v>-77791.234733765465</v>
      </c>
      <c r="G93" s="4">
        <f>F93/F$53</f>
        <v>-0.14550654375215571</v>
      </c>
      <c r="H93" s="2"/>
      <c r="I93" s="3">
        <f>SOO!AE69</f>
        <v>-72652.600880207683</v>
      </c>
      <c r="J93" s="4">
        <f>I93/I$53</f>
        <v>-0.10466084866210167</v>
      </c>
      <c r="K93" s="2"/>
      <c r="L93" s="3">
        <f>SOO!AR69</f>
        <v>-66975.884913386195</v>
      </c>
      <c r="M93" s="4">
        <f>L93/L$53</f>
        <v>-8.4664540139676489E-2</v>
      </c>
      <c r="N93" s="2"/>
      <c r="O93" s="3">
        <f>SOO!BE69</f>
        <v>-60704.742604685838</v>
      </c>
      <c r="P93" s="4">
        <f>O93/O$53</f>
        <v>-6.9745913105793186E-2</v>
      </c>
      <c r="Q93" s="2"/>
      <c r="R93" s="3">
        <f>SOO!BR69</f>
        <v>-53776.929748480528</v>
      </c>
      <c r="S93" s="4">
        <f>R93/R$53</f>
        <v>-5.6156804677545205E-2</v>
      </c>
      <c r="T93" s="2"/>
    </row>
    <row r="94" spans="1:20" ht="15.75" customHeight="1">
      <c r="A94" s="2"/>
      <c r="B94" s="28"/>
      <c r="C94" s="24"/>
      <c r="D94" s="27" t="s">
        <v>71</v>
      </c>
      <c r="E94" s="21"/>
      <c r="F94" s="18">
        <f>SOO!R70</f>
        <v>-77791.234733765465</v>
      </c>
      <c r="G94" s="22">
        <f>F94/F$53</f>
        <v>-0.14550654375215571</v>
      </c>
      <c r="H94" s="2"/>
      <c r="I94" s="18">
        <f>SOO!AE70</f>
        <v>-72652.600880207683</v>
      </c>
      <c r="J94" s="22">
        <f>I94/I$53</f>
        <v>-0.10466084866210167</v>
      </c>
      <c r="K94" s="2"/>
      <c r="L94" s="18">
        <f>SOO!AR70</f>
        <v>-66975.884913386195</v>
      </c>
      <c r="M94" s="22">
        <f>L94/L$53</f>
        <v>-8.4664540139676489E-2</v>
      </c>
      <c r="N94" s="2"/>
      <c r="O94" s="18">
        <f>SOO!BE70</f>
        <v>-60704.742604685838</v>
      </c>
      <c r="P94" s="22">
        <f>O94/O$53</f>
        <v>-6.9745913105793186E-2</v>
      </c>
      <c r="Q94" s="2"/>
      <c r="R94" s="18">
        <f>SOO!BR70</f>
        <v>-53776.929748480528</v>
      </c>
      <c r="S94" s="22">
        <f>R94/R$53</f>
        <v>-5.6156804677545205E-2</v>
      </c>
      <c r="T94" s="2"/>
    </row>
    <row r="95" spans="1:20" ht="15.75" customHeight="1">
      <c r="A95" s="2"/>
      <c r="B95" s="28"/>
      <c r="C95" s="24"/>
      <c r="D95" s="24"/>
      <c r="E95" s="21"/>
      <c r="F95" s="3"/>
      <c r="G95" s="4"/>
      <c r="H95" s="2"/>
      <c r="I95" s="3"/>
      <c r="J95" s="4"/>
      <c r="K95" s="2"/>
      <c r="L95" s="3"/>
      <c r="M95" s="4"/>
      <c r="N95" s="2"/>
      <c r="O95" s="3"/>
      <c r="P95" s="4"/>
      <c r="Q95" s="2"/>
      <c r="R95" s="3"/>
      <c r="S95" s="4"/>
      <c r="T95" s="2"/>
    </row>
    <row r="96" spans="1:20" ht="15.75" customHeight="1">
      <c r="A96" s="2"/>
      <c r="B96" s="23" t="s">
        <v>72</v>
      </c>
      <c r="C96" s="24"/>
      <c r="D96" s="24"/>
      <c r="E96" s="21"/>
      <c r="F96" s="3">
        <f>F90+F93</f>
        <v>157418.39253712748</v>
      </c>
      <c r="G96" s="4">
        <f>F96/F$53</f>
        <v>0.29444713532944372</v>
      </c>
      <c r="H96" s="2"/>
      <c r="I96" s="3">
        <f>I90+I93</f>
        <v>341959.04525761324</v>
      </c>
      <c r="J96" s="4">
        <f>I96/I$53</f>
        <v>0.49261448937465108</v>
      </c>
      <c r="K96" s="2"/>
      <c r="L96" s="3">
        <f>L90+L93</f>
        <v>338075.06769708503</v>
      </c>
      <c r="M96" s="4">
        <f>L96/L$53</f>
        <v>0.42736232863931817</v>
      </c>
      <c r="N96" s="2"/>
      <c r="O96" s="3">
        <f>O90+O93</f>
        <v>433177.98983203218</v>
      </c>
      <c r="P96" s="4">
        <f>O96/O$53</f>
        <v>0.4976941362705814</v>
      </c>
      <c r="Q96" s="2"/>
      <c r="R96" s="3">
        <f>R90+R93</f>
        <v>528549.30248470895</v>
      </c>
      <c r="S96" s="4">
        <f>R96/R$53</f>
        <v>0.55194002485657367</v>
      </c>
      <c r="T96" s="2"/>
    </row>
    <row r="97" spans="1:20" ht="15.75" customHeight="1">
      <c r="A97" s="2"/>
      <c r="B97" s="23"/>
      <c r="C97" s="24"/>
      <c r="D97" s="24"/>
      <c r="E97" s="21"/>
      <c r="F97" s="3"/>
      <c r="G97" s="4"/>
      <c r="H97" s="2"/>
      <c r="I97" s="3"/>
      <c r="J97" s="4"/>
      <c r="K97" s="2"/>
      <c r="L97" s="3"/>
      <c r="M97" s="4"/>
      <c r="N97" s="2"/>
      <c r="O97" s="3"/>
      <c r="P97" s="4"/>
      <c r="Q97" s="2"/>
      <c r="R97" s="3"/>
      <c r="S97" s="4"/>
      <c r="T97" s="2"/>
    </row>
    <row r="98" spans="1:20" ht="15.75" customHeight="1">
      <c r="A98" s="2"/>
      <c r="B98" s="23" t="s">
        <v>73</v>
      </c>
      <c r="C98" s="24"/>
      <c r="D98" s="24"/>
      <c r="E98" s="21"/>
      <c r="F98" s="3">
        <f>SOO!R74</f>
        <v>37374.598134281943</v>
      </c>
      <c r="G98" s="4">
        <f>F98/F$53</f>
        <v>6.9908243740533518E-2</v>
      </c>
      <c r="H98" s="2"/>
      <c r="I98" s="3">
        <f>SOO!AE74</f>
        <v>83014.76131440328</v>
      </c>
      <c r="J98" s="4">
        <f>I98/I$53</f>
        <v>0.11958822210608817</v>
      </c>
      <c r="K98" s="2"/>
      <c r="L98" s="3">
        <f>SOO!AR74</f>
        <v>81672.516924271215</v>
      </c>
      <c r="M98" s="4">
        <f>L98/L$53</f>
        <v>0.10324262376504027</v>
      </c>
      <c r="N98" s="2"/>
      <c r="O98" s="3">
        <f>SOO!BE74</f>
        <v>105163.62245800805</v>
      </c>
      <c r="P98" s="4">
        <f>O98/O$53</f>
        <v>0.12082635654368951</v>
      </c>
      <c r="Q98" s="2"/>
      <c r="R98" s="3">
        <f>SOO!BR74</f>
        <v>128693.36312117727</v>
      </c>
      <c r="S98" s="4">
        <f>R98/R$53</f>
        <v>0.13438863263287268</v>
      </c>
      <c r="T98" s="2"/>
    </row>
    <row r="99" spans="1:20" ht="15.75" customHeight="1">
      <c r="A99" s="2"/>
      <c r="B99" s="28"/>
      <c r="C99" s="24"/>
      <c r="D99" s="24"/>
      <c r="E99" s="21"/>
      <c r="F99" s="3"/>
      <c r="G99" s="4"/>
      <c r="H99" s="2"/>
      <c r="I99" s="3"/>
      <c r="J99" s="4"/>
      <c r="K99" s="2"/>
      <c r="L99" s="3"/>
      <c r="M99" s="4"/>
      <c r="N99" s="2"/>
      <c r="O99" s="3"/>
      <c r="P99" s="4"/>
      <c r="Q99" s="2"/>
      <c r="R99" s="3"/>
      <c r="S99" s="4"/>
      <c r="T99" s="2"/>
    </row>
    <row r="100" spans="1:20" ht="15.75" customHeight="1">
      <c r="A100" s="2"/>
      <c r="B100" s="23" t="s">
        <v>74</v>
      </c>
      <c r="C100" s="24"/>
      <c r="D100" s="24"/>
      <c r="E100" s="21"/>
      <c r="F100" s="19">
        <f>F96-F98</f>
        <v>120043.79440284554</v>
      </c>
      <c r="G100" s="30">
        <f>F100/F$53</f>
        <v>0.22453889158891022</v>
      </c>
      <c r="H100" s="2"/>
      <c r="I100" s="19">
        <f>I96-I98</f>
        <v>258944.28394320997</v>
      </c>
      <c r="J100" s="30">
        <f>I100/I$53</f>
        <v>0.37302626726856292</v>
      </c>
      <c r="K100" s="2"/>
      <c r="L100" s="19">
        <f>L96-L98</f>
        <v>256402.55077281382</v>
      </c>
      <c r="M100" s="30">
        <f>L100/L$53</f>
        <v>0.32411970487427788</v>
      </c>
      <c r="N100" s="2"/>
      <c r="O100" s="19">
        <f>O96-O98</f>
        <v>328014.36737402412</v>
      </c>
      <c r="P100" s="30">
        <f>O100/O$53</f>
        <v>0.37686777972689184</v>
      </c>
      <c r="Q100" s="2"/>
      <c r="R100" s="19">
        <f>R96-R98</f>
        <v>399855.93936353165</v>
      </c>
      <c r="S100" s="30">
        <f>R100/R$53</f>
        <v>0.41755139222370097</v>
      </c>
      <c r="T100" s="2"/>
    </row>
    <row r="101" spans="1:20" ht="15.75" customHeight="1">
      <c r="A101" s="2"/>
      <c r="B101" s="23"/>
      <c r="C101" s="24"/>
      <c r="D101" s="24"/>
      <c r="E101" s="21"/>
      <c r="F101" s="3"/>
      <c r="G101" s="4"/>
      <c r="H101" s="2"/>
      <c r="I101" s="3"/>
      <c r="J101" s="4"/>
      <c r="K101" s="2"/>
      <c r="L101" s="3"/>
      <c r="M101" s="5"/>
      <c r="N101" s="2"/>
      <c r="O101" s="3"/>
      <c r="P101" s="5"/>
      <c r="Q101" s="2"/>
      <c r="R101" s="3"/>
      <c r="S101" s="5"/>
      <c r="T101" s="2"/>
    </row>
    <row r="102" spans="1:20" ht="15.75" customHeight="1">
      <c r="A102" s="2"/>
      <c r="B102" s="28"/>
      <c r="C102" s="24"/>
      <c r="D102" s="24"/>
      <c r="E102" s="21"/>
      <c r="F102" s="2"/>
      <c r="G102" s="2"/>
      <c r="H102" s="2"/>
      <c r="I102" s="3"/>
      <c r="J102" s="4"/>
      <c r="K102" s="2"/>
      <c r="L102" s="3"/>
      <c r="M102" s="5"/>
      <c r="N102" s="2"/>
      <c r="O102" s="3"/>
      <c r="P102" s="5"/>
      <c r="Q102" s="2"/>
      <c r="R102" s="3"/>
      <c r="S102" s="5"/>
      <c r="T102" s="2"/>
    </row>
    <row r="103" spans="1:20" ht="15.75" customHeight="1">
      <c r="A103" s="1" t="s">
        <v>75</v>
      </c>
      <c r="B103" s="2"/>
      <c r="C103" s="2"/>
      <c r="D103" s="2"/>
      <c r="E103" s="2"/>
      <c r="F103" s="2"/>
      <c r="G103" s="2"/>
      <c r="H103" s="2"/>
      <c r="I103" s="3"/>
      <c r="J103" s="4"/>
      <c r="K103" s="2"/>
      <c r="L103" s="3"/>
      <c r="M103" s="5"/>
      <c r="N103" s="2"/>
      <c r="O103" s="3"/>
      <c r="P103" s="5"/>
      <c r="Q103" s="2"/>
      <c r="R103" s="3"/>
      <c r="S103" s="5"/>
      <c r="T103" s="2"/>
    </row>
    <row r="104" spans="1:20" ht="15.75" customHeight="1">
      <c r="A104" s="6" t="s">
        <v>1</v>
      </c>
      <c r="B104" s="7"/>
      <c r="C104" s="7"/>
      <c r="D104" s="7"/>
      <c r="E104" s="7"/>
      <c r="F104" s="7"/>
      <c r="G104" s="7"/>
      <c r="H104" s="7"/>
      <c r="I104" s="8"/>
      <c r="J104" s="9"/>
      <c r="K104" s="7"/>
      <c r="L104" s="8"/>
      <c r="M104" s="10"/>
      <c r="N104" s="7"/>
      <c r="O104" s="8"/>
      <c r="P104" s="10"/>
      <c r="Q104" s="7"/>
      <c r="R104" s="8"/>
      <c r="S104" s="10"/>
      <c r="T104" s="7"/>
    </row>
    <row r="105" spans="1:20" ht="15.75" customHeight="1">
      <c r="A105" s="11"/>
      <c r="B105" s="11"/>
      <c r="C105" s="11"/>
      <c r="D105" s="11"/>
      <c r="E105" s="11"/>
      <c r="F105" s="12" t="s">
        <v>2</v>
      </c>
      <c r="G105" s="1"/>
      <c r="H105" s="1"/>
      <c r="I105" s="13" t="s">
        <v>3</v>
      </c>
      <c r="J105" s="14"/>
      <c r="K105" s="1"/>
      <c r="L105" s="13" t="s">
        <v>4</v>
      </c>
      <c r="M105" s="15"/>
      <c r="N105" s="1"/>
      <c r="O105" s="13" t="s">
        <v>5</v>
      </c>
      <c r="P105" s="15"/>
      <c r="Q105" s="1"/>
      <c r="R105" s="13" t="s">
        <v>6</v>
      </c>
      <c r="S105" s="15"/>
      <c r="T105" s="1"/>
    </row>
    <row r="106" spans="1:20" ht="15.75" customHeight="1">
      <c r="A106" s="1" t="s">
        <v>76</v>
      </c>
      <c r="B106" s="2"/>
      <c r="C106" s="2"/>
      <c r="D106" s="2"/>
      <c r="E106" s="2"/>
      <c r="F106" s="3"/>
      <c r="G106" s="2"/>
      <c r="H106" s="2"/>
      <c r="I106" s="3"/>
      <c r="J106" s="4"/>
      <c r="K106" s="2"/>
      <c r="L106" s="3"/>
      <c r="M106" s="5"/>
      <c r="N106" s="2"/>
      <c r="O106" s="3"/>
      <c r="P106" s="5"/>
      <c r="Q106" s="2"/>
      <c r="R106" s="3"/>
      <c r="S106" s="5"/>
      <c r="T106" s="2"/>
    </row>
    <row r="107" spans="1:20" ht="15.75" customHeight="1">
      <c r="A107" s="1"/>
      <c r="B107" s="2" t="s">
        <v>77</v>
      </c>
      <c r="C107" s="2"/>
      <c r="D107" s="2"/>
      <c r="E107" s="2"/>
      <c r="F107" s="3">
        <f>SUM(SOCF!G7:'SOCF'!R7)</f>
        <v>112123.79440284584</v>
      </c>
      <c r="G107" s="2"/>
      <c r="H107" s="2"/>
      <c r="I107" s="3">
        <f>SUM(SOCF!T7:'SOCF'!AE7)</f>
        <v>249044.28394320986</v>
      </c>
      <c r="J107" s="4"/>
      <c r="K107" s="2"/>
      <c r="L107" s="3">
        <f>SUM(SOCF!AG7:'SOCF'!AR7)</f>
        <v>245017.55077281361</v>
      </c>
      <c r="M107" s="5"/>
      <c r="N107" s="2"/>
      <c r="O107" s="3">
        <f>SUM(SOCF!AT7:'SOCF'!BE7)</f>
        <v>315490.86737402412</v>
      </c>
      <c r="P107" s="5"/>
      <c r="Q107" s="2"/>
      <c r="R107" s="3">
        <f>SUM(SOCF!BG7:'SOCF'!BR7)</f>
        <v>386080.08936353185</v>
      </c>
      <c r="S107" s="5"/>
      <c r="T107" s="2"/>
    </row>
    <row r="108" spans="1:20" ht="15.75" customHeight="1">
      <c r="A108" s="1"/>
      <c r="B108" s="2" t="s">
        <v>78</v>
      </c>
      <c r="C108" s="2"/>
      <c r="D108" s="2"/>
      <c r="E108" s="2"/>
      <c r="F108" s="3"/>
      <c r="G108" s="2"/>
      <c r="H108" s="2"/>
      <c r="I108" s="3"/>
      <c r="J108" s="4"/>
      <c r="K108" s="2"/>
      <c r="L108" s="3"/>
      <c r="M108" s="5"/>
      <c r="N108" s="2"/>
      <c r="O108" s="3"/>
      <c r="P108" s="5"/>
      <c r="Q108" s="2"/>
      <c r="R108" s="3"/>
      <c r="S108" s="5"/>
      <c r="T108" s="2"/>
    </row>
    <row r="109" spans="1:20" ht="15.75" customHeight="1">
      <c r="A109" s="1"/>
      <c r="B109" s="2" t="s">
        <v>79</v>
      </c>
      <c r="C109" s="2"/>
      <c r="D109" s="2"/>
      <c r="E109" s="2"/>
      <c r="F109" s="3"/>
      <c r="G109" s="2"/>
      <c r="H109" s="2"/>
      <c r="I109" s="3"/>
      <c r="J109" s="4"/>
      <c r="K109" s="2"/>
      <c r="L109" s="3"/>
      <c r="M109" s="5"/>
      <c r="N109" s="2"/>
      <c r="O109" s="3"/>
      <c r="P109" s="5"/>
      <c r="Q109" s="2"/>
      <c r="R109" s="3"/>
      <c r="S109" s="5"/>
      <c r="T109" s="2"/>
    </row>
    <row r="110" spans="1:20" ht="15.75" customHeight="1">
      <c r="A110" s="1"/>
      <c r="B110" s="2"/>
      <c r="C110" s="2" t="s">
        <v>48</v>
      </c>
      <c r="D110" s="2"/>
      <c r="E110" s="2"/>
      <c r="F110" s="3">
        <f>SUM(SOCF!G10:'SOCF'!R10)</f>
        <v>33828</v>
      </c>
      <c r="G110" s="2"/>
      <c r="H110" s="2"/>
      <c r="I110" s="3">
        <f>SUM(SOCF!T10:'SOCF'!AE10)</f>
        <v>33828</v>
      </c>
      <c r="J110" s="4"/>
      <c r="K110" s="2"/>
      <c r="L110" s="3">
        <f>SUM(SOCF!AG10:'SOCF'!AR10)</f>
        <v>33828</v>
      </c>
      <c r="M110" s="5"/>
      <c r="N110" s="2"/>
      <c r="O110" s="3">
        <f>SUM(SOCF!AT10:'SOCF'!BE10)</f>
        <v>33828</v>
      </c>
      <c r="P110" s="5"/>
      <c r="Q110" s="2"/>
      <c r="R110" s="3">
        <f>SUM(SOCF!BG10:'SOCF'!BR10)</f>
        <v>33828</v>
      </c>
      <c r="S110" s="5"/>
      <c r="T110" s="2"/>
    </row>
    <row r="111" spans="1:20" ht="15.75" customHeight="1">
      <c r="A111" s="1"/>
      <c r="B111" s="2"/>
      <c r="C111" s="2"/>
      <c r="D111" s="2"/>
      <c r="E111" s="2"/>
      <c r="F111" s="3"/>
      <c r="G111" s="2"/>
      <c r="H111" s="2"/>
      <c r="I111" s="3"/>
      <c r="J111" s="4"/>
      <c r="K111" s="2"/>
      <c r="L111" s="3"/>
      <c r="M111" s="5"/>
      <c r="N111" s="2"/>
      <c r="O111" s="3"/>
      <c r="P111" s="5"/>
      <c r="Q111" s="2"/>
      <c r="R111" s="3"/>
      <c r="S111" s="5"/>
      <c r="T111" s="2"/>
    </row>
    <row r="112" spans="1:20" ht="15.75" customHeight="1">
      <c r="A112" s="1"/>
      <c r="B112" s="2"/>
      <c r="C112" s="2" t="s">
        <v>80</v>
      </c>
      <c r="D112" s="2"/>
      <c r="E112" s="2"/>
      <c r="F112" s="3"/>
      <c r="G112" s="2"/>
      <c r="H112" s="2"/>
      <c r="I112" s="3"/>
      <c r="J112" s="4"/>
      <c r="K112" s="2"/>
      <c r="L112" s="3"/>
      <c r="M112" s="5"/>
      <c r="N112" s="2"/>
      <c r="O112" s="3"/>
      <c r="P112" s="5"/>
      <c r="Q112" s="2"/>
      <c r="R112" s="3"/>
      <c r="S112" s="5"/>
      <c r="T112" s="2"/>
    </row>
    <row r="113" spans="1:20" ht="15.75" customHeight="1">
      <c r="A113" s="1"/>
      <c r="B113" s="2"/>
      <c r="C113" s="2"/>
      <c r="D113" s="2" t="s">
        <v>10</v>
      </c>
      <c r="E113" s="2"/>
      <c r="F113" s="3">
        <f>SUM(SOCF!G13:'SOCF'!R13)</f>
        <v>-1238.7798033374136</v>
      </c>
      <c r="G113" s="2"/>
      <c r="H113" s="2"/>
      <c r="I113" s="3">
        <f>SUM(SOCF!T13:'SOCF'!AE13)</f>
        <v>-183.5229338277652</v>
      </c>
      <c r="J113" s="4"/>
      <c r="K113" s="2"/>
      <c r="L113" s="3">
        <f>SUM(SOCF!AG13:'SOCF'!AR13)</f>
        <v>-213.34541057477645</v>
      </c>
      <c r="M113" s="5"/>
      <c r="N113" s="2"/>
      <c r="O113" s="3">
        <f>SUM(SOCF!AT13:'SOCF'!BE13)</f>
        <v>-163.56481477399552</v>
      </c>
      <c r="P113" s="5"/>
      <c r="Q113" s="2"/>
      <c r="R113" s="3">
        <f>SUM(SOCF!BG13:'SOCF'!BR13)</f>
        <v>-179.92129625139546</v>
      </c>
      <c r="S113" s="5"/>
      <c r="T113" s="2"/>
    </row>
    <row r="114" spans="1:20" ht="15.75" customHeight="1">
      <c r="A114" s="1"/>
      <c r="B114" s="2"/>
      <c r="C114" s="2"/>
      <c r="D114" s="2" t="s">
        <v>11</v>
      </c>
      <c r="E114" s="2"/>
      <c r="F114" s="3">
        <f>SUM(SOCF!G14:'SOCF'!R14)</f>
        <v>-23150.456351547648</v>
      </c>
      <c r="G114" s="2"/>
      <c r="H114" s="2"/>
      <c r="I114" s="3">
        <f>SUM(SOCF!T14:'SOCF'!AE14)</f>
        <v>-6311.9334825605656</v>
      </c>
      <c r="J114" s="4"/>
      <c r="K114" s="2"/>
      <c r="L114" s="3">
        <f>SUM(SOCF!AG14:'SOCF'!AR14)</f>
        <v>-5032.1911364704974</v>
      </c>
      <c r="M114" s="5"/>
      <c r="N114" s="2"/>
      <c r="O114" s="3">
        <f>SUM(SOCF!AT14:'SOCF'!BE14)</f>
        <v>-4489.6026611813868</v>
      </c>
      <c r="P114" s="5"/>
      <c r="Q114" s="2"/>
      <c r="R114" s="3">
        <f>SUM(SOCF!BG14:'SOCF'!BR14)</f>
        <v>-6147.8672109963009</v>
      </c>
      <c r="S114" s="5"/>
      <c r="T114" s="2"/>
    </row>
    <row r="115" spans="1:20" ht="15.75" customHeight="1">
      <c r="A115" s="1"/>
      <c r="B115" s="2"/>
      <c r="C115" s="2"/>
      <c r="D115" s="2" t="s">
        <v>12</v>
      </c>
      <c r="E115" s="2"/>
      <c r="F115" s="3">
        <f>SUM(SOCF!G15:'SOCF'!R15)</f>
        <v>0</v>
      </c>
      <c r="G115" s="2"/>
      <c r="H115" s="2"/>
      <c r="I115" s="3">
        <f>SUM(SOCF!T15:'SOCF'!AE15)</f>
        <v>0</v>
      </c>
      <c r="J115" s="4"/>
      <c r="K115" s="2"/>
      <c r="L115" s="3">
        <f>SUM(SOCF!AG15:'SOCF'!AR15)</f>
        <v>0</v>
      </c>
      <c r="M115" s="5"/>
      <c r="N115" s="2"/>
      <c r="O115" s="3">
        <f>SUM(SOCF!AT15:'SOCF'!BE15)</f>
        <v>0</v>
      </c>
      <c r="P115" s="5"/>
      <c r="Q115" s="2"/>
      <c r="R115" s="3">
        <f>SUM(SOCF!BG15:'SOCF'!BR15)</f>
        <v>0</v>
      </c>
      <c r="S115" s="5"/>
      <c r="T115" s="2"/>
    </row>
    <row r="116" spans="1:20" ht="15.75" customHeight="1">
      <c r="A116" s="1"/>
      <c r="B116" s="2"/>
      <c r="C116" s="2"/>
      <c r="D116" s="2" t="s">
        <v>15</v>
      </c>
      <c r="E116" s="2"/>
      <c r="F116" s="3">
        <f>SUM(SOCF!G16:'SOCF'!R16)</f>
        <v>0</v>
      </c>
      <c r="G116" s="2"/>
      <c r="H116" s="2"/>
      <c r="I116" s="3">
        <f>SUM(SOCF!T16:'SOCF'!AE16)</f>
        <v>0</v>
      </c>
      <c r="J116" s="4"/>
      <c r="K116" s="2"/>
      <c r="L116" s="3">
        <f>SUM(SOCF!AG16:'SOCF'!AR16)</f>
        <v>0</v>
      </c>
      <c r="M116" s="5"/>
      <c r="N116" s="2"/>
      <c r="O116" s="3">
        <f>SUM(SOCF!AT16:'SOCF'!BE16)</f>
        <v>0</v>
      </c>
      <c r="P116" s="5"/>
      <c r="Q116" s="2"/>
      <c r="R116" s="3">
        <f>SUM(SOCF!BG16:'SOCF'!BR16)</f>
        <v>0</v>
      </c>
      <c r="S116" s="5"/>
      <c r="T116" s="2"/>
    </row>
    <row r="117" spans="1:20" ht="15.75" customHeight="1">
      <c r="A117" s="1"/>
      <c r="B117" s="2"/>
      <c r="C117" s="2"/>
      <c r="D117" s="2" t="s">
        <v>81</v>
      </c>
      <c r="E117" s="2"/>
      <c r="F117" s="3">
        <f>SUM(SOCF!G17:'SOCF'!R17)</f>
        <v>74392.047201727706</v>
      </c>
      <c r="G117" s="2"/>
      <c r="H117" s="2"/>
      <c r="I117" s="3">
        <f>SUM(SOCF!T17:'SOCF'!AE17)</f>
        <v>15966.441480401976</v>
      </c>
      <c r="J117" s="4"/>
      <c r="K117" s="2"/>
      <c r="L117" s="3">
        <f>SUM(SOCF!AG17:'SOCF'!AR17)</f>
        <v>12939.727861893858</v>
      </c>
      <c r="M117" s="5"/>
      <c r="N117" s="2"/>
      <c r="O117" s="3">
        <f>SUM(SOCF!AT17:'SOCF'!BE17)</f>
        <v>11599.791924638004</v>
      </c>
      <c r="P117" s="5"/>
      <c r="Q117" s="2"/>
      <c r="R117" s="3">
        <f>SUM(SOCF!BG17:'SOCF'!BR17)</f>
        <v>14989.945128345324</v>
      </c>
      <c r="S117" s="5"/>
      <c r="T117" s="2"/>
    </row>
    <row r="118" spans="1:20" ht="15.75" customHeight="1">
      <c r="A118" s="1"/>
      <c r="B118" s="2"/>
      <c r="C118" s="2"/>
      <c r="D118" s="2" t="s">
        <v>20</v>
      </c>
      <c r="E118" s="2"/>
      <c r="F118" s="3">
        <f>SUM(SOCF!G18:'SOCF'!R18)</f>
        <v>0</v>
      </c>
      <c r="G118" s="2"/>
      <c r="H118" s="2"/>
      <c r="I118" s="3">
        <f>SUM(SOCF!T18:'SOCF'!AE18)</f>
        <v>0</v>
      </c>
      <c r="J118" s="4"/>
      <c r="K118" s="2"/>
      <c r="L118" s="3">
        <f>SUM(SOCF!AG18:'SOCF'!AR18)</f>
        <v>0</v>
      </c>
      <c r="M118" s="5"/>
      <c r="N118" s="2"/>
      <c r="O118" s="3">
        <f>SUM(SOCF!AT18:'SOCF'!BE18)</f>
        <v>0</v>
      </c>
      <c r="P118" s="5"/>
      <c r="Q118" s="2"/>
      <c r="R118" s="3">
        <f>SUM(SOCF!BG18:'SOCF'!BR18)</f>
        <v>0</v>
      </c>
      <c r="S118" s="5"/>
      <c r="T118" s="2"/>
    </row>
    <row r="119" spans="1:20" ht="15.75" customHeight="1">
      <c r="A119" s="1"/>
      <c r="B119" s="2"/>
      <c r="C119" s="2"/>
      <c r="D119" s="2" t="s">
        <v>21</v>
      </c>
      <c r="E119" s="2"/>
      <c r="F119" s="3">
        <f>SUM(SOCF!G19:'SOCF'!R19)</f>
        <v>0</v>
      </c>
      <c r="G119" s="2"/>
      <c r="H119" s="2"/>
      <c r="I119" s="3">
        <f>SUM(SOCF!T19:'SOCF'!AE19)</f>
        <v>0</v>
      </c>
      <c r="J119" s="4"/>
      <c r="K119" s="2"/>
      <c r="L119" s="3">
        <f>SUM(SOCF!AG19:'SOCF'!AR19)</f>
        <v>0</v>
      </c>
      <c r="M119" s="5"/>
      <c r="N119" s="2"/>
      <c r="O119" s="3">
        <f>SUM(SOCF!AT19:'SOCF'!BE19)</f>
        <v>0</v>
      </c>
      <c r="P119" s="5"/>
      <c r="Q119" s="2"/>
      <c r="R119" s="3">
        <f>SUM(SOCF!BG19:'SOCF'!BR19)</f>
        <v>0</v>
      </c>
      <c r="S119" s="5"/>
      <c r="T119" s="2"/>
    </row>
    <row r="120" spans="1:20" ht="15.75" customHeight="1">
      <c r="A120" s="1"/>
      <c r="B120" s="2"/>
      <c r="C120" s="2"/>
      <c r="D120" s="2" t="s">
        <v>22</v>
      </c>
      <c r="E120" s="2"/>
      <c r="F120" s="3">
        <f>SUM(SOCF!G20:'SOCF'!R20)</f>
        <v>19980.096218208848</v>
      </c>
      <c r="G120" s="2"/>
      <c r="H120" s="2"/>
      <c r="I120" s="3">
        <f>SUM(SOCF!T20:'SOCF'!AE20)</f>
        <v>6205.7739864760715</v>
      </c>
      <c r="J120" s="4"/>
      <c r="K120" s="2"/>
      <c r="L120" s="3">
        <f>SUM(SOCF!AG20:'SOCF'!AR20)</f>
        <v>4120.7684238050442</v>
      </c>
      <c r="M120" s="5"/>
      <c r="N120" s="2"/>
      <c r="O120" s="3">
        <f>SUM(SOCF!AT20:'SOCF'!BE20)</f>
        <v>3439.9275407826262</v>
      </c>
      <c r="P120" s="5"/>
      <c r="Q120" s="2"/>
      <c r="R120" s="3">
        <f>SUM(SOCF!BG20:'SOCF'!BR20)</f>
        <v>3838.3523640260391</v>
      </c>
      <c r="S120" s="5"/>
      <c r="T120" s="2"/>
    </row>
    <row r="121" spans="1:20" ht="15.75" customHeight="1">
      <c r="A121" s="1"/>
      <c r="B121" s="2"/>
      <c r="C121" s="2"/>
      <c r="D121" s="2" t="s">
        <v>23</v>
      </c>
      <c r="E121" s="2"/>
      <c r="F121" s="3">
        <f>SUM(SOCF!G21:'SOCF'!R21)</f>
        <v>0</v>
      </c>
      <c r="G121" s="2"/>
      <c r="H121" s="2"/>
      <c r="I121" s="3">
        <f>SUM(SOCF!T21:'SOCF'!AE21)</f>
        <v>0</v>
      </c>
      <c r="J121" s="4"/>
      <c r="K121" s="2"/>
      <c r="L121" s="3">
        <f>SUM(SOCF!AG21:'SOCF'!AR21)</f>
        <v>0</v>
      </c>
      <c r="M121" s="5"/>
      <c r="N121" s="2"/>
      <c r="O121" s="3">
        <f>SUM(SOCF!AT21:'SOCF'!BE21)</f>
        <v>0</v>
      </c>
      <c r="P121" s="5"/>
      <c r="Q121" s="2"/>
      <c r="R121" s="3">
        <f>SUM(SOCF!BG21:'SOCF'!BR21)</f>
        <v>0</v>
      </c>
      <c r="S121" s="5"/>
      <c r="T121" s="2"/>
    </row>
    <row r="122" spans="1:20" ht="15.75" customHeight="1">
      <c r="A122" s="1"/>
      <c r="B122" s="2"/>
      <c r="C122" s="2"/>
      <c r="D122" s="2"/>
      <c r="E122" s="2"/>
      <c r="F122" s="3"/>
      <c r="G122" s="2"/>
      <c r="H122" s="2"/>
      <c r="I122" s="3"/>
      <c r="J122" s="4"/>
      <c r="K122" s="2"/>
      <c r="L122" s="3"/>
      <c r="M122" s="5"/>
      <c r="N122" s="2"/>
      <c r="O122" s="3"/>
      <c r="P122" s="5"/>
      <c r="Q122" s="2"/>
      <c r="R122" s="3"/>
      <c r="S122" s="5"/>
      <c r="T122" s="2"/>
    </row>
    <row r="123" spans="1:20" ht="15.75" customHeight="1">
      <c r="A123" s="1"/>
      <c r="B123" s="2"/>
      <c r="C123" s="2"/>
      <c r="D123" s="2"/>
      <c r="E123" s="2" t="s">
        <v>82</v>
      </c>
      <c r="F123" s="18">
        <f>SUM(F107:F122)</f>
        <v>215934.70166789735</v>
      </c>
      <c r="G123" s="2"/>
      <c r="H123" s="2"/>
      <c r="I123" s="18">
        <f>SUM(I107:I122)</f>
        <v>298549.04299369955</v>
      </c>
      <c r="J123" s="4"/>
      <c r="K123" s="2"/>
      <c r="L123" s="18">
        <f>SUM(L107:L122)</f>
        <v>290660.51051146729</v>
      </c>
      <c r="M123" s="5"/>
      <c r="N123" s="2"/>
      <c r="O123" s="18">
        <f>SUM(O107:O122)</f>
        <v>359705.41936348937</v>
      </c>
      <c r="P123" s="5"/>
      <c r="Q123" s="2"/>
      <c r="R123" s="18">
        <f>SUM(R107:R122)</f>
        <v>432408.59834865551</v>
      </c>
      <c r="S123" s="5"/>
      <c r="T123" s="2"/>
    </row>
    <row r="124" spans="1:20" ht="15.75" customHeight="1">
      <c r="A124" s="1"/>
      <c r="B124" s="2"/>
      <c r="C124" s="2"/>
      <c r="D124" s="2"/>
      <c r="E124" s="2"/>
      <c r="F124" s="3"/>
      <c r="G124" s="2"/>
      <c r="H124" s="2"/>
      <c r="I124" s="3"/>
      <c r="J124" s="4"/>
      <c r="K124" s="2"/>
      <c r="L124" s="3"/>
      <c r="M124" s="5"/>
      <c r="N124" s="2"/>
      <c r="O124" s="3"/>
      <c r="P124" s="5"/>
      <c r="Q124" s="2"/>
      <c r="R124" s="3"/>
      <c r="S124" s="5"/>
      <c r="T124" s="2"/>
    </row>
    <row r="125" spans="1:20" ht="15.75" customHeight="1">
      <c r="A125" s="1" t="s">
        <v>83</v>
      </c>
      <c r="B125" s="2"/>
      <c r="C125" s="2"/>
      <c r="D125" s="2"/>
      <c r="E125" s="2"/>
      <c r="F125" s="3"/>
      <c r="G125" s="2"/>
      <c r="H125" s="2"/>
      <c r="I125" s="3"/>
      <c r="J125" s="4"/>
      <c r="K125" s="2"/>
      <c r="L125" s="3"/>
      <c r="M125" s="5"/>
      <c r="N125" s="2"/>
      <c r="O125" s="3"/>
      <c r="P125" s="5"/>
      <c r="Q125" s="2"/>
      <c r="R125" s="3"/>
      <c r="S125" s="5"/>
      <c r="T125" s="2"/>
    </row>
    <row r="126" spans="1:20" ht="15.75" customHeight="1">
      <c r="A126" s="1"/>
      <c r="B126" s="2" t="s">
        <v>84</v>
      </c>
      <c r="C126" s="2"/>
      <c r="D126" s="2"/>
      <c r="E126" s="2"/>
      <c r="F126" s="3">
        <f>SUM(SOCF!G29:R29)</f>
        <v>-739832.5</v>
      </c>
      <c r="G126" s="2"/>
      <c r="H126" s="2"/>
      <c r="I126" s="3">
        <f>SUM(SOCF!T29:'SOCF'!AE29)</f>
        <v>0</v>
      </c>
      <c r="J126" s="4"/>
      <c r="K126" s="2"/>
      <c r="L126" s="3">
        <f>SUM(SOCF!AG29:'SOCF'!AR29)</f>
        <v>0</v>
      </c>
      <c r="M126" s="5"/>
      <c r="N126" s="2"/>
      <c r="O126" s="3">
        <f>SUM(SOCF!AT29:'SOCF'!BE29)</f>
        <v>0</v>
      </c>
      <c r="P126" s="5"/>
      <c r="Q126" s="2"/>
      <c r="R126" s="3">
        <f>SUM(SOCF!BG29:'SOCF'!BR29)</f>
        <v>0</v>
      </c>
      <c r="S126" s="5"/>
      <c r="T126" s="2"/>
    </row>
    <row r="127" spans="1:20" ht="15.75" customHeight="1">
      <c r="A127" s="1"/>
      <c r="B127" s="2"/>
      <c r="C127" s="2"/>
      <c r="D127" s="2"/>
      <c r="E127" s="2"/>
      <c r="F127" s="3"/>
      <c r="G127" s="2"/>
      <c r="H127" s="2"/>
      <c r="I127" s="3"/>
      <c r="J127" s="4"/>
      <c r="K127" s="2"/>
      <c r="L127" s="3"/>
      <c r="M127" s="5"/>
      <c r="N127" s="2"/>
      <c r="O127" s="3"/>
      <c r="P127" s="5"/>
      <c r="Q127" s="2"/>
      <c r="R127" s="3"/>
      <c r="S127" s="5"/>
      <c r="T127" s="2"/>
    </row>
    <row r="128" spans="1:20" ht="15.75" customHeight="1">
      <c r="A128" s="1"/>
      <c r="B128" s="2"/>
      <c r="C128" s="2"/>
      <c r="D128" s="2"/>
      <c r="E128" s="2" t="s">
        <v>85</v>
      </c>
      <c r="F128" s="18">
        <f>SUM(F126:F127)</f>
        <v>-739832.5</v>
      </c>
      <c r="G128" s="2"/>
      <c r="H128" s="2"/>
      <c r="I128" s="18">
        <f>SUM(I126:I127)</f>
        <v>0</v>
      </c>
      <c r="J128" s="4"/>
      <c r="K128" s="2"/>
      <c r="L128" s="18">
        <f>SUM(L126:L127)</f>
        <v>0</v>
      </c>
      <c r="M128" s="5"/>
      <c r="N128" s="2"/>
      <c r="O128" s="18">
        <f>SUM(O126:O127)</f>
        <v>0</v>
      </c>
      <c r="P128" s="5"/>
      <c r="Q128" s="2"/>
      <c r="R128" s="18">
        <f>SUM(R126:R127)</f>
        <v>0</v>
      </c>
      <c r="S128" s="5"/>
      <c r="T128" s="2"/>
    </row>
    <row r="129" spans="1:20" ht="15.75" customHeight="1">
      <c r="A129" s="1"/>
      <c r="B129" s="2"/>
      <c r="C129" s="2"/>
      <c r="D129" s="2"/>
      <c r="E129" s="2"/>
      <c r="F129" s="3"/>
      <c r="G129" s="2"/>
      <c r="H129" s="2"/>
      <c r="I129" s="3"/>
      <c r="J129" s="4"/>
      <c r="K129" s="2"/>
      <c r="L129" s="3"/>
      <c r="M129" s="5"/>
      <c r="N129" s="2"/>
      <c r="O129" s="3"/>
      <c r="P129" s="5"/>
      <c r="Q129" s="2"/>
      <c r="R129" s="3"/>
      <c r="S129" s="5"/>
      <c r="T129" s="2"/>
    </row>
    <row r="130" spans="1:20" ht="15.75" customHeight="1">
      <c r="A130" s="1" t="s">
        <v>86</v>
      </c>
      <c r="B130" s="2"/>
      <c r="C130" s="2"/>
      <c r="D130" s="2"/>
      <c r="E130" s="2"/>
      <c r="F130" s="3"/>
      <c r="G130" s="2"/>
      <c r="H130" s="2"/>
      <c r="I130" s="3"/>
      <c r="J130" s="4"/>
      <c r="K130" s="2"/>
      <c r="L130" s="3"/>
      <c r="M130" s="5"/>
      <c r="N130" s="2"/>
      <c r="O130" s="3"/>
      <c r="P130" s="5"/>
      <c r="Q130" s="2"/>
      <c r="R130" s="3"/>
      <c r="S130" s="5"/>
      <c r="T130" s="2"/>
    </row>
    <row r="131" spans="1:20" ht="15.75" customHeight="1">
      <c r="A131" s="1"/>
      <c r="B131" s="2" t="s">
        <v>87</v>
      </c>
      <c r="C131" s="2"/>
      <c r="D131" s="2"/>
      <c r="E131" s="2"/>
      <c r="F131" s="3">
        <f>SUM(SOCF!G34:'SOCF'!R34)</f>
        <v>-49073.472672725722</v>
      </c>
      <c r="G131" s="2"/>
      <c r="H131" s="2"/>
      <c r="I131" s="3">
        <f>SUM(SOCF!T34:'SOCF'!AE34)</f>
        <v>-54212.106526283496</v>
      </c>
      <c r="J131" s="4"/>
      <c r="K131" s="2"/>
      <c r="L131" s="3">
        <f>SUM(SOCF!AG34:'SOCF'!AR34)</f>
        <v>-59888.822493104977</v>
      </c>
      <c r="M131" s="5"/>
      <c r="N131" s="2"/>
      <c r="O131" s="3">
        <f>SUM(SOCF!AT34:'SOCF'!BE34)</f>
        <v>-66159.964801805341</v>
      </c>
      <c r="P131" s="5"/>
      <c r="Q131" s="2"/>
      <c r="R131" s="3">
        <f>SUM(SOCF!BG34:'SOCF'!BR34)</f>
        <v>-73087.777658010644</v>
      </c>
      <c r="S131" s="5"/>
      <c r="T131" s="2"/>
    </row>
    <row r="132" spans="1:20" ht="15.75" customHeight="1">
      <c r="A132" s="1"/>
      <c r="B132" s="2" t="s">
        <v>88</v>
      </c>
      <c r="C132" s="2"/>
      <c r="D132" s="2"/>
      <c r="E132" s="2"/>
      <c r="F132" s="3">
        <f>SUM(SOCF!G35:'SOCF'!R35)</f>
        <v>800000</v>
      </c>
      <c r="G132" s="2"/>
      <c r="H132" s="2"/>
      <c r="I132" s="3">
        <f>SUM(SOCF!T35:'SOCF'!AE35)</f>
        <v>0</v>
      </c>
      <c r="J132" s="4"/>
      <c r="K132" s="2"/>
      <c r="L132" s="3">
        <f>SUM(SOCF!AG35:'SOCF'!AR35)</f>
        <v>0</v>
      </c>
      <c r="M132" s="5"/>
      <c r="N132" s="2"/>
      <c r="O132" s="3">
        <f>SUM(SOCF!AT35:'SOCF'!BE35)</f>
        <v>0</v>
      </c>
      <c r="P132" s="5"/>
      <c r="Q132" s="2"/>
      <c r="R132" s="3">
        <f>SUM(SOCF!BG35:'SOCF'!BR35)</f>
        <v>0</v>
      </c>
      <c r="S132" s="5"/>
      <c r="T132" s="2"/>
    </row>
    <row r="133" spans="1:20" ht="15.75" customHeight="1">
      <c r="A133" s="1"/>
      <c r="B133" s="2" t="s">
        <v>89</v>
      </c>
      <c r="C133" s="2"/>
      <c r="D133" s="2"/>
      <c r="E133" s="2"/>
      <c r="F133" s="3">
        <f>SUM(SOCF!G36:'SOCF'!R36)</f>
        <v>0</v>
      </c>
      <c r="G133" s="2"/>
      <c r="H133" s="2"/>
      <c r="I133" s="3">
        <f>SUM(SOCF!T36:'SOCF'!AE36)</f>
        <v>0</v>
      </c>
      <c r="J133" s="4"/>
      <c r="K133" s="2"/>
      <c r="L133" s="3">
        <f>SUM(SOCF!AG36:'SOCF'!AR36)</f>
        <v>0</v>
      </c>
      <c r="M133" s="5"/>
      <c r="N133" s="2"/>
      <c r="O133" s="3">
        <f>SUM(SOCF!AT36:'SOCF'!BE36)</f>
        <v>0</v>
      </c>
      <c r="P133" s="5"/>
      <c r="Q133" s="2"/>
      <c r="R133" s="3">
        <f>SUM(SOCF!BG36:'SOCF'!BR36)</f>
        <v>0</v>
      </c>
      <c r="S133" s="5"/>
      <c r="T133" s="2"/>
    </row>
    <row r="134" spans="1:20" ht="15.75" customHeight="1">
      <c r="A134" s="1"/>
      <c r="B134" s="2" t="s">
        <v>90</v>
      </c>
      <c r="C134" s="2"/>
      <c r="D134" s="2"/>
      <c r="E134" s="2"/>
      <c r="F134" s="3">
        <f>SUM(SOCF!G37:'SOCF'!R37)</f>
        <v>-100000</v>
      </c>
      <c r="G134" s="2"/>
      <c r="H134" s="2"/>
      <c r="I134" s="3">
        <f>SUM(SOCF!T37:'SOCF'!AE37)</f>
        <v>-300000</v>
      </c>
      <c r="J134" s="4"/>
      <c r="K134" s="2"/>
      <c r="L134" s="3">
        <f>SUM(SOCF!AG37:'SOCF'!AR37)</f>
        <v>-200000</v>
      </c>
      <c r="M134" s="5"/>
      <c r="N134" s="2"/>
      <c r="O134" s="3">
        <f>SUM(SOCF!AT37:'SOCF'!BE37)</f>
        <v>-300000</v>
      </c>
      <c r="P134" s="5"/>
      <c r="Q134" s="2"/>
      <c r="R134" s="3">
        <f>SUM(SOCF!BG37:'SOCF'!BR37)</f>
        <v>-400000</v>
      </c>
      <c r="S134" s="5"/>
      <c r="T134" s="2"/>
    </row>
    <row r="135" spans="1:20" ht="15.75" customHeight="1">
      <c r="A135" s="1"/>
      <c r="B135" s="2"/>
      <c r="C135" s="2"/>
      <c r="D135" s="2"/>
      <c r="E135" s="2" t="s">
        <v>91</v>
      </c>
      <c r="F135" s="18">
        <f>SUM(F131:F134)</f>
        <v>650926.52732727432</v>
      </c>
      <c r="G135" s="2"/>
      <c r="H135" s="2"/>
      <c r="I135" s="18">
        <f>SUM(I131:I134)</f>
        <v>-354212.10652628349</v>
      </c>
      <c r="J135" s="4"/>
      <c r="K135" s="2"/>
      <c r="L135" s="18">
        <f>SUM(L131:L134)</f>
        <v>-259888.82249310496</v>
      </c>
      <c r="M135" s="5"/>
      <c r="N135" s="2"/>
      <c r="O135" s="18">
        <f>SUM(O131:O134)</f>
        <v>-366159.96480180533</v>
      </c>
      <c r="P135" s="5"/>
      <c r="Q135" s="2"/>
      <c r="R135" s="18">
        <f>SUM(R131:R134)</f>
        <v>-473087.77765801066</v>
      </c>
      <c r="S135" s="5"/>
      <c r="T135" s="2"/>
    </row>
    <row r="136" spans="1:20" ht="15.75" customHeight="1">
      <c r="A136" s="1"/>
      <c r="B136" s="2"/>
      <c r="C136" s="2"/>
      <c r="D136" s="2"/>
      <c r="E136" s="2"/>
      <c r="F136" s="3"/>
      <c r="G136" s="2"/>
      <c r="H136" s="2"/>
      <c r="I136" s="3"/>
      <c r="J136" s="4"/>
      <c r="K136" s="2"/>
      <c r="L136" s="3"/>
      <c r="M136" s="5"/>
      <c r="N136" s="2"/>
      <c r="O136" s="3"/>
      <c r="P136" s="5"/>
      <c r="Q136" s="2"/>
      <c r="R136" s="3"/>
      <c r="S136" s="5"/>
      <c r="T136" s="2"/>
    </row>
    <row r="137" spans="1:20" ht="15.75" customHeight="1">
      <c r="A137" s="1" t="s">
        <v>92</v>
      </c>
      <c r="B137" s="2"/>
      <c r="C137" s="2"/>
      <c r="D137" s="2"/>
      <c r="E137" s="2"/>
      <c r="F137" s="3">
        <f>F123+F128+F135</f>
        <v>127028.72899517167</v>
      </c>
      <c r="G137" s="2"/>
      <c r="H137" s="2"/>
      <c r="I137" s="3">
        <f>I123+I128+I135</f>
        <v>-55663.063532583939</v>
      </c>
      <c r="J137" s="4"/>
      <c r="K137" s="2"/>
      <c r="L137" s="3">
        <f>L123+L128+L135</f>
        <v>30771.688018362329</v>
      </c>
      <c r="M137" s="5"/>
      <c r="N137" s="2"/>
      <c r="O137" s="3">
        <f>O123+O128+O135</f>
        <v>-6454.5454383159522</v>
      </c>
      <c r="P137" s="5"/>
      <c r="Q137" s="2"/>
      <c r="R137" s="3">
        <f>R123+R128+R135</f>
        <v>-40679.179309355153</v>
      </c>
      <c r="S137" s="5"/>
      <c r="T137" s="2"/>
    </row>
    <row r="138" spans="1:20" ht="15.75" customHeight="1">
      <c r="A138" s="1" t="s">
        <v>93</v>
      </c>
      <c r="B138" s="2"/>
      <c r="C138" s="2"/>
      <c r="D138" s="2"/>
      <c r="E138" s="2"/>
      <c r="F138" s="3">
        <f>SOCF!G41</f>
        <v>0</v>
      </c>
      <c r="G138" s="2"/>
      <c r="H138" s="2"/>
      <c r="I138" s="3">
        <f>F140</f>
        <v>127028.72899517167</v>
      </c>
      <c r="J138" s="4"/>
      <c r="K138" s="2"/>
      <c r="L138" s="3">
        <f>I140</f>
        <v>71365.665462587727</v>
      </c>
      <c r="M138" s="5"/>
      <c r="N138" s="2"/>
      <c r="O138" s="3">
        <f>L140</f>
        <v>102137.35348095006</v>
      </c>
      <c r="P138" s="5"/>
      <c r="Q138" s="2"/>
      <c r="R138" s="3">
        <f>O140</f>
        <v>95682.808042634104</v>
      </c>
      <c r="S138" s="5"/>
      <c r="T138" s="2"/>
    </row>
    <row r="139" spans="1:20" ht="15.75" customHeight="1">
      <c r="A139" s="1"/>
      <c r="B139" s="2"/>
      <c r="C139" s="2"/>
      <c r="D139" s="2"/>
      <c r="E139" s="2"/>
      <c r="F139" s="3"/>
      <c r="G139" s="2"/>
      <c r="H139" s="2"/>
      <c r="I139" s="3"/>
      <c r="J139" s="4"/>
      <c r="K139" s="2"/>
      <c r="L139" s="3"/>
      <c r="M139" s="5"/>
      <c r="N139" s="2"/>
      <c r="O139" s="3"/>
      <c r="P139" s="5"/>
      <c r="Q139" s="2"/>
      <c r="R139" s="3"/>
      <c r="S139" s="5"/>
      <c r="T139" s="2"/>
    </row>
    <row r="140" spans="1:20" ht="15.75" customHeight="1">
      <c r="A140" s="1" t="s">
        <v>94</v>
      </c>
      <c r="B140" s="2"/>
      <c r="C140" s="2"/>
      <c r="D140" s="2"/>
      <c r="E140" s="2"/>
      <c r="F140" s="3">
        <f>F137+F138</f>
        <v>127028.72899517167</v>
      </c>
      <c r="G140" s="2"/>
      <c r="H140" s="2"/>
      <c r="I140" s="3">
        <f>I137+I138</f>
        <v>71365.665462587727</v>
      </c>
      <c r="J140" s="4"/>
      <c r="K140" s="2"/>
      <c r="L140" s="3">
        <f>L137+L138</f>
        <v>102137.35348095006</v>
      </c>
      <c r="M140" s="5"/>
      <c r="N140" s="2"/>
      <c r="O140" s="3">
        <f>O137+O138</f>
        <v>95682.808042634104</v>
      </c>
      <c r="P140" s="5"/>
      <c r="Q140" s="2"/>
      <c r="R140" s="3">
        <f>R137+R138</f>
        <v>55003.628733278951</v>
      </c>
      <c r="S140" s="5"/>
      <c r="T140" s="2"/>
    </row>
    <row r="141" spans="1:20" ht="15.75" customHeight="1">
      <c r="A141" s="2"/>
      <c r="B141" s="2"/>
      <c r="C141" s="2"/>
      <c r="D141" s="2"/>
      <c r="E141" s="2"/>
      <c r="F141" s="2"/>
      <c r="G141" s="2"/>
      <c r="H141" s="2"/>
      <c r="I141" s="3"/>
      <c r="J141" s="4"/>
      <c r="K141" s="2"/>
      <c r="L141" s="3"/>
      <c r="M141" s="5"/>
      <c r="N141" s="2"/>
      <c r="O141" s="3"/>
      <c r="P141" s="5"/>
      <c r="Q141" s="2"/>
      <c r="R141" s="3"/>
      <c r="S141" s="5"/>
      <c r="T141" s="2"/>
    </row>
    <row r="142" spans="1:20" ht="15.75" customHeight="1">
      <c r="A142" s="2" t="s">
        <v>95</v>
      </c>
      <c r="B142" s="2"/>
      <c r="C142" s="2"/>
      <c r="D142" s="2"/>
      <c r="E142" s="2"/>
      <c r="F142" s="2"/>
      <c r="G142" s="2"/>
      <c r="H142" s="2"/>
      <c r="I142" s="3"/>
      <c r="J142" s="4"/>
      <c r="K142" s="2"/>
      <c r="L142" s="3"/>
      <c r="M142" s="5"/>
      <c r="N142" s="2"/>
      <c r="O142" s="3"/>
      <c r="P142" s="5"/>
      <c r="Q142" s="2"/>
      <c r="R142" s="3"/>
      <c r="S142" s="5"/>
      <c r="T142" s="2"/>
    </row>
    <row r="143" spans="1:20" ht="15.75" customHeight="1">
      <c r="A143" s="2"/>
      <c r="B143" s="2"/>
      <c r="C143" s="2"/>
      <c r="D143" s="2"/>
      <c r="E143" s="2"/>
      <c r="F143" s="2"/>
      <c r="G143" s="2"/>
      <c r="H143" s="2"/>
      <c r="I143" s="3"/>
      <c r="J143" s="4"/>
      <c r="K143" s="2"/>
      <c r="L143" s="3"/>
      <c r="M143" s="5"/>
      <c r="N143" s="2"/>
      <c r="O143" s="3"/>
      <c r="P143" s="5"/>
      <c r="Q143" s="2"/>
      <c r="R143" s="3"/>
      <c r="S143" s="5"/>
      <c r="T143" s="2"/>
    </row>
    <row r="144" spans="1:20" ht="15.75" hidden="1" customHeight="1">
      <c r="A144" s="2" t="s">
        <v>96</v>
      </c>
      <c r="B144" s="2"/>
      <c r="C144" s="2"/>
      <c r="D144" s="2"/>
      <c r="E144" s="2"/>
      <c r="F144" s="2"/>
      <c r="G144" s="2"/>
      <c r="H144" s="2"/>
      <c r="I144" s="3">
        <f>SUM(F110,I110,I137)</f>
        <v>11992.936467416061</v>
      </c>
      <c r="J144" s="4"/>
      <c r="K144" s="2"/>
      <c r="L144" s="3">
        <f>SUM(L137,L110)</f>
        <v>64599.688018362329</v>
      </c>
      <c r="M144" s="5"/>
      <c r="N144" s="2"/>
      <c r="O144" s="3">
        <f>SUM(O137,O110)</f>
        <v>27373.454561684048</v>
      </c>
      <c r="P144" s="5"/>
      <c r="Q144" s="2"/>
      <c r="R144" s="3">
        <f>SUM(R137,R110)</f>
        <v>-6851.1793093551532</v>
      </c>
      <c r="S144" s="5"/>
      <c r="T144" s="2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F48:G48"/>
    <mergeCell ref="I48:J48"/>
    <mergeCell ref="L48:M48"/>
    <mergeCell ref="O48:P48"/>
    <mergeCell ref="R48:S48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Z1000"/>
  <sheetViews>
    <sheetView showGridLines="0" workbookViewId="0">
      <selection activeCell="J35" sqref="J35"/>
    </sheetView>
  </sheetViews>
  <sheetFormatPr defaultColWidth="14.42578125" defaultRowHeight="15" customHeight="1"/>
  <cols>
    <col min="1" max="1" width="28.7109375" customWidth="1"/>
    <col min="2" max="2" width="12.28515625" customWidth="1"/>
    <col min="3" max="6" width="11.140625" customWidth="1"/>
    <col min="7" max="7" width="16.28515625" customWidth="1"/>
    <col min="8" max="8" width="18.5703125" customWidth="1"/>
    <col min="9" max="9" width="27.28515625" customWidth="1"/>
    <col min="10" max="10" width="21" customWidth="1"/>
    <col min="11" max="12" width="11.5703125" customWidth="1"/>
    <col min="13" max="13" width="23.42578125" customWidth="1"/>
    <col min="14" max="14" width="15" customWidth="1"/>
    <col min="15" max="15" width="15.28515625" customWidth="1"/>
    <col min="16" max="16" width="17.28515625" customWidth="1"/>
    <col min="17" max="26" width="11.5703125" customWidth="1"/>
  </cols>
  <sheetData>
    <row r="1" spans="1:26">
      <c r="A1" s="17" t="s">
        <v>384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>
      <c r="A3" s="219" t="s">
        <v>385</v>
      </c>
      <c r="B3" s="220" t="s">
        <v>386</v>
      </c>
      <c r="C3" s="220" t="s">
        <v>387</v>
      </c>
      <c r="D3" s="221" t="s">
        <v>388</v>
      </c>
      <c r="E3" s="220" t="s">
        <v>389</v>
      </c>
      <c r="F3" s="17"/>
      <c r="G3" s="17"/>
      <c r="H3" s="17"/>
      <c r="I3" s="17"/>
      <c r="J3" s="222"/>
      <c r="K3" s="223" t="s">
        <v>390</v>
      </c>
      <c r="L3" s="223" t="s">
        <v>391</v>
      </c>
      <c r="M3" s="223" t="s">
        <v>392</v>
      </c>
      <c r="N3" s="222" t="s">
        <v>393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>
      <c r="A4" s="222" t="s">
        <v>394</v>
      </c>
      <c r="B4" s="224">
        <f>IF($H5=K3,K4,IF($H5=L3,L4,IF($H5=M3,M4,0)))</f>
        <v>0.1925</v>
      </c>
      <c r="C4" s="224">
        <f>IF($H5=K3,K6,IF($H5=L3,L6,IF($H5=M3,M6,0)))</f>
        <v>0.14499999999999999</v>
      </c>
      <c r="D4" s="224">
        <f>IF($H5=K3,K7,IF($H5=L3,L7,IF($H5=M3,M7,0)))</f>
        <v>0.2185</v>
      </c>
      <c r="E4" s="224">
        <f>IF($H5=K3,K9,IF($H5=L3,L9,IF($H5=M3,M9,0)))</f>
        <v>0.17299999999999999</v>
      </c>
      <c r="F4" s="17"/>
      <c r="G4" s="223" t="s">
        <v>395</v>
      </c>
      <c r="H4" s="225">
        <f>'Estimates - COGS - Total Volume'!P78</f>
        <v>1682.3335749999997</v>
      </c>
      <c r="I4" s="226" t="s">
        <v>396</v>
      </c>
      <c r="J4" s="222" t="s">
        <v>397</v>
      </c>
      <c r="K4" s="227">
        <v>0.1925</v>
      </c>
      <c r="L4" s="222" t="s">
        <v>391</v>
      </c>
      <c r="M4" s="222">
        <v>0</v>
      </c>
      <c r="N4" s="222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>
      <c r="A5" s="222" t="s">
        <v>398</v>
      </c>
      <c r="B5" s="224">
        <f>IF($H5=$K3,K10,IF($H5=$L3,L10,IF($H5=$M3,M10,0)))</f>
        <v>4.2999999999999997E-2</v>
      </c>
      <c r="C5" s="224">
        <f>IF($H5=$K3,K10,IF($H5=$L3,L10,IF($H5=$M3,M10,0)))</f>
        <v>4.2999999999999997E-2</v>
      </c>
      <c r="D5" s="224">
        <f>IF($H5=$K3,K10,IF($H5=$L3,L10,IF($H5=$M3,M10,0)))</f>
        <v>4.2999999999999997E-2</v>
      </c>
      <c r="E5" s="224">
        <f>IF($H5=$K3,K10,IF($H5=$L3,L10,IF($H5=$M3,M10,0)))</f>
        <v>4.2999999999999997E-2</v>
      </c>
      <c r="F5" s="17"/>
      <c r="G5" s="223" t="s">
        <v>399</v>
      </c>
      <c r="H5" s="223" t="s">
        <v>390</v>
      </c>
      <c r="I5" s="17"/>
      <c r="J5" s="222" t="s">
        <v>400</v>
      </c>
      <c r="K5" s="228">
        <v>0.14299999999999999</v>
      </c>
      <c r="L5" s="222" t="s">
        <v>391</v>
      </c>
      <c r="M5" s="222">
        <v>0</v>
      </c>
      <c r="N5" s="222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>
      <c r="A6" s="222" t="s">
        <v>401</v>
      </c>
      <c r="B6" s="224">
        <f>$N14</f>
        <v>0.15</v>
      </c>
      <c r="C6" s="224"/>
      <c r="D6" s="224">
        <f>$N14</f>
        <v>0.15</v>
      </c>
      <c r="E6" s="224"/>
      <c r="F6" s="17"/>
      <c r="G6" s="223" t="s">
        <v>402</v>
      </c>
      <c r="H6" s="223" t="s">
        <v>388</v>
      </c>
      <c r="I6" s="17"/>
      <c r="J6" s="222" t="s">
        <v>403</v>
      </c>
      <c r="K6" s="228">
        <v>0.14499999999999999</v>
      </c>
      <c r="L6" s="222" t="s">
        <v>391</v>
      </c>
      <c r="M6" s="222">
        <v>0.28999999999999998</v>
      </c>
      <c r="N6" s="222"/>
      <c r="O6" s="222" t="s">
        <v>404</v>
      </c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>
      <c r="A7" s="222" t="s">
        <v>405</v>
      </c>
      <c r="B7" s="224">
        <f>IF($H5=$K3,K11,IF($H5=$L3,L11,IF($H5=$M3,M11,0)))</f>
        <v>0.155</v>
      </c>
      <c r="C7" s="224">
        <f>IF($H5=$K3,K11,IF($H5=$L3,L11,IF($H5=$M3,M11,0)))</f>
        <v>0.155</v>
      </c>
      <c r="D7" s="224">
        <f>IF($H5=$K3,K12,IF($H5=$L3,L12,IF($H5=$M3,M12,0)))</f>
        <v>0.2</v>
      </c>
      <c r="E7" s="224">
        <f>IF($H5=$K3,K12,IF($H5=$L3,L12,IF($H5=$M3,M12,0)))</f>
        <v>0.2</v>
      </c>
      <c r="F7" s="17"/>
      <c r="G7" s="223" t="s">
        <v>406</v>
      </c>
      <c r="H7" s="229">
        <f>IF(H6=B3,B9*H4,IF(H6=C3,C9*H4,IF(H6=D3,D9*H4,IF(H6=E3,E9*H4,0))))</f>
        <v>19229.072762249994</v>
      </c>
      <c r="I7" s="17"/>
      <c r="J7" s="222" t="s">
        <v>407</v>
      </c>
      <c r="K7" s="227">
        <v>0.2185</v>
      </c>
      <c r="L7" s="222" t="s">
        <v>391</v>
      </c>
      <c r="M7" s="222">
        <v>0</v>
      </c>
      <c r="N7" s="222"/>
      <c r="O7" s="222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>
      <c r="A8" s="222" t="s">
        <v>408</v>
      </c>
      <c r="B8" s="224">
        <f>$N15</f>
        <v>0.35</v>
      </c>
      <c r="C8" s="224">
        <f>$N15</f>
        <v>0.35</v>
      </c>
      <c r="D8" s="224">
        <f>$N15</f>
        <v>0.35</v>
      </c>
      <c r="E8" s="224">
        <f>$N15</f>
        <v>0.35</v>
      </c>
      <c r="F8" s="17"/>
      <c r="G8" s="17"/>
      <c r="H8" s="17"/>
      <c r="I8" s="17"/>
      <c r="J8" s="222" t="s">
        <v>409</v>
      </c>
      <c r="K8" s="228">
        <v>0.17</v>
      </c>
      <c r="L8" s="222" t="s">
        <v>391</v>
      </c>
      <c r="M8" s="222">
        <v>0</v>
      </c>
      <c r="N8" s="222"/>
      <c r="O8" s="222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>
      <c r="A9" s="223" t="s">
        <v>410</v>
      </c>
      <c r="B9" s="230">
        <f>ROUNDUP(SUM(24*SUM(B4:B6),4*B7,B8),2)</f>
        <v>10.23</v>
      </c>
      <c r="C9" s="230">
        <f>ROUNDUP(SUM(24*SUM(C4:C6),4*C7,C8),2)</f>
        <v>5.49</v>
      </c>
      <c r="D9" s="231">
        <f>ROUNDUP(SUM(24*SUM(D4:D6),6*D7,D8),2)</f>
        <v>11.43</v>
      </c>
      <c r="E9" s="230">
        <f>ROUNDUP(SUM(24*SUM(E4:E6),6*E7,E8),2)</f>
        <v>6.74</v>
      </c>
      <c r="F9" s="17"/>
      <c r="G9" s="17"/>
      <c r="H9" s="17"/>
      <c r="I9" s="17"/>
      <c r="J9" s="222" t="s">
        <v>411</v>
      </c>
      <c r="K9" s="228">
        <v>0.17299999999999999</v>
      </c>
      <c r="L9" s="222" t="s">
        <v>391</v>
      </c>
      <c r="M9" s="222">
        <v>0.36</v>
      </c>
      <c r="N9" s="222">
        <v>0.36</v>
      </c>
      <c r="O9" s="222" t="s">
        <v>404</v>
      </c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>
      <c r="A10" s="17"/>
      <c r="B10" s="17"/>
      <c r="C10" s="17"/>
      <c r="D10" s="17"/>
      <c r="E10" s="17"/>
      <c r="F10" s="17"/>
      <c r="G10" s="17"/>
      <c r="H10" s="17"/>
      <c r="I10" s="17"/>
      <c r="J10" s="222" t="s">
        <v>412</v>
      </c>
      <c r="K10" s="228">
        <v>4.2999999999999997E-2</v>
      </c>
      <c r="L10" s="222" t="s">
        <v>391</v>
      </c>
      <c r="M10" s="222">
        <v>4.7E-2</v>
      </c>
      <c r="N10" s="222">
        <v>4.7E-2</v>
      </c>
      <c r="O10" s="222" t="s">
        <v>413</v>
      </c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>
      <c r="A11" s="223" t="s">
        <v>414</v>
      </c>
      <c r="B11" s="232" t="s">
        <v>415</v>
      </c>
      <c r="C11" s="232" t="s">
        <v>416</v>
      </c>
      <c r="D11" s="17"/>
      <c r="E11" s="17"/>
      <c r="F11" s="17"/>
      <c r="G11" s="17"/>
      <c r="H11" s="17"/>
      <c r="I11" s="17"/>
      <c r="J11" s="222" t="s">
        <v>417</v>
      </c>
      <c r="K11" s="228">
        <v>0.155</v>
      </c>
      <c r="L11" s="222" t="s">
        <v>391</v>
      </c>
      <c r="M11" s="222">
        <v>0.155</v>
      </c>
      <c r="N11" s="222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>
      <c r="A12" s="222" t="s">
        <v>418</v>
      </c>
      <c r="B12" s="233">
        <v>0</v>
      </c>
      <c r="C12" s="233">
        <v>0</v>
      </c>
      <c r="D12" s="17"/>
      <c r="E12" s="17"/>
      <c r="F12" s="17"/>
      <c r="G12" s="17"/>
      <c r="H12" s="17"/>
      <c r="I12" s="17"/>
      <c r="J12" s="222" t="s">
        <v>419</v>
      </c>
      <c r="K12" s="228">
        <v>0.2</v>
      </c>
      <c r="L12" s="222" t="s">
        <v>391</v>
      </c>
      <c r="M12" s="222">
        <v>0.2</v>
      </c>
      <c r="N12" s="222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>
      <c r="A13" s="222" t="s">
        <v>420</v>
      </c>
      <c r="B13" s="233">
        <v>0.1</v>
      </c>
      <c r="C13" s="233">
        <v>0.1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>
      <c r="A14" s="222" t="s">
        <v>421</v>
      </c>
      <c r="B14" s="233">
        <v>0.42</v>
      </c>
      <c r="C14" s="233">
        <v>0.42</v>
      </c>
      <c r="D14" s="17"/>
      <c r="E14" s="17"/>
      <c r="F14" s="17"/>
      <c r="G14" s="17"/>
      <c r="H14" s="17"/>
      <c r="I14" s="17"/>
      <c r="J14" s="222" t="s">
        <v>422</v>
      </c>
      <c r="K14" s="234" t="s">
        <v>423</v>
      </c>
      <c r="L14" s="222"/>
      <c r="M14" s="222"/>
      <c r="N14" s="222">
        <v>0.15</v>
      </c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>
      <c r="A15" s="223" t="s">
        <v>424</v>
      </c>
      <c r="B15" s="260">
        <f>SUM(B12:B14)</f>
        <v>0.52</v>
      </c>
      <c r="C15" s="229">
        <f>SUM(C12:C14)</f>
        <v>0.52</v>
      </c>
      <c r="D15" s="17"/>
      <c r="E15" s="17"/>
      <c r="F15" s="17"/>
      <c r="G15" s="17"/>
      <c r="H15" s="17"/>
      <c r="I15" s="17"/>
      <c r="J15" s="222" t="s">
        <v>425</v>
      </c>
      <c r="K15" s="234" t="s">
        <v>423</v>
      </c>
      <c r="L15" s="222"/>
      <c r="M15" s="222"/>
      <c r="N15" s="222">
        <v>0.35</v>
      </c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>
      <c r="A16" s="17"/>
      <c r="B16" s="17"/>
      <c r="C16" s="17"/>
      <c r="D16" s="17"/>
      <c r="E16" s="17"/>
      <c r="F16" s="17"/>
      <c r="G16" s="17"/>
      <c r="H16" s="17"/>
      <c r="I16" s="17"/>
      <c r="J16" s="235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>
      <c r="A17" s="219" t="s">
        <v>426</v>
      </c>
      <c r="B17" s="236"/>
      <c r="C17" s="17"/>
      <c r="D17" s="17"/>
      <c r="E17" s="17"/>
      <c r="F17" s="17"/>
      <c r="G17" s="17"/>
      <c r="H17" s="17"/>
      <c r="I17" s="17"/>
      <c r="J17" s="235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>
      <c r="A18" s="237" t="s">
        <v>427</v>
      </c>
      <c r="B18" s="238">
        <v>0</v>
      </c>
      <c r="C18" s="17"/>
      <c r="D18" s="17"/>
      <c r="E18" s="17"/>
      <c r="F18" s="17"/>
      <c r="G18" s="17"/>
      <c r="H18" s="17"/>
      <c r="I18" s="17"/>
      <c r="J18" s="235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>
      <c r="A19" s="237" t="s">
        <v>428</v>
      </c>
      <c r="B19" s="239"/>
      <c r="C19" s="17"/>
      <c r="D19" s="17"/>
      <c r="E19" s="17"/>
      <c r="F19" s="17"/>
      <c r="G19" s="17"/>
      <c r="H19" s="17"/>
      <c r="I19" s="240" t="s">
        <v>429</v>
      </c>
      <c r="J19" s="240"/>
      <c r="K19" s="240"/>
      <c r="L19" s="240"/>
      <c r="M19" s="240"/>
      <c r="N19" s="240"/>
      <c r="O19" s="240"/>
      <c r="P19" s="240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>
      <c r="A20" s="237" t="s">
        <v>430</v>
      </c>
      <c r="B20" s="241">
        <f>SUM(B18:B19)</f>
        <v>0</v>
      </c>
      <c r="C20" s="17"/>
      <c r="D20" s="17"/>
      <c r="E20" s="17"/>
      <c r="F20" s="17"/>
      <c r="G20" s="17"/>
      <c r="H20" s="17"/>
      <c r="I20" s="240" t="s">
        <v>431</v>
      </c>
      <c r="J20" s="240" t="s">
        <v>432</v>
      </c>
      <c r="K20" s="240" t="s">
        <v>433</v>
      </c>
      <c r="L20" s="240"/>
      <c r="M20" s="240"/>
      <c r="N20" s="240" t="s">
        <v>434</v>
      </c>
      <c r="O20" s="240" t="s">
        <v>435</v>
      </c>
      <c r="P20" s="240" t="s">
        <v>436</v>
      </c>
      <c r="Q20" s="17" t="s">
        <v>437</v>
      </c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5.75" customHeight="1">
      <c r="A21" s="237" t="s">
        <v>438</v>
      </c>
      <c r="B21" s="239">
        <v>800</v>
      </c>
      <c r="C21" s="17"/>
      <c r="D21" s="17"/>
      <c r="E21" s="17"/>
      <c r="F21" s="17"/>
      <c r="G21" s="17"/>
      <c r="H21" s="17"/>
      <c r="I21" s="242">
        <v>12</v>
      </c>
      <c r="J21" s="242">
        <v>22</v>
      </c>
      <c r="K21" s="242">
        <f t="shared" ref="K21:K27" si="0">J21-I21</f>
        <v>10</v>
      </c>
      <c r="L21" s="240" t="s">
        <v>439</v>
      </c>
      <c r="M21" s="240"/>
      <c r="N21" s="243">
        <v>0.04</v>
      </c>
      <c r="O21" s="242">
        <f>'Estimates - COGS - Total Volume'!L$79*N21</f>
        <v>68.156741714285701</v>
      </c>
      <c r="P21" s="244">
        <f t="shared" ref="P21:P27" si="1">O21/K21</f>
        <v>6.8156741714285705</v>
      </c>
      <c r="Q21" s="242">
        <f t="shared" ref="Q21:Q27" si="2">Q$29*N21</f>
        <v>7.7646164999999971</v>
      </c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5.75" customHeight="1">
      <c r="A22" s="245" t="s">
        <v>440</v>
      </c>
      <c r="B22" s="246">
        <f>ROUND(B20/B21,2)</f>
        <v>0</v>
      </c>
      <c r="C22" s="17"/>
      <c r="D22" s="17"/>
      <c r="E22" s="17"/>
      <c r="F22" s="17"/>
      <c r="G22" s="17"/>
      <c r="H22" s="17"/>
      <c r="I22" s="242">
        <v>12</v>
      </c>
      <c r="J22" s="242">
        <v>22</v>
      </c>
      <c r="K22" s="242">
        <f t="shared" si="0"/>
        <v>10</v>
      </c>
      <c r="L22" s="240" t="s">
        <v>441</v>
      </c>
      <c r="M22" s="240"/>
      <c r="N22" s="243">
        <v>7.0000000000000007E-2</v>
      </c>
      <c r="O22" s="242">
        <f>'Estimates - COGS - Total Volume'!L$79*N22</f>
        <v>119.27429799999999</v>
      </c>
      <c r="P22" s="244">
        <f t="shared" si="1"/>
        <v>11.927429799999999</v>
      </c>
      <c r="Q22" s="242">
        <f t="shared" si="2"/>
        <v>13.588078874999997</v>
      </c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5.75" customHeight="1">
      <c r="A23" s="17"/>
      <c r="B23" s="17"/>
      <c r="C23" s="17"/>
      <c r="D23" s="17"/>
      <c r="E23" s="17"/>
      <c r="F23" s="17"/>
      <c r="G23" s="17"/>
      <c r="H23" s="17"/>
      <c r="I23" s="242">
        <v>12</v>
      </c>
      <c r="J23" s="242">
        <v>22</v>
      </c>
      <c r="K23" s="242">
        <f t="shared" si="0"/>
        <v>10</v>
      </c>
      <c r="L23" s="240" t="s">
        <v>442</v>
      </c>
      <c r="M23" s="240"/>
      <c r="N23" s="243">
        <v>0.12</v>
      </c>
      <c r="O23" s="242">
        <f>'Estimates - COGS - Total Volume'!L$79*N23</f>
        <v>204.47022514285709</v>
      </c>
      <c r="P23" s="244">
        <f t="shared" si="1"/>
        <v>20.44702251428571</v>
      </c>
      <c r="Q23" s="242">
        <f t="shared" si="2"/>
        <v>23.29384949999999</v>
      </c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5.75" customHeight="1">
      <c r="A24" s="27" t="s">
        <v>443</v>
      </c>
      <c r="B24" s="247">
        <v>0.03</v>
      </c>
      <c r="C24" s="17"/>
      <c r="D24" s="17"/>
      <c r="E24" s="17"/>
      <c r="F24" s="17"/>
      <c r="G24" s="17"/>
      <c r="H24" s="17"/>
      <c r="I24" s="242">
        <v>12</v>
      </c>
      <c r="J24" s="242">
        <v>22</v>
      </c>
      <c r="K24" s="242">
        <f t="shared" si="0"/>
        <v>10</v>
      </c>
      <c r="L24" s="240" t="s">
        <v>444</v>
      </c>
      <c r="M24" s="240"/>
      <c r="N24" s="243">
        <v>0.17</v>
      </c>
      <c r="O24" s="242">
        <f>'Estimates - COGS - Total Volume'!L$79*N24</f>
        <v>289.66615228571425</v>
      </c>
      <c r="P24" s="244">
        <f t="shared" si="1"/>
        <v>28.966615228571424</v>
      </c>
      <c r="Q24" s="242">
        <f t="shared" si="2"/>
        <v>32.999620124999993</v>
      </c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5.75" customHeight="1">
      <c r="A25" s="17"/>
      <c r="B25" s="17"/>
      <c r="C25" s="17"/>
      <c r="D25" s="17"/>
      <c r="E25" s="17"/>
      <c r="F25" s="17"/>
      <c r="G25" s="17"/>
      <c r="H25" s="17"/>
      <c r="I25" s="242">
        <v>12</v>
      </c>
      <c r="J25" s="242">
        <v>23</v>
      </c>
      <c r="K25" s="242">
        <f t="shared" si="0"/>
        <v>11</v>
      </c>
      <c r="L25" s="240" t="s">
        <v>445</v>
      </c>
      <c r="M25" s="240"/>
      <c r="N25" s="243">
        <v>0.25</v>
      </c>
      <c r="O25" s="242">
        <f>'Estimates - COGS - Total Volume'!L$79*N25</f>
        <v>425.97963571428562</v>
      </c>
      <c r="P25" s="244">
        <f t="shared" si="1"/>
        <v>38.725421428571423</v>
      </c>
      <c r="Q25" s="242">
        <f t="shared" si="2"/>
        <v>48.528853124999983</v>
      </c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5.75" customHeight="1">
      <c r="A26" s="219" t="s">
        <v>446</v>
      </c>
      <c r="B26" s="236"/>
      <c r="C26" s="17"/>
      <c r="D26" s="17"/>
      <c r="E26" s="17"/>
      <c r="F26" s="17"/>
      <c r="G26" s="17"/>
      <c r="H26" s="17"/>
      <c r="I26" s="242">
        <v>11</v>
      </c>
      <c r="J26" s="242">
        <v>23</v>
      </c>
      <c r="K26" s="242">
        <f t="shared" si="0"/>
        <v>12</v>
      </c>
      <c r="L26" s="240" t="s">
        <v>447</v>
      </c>
      <c r="M26" s="240"/>
      <c r="N26" s="243">
        <v>0.25</v>
      </c>
      <c r="O26" s="242">
        <f>'Estimates - COGS - Total Volume'!L$79*N26</f>
        <v>425.97963571428562</v>
      </c>
      <c r="P26" s="244">
        <f t="shared" si="1"/>
        <v>35.498302976190466</v>
      </c>
      <c r="Q26" s="242">
        <f t="shared" si="2"/>
        <v>48.528853124999983</v>
      </c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5.75" customHeight="1">
      <c r="A27" s="237" t="s">
        <v>448</v>
      </c>
      <c r="B27" s="235">
        <v>3.5</v>
      </c>
      <c r="C27" s="17"/>
      <c r="D27" s="17"/>
      <c r="E27" s="17"/>
      <c r="F27" s="17"/>
      <c r="G27" s="17"/>
      <c r="H27" s="17"/>
      <c r="I27" s="242">
        <v>11</v>
      </c>
      <c r="J27" s="242">
        <v>22</v>
      </c>
      <c r="K27" s="242">
        <f t="shared" si="0"/>
        <v>11</v>
      </c>
      <c r="L27" s="240" t="s">
        <v>449</v>
      </c>
      <c r="M27" s="240"/>
      <c r="N27" s="243">
        <v>0.1</v>
      </c>
      <c r="O27" s="242">
        <f>'Estimates - COGS - Total Volume'!L$79*N27</f>
        <v>170.39185428571426</v>
      </c>
      <c r="P27" s="244">
        <f t="shared" si="1"/>
        <v>15.490168571428569</v>
      </c>
      <c r="Q27" s="242">
        <f t="shared" si="2"/>
        <v>19.411541249999996</v>
      </c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5.75" customHeight="1">
      <c r="A28" s="237" t="s">
        <v>450</v>
      </c>
      <c r="B28" s="248">
        <v>0.08</v>
      </c>
      <c r="C28" s="17"/>
      <c r="D28" s="17"/>
      <c r="E28" s="17"/>
      <c r="F28" s="17"/>
      <c r="G28" s="17"/>
      <c r="H28" s="17"/>
      <c r="I28" s="240"/>
      <c r="J28" s="240"/>
      <c r="K28" s="17"/>
      <c r="L28" s="240"/>
      <c r="M28" s="240"/>
      <c r="N28" s="240"/>
      <c r="O28" s="240"/>
      <c r="P28" s="240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5.75" customHeight="1">
      <c r="A29" s="249" t="s">
        <v>451</v>
      </c>
      <c r="B29" s="235">
        <f>ROUND($B$28*24*12/128,2)</f>
        <v>0.18</v>
      </c>
      <c r="C29" s="17"/>
      <c r="D29" s="17"/>
      <c r="E29" s="17"/>
      <c r="F29" s="17"/>
      <c r="G29" s="17"/>
      <c r="H29" s="17"/>
      <c r="I29" s="242"/>
      <c r="J29" s="242"/>
      <c r="K29" s="242">
        <f>SUM(K21:K27)</f>
        <v>74</v>
      </c>
      <c r="L29" s="250" t="s">
        <v>452</v>
      </c>
      <c r="M29" s="240"/>
      <c r="N29" s="251">
        <f>SUM(N21:N28)</f>
        <v>1</v>
      </c>
      <c r="O29" s="242">
        <f>SUM(O21:O28)</f>
        <v>1703.9185428571427</v>
      </c>
      <c r="P29" s="250" t="s">
        <v>452</v>
      </c>
      <c r="Q29" s="252">
        <f>'Estimates - COGS - Total Volume'!R79</f>
        <v>194.11541249999993</v>
      </c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5.75" customHeight="1">
      <c r="A30" s="249" t="s">
        <v>453</v>
      </c>
      <c r="B30" s="235">
        <f>ROUND($B$28*24*16/128,2)</f>
        <v>0.24</v>
      </c>
      <c r="C30" s="17"/>
      <c r="D30" s="17"/>
      <c r="E30" s="17"/>
      <c r="F30" s="17"/>
      <c r="G30" s="17"/>
      <c r="H30" s="17"/>
      <c r="I30" s="17"/>
      <c r="J30" s="235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235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>
      <c r="A32" s="16"/>
      <c r="B32" s="253"/>
      <c r="C32" s="17"/>
      <c r="D32" s="17"/>
      <c r="E32" s="17"/>
      <c r="F32" s="17"/>
      <c r="G32" s="17"/>
      <c r="H32" s="219"/>
      <c r="I32" s="220"/>
      <c r="J32" s="235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>
      <c r="A33" s="219" t="s">
        <v>454</v>
      </c>
      <c r="B33" s="219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>
      <c r="A34" s="24" t="s">
        <v>455</v>
      </c>
      <c r="B34" s="254">
        <v>0.3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>
      <c r="A35" s="24" t="s">
        <v>456</v>
      </c>
      <c r="B35" s="254">
        <v>0.3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>
      <c r="A36" s="24" t="s">
        <v>457</v>
      </c>
      <c r="B36" s="254">
        <v>0.25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</row>
    <row r="238" spans="1:26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</row>
    <row r="239" spans="1:26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</row>
    <row r="240" spans="1:26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</row>
    <row r="241" spans="1:26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</row>
    <row r="242" spans="1:26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</row>
    <row r="243" spans="1:26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</row>
    <row r="244" spans="1:26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</row>
    <row r="245" spans="1:26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</row>
    <row r="246" spans="1:2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</row>
    <row r="247" spans="1:26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</row>
    <row r="248" spans="1:26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</row>
    <row r="249" spans="1:26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</row>
    <row r="250" spans="1:26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</row>
    <row r="251" spans="1:26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</row>
    <row r="252" spans="1:26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</row>
    <row r="253" spans="1:26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</row>
    <row r="254" spans="1:26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</row>
    <row r="255" spans="1:26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</row>
    <row r="256" spans="1:2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</row>
    <row r="257" spans="1:26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</row>
    <row r="258" spans="1:26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</row>
    <row r="259" spans="1:26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</row>
    <row r="260" spans="1:26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</row>
    <row r="261" spans="1:26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</row>
    <row r="262" spans="1:26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</row>
    <row r="263" spans="1:26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</row>
    <row r="264" spans="1:26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</row>
    <row r="265" spans="1:26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</row>
    <row r="266" spans="1:2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</row>
    <row r="267" spans="1:26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</row>
    <row r="268" spans="1:26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</row>
    <row r="269" spans="1:26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</row>
    <row r="270" spans="1:26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</row>
    <row r="271" spans="1:26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</row>
    <row r="272" spans="1:26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</row>
    <row r="273" spans="1:26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</row>
    <row r="274" spans="1:26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</row>
    <row r="275" spans="1:26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</row>
    <row r="276" spans="1:2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</row>
    <row r="277" spans="1:26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</row>
    <row r="278" spans="1:26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</row>
    <row r="279" spans="1:26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</row>
    <row r="280" spans="1:26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</row>
    <row r="281" spans="1:26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</row>
    <row r="282" spans="1:26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</row>
    <row r="283" spans="1:26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</row>
    <row r="284" spans="1:26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</row>
    <row r="285" spans="1:26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</row>
    <row r="286" spans="1:2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</row>
    <row r="287" spans="1:26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</row>
    <row r="288" spans="1:26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</row>
    <row r="289" spans="1:26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</row>
    <row r="290" spans="1:26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</row>
    <row r="291" spans="1:26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</row>
    <row r="292" spans="1:26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</row>
    <row r="293" spans="1:26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</row>
    <row r="294" spans="1:26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</row>
    <row r="295" spans="1:26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</row>
    <row r="296" spans="1:2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</row>
    <row r="297" spans="1:26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</row>
    <row r="298" spans="1:26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</row>
    <row r="299" spans="1:26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</row>
    <row r="300" spans="1:26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</row>
    <row r="301" spans="1:26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</row>
    <row r="302" spans="1:26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</row>
    <row r="303" spans="1:26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</row>
    <row r="304" spans="1:26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</row>
    <row r="305" spans="1:26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</row>
    <row r="306" spans="1:2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</row>
    <row r="307" spans="1:26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</row>
    <row r="308" spans="1:26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</row>
    <row r="309" spans="1:26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</row>
    <row r="310" spans="1:26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</row>
    <row r="311" spans="1:26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</row>
    <row r="312" spans="1:26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</row>
    <row r="313" spans="1:26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</row>
    <row r="314" spans="1:26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</row>
    <row r="315" spans="1:26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</row>
    <row r="316" spans="1:2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</row>
    <row r="317" spans="1:26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</row>
    <row r="318" spans="1:26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</row>
    <row r="319" spans="1:26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</row>
    <row r="320" spans="1:26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</row>
    <row r="321" spans="1:26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</row>
    <row r="322" spans="1:26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</row>
    <row r="323" spans="1:26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</row>
    <row r="324" spans="1:26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</row>
    <row r="325" spans="1:26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</row>
    <row r="326" spans="1: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</row>
    <row r="327" spans="1:26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</row>
    <row r="328" spans="1:26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</row>
    <row r="329" spans="1:26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</row>
    <row r="330" spans="1:26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</row>
    <row r="331" spans="1:26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</row>
    <row r="332" spans="1:26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</row>
    <row r="333" spans="1:26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</row>
    <row r="334" spans="1:26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</row>
    <row r="335" spans="1:26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</row>
    <row r="336" spans="1:2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</row>
    <row r="337" spans="1:26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</row>
    <row r="338" spans="1:26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</row>
    <row r="339" spans="1:26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</row>
    <row r="340" spans="1:26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</row>
    <row r="341" spans="1:26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</row>
    <row r="342" spans="1:26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</row>
    <row r="343" spans="1:26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</row>
    <row r="344" spans="1:26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</row>
    <row r="345" spans="1:26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</row>
    <row r="346" spans="1:2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</row>
    <row r="347" spans="1:26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</row>
    <row r="348" spans="1:26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</row>
    <row r="349" spans="1:26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</row>
    <row r="350" spans="1:26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</row>
    <row r="351" spans="1:26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</row>
    <row r="352" spans="1:26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</row>
    <row r="353" spans="1:26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</row>
    <row r="354" spans="1:26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</row>
    <row r="355" spans="1:26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</row>
    <row r="356" spans="1:2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</row>
    <row r="357" spans="1:26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</row>
    <row r="358" spans="1:26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</row>
    <row r="359" spans="1:26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</row>
    <row r="360" spans="1:26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</row>
    <row r="361" spans="1:26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</row>
    <row r="362" spans="1:26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</row>
    <row r="363" spans="1:26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</row>
    <row r="364" spans="1:26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</row>
    <row r="365" spans="1:26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</row>
    <row r="366" spans="1:2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</row>
    <row r="367" spans="1:26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</row>
    <row r="368" spans="1:26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</row>
    <row r="369" spans="1:26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</row>
    <row r="370" spans="1:26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</row>
    <row r="371" spans="1:26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</row>
    <row r="372" spans="1:26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</row>
    <row r="373" spans="1:26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</row>
    <row r="374" spans="1:26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</row>
    <row r="375" spans="1:26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</row>
    <row r="376" spans="1:2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</row>
    <row r="377" spans="1:26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</row>
    <row r="378" spans="1:26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</row>
    <row r="379" spans="1:26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</row>
    <row r="380" spans="1:26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</row>
    <row r="381" spans="1:26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</row>
    <row r="382" spans="1:26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</row>
    <row r="383" spans="1:26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</row>
    <row r="384" spans="1:26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</row>
    <row r="385" spans="1:26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</row>
    <row r="386" spans="1:2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</row>
    <row r="387" spans="1:26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</row>
    <row r="388" spans="1:26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</row>
    <row r="389" spans="1:26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</row>
    <row r="390" spans="1:26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</row>
    <row r="391" spans="1:26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</row>
    <row r="392" spans="1:26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</row>
    <row r="393" spans="1:26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</row>
    <row r="394" spans="1:26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</row>
    <row r="395" spans="1:26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</row>
    <row r="396" spans="1:2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</row>
    <row r="397" spans="1:26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</row>
    <row r="398" spans="1:26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</row>
    <row r="399" spans="1:26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</row>
    <row r="400" spans="1:26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</row>
    <row r="401" spans="1:26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</row>
    <row r="402" spans="1:26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</row>
    <row r="403" spans="1:26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</row>
    <row r="404" spans="1:26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</row>
    <row r="405" spans="1:26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</row>
    <row r="406" spans="1:2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</row>
    <row r="407" spans="1:26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</row>
    <row r="408" spans="1:26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</row>
    <row r="409" spans="1:26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</row>
    <row r="410" spans="1:26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</row>
    <row r="411" spans="1:26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</row>
    <row r="412" spans="1:26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</row>
    <row r="413" spans="1:26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</row>
    <row r="414" spans="1:26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</row>
    <row r="415" spans="1:26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</row>
    <row r="416" spans="1:2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</row>
    <row r="417" spans="1:26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</row>
    <row r="418" spans="1:26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</row>
    <row r="419" spans="1:26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</row>
    <row r="420" spans="1:26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</row>
    <row r="421" spans="1:26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</row>
    <row r="422" spans="1:26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</row>
    <row r="423" spans="1:26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</row>
    <row r="424" spans="1:26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</row>
    <row r="425" spans="1:26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</row>
    <row r="426" spans="1: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</row>
    <row r="427" spans="1:26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</row>
    <row r="428" spans="1:26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</row>
    <row r="429" spans="1:26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</row>
    <row r="430" spans="1:26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</row>
    <row r="431" spans="1:26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</row>
    <row r="432" spans="1:26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</row>
    <row r="433" spans="1:26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</row>
    <row r="434" spans="1:26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</row>
    <row r="435" spans="1:26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</row>
    <row r="436" spans="1:2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</row>
    <row r="437" spans="1:26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</row>
    <row r="438" spans="1:26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</row>
    <row r="439" spans="1:26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</row>
    <row r="440" spans="1:26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</row>
    <row r="441" spans="1:26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</row>
    <row r="442" spans="1:26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</row>
    <row r="443" spans="1:26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</row>
    <row r="444" spans="1:26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</row>
    <row r="445" spans="1:26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</row>
    <row r="446" spans="1:2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</row>
    <row r="447" spans="1:26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</row>
    <row r="448" spans="1:26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</row>
    <row r="449" spans="1:26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</row>
    <row r="450" spans="1:26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</row>
    <row r="451" spans="1:26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</row>
    <row r="452" spans="1:26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</row>
    <row r="453" spans="1:26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</row>
    <row r="454" spans="1:26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</row>
    <row r="455" spans="1:26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</row>
    <row r="456" spans="1:2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</row>
    <row r="457" spans="1:26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</row>
    <row r="458" spans="1:26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</row>
    <row r="459" spans="1:26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</row>
    <row r="460" spans="1:26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</row>
    <row r="461" spans="1:26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</row>
    <row r="462" spans="1:26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</row>
    <row r="463" spans="1:26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</row>
    <row r="464" spans="1:26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</row>
    <row r="465" spans="1:26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</row>
    <row r="466" spans="1:2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</row>
    <row r="467" spans="1:26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</row>
    <row r="468" spans="1:26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</row>
    <row r="469" spans="1:26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</row>
    <row r="470" spans="1:26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</row>
    <row r="471" spans="1:26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</row>
    <row r="472" spans="1:26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</row>
    <row r="473" spans="1:26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</row>
    <row r="474" spans="1:26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</row>
    <row r="475" spans="1:26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</row>
    <row r="476" spans="1:2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</row>
    <row r="477" spans="1:26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</row>
    <row r="478" spans="1:26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</row>
    <row r="479" spans="1:26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</row>
    <row r="480" spans="1:26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</row>
    <row r="481" spans="1:26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</row>
    <row r="482" spans="1:26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</row>
    <row r="483" spans="1:26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</row>
    <row r="484" spans="1:26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</row>
    <row r="485" spans="1:26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</row>
    <row r="486" spans="1:2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</row>
    <row r="487" spans="1:26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</row>
    <row r="488" spans="1:26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</row>
    <row r="489" spans="1:26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</row>
    <row r="490" spans="1:26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</row>
    <row r="491" spans="1:26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</row>
    <row r="492" spans="1:26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</row>
    <row r="493" spans="1:26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</row>
    <row r="494" spans="1:26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</row>
    <row r="495" spans="1:26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</row>
    <row r="496" spans="1:2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</row>
    <row r="497" spans="1:26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</row>
    <row r="498" spans="1:26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</row>
    <row r="499" spans="1:26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</row>
    <row r="500" spans="1:26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</row>
    <row r="501" spans="1:26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</row>
    <row r="502" spans="1:26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</row>
    <row r="503" spans="1:26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</row>
    <row r="504" spans="1:26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</row>
    <row r="505" spans="1:26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</row>
    <row r="506" spans="1:2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</row>
    <row r="507" spans="1:26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</row>
    <row r="508" spans="1:26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</row>
    <row r="509" spans="1:26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</row>
    <row r="510" spans="1:26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</row>
    <row r="511" spans="1:26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</row>
    <row r="512" spans="1:26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</row>
    <row r="513" spans="1:26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</row>
    <row r="514" spans="1:26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</row>
    <row r="515" spans="1:26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</row>
    <row r="516" spans="1:2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</row>
    <row r="517" spans="1:26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</row>
    <row r="518" spans="1:26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</row>
    <row r="519" spans="1:26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</row>
    <row r="520" spans="1:26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</row>
    <row r="521" spans="1:26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</row>
    <row r="522" spans="1:26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</row>
    <row r="523" spans="1:26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</row>
    <row r="524" spans="1:26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</row>
    <row r="525" spans="1:26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</row>
    <row r="526" spans="1: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</row>
    <row r="527" spans="1:26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</row>
    <row r="528" spans="1:26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</row>
    <row r="529" spans="1:26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</row>
    <row r="530" spans="1:26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</row>
    <row r="531" spans="1:26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</row>
    <row r="532" spans="1:26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</row>
    <row r="533" spans="1:26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</row>
    <row r="534" spans="1:26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</row>
    <row r="535" spans="1:26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</row>
    <row r="536" spans="1:2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</row>
    <row r="537" spans="1:26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</row>
    <row r="538" spans="1:26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</row>
    <row r="539" spans="1:26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</row>
    <row r="540" spans="1:26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</row>
    <row r="541" spans="1:26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</row>
    <row r="542" spans="1:26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</row>
    <row r="543" spans="1:26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</row>
    <row r="544" spans="1:26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</row>
    <row r="545" spans="1:26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</row>
    <row r="546" spans="1:2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</row>
    <row r="547" spans="1:26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</row>
    <row r="548" spans="1:26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</row>
    <row r="549" spans="1:26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</row>
    <row r="550" spans="1:26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</row>
    <row r="551" spans="1:26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</row>
    <row r="552" spans="1:26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</row>
    <row r="553" spans="1:26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</row>
    <row r="554" spans="1:26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</row>
    <row r="555" spans="1:26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</row>
    <row r="556" spans="1:2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</row>
    <row r="557" spans="1:26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</row>
    <row r="558" spans="1:26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</row>
    <row r="559" spans="1:26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</row>
    <row r="560" spans="1:26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</row>
    <row r="561" spans="1:26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</row>
    <row r="562" spans="1:26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</row>
    <row r="563" spans="1:26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</row>
    <row r="564" spans="1:26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</row>
    <row r="565" spans="1:26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</row>
    <row r="566" spans="1:2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</row>
    <row r="567" spans="1:26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</row>
    <row r="568" spans="1:26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</row>
    <row r="569" spans="1:26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</row>
    <row r="570" spans="1:26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</row>
    <row r="571" spans="1:26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</row>
    <row r="572" spans="1:26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</row>
    <row r="573" spans="1:26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</row>
    <row r="574" spans="1:26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</row>
    <row r="575" spans="1:26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</row>
    <row r="576" spans="1:2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</row>
    <row r="577" spans="1:26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</row>
    <row r="578" spans="1:26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</row>
    <row r="579" spans="1:26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</row>
    <row r="580" spans="1:26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</row>
    <row r="581" spans="1:26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</row>
    <row r="582" spans="1:26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</row>
    <row r="583" spans="1:26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</row>
    <row r="584" spans="1:26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</row>
    <row r="585" spans="1:26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</row>
    <row r="586" spans="1:2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</row>
    <row r="587" spans="1:26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</row>
    <row r="588" spans="1:26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</row>
    <row r="589" spans="1:26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</row>
    <row r="590" spans="1:26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</row>
    <row r="591" spans="1:26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</row>
    <row r="592" spans="1:26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</row>
    <row r="593" spans="1:26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</row>
    <row r="594" spans="1:26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</row>
    <row r="595" spans="1:26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</row>
    <row r="596" spans="1:2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</row>
    <row r="597" spans="1:26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</row>
    <row r="598" spans="1:26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</row>
    <row r="599" spans="1:26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</row>
    <row r="600" spans="1:26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</row>
    <row r="601" spans="1:26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</row>
    <row r="602" spans="1:26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</row>
    <row r="603" spans="1:26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</row>
    <row r="604" spans="1:26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</row>
    <row r="605" spans="1:26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</row>
    <row r="606" spans="1:2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</row>
    <row r="607" spans="1:26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</row>
    <row r="608" spans="1:26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</row>
    <row r="609" spans="1:26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</row>
    <row r="610" spans="1:26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</row>
    <row r="611" spans="1:26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</row>
    <row r="612" spans="1:26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</row>
    <row r="613" spans="1:26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</row>
    <row r="614" spans="1:26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</row>
    <row r="615" spans="1:26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</row>
    <row r="616" spans="1:2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</row>
    <row r="617" spans="1:26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</row>
    <row r="618" spans="1:26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</row>
    <row r="619" spans="1:26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</row>
    <row r="620" spans="1:26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</row>
    <row r="621" spans="1:26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</row>
    <row r="622" spans="1:26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</row>
    <row r="623" spans="1:26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</row>
    <row r="624" spans="1:26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</row>
    <row r="625" spans="1:26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</row>
    <row r="626" spans="1: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</row>
    <row r="627" spans="1:26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</row>
    <row r="628" spans="1:26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</row>
    <row r="629" spans="1:26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</row>
    <row r="630" spans="1:26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</row>
    <row r="631" spans="1:26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</row>
    <row r="632" spans="1:26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</row>
    <row r="633" spans="1:26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</row>
    <row r="634" spans="1:26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</row>
    <row r="635" spans="1:26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</row>
    <row r="636" spans="1:2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</row>
    <row r="637" spans="1:26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</row>
    <row r="638" spans="1:26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</row>
    <row r="639" spans="1:26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</row>
    <row r="640" spans="1:26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</row>
    <row r="641" spans="1:26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</row>
    <row r="642" spans="1:26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</row>
    <row r="643" spans="1:26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</row>
    <row r="644" spans="1:26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</row>
    <row r="645" spans="1:26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</row>
    <row r="646" spans="1:2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</row>
    <row r="647" spans="1:26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</row>
    <row r="648" spans="1:26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</row>
    <row r="649" spans="1:26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</row>
    <row r="650" spans="1:26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</row>
    <row r="651" spans="1:26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</row>
    <row r="652" spans="1:26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</row>
    <row r="653" spans="1:26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</row>
    <row r="654" spans="1:26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</row>
    <row r="655" spans="1:26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</row>
    <row r="656" spans="1:2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</row>
    <row r="657" spans="1:26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</row>
    <row r="658" spans="1:26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</row>
    <row r="659" spans="1:26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</row>
    <row r="660" spans="1:26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</row>
    <row r="661" spans="1:26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</row>
    <row r="662" spans="1:26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</row>
    <row r="663" spans="1:26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</row>
    <row r="664" spans="1:26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</row>
    <row r="665" spans="1:26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</row>
    <row r="666" spans="1:2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</row>
    <row r="667" spans="1:26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</row>
    <row r="668" spans="1:26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</row>
    <row r="669" spans="1:26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</row>
    <row r="670" spans="1:26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</row>
    <row r="671" spans="1:26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</row>
    <row r="672" spans="1:26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</row>
    <row r="673" spans="1:26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</row>
    <row r="674" spans="1:26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</row>
    <row r="675" spans="1:26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</row>
    <row r="676" spans="1:2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</row>
    <row r="677" spans="1:26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</row>
    <row r="678" spans="1:26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</row>
    <row r="679" spans="1:26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</row>
    <row r="680" spans="1:26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</row>
    <row r="681" spans="1:26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</row>
    <row r="682" spans="1:26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</row>
    <row r="683" spans="1:26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</row>
    <row r="684" spans="1:26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</row>
    <row r="685" spans="1:26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</row>
    <row r="686" spans="1:2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</row>
    <row r="687" spans="1:26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</row>
    <row r="688" spans="1:26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</row>
    <row r="689" spans="1:26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</row>
    <row r="690" spans="1:26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</row>
    <row r="691" spans="1:26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</row>
    <row r="692" spans="1:26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</row>
    <row r="693" spans="1:26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</row>
    <row r="694" spans="1:26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</row>
    <row r="695" spans="1:26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</row>
    <row r="696" spans="1:2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</row>
    <row r="697" spans="1:26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</row>
    <row r="698" spans="1:26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</row>
    <row r="699" spans="1:26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</row>
    <row r="700" spans="1:26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</row>
    <row r="701" spans="1:26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</row>
    <row r="702" spans="1:26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</row>
    <row r="703" spans="1:26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</row>
    <row r="704" spans="1:26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</row>
    <row r="705" spans="1:26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</row>
    <row r="706" spans="1:2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</row>
    <row r="707" spans="1:26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</row>
    <row r="708" spans="1:26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</row>
    <row r="709" spans="1:26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</row>
    <row r="710" spans="1:26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</row>
    <row r="711" spans="1:26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</row>
    <row r="712" spans="1:26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</row>
    <row r="713" spans="1:26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</row>
    <row r="714" spans="1:26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</row>
    <row r="715" spans="1:26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</row>
    <row r="716" spans="1:2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</row>
    <row r="717" spans="1:26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</row>
    <row r="718" spans="1:26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</row>
    <row r="719" spans="1:26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</row>
    <row r="720" spans="1:26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</row>
    <row r="721" spans="1:26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</row>
    <row r="722" spans="1:26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</row>
    <row r="723" spans="1:26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</row>
    <row r="724" spans="1:26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</row>
    <row r="725" spans="1:26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</row>
    <row r="726" spans="1: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</row>
    <row r="727" spans="1:26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</row>
    <row r="728" spans="1:26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</row>
    <row r="729" spans="1:26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</row>
    <row r="730" spans="1:26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</row>
    <row r="731" spans="1:26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</row>
    <row r="732" spans="1:26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</row>
    <row r="733" spans="1:26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</row>
    <row r="734" spans="1:26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</row>
    <row r="735" spans="1:26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</row>
    <row r="736" spans="1:2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</row>
    <row r="737" spans="1:26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</row>
    <row r="738" spans="1:26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</row>
    <row r="739" spans="1:26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</row>
    <row r="740" spans="1:26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</row>
    <row r="741" spans="1:26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</row>
    <row r="742" spans="1:26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</row>
    <row r="743" spans="1:26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</row>
    <row r="744" spans="1:26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</row>
    <row r="745" spans="1:26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</row>
    <row r="746" spans="1:2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</row>
    <row r="747" spans="1:26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</row>
    <row r="748" spans="1:26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</row>
    <row r="749" spans="1:26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</row>
    <row r="750" spans="1:26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</row>
    <row r="751" spans="1:26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</row>
    <row r="752" spans="1:26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</row>
    <row r="753" spans="1:26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</row>
    <row r="754" spans="1:26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</row>
    <row r="755" spans="1:26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</row>
    <row r="756" spans="1:2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</row>
    <row r="757" spans="1:26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</row>
    <row r="758" spans="1:26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</row>
    <row r="759" spans="1:26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</row>
    <row r="760" spans="1:26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</row>
    <row r="761" spans="1:26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</row>
    <row r="762" spans="1:26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</row>
    <row r="763" spans="1:26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</row>
    <row r="764" spans="1:26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</row>
    <row r="765" spans="1:26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</row>
    <row r="766" spans="1:2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</row>
    <row r="767" spans="1:26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</row>
    <row r="768" spans="1:26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</row>
    <row r="769" spans="1:26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</row>
    <row r="770" spans="1:26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</row>
    <row r="771" spans="1:26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</row>
    <row r="772" spans="1:26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</row>
    <row r="773" spans="1:26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</row>
    <row r="774" spans="1:26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</row>
    <row r="775" spans="1:26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</row>
    <row r="776" spans="1:2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</row>
    <row r="777" spans="1:26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</row>
    <row r="778" spans="1:26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</row>
    <row r="779" spans="1:26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</row>
    <row r="780" spans="1:26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</row>
    <row r="781" spans="1:26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</row>
    <row r="782" spans="1:26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</row>
    <row r="783" spans="1:26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</row>
    <row r="784" spans="1:26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</row>
    <row r="785" spans="1:26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</row>
    <row r="786" spans="1:2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</row>
    <row r="787" spans="1:26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</row>
    <row r="788" spans="1:26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</row>
    <row r="789" spans="1:26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</row>
    <row r="790" spans="1:26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</row>
    <row r="791" spans="1:26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</row>
    <row r="792" spans="1:26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</row>
    <row r="793" spans="1:26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</row>
    <row r="794" spans="1:26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</row>
    <row r="795" spans="1:26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</row>
    <row r="796" spans="1:2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</row>
    <row r="797" spans="1:26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</row>
    <row r="798" spans="1:26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</row>
    <row r="799" spans="1:26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</row>
    <row r="800" spans="1:26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</row>
    <row r="801" spans="1:26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</row>
    <row r="802" spans="1:26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</row>
    <row r="803" spans="1:26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</row>
    <row r="804" spans="1:26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</row>
    <row r="805" spans="1:26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</row>
    <row r="806" spans="1:2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</row>
    <row r="807" spans="1:26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</row>
    <row r="808" spans="1:26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</row>
    <row r="809" spans="1:26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</row>
    <row r="810" spans="1:26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</row>
    <row r="811" spans="1:26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</row>
    <row r="812" spans="1:26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</row>
    <row r="813" spans="1:26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</row>
    <row r="814" spans="1:26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</row>
    <row r="815" spans="1:26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</row>
    <row r="816" spans="1:2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</row>
    <row r="817" spans="1:26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</row>
    <row r="818" spans="1:26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</row>
    <row r="819" spans="1:26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</row>
    <row r="820" spans="1:26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</row>
    <row r="821" spans="1:26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</row>
    <row r="822" spans="1:26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</row>
    <row r="823" spans="1:26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</row>
    <row r="824" spans="1:26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</row>
    <row r="825" spans="1:26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</row>
    <row r="826" spans="1: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</row>
    <row r="827" spans="1:26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</row>
    <row r="828" spans="1:26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</row>
    <row r="829" spans="1:26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</row>
    <row r="830" spans="1:26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</row>
    <row r="831" spans="1:26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</row>
    <row r="832" spans="1:26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</row>
    <row r="833" spans="1:26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</row>
    <row r="834" spans="1:26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</row>
    <row r="835" spans="1:26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</row>
    <row r="836" spans="1:2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</row>
    <row r="837" spans="1:26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</row>
    <row r="838" spans="1:26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</row>
    <row r="839" spans="1:26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</row>
    <row r="840" spans="1:26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</row>
    <row r="841" spans="1:26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</row>
    <row r="842" spans="1:26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</row>
    <row r="843" spans="1:26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</row>
    <row r="844" spans="1:26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</row>
    <row r="845" spans="1:26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</row>
    <row r="846" spans="1:2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</row>
    <row r="847" spans="1:26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</row>
    <row r="848" spans="1:26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</row>
    <row r="849" spans="1:26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</row>
    <row r="850" spans="1:26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</row>
    <row r="851" spans="1:26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</row>
    <row r="852" spans="1:26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</row>
    <row r="853" spans="1:26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</row>
    <row r="854" spans="1:26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</row>
    <row r="855" spans="1:26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</row>
    <row r="856" spans="1:2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</row>
    <row r="857" spans="1:26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</row>
    <row r="858" spans="1:26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</row>
    <row r="859" spans="1:26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</row>
    <row r="860" spans="1:26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</row>
    <row r="861" spans="1:26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</row>
    <row r="862" spans="1:26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</row>
    <row r="863" spans="1:26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</row>
    <row r="864" spans="1:26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</row>
    <row r="865" spans="1:26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</row>
    <row r="866" spans="1:2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</row>
    <row r="867" spans="1:26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</row>
    <row r="868" spans="1:26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</row>
    <row r="869" spans="1:26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</row>
    <row r="870" spans="1:26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</row>
    <row r="871" spans="1:26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</row>
    <row r="872" spans="1:26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</row>
    <row r="873" spans="1:26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</row>
    <row r="874" spans="1:26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</row>
    <row r="875" spans="1:26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</row>
    <row r="876" spans="1:2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</row>
    <row r="877" spans="1:26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</row>
    <row r="878" spans="1:26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</row>
    <row r="879" spans="1:26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</row>
    <row r="880" spans="1:26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</row>
    <row r="881" spans="1:26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</row>
    <row r="882" spans="1:26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</row>
    <row r="883" spans="1:26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</row>
    <row r="884" spans="1:26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</row>
    <row r="885" spans="1:26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</row>
    <row r="886" spans="1:2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</row>
    <row r="887" spans="1:26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</row>
    <row r="888" spans="1:26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</row>
    <row r="889" spans="1:26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</row>
    <row r="890" spans="1:26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</row>
    <row r="891" spans="1:26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</row>
    <row r="892" spans="1:26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</row>
    <row r="893" spans="1:26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</row>
    <row r="894" spans="1:26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</row>
    <row r="895" spans="1:26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</row>
    <row r="896" spans="1:2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</row>
    <row r="897" spans="1:26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</row>
    <row r="898" spans="1:26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</row>
    <row r="899" spans="1:26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</row>
    <row r="900" spans="1:26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</row>
    <row r="901" spans="1:26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</row>
    <row r="902" spans="1:26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</row>
    <row r="903" spans="1:26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</row>
    <row r="904" spans="1:26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</row>
    <row r="905" spans="1:26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</row>
    <row r="906" spans="1:2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</row>
    <row r="907" spans="1:26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</row>
    <row r="908" spans="1:26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</row>
    <row r="909" spans="1:26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</row>
    <row r="910" spans="1:26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</row>
    <row r="911" spans="1:26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</row>
    <row r="912" spans="1:26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</row>
    <row r="913" spans="1:26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</row>
    <row r="914" spans="1:26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</row>
    <row r="915" spans="1:26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</row>
    <row r="916" spans="1:2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</row>
    <row r="917" spans="1:26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</row>
    <row r="918" spans="1:26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</row>
    <row r="919" spans="1:26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</row>
    <row r="920" spans="1:26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</row>
    <row r="921" spans="1:26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</row>
    <row r="922" spans="1:26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</row>
    <row r="923" spans="1:26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</row>
    <row r="924" spans="1:26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</row>
    <row r="925" spans="1:26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</row>
    <row r="926" spans="1: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</row>
    <row r="927" spans="1:26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</row>
    <row r="928" spans="1:26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</row>
    <row r="929" spans="1:26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</row>
    <row r="930" spans="1:26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</row>
    <row r="931" spans="1:26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</row>
    <row r="932" spans="1:26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</row>
    <row r="933" spans="1:26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</row>
    <row r="934" spans="1:26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</row>
    <row r="935" spans="1:26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</row>
    <row r="936" spans="1:2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</row>
    <row r="937" spans="1:26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</row>
    <row r="938" spans="1:26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</row>
    <row r="939" spans="1:26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</row>
    <row r="940" spans="1:26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</row>
    <row r="941" spans="1:26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</row>
    <row r="942" spans="1:26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</row>
    <row r="943" spans="1:26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</row>
    <row r="944" spans="1:26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</row>
    <row r="945" spans="1:26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</row>
    <row r="946" spans="1:2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</row>
    <row r="947" spans="1:26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</row>
    <row r="948" spans="1:26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</row>
    <row r="949" spans="1:26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</row>
    <row r="950" spans="1:26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</row>
    <row r="951" spans="1:26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</row>
    <row r="952" spans="1:26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</row>
    <row r="953" spans="1:26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</row>
    <row r="954" spans="1:26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</row>
    <row r="955" spans="1:26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</row>
    <row r="956" spans="1:2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</row>
    <row r="957" spans="1:26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</row>
    <row r="958" spans="1:26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</row>
    <row r="959" spans="1:26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</row>
    <row r="960" spans="1:26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</row>
    <row r="961" spans="1:26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</row>
    <row r="962" spans="1:26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</row>
    <row r="963" spans="1:26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</row>
    <row r="964" spans="1:26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</row>
    <row r="965" spans="1:26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</row>
    <row r="966" spans="1:2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</row>
    <row r="967" spans="1:26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</row>
    <row r="968" spans="1:26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</row>
    <row r="969" spans="1:26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</row>
    <row r="970" spans="1:26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</row>
    <row r="971" spans="1:26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</row>
    <row r="972" spans="1:26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</row>
    <row r="973" spans="1:26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</row>
    <row r="974" spans="1:26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</row>
    <row r="975" spans="1:26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</row>
    <row r="976" spans="1:2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</row>
    <row r="977" spans="1:26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</row>
    <row r="978" spans="1:26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</row>
    <row r="979" spans="1:26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</row>
    <row r="980" spans="1:26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</row>
    <row r="981" spans="1:26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</row>
    <row r="982" spans="1:26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</row>
    <row r="983" spans="1:26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</row>
    <row r="984" spans="1:26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</row>
    <row r="985" spans="1:26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</row>
    <row r="986" spans="1:2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</row>
    <row r="987" spans="1:26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</row>
    <row r="988" spans="1:26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</row>
    <row r="989" spans="1:26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</row>
    <row r="990" spans="1:26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</row>
    <row r="991" spans="1:26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</row>
    <row r="992" spans="1:26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</row>
    <row r="993" spans="1:26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</row>
    <row r="994" spans="1:26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</row>
    <row r="995" spans="1:26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</row>
    <row r="996" spans="1:2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</row>
    <row r="997" spans="1:26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</row>
    <row r="998" spans="1:26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</row>
    <row r="999" spans="1:26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</row>
    <row r="1000" spans="1:26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</row>
  </sheetData>
  <dataValidations count="2">
    <dataValidation type="list" allowBlank="1" showErrorMessage="1" sqref="H6" xr:uid="{00000000-0002-0000-1000-000000000000}">
      <formula1>$B$3:$E$3</formula1>
    </dataValidation>
    <dataValidation type="list" allowBlank="1" showErrorMessage="1" sqref="H5" xr:uid="{00000000-0002-0000-1000-000001000000}">
      <formula1>$K$3:$M$3</formula1>
    </dataValidation>
  </dataValidation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Version Summary</vt:lpstr>
      <vt:lpstr>Assumptions</vt:lpstr>
      <vt:lpstr>Year 1 Traffic</vt:lpstr>
      <vt:lpstr>Events</vt:lpstr>
      <vt:lpstr>Beer Revenue</vt:lpstr>
      <vt:lpstr>Beer COGS</vt:lpstr>
      <vt:lpstr>4pk costs</vt:lpstr>
      <vt:lpstr>Labor</vt:lpstr>
      <vt:lpstr>Capital purchases</vt:lpstr>
      <vt:lpstr>Start-up expenses</vt:lpstr>
      <vt:lpstr>Depreciation</vt:lpstr>
      <vt:lpstr>LoanPayCalc</vt:lpstr>
      <vt:lpstr>SOFP</vt:lpstr>
      <vt:lpstr>SOCF</vt:lpstr>
      <vt:lpstr>SOO</vt:lpstr>
      <vt:lpstr>Exec Summary-Std</vt:lpstr>
      <vt:lpstr>Production</vt:lpstr>
      <vt:lpstr>Recipe Costs</vt:lpstr>
      <vt:lpstr>Lists</vt:lpstr>
      <vt:lpstr>Estimates - COGS - Total Volume</vt:lpstr>
      <vt:lpstr>FS-Summary</vt:lpstr>
      <vt:lpstr>PkG_Pricing</vt:lpstr>
      <vt:lpstr>No_Mos</vt:lpstr>
      <vt:lpstr>Yes_No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</dc:creator>
  <cp:lastModifiedBy>Aaron</cp:lastModifiedBy>
  <dcterms:created xsi:type="dcterms:W3CDTF">2022-06-09T21:05:18Z</dcterms:created>
  <dcterms:modified xsi:type="dcterms:W3CDTF">2023-04-08T18:15:10Z</dcterms:modified>
</cp:coreProperties>
</file>