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\Downloads\"/>
    </mc:Choice>
  </mc:AlternateContent>
  <xr:revisionPtr revIDLastSave="0" documentId="13_ncr:1_{19FFB421-5222-48D7-B544-66128FB742FA}" xr6:coauthVersionLast="47" xr6:coauthVersionMax="47" xr10:uidLastSave="{00000000-0000-0000-0000-000000000000}"/>
  <bookViews>
    <workbookView xWindow="-120" yWindow="-120" windowWidth="20640" windowHeight="11160" activeTab="2" xr2:uid="{7EE50CA2-B225-4851-A033-610441F84807}"/>
  </bookViews>
  <sheets>
    <sheet name="Steps" sheetId="1" r:id="rId1"/>
    <sheet name="Income Statement" sheetId="2" r:id="rId2"/>
    <sheet name="Working Capital Schedule" sheetId="7" r:id="rId3"/>
    <sheet name="Debt Schedule" sheetId="5" r:id="rId4"/>
    <sheet name="Fixed asset Schedule" sheetId="6" r:id="rId5"/>
    <sheet name="Discount rates" sheetId="3" r:id="rId6"/>
    <sheet name="DCF value" sheetId="4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4" l="1"/>
  <c r="G23" i="4"/>
  <c r="G16" i="4"/>
  <c r="G9" i="7"/>
  <c r="H9" i="7"/>
  <c r="H10" i="7" s="1"/>
  <c r="I9" i="7"/>
  <c r="J10" i="7" s="1"/>
  <c r="J9" i="7"/>
  <c r="K9" i="7"/>
  <c r="L9" i="7"/>
  <c r="I7" i="7"/>
  <c r="J7" i="7"/>
  <c r="K7" i="7"/>
  <c r="L7" i="7" s="1"/>
  <c r="H7" i="7"/>
  <c r="J4" i="7"/>
  <c r="K4" i="7"/>
  <c r="L4" i="7" s="1"/>
  <c r="I4" i="7"/>
  <c r="H4" i="7"/>
  <c r="K10" i="7"/>
  <c r="L10" i="7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G5" i="3"/>
  <c r="D4" i="3"/>
  <c r="H14" i="2"/>
  <c r="H13" i="2"/>
  <c r="I6" i="6"/>
  <c r="J6" i="6"/>
  <c r="K6" i="6"/>
  <c r="L6" i="6"/>
  <c r="L5" i="6"/>
  <c r="J5" i="6"/>
  <c r="K5" i="6"/>
  <c r="I5" i="6"/>
  <c r="H6" i="6"/>
  <c r="I9" i="6"/>
  <c r="J9" i="6"/>
  <c r="K9" i="6"/>
  <c r="L9" i="6"/>
  <c r="H9" i="6"/>
  <c r="K8" i="6"/>
  <c r="L8" i="6"/>
  <c r="I8" i="6"/>
  <c r="J8" i="6"/>
  <c r="H8" i="6"/>
  <c r="I7" i="6"/>
  <c r="J7" i="6"/>
  <c r="K7" i="6"/>
  <c r="L7" i="6"/>
  <c r="H7" i="6"/>
  <c r="I13" i="6"/>
  <c r="J13" i="6"/>
  <c r="K13" i="6"/>
  <c r="L13" i="6" s="1"/>
  <c r="H13" i="6"/>
  <c r="E18" i="6"/>
  <c r="F18" i="6"/>
  <c r="G18" i="6"/>
  <c r="D18" i="6"/>
  <c r="E6" i="6"/>
  <c r="F6" i="6"/>
  <c r="G6" i="6"/>
  <c r="D6" i="6"/>
  <c r="E7" i="6"/>
  <c r="F7" i="6"/>
  <c r="G7" i="6"/>
  <c r="D7" i="6"/>
  <c r="D5" i="6"/>
  <c r="E14" i="2"/>
  <c r="E8" i="6" s="1"/>
  <c r="F14" i="2"/>
  <c r="G14" i="2"/>
  <c r="G8" i="6" s="1"/>
  <c r="D14" i="2"/>
  <c r="D57" i="2" s="1"/>
  <c r="D56" i="2" s="1"/>
  <c r="D62" i="2" s="1"/>
  <c r="H19" i="2"/>
  <c r="D17" i="2"/>
  <c r="C9" i="6"/>
  <c r="C6" i="5"/>
  <c r="E6" i="5"/>
  <c r="D6" i="5"/>
  <c r="E4" i="5" s="1"/>
  <c r="E9" i="5" s="1"/>
  <c r="G6" i="5"/>
  <c r="F6" i="5"/>
  <c r="G26" i="4"/>
  <c r="G32" i="3"/>
  <c r="D22" i="3"/>
  <c r="G23" i="3" s="1"/>
  <c r="G14" i="3" s="1"/>
  <c r="D21" i="3"/>
  <c r="G13" i="3"/>
  <c r="G12" i="3"/>
  <c r="G15" i="3" s="1"/>
  <c r="G8" i="3"/>
  <c r="G4" i="3"/>
  <c r="F9" i="7"/>
  <c r="E9" i="7"/>
  <c r="H16" i="6"/>
  <c r="H18" i="6" s="1"/>
  <c r="G16" i="6"/>
  <c r="F16" i="6"/>
  <c r="E16" i="6"/>
  <c r="D16" i="6"/>
  <c r="G19" i="6"/>
  <c r="F19" i="6"/>
  <c r="F22" i="6" s="1"/>
  <c r="E19" i="6"/>
  <c r="D19" i="6"/>
  <c r="G5" i="6"/>
  <c r="F5" i="6"/>
  <c r="E5" i="6"/>
  <c r="G21" i="2"/>
  <c r="F21" i="2"/>
  <c r="E21" i="2"/>
  <c r="D21" i="2"/>
  <c r="F8" i="6"/>
  <c r="G17" i="2"/>
  <c r="F17" i="2"/>
  <c r="E17" i="2"/>
  <c r="G8" i="2"/>
  <c r="F8" i="2"/>
  <c r="E8" i="2"/>
  <c r="D8" i="2"/>
  <c r="G4" i="2"/>
  <c r="H4" i="2" s="1"/>
  <c r="F4" i="2"/>
  <c r="E4" i="2"/>
  <c r="E2" i="7"/>
  <c r="F2" i="7" s="1"/>
  <c r="G2" i="7" s="1"/>
  <c r="H2" i="7" s="1"/>
  <c r="I2" i="7" s="1"/>
  <c r="J2" i="7" s="1"/>
  <c r="K2" i="7" s="1"/>
  <c r="L2" i="7" s="1"/>
  <c r="H5" i="6"/>
  <c r="E2" i="6"/>
  <c r="F2" i="6" s="1"/>
  <c r="G2" i="6" s="1"/>
  <c r="H2" i="6" s="1"/>
  <c r="I2" i="6" s="1"/>
  <c r="J2" i="6" s="1"/>
  <c r="K2" i="6" s="1"/>
  <c r="L2" i="6" s="1"/>
  <c r="E2" i="5"/>
  <c r="F2" i="5" s="1"/>
  <c r="G2" i="5" s="1"/>
  <c r="H2" i="5" s="1"/>
  <c r="I2" i="5" s="1"/>
  <c r="J2" i="5" s="1"/>
  <c r="K2" i="5" s="1"/>
  <c r="L2" i="5" s="1"/>
  <c r="G4" i="5"/>
  <c r="G9" i="5" s="1"/>
  <c r="H9" i="5" s="1"/>
  <c r="F4" i="5"/>
  <c r="F9" i="5" s="1"/>
  <c r="D4" i="5"/>
  <c r="D9" i="5" s="1"/>
  <c r="A6" i="1"/>
  <c r="A9" i="1" s="1"/>
  <c r="A11" i="1" s="1"/>
  <c r="A13" i="1" s="1"/>
  <c r="A15" i="1" s="1"/>
  <c r="A17" i="1" s="1"/>
  <c r="I1" i="4"/>
  <c r="J1" i="4" s="1"/>
  <c r="K1" i="4" s="1"/>
  <c r="L1" i="4" s="1"/>
  <c r="G68" i="2"/>
  <c r="G67" i="2" s="1"/>
  <c r="F68" i="2"/>
  <c r="F67" i="2" s="1"/>
  <c r="E68" i="2"/>
  <c r="E67" i="2" s="1"/>
  <c r="D68" i="2"/>
  <c r="D67" i="2" s="1"/>
  <c r="G57" i="2"/>
  <c r="F57" i="2"/>
  <c r="F56" i="2" s="1"/>
  <c r="F62" i="2" s="1"/>
  <c r="F65" i="2"/>
  <c r="E65" i="2"/>
  <c r="D65" i="2"/>
  <c r="G65" i="2"/>
  <c r="G54" i="2"/>
  <c r="F54" i="2"/>
  <c r="E54" i="2"/>
  <c r="D54" i="2"/>
  <c r="G58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D79" i="2"/>
  <c r="D78" i="2"/>
  <c r="D77" i="2"/>
  <c r="D76" i="2"/>
  <c r="D75" i="2"/>
  <c r="D74" i="2"/>
  <c r="E2" i="2"/>
  <c r="F2" i="2" s="1"/>
  <c r="G2" i="2" s="1"/>
  <c r="H2" i="2" s="1"/>
  <c r="I2" i="2" s="1"/>
  <c r="J2" i="2" s="1"/>
  <c r="K2" i="2" s="1"/>
  <c r="L2" i="2" s="1"/>
  <c r="I10" i="7" l="1"/>
  <c r="G7" i="3"/>
  <c r="G9" i="3" s="1"/>
  <c r="J6" i="3" s="1"/>
  <c r="G17" i="3"/>
  <c r="J7" i="3" s="1"/>
  <c r="D8" i="6"/>
  <c r="D11" i="6" s="1"/>
  <c r="G17" i="6"/>
  <c r="G5" i="5"/>
  <c r="F10" i="7"/>
  <c r="D9" i="7"/>
  <c r="E10" i="7" s="1"/>
  <c r="G10" i="7"/>
  <c r="L8" i="2"/>
  <c r="K8" i="2"/>
  <c r="F11" i="6"/>
  <c r="I9" i="5"/>
  <c r="D22" i="6"/>
  <c r="E22" i="6"/>
  <c r="E17" i="6"/>
  <c r="H8" i="2"/>
  <c r="D17" i="6"/>
  <c r="H4" i="5"/>
  <c r="H6" i="5" s="1"/>
  <c r="I4" i="5" s="1"/>
  <c r="I6" i="5" s="1"/>
  <c r="J4" i="5" s="1"/>
  <c r="J6" i="5" s="1"/>
  <c r="K4" i="5" s="1"/>
  <c r="K6" i="5" s="1"/>
  <c r="L4" i="5" s="1"/>
  <c r="L6" i="5" s="1"/>
  <c r="I8" i="2"/>
  <c r="J8" i="2"/>
  <c r="F17" i="6"/>
  <c r="G11" i="6"/>
  <c r="G22" i="6"/>
  <c r="E57" i="2"/>
  <c r="E56" i="2" s="1"/>
  <c r="E62" i="2" s="1"/>
  <c r="D5" i="5"/>
  <c r="E5" i="5"/>
  <c r="F5" i="5"/>
  <c r="H3" i="2"/>
  <c r="I4" i="2"/>
  <c r="A19" i="1"/>
  <c r="A21" i="1" s="1"/>
  <c r="A23" i="1" s="1"/>
  <c r="A25" i="1" s="1"/>
  <c r="D66" i="2"/>
  <c r="E66" i="2"/>
  <c r="F66" i="2"/>
  <c r="G66" i="2"/>
  <c r="E71" i="2"/>
  <c r="G71" i="2"/>
  <c r="F71" i="2"/>
  <c r="D71" i="2"/>
  <c r="F55" i="2"/>
  <c r="D55" i="2"/>
  <c r="F60" i="2"/>
  <c r="D60" i="2"/>
  <c r="G56" i="2"/>
  <c r="G62" i="2" s="1"/>
  <c r="D80" i="2"/>
  <c r="G80" i="2"/>
  <c r="E80" i="2"/>
  <c r="F80" i="2"/>
  <c r="E60" i="2" l="1"/>
  <c r="D13" i="6"/>
  <c r="E13" i="6"/>
  <c r="I22" i="6"/>
  <c r="H22" i="6"/>
  <c r="H19" i="6" s="1"/>
  <c r="J22" i="6"/>
  <c r="L22" i="6"/>
  <c r="K22" i="6"/>
  <c r="J9" i="5"/>
  <c r="I8" i="5"/>
  <c r="I19" i="2" s="1"/>
  <c r="F13" i="6"/>
  <c r="E55" i="2"/>
  <c r="E11" i="6"/>
  <c r="J11" i="6" s="1"/>
  <c r="H8" i="5"/>
  <c r="G13" i="6"/>
  <c r="H16" i="2"/>
  <c r="I3" i="2"/>
  <c r="H7" i="2"/>
  <c r="E81" i="2"/>
  <c r="G55" i="2"/>
  <c r="G60" i="2"/>
  <c r="F81" i="2"/>
  <c r="G81" i="2"/>
  <c r="N51" i="2"/>
  <c r="H11" i="6" l="1"/>
  <c r="I11" i="6"/>
  <c r="L11" i="6"/>
  <c r="H8" i="4"/>
  <c r="K11" i="6"/>
  <c r="K9" i="5"/>
  <c r="J8" i="5"/>
  <c r="J19" i="2" s="1"/>
  <c r="H20" i="6"/>
  <c r="I16" i="6" s="1"/>
  <c r="I18" i="6" s="1"/>
  <c r="J3" i="2"/>
  <c r="I7" i="2"/>
  <c r="I6" i="2" s="1"/>
  <c r="I16" i="2"/>
  <c r="H22" i="2"/>
  <c r="H3" i="4"/>
  <c r="H6" i="2"/>
  <c r="I8" i="4" l="1"/>
  <c r="L9" i="5"/>
  <c r="L8" i="5" s="1"/>
  <c r="L19" i="2" s="1"/>
  <c r="K8" i="5"/>
  <c r="K19" i="2" s="1"/>
  <c r="I19" i="6"/>
  <c r="I13" i="2" s="1"/>
  <c r="H12" i="2"/>
  <c r="H6" i="4" s="1"/>
  <c r="I3" i="4"/>
  <c r="I22" i="2"/>
  <c r="I14" i="2"/>
  <c r="K3" i="2"/>
  <c r="J7" i="2"/>
  <c r="J6" i="2" s="1"/>
  <c r="J16" i="2"/>
  <c r="I12" i="2" l="1"/>
  <c r="I6" i="4" s="1"/>
  <c r="I20" i="6"/>
  <c r="J16" i="6" s="1"/>
  <c r="J18" i="6" s="1"/>
  <c r="J19" i="6" s="1"/>
  <c r="J13" i="2" s="1"/>
  <c r="H10" i="2"/>
  <c r="J8" i="4"/>
  <c r="J14" i="2"/>
  <c r="L3" i="2"/>
  <c r="K7" i="2"/>
  <c r="K6" i="2" s="1"/>
  <c r="K16" i="2"/>
  <c r="J3" i="4"/>
  <c r="J22" i="2"/>
  <c r="I10" i="2" l="1"/>
  <c r="J12" i="2"/>
  <c r="J6" i="4" s="1"/>
  <c r="J20" i="6"/>
  <c r="K16" i="6" s="1"/>
  <c r="K18" i="6" s="1"/>
  <c r="K19" i="6" s="1"/>
  <c r="K13" i="2" s="1"/>
  <c r="I21" i="2"/>
  <c r="H23" i="2"/>
  <c r="H7" i="4" s="1"/>
  <c r="H4" i="4"/>
  <c r="H5" i="4" s="1"/>
  <c r="K14" i="2"/>
  <c r="K8" i="4"/>
  <c r="K3" i="4"/>
  <c r="K22" i="2"/>
  <c r="L16" i="2"/>
  <c r="L7" i="2"/>
  <c r="L6" i="2" s="1"/>
  <c r="J10" i="2" l="1"/>
  <c r="K20" i="6"/>
  <c r="L16" i="6" s="1"/>
  <c r="L18" i="6" s="1"/>
  <c r="L19" i="6" s="1"/>
  <c r="L13" i="2" s="1"/>
  <c r="K12" i="2"/>
  <c r="K6" i="4" s="1"/>
  <c r="H9" i="4"/>
  <c r="J21" i="2"/>
  <c r="I23" i="2"/>
  <c r="I7" i="4" s="1"/>
  <c r="I4" i="4"/>
  <c r="I5" i="4" s="1"/>
  <c r="L8" i="4"/>
  <c r="L14" i="2"/>
  <c r="L22" i="2"/>
  <c r="L23" i="2" s="1"/>
  <c r="L3" i="4"/>
  <c r="L20" i="6" l="1"/>
  <c r="K10" i="2"/>
  <c r="L12" i="2"/>
  <c r="L6" i="4" s="1"/>
  <c r="I9" i="4"/>
  <c r="K21" i="2"/>
  <c r="J23" i="2"/>
  <c r="J7" i="4" s="1"/>
  <c r="J4" i="4"/>
  <c r="J5" i="4" s="1"/>
  <c r="L4" i="4"/>
  <c r="L5" i="4" s="1"/>
  <c r="L10" i="2" l="1"/>
  <c r="J9" i="4"/>
  <c r="K23" i="2"/>
  <c r="K7" i="4" s="1"/>
  <c r="K4" i="4"/>
  <c r="K5" i="4" s="1"/>
  <c r="K9" i="4" l="1"/>
  <c r="L7" i="4"/>
  <c r="L9" i="4" s="1"/>
  <c r="H10" i="4"/>
  <c r="I10" i="4"/>
  <c r="J10" i="4"/>
  <c r="K10" i="4"/>
  <c r="L10" i="4"/>
  <c r="G17" i="4"/>
  <c r="G20" i="4"/>
  <c r="G22" i="4"/>
  <c r="G25" i="4"/>
  <c r="G27" i="4"/>
  <c r="M6" i="3"/>
  <c r="M7" i="3"/>
  <c r="M9" i="3"/>
  <c r="G28" i="3"/>
  <c r="G30" i="3"/>
</calcChain>
</file>

<file path=xl/sharedStrings.xml><?xml version="1.0" encoding="utf-8"?>
<sst xmlns="http://schemas.openxmlformats.org/spreadsheetml/2006/main" count="154" uniqueCount="114">
  <si>
    <t>Projecting revenue</t>
  </si>
  <si>
    <t>EBIT margin calculation</t>
  </si>
  <si>
    <t>Preparation of WC schedule</t>
  </si>
  <si>
    <t>Calculation of discount rates</t>
  </si>
  <si>
    <t>Calculation DCF value</t>
  </si>
  <si>
    <t>Sales</t>
  </si>
  <si>
    <t>Operating profits (EBIT)</t>
  </si>
  <si>
    <t>Tax rates</t>
  </si>
  <si>
    <t>PBT</t>
  </si>
  <si>
    <t>Debtors</t>
  </si>
  <si>
    <t>Inventory</t>
  </si>
  <si>
    <t>Other current assets</t>
  </si>
  <si>
    <t>Creditors</t>
  </si>
  <si>
    <t>Depreciation &amp; Amortization</t>
  </si>
  <si>
    <t>Accured income tax payable</t>
  </si>
  <si>
    <t>Other accruals</t>
  </si>
  <si>
    <t>Figures in $ Mn</t>
  </si>
  <si>
    <t xml:space="preserve">Historical </t>
  </si>
  <si>
    <t>Projected</t>
  </si>
  <si>
    <t>Operating profit margins (%)</t>
  </si>
  <si>
    <t>Growth rate %</t>
  </si>
  <si>
    <t>Gross profit</t>
  </si>
  <si>
    <t>Cost of sales</t>
  </si>
  <si>
    <t>GP margins %</t>
  </si>
  <si>
    <t>Interest expenses</t>
  </si>
  <si>
    <t>Debt Schedule</t>
  </si>
  <si>
    <t>Fixed asset schedule</t>
  </si>
  <si>
    <t>Working capital schedule</t>
  </si>
  <si>
    <t>Opening balance</t>
  </si>
  <si>
    <t>Closing balance</t>
  </si>
  <si>
    <t>Less:Depreciation</t>
  </si>
  <si>
    <t>Add: Net Purchases</t>
  </si>
  <si>
    <t>Total Fixed assets</t>
  </si>
  <si>
    <t>Net Working capital</t>
  </si>
  <si>
    <t xml:space="preserve">Changes in working capital </t>
  </si>
  <si>
    <t>Interest rate (pre tax)</t>
  </si>
  <si>
    <t xml:space="preserve">Less:Amortization </t>
  </si>
  <si>
    <t xml:space="preserve">Rate of depreciation </t>
  </si>
  <si>
    <t xml:space="preserve">Rate of amortization </t>
  </si>
  <si>
    <t>Fixed asset turnover ratio</t>
  </si>
  <si>
    <t>Other intangible assets schedule</t>
  </si>
  <si>
    <t>Cost of debt</t>
  </si>
  <si>
    <t>Cost of equity</t>
  </si>
  <si>
    <t xml:space="preserve">Risk free rate </t>
  </si>
  <si>
    <t>Risk free rate</t>
  </si>
  <si>
    <t>Beta</t>
  </si>
  <si>
    <t>Return of markets</t>
  </si>
  <si>
    <t xml:space="preserve">Add: Company risk premium </t>
  </si>
  <si>
    <t>Add: Country risk premium</t>
  </si>
  <si>
    <t>Post tax cost of debt</t>
  </si>
  <si>
    <t>Ashwath Damodran dataset</t>
  </si>
  <si>
    <t>Marginal rate</t>
  </si>
  <si>
    <t>Calculation of beta</t>
  </si>
  <si>
    <t>Last 3 years weekly data</t>
  </si>
  <si>
    <t>Adj Close</t>
  </si>
  <si>
    <t>Return of market</t>
  </si>
  <si>
    <t>Date</t>
  </si>
  <si>
    <t>Calculation of return of market</t>
  </si>
  <si>
    <t>Start date</t>
  </si>
  <si>
    <t>Valuation date</t>
  </si>
  <si>
    <t>Years</t>
  </si>
  <si>
    <t>CAGR</t>
  </si>
  <si>
    <t>WACC Calculation</t>
  </si>
  <si>
    <t>Kd</t>
  </si>
  <si>
    <t>Wd</t>
  </si>
  <si>
    <t>Ke</t>
  </si>
  <si>
    <t>We</t>
  </si>
  <si>
    <t>Calculation of  market value weights</t>
  </si>
  <si>
    <t xml:space="preserve">Shares outstanding </t>
  </si>
  <si>
    <t>Price per share</t>
  </si>
  <si>
    <t>Value of equity shares</t>
  </si>
  <si>
    <t>Value of debt</t>
  </si>
  <si>
    <t>WACC</t>
  </si>
  <si>
    <t>EBIT</t>
  </si>
  <si>
    <t>Less: taxes</t>
  </si>
  <si>
    <t>NOPAT</t>
  </si>
  <si>
    <t>Add: Depreciation and amortization</t>
  </si>
  <si>
    <t>Add/Less: Working capital changes</t>
  </si>
  <si>
    <t>Less: Investment in fixed assets</t>
  </si>
  <si>
    <t>FCFF</t>
  </si>
  <si>
    <t>Discount factor</t>
  </si>
  <si>
    <t>Present value of Explicit period</t>
  </si>
  <si>
    <t>Value of firm</t>
  </si>
  <si>
    <t xml:space="preserve">Less: Debt </t>
  </si>
  <si>
    <t>Exit multiple</t>
  </si>
  <si>
    <t>EV/EBITDA</t>
  </si>
  <si>
    <t>EBITDA</t>
  </si>
  <si>
    <t>Present value of terminal value</t>
  </si>
  <si>
    <t>Total Present value of operations</t>
  </si>
  <si>
    <t>Enterprise value (Terminal value)</t>
  </si>
  <si>
    <t>Add: Non Operating assets including cash</t>
  </si>
  <si>
    <t>Less: Non-controlling interest</t>
  </si>
  <si>
    <t>Value of equity</t>
  </si>
  <si>
    <t>Preparation of Debt  schedule</t>
  </si>
  <si>
    <t>Gross profit margin calculation</t>
  </si>
  <si>
    <t>Entering historical P&amp;L</t>
  </si>
  <si>
    <t>Entering historical Balance Sheet data</t>
  </si>
  <si>
    <t>(Working capital, Fixed asset &amp; other intangible assets)</t>
  </si>
  <si>
    <t>Current Liabilities</t>
  </si>
  <si>
    <t>Total current assets</t>
  </si>
  <si>
    <t>Total current liabilities</t>
  </si>
  <si>
    <t>Current assets</t>
  </si>
  <si>
    <t xml:space="preserve">(Sales, Cost of sales, Gross profits, depreciation &amp; Amortization, EBIT, PBT &amp; taxes) </t>
  </si>
  <si>
    <t>Preparation of FA schedule OIA</t>
  </si>
  <si>
    <t>Other operating expenses</t>
  </si>
  <si>
    <t>Total OIA</t>
  </si>
  <si>
    <t>Add/Less: Debt taken (Repaid)</t>
  </si>
  <si>
    <t xml:space="preserve">Tax </t>
  </si>
  <si>
    <t>Amortization</t>
  </si>
  <si>
    <t>Depreciation</t>
  </si>
  <si>
    <t>Return of Tesla</t>
  </si>
  <si>
    <t>Value per share (31/07/2021)</t>
  </si>
  <si>
    <t xml:space="preserve">XOXO </t>
  </si>
  <si>
    <t>Separating Depreciation and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</si>
</sst>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0\ &quot;days&quot;"/>
    <numFmt numFmtId="167" formatCode="_-[$$-409]* #,##0.00_ ;_-[$$-409]* \-#,##0.00\ ;_-[$$-409]* &quot;-&quot;??_ ;_-@_ "/>
    <numFmt numFmtId="172" formatCode="[$$-409]#,##0.0_ ;\-[$$-409]#,##0.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0E4E9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2" applyFont="1"/>
    <xf numFmtId="164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3" fillId="0" borderId="0" xfId="0" applyFont="1"/>
    <xf numFmtId="164" fontId="3" fillId="0" borderId="0" xfId="2" applyNumberFormat="1" applyFont="1"/>
    <xf numFmtId="9" fontId="3" fillId="0" borderId="0" xfId="2" applyFont="1"/>
    <xf numFmtId="1" fontId="3" fillId="0" borderId="0" xfId="0" applyNumberFormat="1" applyFont="1"/>
    <xf numFmtId="43" fontId="3" fillId="0" borderId="0" xfId="1" applyFont="1"/>
    <xf numFmtId="165" fontId="3" fillId="0" borderId="0" xfId="1" applyNumberFormat="1" applyFont="1"/>
    <xf numFmtId="43" fontId="0" fillId="0" borderId="0" xfId="1" applyFont="1"/>
    <xf numFmtId="165" fontId="0" fillId="0" borderId="0" xfId="1" applyNumberFormat="1" applyFont="1"/>
    <xf numFmtId="165" fontId="3" fillId="0" borderId="0" xfId="0" applyNumberFormat="1" applyFont="1"/>
    <xf numFmtId="9" fontId="0" fillId="0" borderId="0" xfId="2" applyNumberFormat="1" applyFont="1"/>
    <xf numFmtId="165" fontId="0" fillId="0" borderId="0" xfId="0" applyNumberFormat="1"/>
    <xf numFmtId="43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43" fontId="2" fillId="0" borderId="0" xfId="0" applyNumberFormat="1" applyFont="1"/>
    <xf numFmtId="43" fontId="2" fillId="0" borderId="0" xfId="1" applyFont="1"/>
    <xf numFmtId="0" fontId="0" fillId="0" borderId="0" xfId="0" applyFill="1"/>
    <xf numFmtId="1" fontId="0" fillId="0" borderId="0" xfId="0" applyNumberFormat="1" applyFill="1"/>
    <xf numFmtId="0" fontId="5" fillId="0" borderId="0" xfId="0" applyFont="1"/>
    <xf numFmtId="0" fontId="6" fillId="0" borderId="0" xfId="0" applyFont="1"/>
    <xf numFmtId="9" fontId="7" fillId="0" borderId="0" xfId="2" applyFont="1"/>
    <xf numFmtId="9" fontId="6" fillId="0" borderId="0" xfId="2" applyFont="1"/>
    <xf numFmtId="0" fontId="7" fillId="0" borderId="0" xfId="0" applyFont="1"/>
    <xf numFmtId="164" fontId="7" fillId="0" borderId="0" xfId="2" applyNumberFormat="1" applyFont="1"/>
    <xf numFmtId="164" fontId="6" fillId="0" borderId="0" xfId="2" applyNumberFormat="1" applyFont="1"/>
    <xf numFmtId="164" fontId="6" fillId="0" borderId="0" xfId="0" applyNumberFormat="1" applyFont="1"/>
    <xf numFmtId="0" fontId="2" fillId="0" borderId="1" xfId="0" applyFont="1" applyBorder="1"/>
    <xf numFmtId="0" fontId="0" fillId="0" borderId="1" xfId="0" applyBorder="1"/>
    <xf numFmtId="166" fontId="3" fillId="0" borderId="0" xfId="0" applyNumberFormat="1" applyFont="1"/>
    <xf numFmtId="166" fontId="0" fillId="0" borderId="0" xfId="0" applyNumberFormat="1"/>
    <xf numFmtId="0" fontId="4" fillId="0" borderId="1" xfId="0" applyFont="1" applyBorder="1"/>
    <xf numFmtId="165" fontId="2" fillId="0" borderId="1" xfId="0" applyNumberFormat="1" applyFont="1" applyBorder="1"/>
    <xf numFmtId="165" fontId="2" fillId="0" borderId="1" xfId="1" applyNumberFormat="1" applyFont="1" applyBorder="1"/>
    <xf numFmtId="1" fontId="4" fillId="0" borderId="1" xfId="0" applyNumberFormat="1" applyFont="1" applyBorder="1"/>
    <xf numFmtId="1" fontId="2" fillId="0" borderId="1" xfId="0" applyNumberFormat="1" applyFont="1" applyBorder="1"/>
    <xf numFmtId="165" fontId="1" fillId="0" borderId="0" xfId="1" applyNumberFormat="1" applyFont="1"/>
    <xf numFmtId="15" fontId="0" fillId="0" borderId="0" xfId="0" applyNumberFormat="1"/>
    <xf numFmtId="10" fontId="2" fillId="0" borderId="1" xfId="2" applyNumberFormat="1" applyFont="1" applyBorder="1"/>
    <xf numFmtId="10" fontId="0" fillId="0" borderId="0" xfId="0" applyNumberFormat="1" applyFont="1"/>
    <xf numFmtId="14" fontId="0" fillId="0" borderId="0" xfId="0" applyNumberFormat="1"/>
    <xf numFmtId="15" fontId="8" fillId="0" borderId="0" xfId="0" applyNumberFormat="1" applyFont="1"/>
    <xf numFmtId="0" fontId="0" fillId="0" borderId="0" xfId="0" applyAlignment="1">
      <alignment horizontal="right"/>
    </xf>
    <xf numFmtId="164" fontId="2" fillId="0" borderId="1" xfId="2" applyNumberFormat="1" applyFont="1" applyBorder="1"/>
    <xf numFmtId="164" fontId="0" fillId="0" borderId="0" xfId="0" applyNumberFormat="1" applyFont="1"/>
    <xf numFmtId="9" fontId="1" fillId="0" borderId="0" xfId="2" applyFont="1"/>
    <xf numFmtId="0" fontId="0" fillId="0" borderId="0" xfId="0" applyFont="1" applyFill="1"/>
    <xf numFmtId="0" fontId="2" fillId="0" borderId="1" xfId="0" applyFont="1" applyFill="1" applyBorder="1"/>
    <xf numFmtId="43" fontId="2" fillId="0" borderId="1" xfId="0" applyNumberFormat="1" applyFont="1" applyFill="1" applyBorder="1"/>
    <xf numFmtId="43" fontId="2" fillId="0" borderId="1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43" fontId="2" fillId="2" borderId="4" xfId="0" applyNumberFormat="1" applyFont="1" applyFill="1" applyBorder="1"/>
    <xf numFmtId="0" fontId="2" fillId="0" borderId="0" xfId="0" applyFont="1" applyBorder="1"/>
    <xf numFmtId="0" fontId="4" fillId="0" borderId="0" xfId="0" applyFont="1" applyBorder="1"/>
    <xf numFmtId="1" fontId="4" fillId="0" borderId="0" xfId="0" applyNumberFormat="1" applyFont="1" applyBorder="1"/>
    <xf numFmtId="0" fontId="0" fillId="0" borderId="0" xfId="0" applyBorder="1"/>
    <xf numFmtId="0" fontId="10" fillId="0" borderId="0" xfId="0" applyFont="1"/>
    <xf numFmtId="0" fontId="6" fillId="0" borderId="0" xfId="0" applyFont="1" applyAlignment="1">
      <alignment horizontal="left" indent="1"/>
    </xf>
    <xf numFmtId="0" fontId="11" fillId="0" borderId="0" xfId="0" applyFont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 indent="1"/>
    </xf>
    <xf numFmtId="165" fontId="0" fillId="0" borderId="1" xfId="0" applyNumberFormat="1" applyBorder="1"/>
    <xf numFmtId="165" fontId="0" fillId="0" borderId="1" xfId="1" applyNumberFormat="1" applyFont="1" applyBorder="1"/>
    <xf numFmtId="165" fontId="0" fillId="0" borderId="0" xfId="1" applyNumberFormat="1" applyFont="1" applyFill="1"/>
    <xf numFmtId="165" fontId="11" fillId="0" borderId="0" xfId="1" applyNumberFormat="1" applyFont="1"/>
    <xf numFmtId="165" fontId="4" fillId="0" borderId="0" xfId="1" applyNumberFormat="1" applyFont="1" applyBorder="1"/>
    <xf numFmtId="10" fontId="2" fillId="0" borderId="5" xfId="0" applyNumberFormat="1" applyFont="1" applyBorder="1"/>
    <xf numFmtId="165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center"/>
    </xf>
    <xf numFmtId="3" fontId="3" fillId="0" borderId="0" xfId="0" applyNumberFormat="1" applyFont="1"/>
    <xf numFmtId="3" fontId="4" fillId="0" borderId="0" xfId="0" applyNumberFormat="1" applyFont="1" applyBorder="1"/>
    <xf numFmtId="3" fontId="4" fillId="0" borderId="1" xfId="0" applyNumberFormat="1" applyFont="1" applyBorder="1"/>
    <xf numFmtId="3" fontId="3" fillId="0" borderId="0" xfId="0" applyNumberFormat="1" applyFont="1" applyBorder="1"/>
    <xf numFmtId="167" fontId="4" fillId="0" borderId="1" xfId="0" applyNumberFormat="1" applyFont="1" applyBorder="1"/>
    <xf numFmtId="167" fontId="3" fillId="0" borderId="0" xfId="3" applyNumberFormat="1" applyFont="1"/>
    <xf numFmtId="167" fontId="0" fillId="0" borderId="0" xfId="3" applyNumberFormat="1" applyFont="1"/>
    <xf numFmtId="167" fontId="4" fillId="0" borderId="1" xfId="3" applyNumberFormat="1" applyFont="1" applyBorder="1"/>
    <xf numFmtId="167" fontId="0" fillId="0" borderId="1" xfId="3" applyNumberFormat="1" applyFont="1" applyBorder="1"/>
    <xf numFmtId="4" fontId="12" fillId="4" borderId="6" xfId="0" applyNumberFormat="1" applyFont="1" applyFill="1" applyBorder="1" applyAlignment="1">
      <alignment horizontal="right" vertical="center" indent="1"/>
    </xf>
    <xf numFmtId="0" fontId="13" fillId="0" borderId="0" xfId="0" applyFont="1"/>
    <xf numFmtId="172" fontId="0" fillId="0" borderId="0" xfId="1" applyNumberFormat="1" applyFont="1"/>
    <xf numFmtId="0" fontId="14" fillId="5" borderId="0" xfId="0" applyFont="1" applyFill="1"/>
    <xf numFmtId="0" fontId="14" fillId="5" borderId="0" xfId="0" applyFont="1" applyFill="1" applyBorder="1"/>
    <xf numFmtId="0" fontId="14" fillId="5" borderId="0" xfId="0" applyFont="1" applyFill="1" applyAlignment="1">
      <alignment horizontal="left" inden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8A67-0039-47C8-AE81-0D91DB2C51DF}">
  <dimension ref="A2:B27"/>
  <sheetViews>
    <sheetView showGridLines="0" workbookViewId="0">
      <selection activeCell="G10" sqref="G10"/>
    </sheetView>
  </sheetViews>
  <sheetFormatPr defaultRowHeight="15" x14ac:dyDescent="0.25"/>
  <sheetData>
    <row r="2" spans="1:2" s="93" customFormat="1" x14ac:dyDescent="0.25">
      <c r="A2" s="93">
        <v>1</v>
      </c>
      <c r="B2" s="93" t="s">
        <v>95</v>
      </c>
    </row>
    <row r="3" spans="1:2" s="93" customFormat="1" x14ac:dyDescent="0.25">
      <c r="B3" s="93" t="s">
        <v>102</v>
      </c>
    </row>
    <row r="4" spans="1:2" s="93" customFormat="1" x14ac:dyDescent="0.25"/>
    <row r="5" spans="1:2" s="93" customFormat="1" x14ac:dyDescent="0.25"/>
    <row r="6" spans="1:2" s="93" customFormat="1" x14ac:dyDescent="0.25">
      <c r="A6" s="93">
        <f>A2+1</f>
        <v>2</v>
      </c>
      <c r="B6" s="94" t="s">
        <v>96</v>
      </c>
    </row>
    <row r="7" spans="1:2" s="93" customFormat="1" x14ac:dyDescent="0.25">
      <c r="B7" s="95" t="s">
        <v>97</v>
      </c>
    </row>
    <row r="8" spans="1:2" s="93" customFormat="1" x14ac:dyDescent="0.25"/>
    <row r="9" spans="1:2" s="93" customFormat="1" x14ac:dyDescent="0.25">
      <c r="A9" s="93">
        <f>A6+1</f>
        <v>3</v>
      </c>
      <c r="B9" s="93" t="s">
        <v>0</v>
      </c>
    </row>
    <row r="10" spans="1:2" s="93" customFormat="1" x14ac:dyDescent="0.25"/>
    <row r="11" spans="1:2" s="93" customFormat="1" x14ac:dyDescent="0.25">
      <c r="A11" s="93">
        <f>A9+1</f>
        <v>4</v>
      </c>
      <c r="B11" s="93" t="s">
        <v>94</v>
      </c>
    </row>
    <row r="12" spans="1:2" s="93" customFormat="1" x14ac:dyDescent="0.25"/>
    <row r="13" spans="1:2" s="93" customFormat="1" x14ac:dyDescent="0.25">
      <c r="A13" s="93">
        <f>A11+1</f>
        <v>5</v>
      </c>
      <c r="B13" s="93" t="s">
        <v>1</v>
      </c>
    </row>
    <row r="14" spans="1:2" s="93" customFormat="1" x14ac:dyDescent="0.25"/>
    <row r="15" spans="1:2" s="93" customFormat="1" x14ac:dyDescent="0.25">
      <c r="A15" s="93">
        <f>A13+1</f>
        <v>6</v>
      </c>
      <c r="B15" s="93" t="s">
        <v>113</v>
      </c>
    </row>
    <row r="16" spans="1:2" s="93" customFormat="1" x14ac:dyDescent="0.25"/>
    <row r="17" spans="1:2" s="93" customFormat="1" x14ac:dyDescent="0.25">
      <c r="A17" s="93">
        <f>A15+1</f>
        <v>7</v>
      </c>
      <c r="B17" s="93" t="s">
        <v>103</v>
      </c>
    </row>
    <row r="18" spans="1:2" s="93" customFormat="1" x14ac:dyDescent="0.25"/>
    <row r="19" spans="1:2" s="93" customFormat="1" x14ac:dyDescent="0.25">
      <c r="A19" s="93">
        <f>A17+1</f>
        <v>8</v>
      </c>
      <c r="B19" s="93" t="s">
        <v>2</v>
      </c>
    </row>
    <row r="20" spans="1:2" s="93" customFormat="1" x14ac:dyDescent="0.25"/>
    <row r="21" spans="1:2" s="93" customFormat="1" x14ac:dyDescent="0.25">
      <c r="A21" s="93">
        <f>A19+1</f>
        <v>9</v>
      </c>
      <c r="B21" s="93" t="s">
        <v>93</v>
      </c>
    </row>
    <row r="22" spans="1:2" s="93" customFormat="1" x14ac:dyDescent="0.25"/>
    <row r="23" spans="1:2" s="93" customFormat="1" x14ac:dyDescent="0.25">
      <c r="A23" s="93">
        <f>A21+1</f>
        <v>10</v>
      </c>
      <c r="B23" s="93" t="s">
        <v>3</v>
      </c>
    </row>
    <row r="24" spans="1:2" s="93" customFormat="1" x14ac:dyDescent="0.25"/>
    <row r="25" spans="1:2" s="93" customFormat="1" x14ac:dyDescent="0.25">
      <c r="A25" s="93">
        <f>A23+1</f>
        <v>11</v>
      </c>
      <c r="B25" s="93" t="s">
        <v>4</v>
      </c>
    </row>
    <row r="27" spans="1:2" x14ac:dyDescent="0.25">
      <c r="B27" t="s">
        <v>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AF87-33E8-4C35-A087-C383C1C729EB}">
  <dimension ref="A1:O87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L10" sqref="L10"/>
    </sheetView>
  </sheetViews>
  <sheetFormatPr defaultRowHeight="15" x14ac:dyDescent="0.25"/>
  <cols>
    <col min="1" max="1" width="24.5703125" bestFit="1" customWidth="1"/>
    <col min="7" max="7" width="9.85546875" bestFit="1" customWidth="1"/>
  </cols>
  <sheetData>
    <row r="1" spans="1:15" x14ac:dyDescent="0.25">
      <c r="A1" s="1" t="s">
        <v>16</v>
      </c>
      <c r="D1" s="78" t="s">
        <v>17</v>
      </c>
      <c r="E1" s="78"/>
      <c r="F1" s="78"/>
      <c r="G1" s="78"/>
      <c r="H1" s="79" t="s">
        <v>18</v>
      </c>
      <c r="I1" s="79"/>
      <c r="J1" s="79"/>
      <c r="K1" s="79"/>
      <c r="L1" s="79"/>
    </row>
    <row r="2" spans="1:15" x14ac:dyDescent="0.25">
      <c r="A2" s="1"/>
      <c r="D2" s="8">
        <v>2017</v>
      </c>
      <c r="E2" s="8">
        <f>D2+1</f>
        <v>2018</v>
      </c>
      <c r="F2" s="8">
        <f t="shared" ref="F2:G2" si="0">E2+1</f>
        <v>2019</v>
      </c>
      <c r="G2" s="8">
        <f t="shared" si="0"/>
        <v>2020</v>
      </c>
      <c r="H2" s="1">
        <f>G2+1</f>
        <v>2021</v>
      </c>
      <c r="I2" s="1">
        <f t="shared" ref="I2:L2" si="1">H2+1</f>
        <v>2022</v>
      </c>
      <c r="J2" s="1">
        <f t="shared" si="1"/>
        <v>2023</v>
      </c>
      <c r="K2" s="1">
        <f t="shared" si="1"/>
        <v>2024</v>
      </c>
      <c r="L2" s="1">
        <f t="shared" si="1"/>
        <v>2025</v>
      </c>
    </row>
    <row r="3" spans="1:15" x14ac:dyDescent="0.25">
      <c r="A3" s="1" t="s">
        <v>5</v>
      </c>
      <c r="D3" s="81">
        <v>11758</v>
      </c>
      <c r="E3" s="9">
        <v>21461</v>
      </c>
      <c r="F3" s="9">
        <v>24578</v>
      </c>
      <c r="G3" s="9">
        <v>31536</v>
      </c>
      <c r="H3" s="7">
        <f>G3*(1+H4)</f>
        <v>39770.008797461145</v>
      </c>
      <c r="I3" s="7">
        <f t="shared" ref="I3:L3" si="2">H3*(1+I4)</f>
        <v>49278.966444905149</v>
      </c>
      <c r="J3" s="7">
        <f t="shared" si="2"/>
        <v>59134.759733886174</v>
      </c>
      <c r="K3" s="7">
        <f t="shared" si="2"/>
        <v>72144.406875341127</v>
      </c>
      <c r="L3" s="7">
        <f t="shared" si="2"/>
        <v>90180.508594176412</v>
      </c>
    </row>
    <row r="4" spans="1:15" x14ac:dyDescent="0.25">
      <c r="A4" s="66" t="s">
        <v>20</v>
      </c>
      <c r="B4" s="28"/>
      <c r="C4" s="28"/>
      <c r="D4" s="31"/>
      <c r="E4" s="32">
        <f>E3/D3-1</f>
        <v>0.82522537846572552</v>
      </c>
      <c r="F4" s="32">
        <f t="shared" ref="F4:G4" si="3">F3/E3-1</f>
        <v>0.14524020315921904</v>
      </c>
      <c r="G4" s="32">
        <f t="shared" si="3"/>
        <v>0.28309870615998056</v>
      </c>
      <c r="H4" s="33">
        <f>G4-$M$4</f>
        <v>0.26109870615998054</v>
      </c>
      <c r="I4" s="33">
        <f t="shared" ref="I4:K4" si="4">H4-$M$4</f>
        <v>0.23909870615998055</v>
      </c>
      <c r="J4" s="33">
        <v>0.2</v>
      </c>
      <c r="K4" s="33">
        <v>0.22</v>
      </c>
      <c r="L4" s="33">
        <v>0.25</v>
      </c>
      <c r="M4" s="33">
        <v>2.1999999999999999E-2</v>
      </c>
      <c r="N4" s="34"/>
      <c r="O4" s="27"/>
    </row>
    <row r="5" spans="1:15" x14ac:dyDescent="0.25">
      <c r="A5" s="1"/>
      <c r="D5" s="9"/>
      <c r="E5" s="10"/>
      <c r="F5" s="10"/>
      <c r="G5" s="10"/>
      <c r="H5" s="4"/>
      <c r="I5" s="4"/>
      <c r="J5" s="4"/>
      <c r="K5" s="4"/>
      <c r="L5" s="4"/>
      <c r="M5" s="5"/>
      <c r="N5" s="6"/>
    </row>
    <row r="6" spans="1:15" x14ac:dyDescent="0.25">
      <c r="A6" s="1" t="s">
        <v>22</v>
      </c>
      <c r="D6" s="17">
        <v>9536</v>
      </c>
      <c r="E6" s="17">
        <v>17419</v>
      </c>
      <c r="F6" s="17">
        <v>20509</v>
      </c>
      <c r="G6" s="17">
        <v>24906</v>
      </c>
      <c r="H6" s="16">
        <f>H3-H7</f>
        <v>32282.21253580934</v>
      </c>
      <c r="I6" s="16">
        <f t="shared" ref="I6:L6" si="5">I3-I7</f>
        <v>40000.847785102858</v>
      </c>
      <c r="J6" s="16">
        <f t="shared" si="5"/>
        <v>48001.017342123421</v>
      </c>
      <c r="K6" s="16">
        <f t="shared" si="5"/>
        <v>58561.24115739057</v>
      </c>
      <c r="L6" s="16">
        <f t="shared" si="5"/>
        <v>73201.551446738216</v>
      </c>
      <c r="M6" s="5"/>
      <c r="N6" s="6"/>
    </row>
    <row r="7" spans="1:15" x14ac:dyDescent="0.25">
      <c r="A7" s="1" t="s">
        <v>21</v>
      </c>
      <c r="D7" s="14">
        <v>2222</v>
      </c>
      <c r="E7" s="14">
        <v>4042</v>
      </c>
      <c r="F7" s="14">
        <v>4069</v>
      </c>
      <c r="G7" s="14">
        <v>6630</v>
      </c>
      <c r="H7" s="16">
        <f>H8*H3</f>
        <v>7487.7962616518071</v>
      </c>
      <c r="I7" s="16">
        <f t="shared" ref="I7:L7" si="6">I8*I3</f>
        <v>9278.1186598022941</v>
      </c>
      <c r="J7" s="16">
        <f t="shared" si="6"/>
        <v>11133.742391762751</v>
      </c>
      <c r="K7" s="16">
        <f t="shared" si="6"/>
        <v>13583.165717950555</v>
      </c>
      <c r="L7" s="16">
        <f t="shared" si="6"/>
        <v>16978.957147438196</v>
      </c>
      <c r="M7" s="5"/>
      <c r="N7" s="6"/>
    </row>
    <row r="8" spans="1:15" x14ac:dyDescent="0.25">
      <c r="A8" s="66" t="s">
        <v>23</v>
      </c>
      <c r="B8" s="28"/>
      <c r="C8" s="28"/>
      <c r="D8" s="29">
        <f>D7/D3</f>
        <v>0.18897771729886034</v>
      </c>
      <c r="E8" s="29">
        <f t="shared" ref="E8:G8" si="7">E7/E3</f>
        <v>0.18834164298028983</v>
      </c>
      <c r="F8" s="29">
        <f t="shared" si="7"/>
        <v>0.1655545609895028</v>
      </c>
      <c r="G8" s="29">
        <f t="shared" si="7"/>
        <v>0.2102359208523592</v>
      </c>
      <c r="H8" s="30">
        <f>AVERAGE($D$8:$G$8)</f>
        <v>0.18827746053025304</v>
      </c>
      <c r="I8" s="30">
        <f t="shared" ref="I8:L8" si="8">AVERAGE($D$8:$G$8)</f>
        <v>0.18827746053025304</v>
      </c>
      <c r="J8" s="30">
        <f t="shared" si="8"/>
        <v>0.18827746053025304</v>
      </c>
      <c r="K8" s="30">
        <f t="shared" si="8"/>
        <v>0.18827746053025304</v>
      </c>
      <c r="L8" s="30">
        <f t="shared" si="8"/>
        <v>0.18827746053025304</v>
      </c>
      <c r="M8" s="5"/>
      <c r="N8" s="6"/>
    </row>
    <row r="9" spans="1:15" x14ac:dyDescent="0.25">
      <c r="A9" s="28"/>
      <c r="B9" s="28"/>
      <c r="C9" s="28"/>
      <c r="D9" s="29"/>
      <c r="E9" s="29"/>
      <c r="F9" s="29"/>
      <c r="G9" s="29"/>
      <c r="H9" s="30"/>
      <c r="I9" s="30"/>
      <c r="J9" s="30"/>
      <c r="K9" s="30"/>
      <c r="L9" s="30"/>
      <c r="M9" s="5"/>
      <c r="N9" s="6"/>
    </row>
    <row r="10" spans="1:15" x14ac:dyDescent="0.25">
      <c r="A10" s="1" t="s">
        <v>104</v>
      </c>
      <c r="B10" s="28"/>
      <c r="C10" s="28"/>
      <c r="D10" s="81">
        <v>3854</v>
      </c>
      <c r="E10" s="81">
        <v>4430</v>
      </c>
      <c r="F10" s="81">
        <v>4138</v>
      </c>
      <c r="G10" s="81">
        <v>4636</v>
      </c>
      <c r="H10" s="73">
        <f>H7-H16-H12</f>
        <v>2446.3329466153546</v>
      </c>
      <c r="I10" s="73">
        <f t="shared" ref="I10:L10" si="9">I7-I16-I12</f>
        <v>2101.9241165584654</v>
      </c>
      <c r="J10" s="73">
        <f t="shared" si="9"/>
        <v>3858.8080024650303</v>
      </c>
      <c r="K10" s="73">
        <f t="shared" si="9"/>
        <v>2929.1923383430531</v>
      </c>
      <c r="L10" s="73">
        <f t="shared" si="9"/>
        <v>3228.5468375485607</v>
      </c>
      <c r="M10" s="5"/>
      <c r="N10" s="6"/>
    </row>
    <row r="11" spans="1:15" x14ac:dyDescent="0.25">
      <c r="A11" s="1"/>
      <c r="B11" s="28"/>
      <c r="C11" s="28"/>
      <c r="D11" s="9"/>
      <c r="E11" s="9"/>
      <c r="F11" s="9"/>
      <c r="G11" s="9"/>
      <c r="H11" s="30"/>
      <c r="I11" s="30"/>
      <c r="J11" s="30"/>
      <c r="K11" s="30"/>
      <c r="L11" s="30"/>
      <c r="M11" s="5"/>
      <c r="N11" s="6"/>
    </row>
    <row r="12" spans="1:15" x14ac:dyDescent="0.25">
      <c r="A12" s="61" t="s">
        <v>13</v>
      </c>
      <c r="B12" s="64"/>
      <c r="C12" s="64"/>
      <c r="D12" s="82">
        <v>1636</v>
      </c>
      <c r="E12" s="82">
        <v>1901</v>
      </c>
      <c r="F12" s="82">
        <v>2154</v>
      </c>
      <c r="G12" s="82">
        <v>2322</v>
      </c>
      <c r="H12" s="73">
        <f>H13+H14</f>
        <v>2774.5728135811669</v>
      </c>
      <c r="I12" s="73">
        <f t="shared" ref="I12:L12" si="10">I13+I14</f>
        <v>3381.7141269861322</v>
      </c>
      <c r="J12" s="73">
        <f t="shared" si="10"/>
        <v>4022.5226039339809</v>
      </c>
      <c r="K12" s="73">
        <f t="shared" si="10"/>
        <v>4882.4208295802109</v>
      </c>
      <c r="L12" s="73">
        <f t="shared" si="10"/>
        <v>6085.0670793846393</v>
      </c>
      <c r="M12" s="5"/>
      <c r="N12" s="6"/>
    </row>
    <row r="13" spans="1:15" x14ac:dyDescent="0.25">
      <c r="A13" s="70" t="s">
        <v>108</v>
      </c>
      <c r="B13" s="64"/>
      <c r="C13" s="64"/>
      <c r="D13" s="68">
        <v>91</v>
      </c>
      <c r="E13" s="68">
        <v>159</v>
      </c>
      <c r="F13" s="68">
        <v>188</v>
      </c>
      <c r="G13" s="68">
        <v>180</v>
      </c>
      <c r="H13" s="73">
        <f>'Fixed asset Schedule'!H19</f>
        <v>100.45104743714647</v>
      </c>
      <c r="I13" s="73">
        <f>'Fixed asset Schedule'!I19</f>
        <v>68.213306442833854</v>
      </c>
      <c r="J13" s="73">
        <f>'Fixed asset Schedule'!J19</f>
        <v>46.321619282023256</v>
      </c>
      <c r="K13" s="73">
        <f>'Fixed asset Schedule'!K19</f>
        <v>31.45562830482212</v>
      </c>
      <c r="L13" s="73">
        <f>'Fixed asset Schedule'!L19</f>
        <v>21.360577790403802</v>
      </c>
      <c r="M13" s="5"/>
      <c r="N13" s="6"/>
    </row>
    <row r="14" spans="1:15" x14ac:dyDescent="0.25">
      <c r="A14" s="70" t="s">
        <v>109</v>
      </c>
      <c r="B14" s="64"/>
      <c r="C14" s="64"/>
      <c r="D14" s="84">
        <f>D12-D13</f>
        <v>1545</v>
      </c>
      <c r="E14" s="84">
        <f t="shared" ref="E14:G14" si="11">E12-E13</f>
        <v>1742</v>
      </c>
      <c r="F14" s="84">
        <f t="shared" si="11"/>
        <v>1966</v>
      </c>
      <c r="G14" s="84">
        <f t="shared" si="11"/>
        <v>2142</v>
      </c>
      <c r="H14" s="73">
        <f>'Fixed asset Schedule'!H8</f>
        <v>2674.1217661440205</v>
      </c>
      <c r="I14" s="73">
        <f>'Fixed asset Schedule'!I8</f>
        <v>3313.5008205432982</v>
      </c>
      <c r="J14" s="73">
        <f>'Fixed asset Schedule'!J8</f>
        <v>3976.2009846519577</v>
      </c>
      <c r="K14" s="73">
        <f>'Fixed asset Schedule'!K8</f>
        <v>4850.9652012753886</v>
      </c>
      <c r="L14" s="73">
        <f>'Fixed asset Schedule'!L8</f>
        <v>6063.7065015942353</v>
      </c>
    </row>
    <row r="15" spans="1:15" x14ac:dyDescent="0.25">
      <c r="A15" s="69"/>
      <c r="B15" s="64"/>
      <c r="C15" s="64"/>
      <c r="D15" s="68"/>
      <c r="E15" s="68"/>
      <c r="F15" s="68"/>
      <c r="G15" s="68"/>
    </row>
    <row r="16" spans="1:15" x14ac:dyDescent="0.25">
      <c r="A16" s="1" t="s">
        <v>6</v>
      </c>
      <c r="D16" s="81">
        <v>-2209</v>
      </c>
      <c r="E16" s="81">
        <v>-1005</v>
      </c>
      <c r="F16" s="9">
        <v>-665</v>
      </c>
      <c r="G16" s="81">
        <v>1154</v>
      </c>
      <c r="H16" s="7">
        <f>H3*H17</f>
        <v>2266.8905014552852</v>
      </c>
      <c r="I16" s="7">
        <f t="shared" ref="I16:L16" si="12">I3*I17</f>
        <v>3794.4804162576966</v>
      </c>
      <c r="J16" s="7">
        <f t="shared" si="12"/>
        <v>3252.4117853637395</v>
      </c>
      <c r="K16" s="7">
        <f t="shared" si="12"/>
        <v>5771.5525500272906</v>
      </c>
      <c r="L16" s="7">
        <f t="shared" si="12"/>
        <v>7665.3432305049955</v>
      </c>
    </row>
    <row r="17" spans="1:14" x14ac:dyDescent="0.25">
      <c r="A17" s="66" t="s">
        <v>19</v>
      </c>
      <c r="B17" s="28"/>
      <c r="C17" s="28"/>
      <c r="D17" s="32">
        <f t="shared" ref="D17:G17" si="13">D16/D3</f>
        <v>-0.18787208708964109</v>
      </c>
      <c r="E17" s="32">
        <f t="shared" si="13"/>
        <v>-4.6829131913703928E-2</v>
      </c>
      <c r="F17" s="32">
        <f t="shared" si="13"/>
        <v>-2.7056717389535356E-2</v>
      </c>
      <c r="G17" s="32">
        <f t="shared" si="13"/>
        <v>3.6593099949264331E-2</v>
      </c>
      <c r="H17" s="33">
        <v>5.7000000000000002E-2</v>
      </c>
      <c r="I17" s="33">
        <v>7.6999999999999999E-2</v>
      </c>
      <c r="J17" s="33">
        <v>5.5E-2</v>
      </c>
      <c r="K17" s="33">
        <v>0.08</v>
      </c>
      <c r="L17" s="33">
        <v>8.5000000000000006E-2</v>
      </c>
    </row>
    <row r="18" spans="1:14" x14ac:dyDescent="0.25">
      <c r="A18" s="1"/>
      <c r="D18" s="9"/>
      <c r="E18" s="9"/>
      <c r="F18" s="9"/>
      <c r="G18" s="9"/>
    </row>
    <row r="19" spans="1:14" x14ac:dyDescent="0.25">
      <c r="A19" s="1" t="s">
        <v>24</v>
      </c>
      <c r="D19" s="9">
        <v>-471</v>
      </c>
      <c r="E19" s="9">
        <v>-663</v>
      </c>
      <c r="F19" s="9">
        <v>-685</v>
      </c>
      <c r="G19" s="9">
        <v>-748</v>
      </c>
      <c r="H19" s="26">
        <f>'Debt Schedule'!H8</f>
        <v>83.459685863874341</v>
      </c>
      <c r="I19" s="26">
        <f>'Debt Schedule'!I8</f>
        <v>100.8041884816754</v>
      </c>
      <c r="J19" s="26">
        <f>'Debt Schedule'!J8</f>
        <v>119.26492146596858</v>
      </c>
      <c r="K19" s="26">
        <f>'Debt Schedule'!K8</f>
        <v>142.21919720767889</v>
      </c>
      <c r="L19" s="26">
        <f>'Debt Schedule'!L8</f>
        <v>159.87853403141361</v>
      </c>
    </row>
    <row r="20" spans="1:14" x14ac:dyDescent="0.25">
      <c r="A20" s="1"/>
      <c r="D20" s="9"/>
      <c r="E20" s="9"/>
      <c r="F20" s="9"/>
      <c r="G20" s="9"/>
    </row>
    <row r="21" spans="1:14" x14ac:dyDescent="0.25">
      <c r="A21" s="1" t="s">
        <v>7</v>
      </c>
      <c r="D21" s="10">
        <f>D23/D22</f>
        <v>-1.403349932095971E-2</v>
      </c>
      <c r="E21" s="10">
        <f t="shared" ref="E21:G21" si="14">E23/E22</f>
        <v>-5.7711442786069649E-2</v>
      </c>
      <c r="F21" s="10">
        <f t="shared" si="14"/>
        <v>-0.16541353383458646</v>
      </c>
      <c r="G21" s="10">
        <f t="shared" si="14"/>
        <v>0.2530329289428076</v>
      </c>
      <c r="H21" s="6">
        <v>0.16400000000000001</v>
      </c>
      <c r="I21" s="6">
        <f t="shared" ref="I21:K21" si="15">H21+$M$21</f>
        <v>0.16400000000000001</v>
      </c>
      <c r="J21" s="6">
        <f t="shared" si="15"/>
        <v>0.16400000000000001</v>
      </c>
      <c r="K21" s="6">
        <f t="shared" si="15"/>
        <v>0.16400000000000001</v>
      </c>
      <c r="L21" s="5">
        <v>0.17</v>
      </c>
      <c r="M21" s="33"/>
      <c r="N21" s="6"/>
    </row>
    <row r="22" spans="1:14" x14ac:dyDescent="0.25">
      <c r="A22" s="2" t="s">
        <v>8</v>
      </c>
      <c r="D22" s="81">
        <v>-2209</v>
      </c>
      <c r="E22" s="81">
        <v>-1005</v>
      </c>
      <c r="F22" s="9">
        <v>-665</v>
      </c>
      <c r="G22" s="81">
        <v>1154</v>
      </c>
      <c r="H22" s="7">
        <f>H16-H19</f>
        <v>2183.4308155914109</v>
      </c>
      <c r="I22" s="7">
        <f t="shared" ref="I22:L22" si="16">I16-I19</f>
        <v>3693.6762277760213</v>
      </c>
      <c r="J22" s="7">
        <f t="shared" si="16"/>
        <v>3133.1468638977708</v>
      </c>
      <c r="K22" s="7">
        <f t="shared" si="16"/>
        <v>5629.3333528196117</v>
      </c>
      <c r="L22" s="7">
        <f t="shared" si="16"/>
        <v>7505.4646964735821</v>
      </c>
    </row>
    <row r="23" spans="1:14" x14ac:dyDescent="0.25">
      <c r="A23" s="2" t="s">
        <v>107</v>
      </c>
      <c r="D23" s="81">
        <v>31</v>
      </c>
      <c r="E23" s="9">
        <v>58</v>
      </c>
      <c r="F23" s="9">
        <v>110</v>
      </c>
      <c r="G23" s="9">
        <v>292</v>
      </c>
      <c r="H23" s="7">
        <f>H22*H21</f>
        <v>358.08265375699142</v>
      </c>
      <c r="I23" s="7">
        <f t="shared" ref="I23:L23" si="17">I22*I21</f>
        <v>605.76290135526756</v>
      </c>
      <c r="J23" s="7">
        <f t="shared" si="17"/>
        <v>513.83608567923443</v>
      </c>
      <c r="K23" s="7">
        <f t="shared" si="17"/>
        <v>923.21066986241635</v>
      </c>
      <c r="L23" s="7">
        <f t="shared" si="17"/>
        <v>1275.928998400509</v>
      </c>
    </row>
    <row r="24" spans="1:14" x14ac:dyDescent="0.25">
      <c r="A24" s="1"/>
      <c r="D24" s="9"/>
      <c r="E24" s="9"/>
      <c r="F24" s="9"/>
      <c r="G24" s="9"/>
    </row>
    <row r="25" spans="1:14" x14ac:dyDescent="0.25">
      <c r="A25" s="1"/>
      <c r="D25" s="9"/>
      <c r="E25" s="9"/>
      <c r="F25" s="9"/>
      <c r="G25" s="9"/>
      <c r="H25" s="7"/>
      <c r="I25" s="7"/>
      <c r="J25" s="7"/>
      <c r="K25" s="7"/>
      <c r="L25" s="7"/>
    </row>
    <row r="26" spans="1:14" x14ac:dyDescent="0.25">
      <c r="A26" s="2"/>
      <c r="D26" s="37"/>
      <c r="E26" s="37"/>
      <c r="F26" s="37"/>
      <c r="G26" s="37"/>
      <c r="H26" s="38"/>
      <c r="I26" s="38"/>
      <c r="J26" s="38"/>
      <c r="K26" s="38"/>
      <c r="L26" s="38"/>
    </row>
    <row r="27" spans="1:14" x14ac:dyDescent="0.25">
      <c r="A27" s="1"/>
      <c r="D27" s="9"/>
      <c r="E27" s="9"/>
      <c r="F27" s="9"/>
      <c r="G27" s="9"/>
    </row>
    <row r="28" spans="1:14" x14ac:dyDescent="0.25">
      <c r="A28" s="1"/>
      <c r="D28" s="9"/>
      <c r="E28" s="9"/>
      <c r="F28" s="9"/>
      <c r="G28" s="9"/>
      <c r="H28" s="16"/>
      <c r="I28" s="16"/>
      <c r="J28" s="16"/>
      <c r="K28" s="16"/>
      <c r="L28" s="16"/>
    </row>
    <row r="29" spans="1:14" x14ac:dyDescent="0.25">
      <c r="A29" s="2"/>
      <c r="D29" s="37"/>
      <c r="E29" s="37"/>
      <c r="F29" s="37"/>
      <c r="G29" s="37"/>
      <c r="H29" s="38"/>
      <c r="I29" s="38"/>
      <c r="J29" s="38"/>
      <c r="K29" s="38"/>
      <c r="L29" s="38"/>
      <c r="N29" s="15"/>
    </row>
    <row r="30" spans="1:14" x14ac:dyDescent="0.25">
      <c r="A30" s="1"/>
      <c r="D30" s="9"/>
      <c r="E30" s="9"/>
      <c r="F30" s="9"/>
      <c r="G30" s="9"/>
    </row>
    <row r="31" spans="1:14" x14ac:dyDescent="0.25">
      <c r="A31" s="1"/>
      <c r="D31" s="9"/>
      <c r="E31" s="9"/>
      <c r="F31" s="9"/>
      <c r="G31" s="9"/>
      <c r="H31" s="16"/>
      <c r="I31" s="16"/>
      <c r="J31" s="16"/>
      <c r="K31" s="16"/>
      <c r="L31" s="16"/>
    </row>
    <row r="32" spans="1:14" x14ac:dyDescent="0.25">
      <c r="A32" s="2"/>
      <c r="D32" s="10"/>
      <c r="E32" s="10"/>
      <c r="F32" s="10"/>
      <c r="G32" s="10"/>
      <c r="H32" s="4"/>
      <c r="I32" s="4"/>
      <c r="J32" s="4"/>
      <c r="K32" s="4"/>
      <c r="L32" s="4"/>
    </row>
    <row r="33" spans="1:12" x14ac:dyDescent="0.25">
      <c r="A33" s="1"/>
      <c r="D33" s="9"/>
      <c r="E33" s="9"/>
      <c r="F33" s="9"/>
      <c r="G33" s="9"/>
    </row>
    <row r="34" spans="1:12" x14ac:dyDescent="0.25">
      <c r="A34" s="1"/>
      <c r="D34" s="9"/>
      <c r="E34" s="9"/>
      <c r="F34" s="9"/>
      <c r="G34" s="9"/>
      <c r="H34" s="19"/>
      <c r="I34" s="19"/>
      <c r="J34" s="19"/>
      <c r="K34" s="19"/>
      <c r="L34" s="19"/>
    </row>
    <row r="35" spans="1:12" x14ac:dyDescent="0.25">
      <c r="A35" s="2"/>
      <c r="D35" s="37"/>
      <c r="E35" s="37"/>
      <c r="F35" s="37"/>
      <c r="G35" s="37"/>
      <c r="H35" s="38"/>
      <c r="I35" s="38"/>
      <c r="J35" s="38"/>
      <c r="K35" s="38"/>
      <c r="L35" s="38"/>
    </row>
    <row r="36" spans="1:12" x14ac:dyDescent="0.25">
      <c r="A36" s="1"/>
      <c r="D36" s="9"/>
      <c r="E36" s="9"/>
      <c r="F36" s="9"/>
      <c r="G36" s="9"/>
    </row>
    <row r="37" spans="1:12" x14ac:dyDescent="0.25">
      <c r="A37" s="1"/>
      <c r="D37" s="9"/>
      <c r="E37" s="9"/>
      <c r="F37" s="9"/>
      <c r="G37" s="9"/>
    </row>
    <row r="38" spans="1:12" x14ac:dyDescent="0.25">
      <c r="A38" s="2"/>
      <c r="D38" s="9"/>
      <c r="E38" s="9"/>
      <c r="F38" s="9"/>
      <c r="G38" s="9"/>
      <c r="H38" s="16"/>
      <c r="I38" s="16"/>
      <c r="J38" s="16"/>
      <c r="K38" s="16"/>
      <c r="L38" s="16"/>
    </row>
    <row r="39" spans="1:12" x14ac:dyDescent="0.25">
      <c r="A39" s="2"/>
      <c r="D39" s="11"/>
      <c r="E39" s="11"/>
      <c r="F39" s="11"/>
      <c r="G39" s="11"/>
      <c r="H39" s="5"/>
      <c r="I39" s="5"/>
      <c r="J39" s="5"/>
      <c r="K39" s="5"/>
      <c r="L39" s="5"/>
    </row>
    <row r="40" spans="1:12" x14ac:dyDescent="0.25">
      <c r="A40" s="2"/>
      <c r="D40" s="11"/>
      <c r="E40" s="11"/>
      <c r="F40" s="11"/>
      <c r="G40" s="11"/>
    </row>
    <row r="41" spans="1:12" x14ac:dyDescent="0.25">
      <c r="A41" s="2"/>
      <c r="D41" s="9"/>
      <c r="E41" s="9"/>
      <c r="F41" s="9"/>
      <c r="G41" s="9"/>
      <c r="H41" s="19"/>
      <c r="I41" s="19"/>
      <c r="J41" s="19"/>
      <c r="K41" s="19"/>
      <c r="L41" s="19"/>
    </row>
    <row r="42" spans="1:12" s="2" customFormat="1" x14ac:dyDescent="0.25">
      <c r="D42" s="11"/>
      <c r="E42" s="11"/>
      <c r="F42" s="11"/>
      <c r="G42" s="11"/>
      <c r="H42" s="18"/>
      <c r="I42" s="18"/>
      <c r="J42" s="18"/>
      <c r="K42" s="18"/>
      <c r="L42" s="18"/>
    </row>
    <row r="43" spans="1:12" x14ac:dyDescent="0.25">
      <c r="D43" s="9"/>
      <c r="E43" s="9"/>
      <c r="F43" s="9"/>
      <c r="G43" s="9"/>
    </row>
    <row r="44" spans="1:12" x14ac:dyDescent="0.25">
      <c r="D44" s="9"/>
      <c r="E44" s="9"/>
      <c r="F44" s="9"/>
      <c r="G44" s="9"/>
    </row>
    <row r="48" spans="1:12" x14ac:dyDescent="0.25">
      <c r="H48" s="35"/>
      <c r="I48" s="35"/>
      <c r="J48" s="35"/>
      <c r="K48" s="35"/>
      <c r="L48" s="35"/>
    </row>
    <row r="49" spans="1:14" x14ac:dyDescent="0.25">
      <c r="D49" s="9"/>
      <c r="E49" s="9"/>
      <c r="F49" s="9"/>
      <c r="G49" s="9"/>
    </row>
    <row r="50" spans="1:14" x14ac:dyDescent="0.25">
      <c r="H50" s="7"/>
      <c r="I50" s="7"/>
      <c r="J50" s="7"/>
      <c r="K50" s="7"/>
      <c r="L50" s="7"/>
    </row>
    <row r="51" spans="1:14" x14ac:dyDescent="0.25">
      <c r="H51" s="4"/>
      <c r="I51" s="4"/>
      <c r="J51" s="4"/>
      <c r="K51" s="4"/>
      <c r="L51" s="4"/>
      <c r="M51" s="21">
        <v>2.3E-2</v>
      </c>
      <c r="N51" s="22">
        <f>(-'Debt Schedule'!G9+M51)/5</f>
        <v>2.6919139034322281E-3</v>
      </c>
    </row>
    <row r="52" spans="1:14" x14ac:dyDescent="0.25">
      <c r="D52" s="9"/>
      <c r="E52" s="9"/>
      <c r="F52" s="9"/>
      <c r="G52" s="9"/>
    </row>
    <row r="53" spans="1:14" x14ac:dyDescent="0.25">
      <c r="A53" s="1" t="s">
        <v>26</v>
      </c>
    </row>
    <row r="54" spans="1:14" x14ac:dyDescent="0.25">
      <c r="A54" t="s">
        <v>28</v>
      </c>
      <c r="D54" s="9">
        <f t="shared" ref="D54:G54" si="18">C58</f>
        <v>3840</v>
      </c>
      <c r="E54" s="9">
        <f t="shared" si="18"/>
        <v>4072</v>
      </c>
      <c r="F54" s="9">
        <f t="shared" si="18"/>
        <v>3881</v>
      </c>
      <c r="G54" s="9">
        <f t="shared" si="18"/>
        <v>3750</v>
      </c>
      <c r="H54" s="7"/>
      <c r="I54" s="7"/>
      <c r="J54" s="7"/>
      <c r="K54" s="7"/>
      <c r="L54" s="7"/>
    </row>
    <row r="55" spans="1:14" x14ac:dyDescent="0.25">
      <c r="A55" t="s">
        <v>31</v>
      </c>
      <c r="D55" s="9">
        <f>D56-D54</f>
        <v>1777</v>
      </c>
      <c r="E55" s="9">
        <f t="shared" ref="E55:G55" si="19">E56-E54</f>
        <v>1551</v>
      </c>
      <c r="F55" s="9">
        <f t="shared" si="19"/>
        <v>1835</v>
      </c>
      <c r="G55" s="12">
        <f t="shared" si="19"/>
        <v>2108</v>
      </c>
      <c r="H55" s="7"/>
      <c r="I55" s="7"/>
      <c r="J55" s="7"/>
      <c r="K55" s="7"/>
      <c r="L55" s="7"/>
    </row>
    <row r="56" spans="1:14" x14ac:dyDescent="0.25">
      <c r="A56" s="35" t="s">
        <v>32</v>
      </c>
      <c r="B56" s="35"/>
      <c r="C56" s="35"/>
      <c r="D56" s="39">
        <f>D57+D58</f>
        <v>5617</v>
      </c>
      <c r="E56" s="39">
        <f t="shared" ref="E56:G56" si="20">E57+E58</f>
        <v>5623</v>
      </c>
      <c r="F56" s="39">
        <f t="shared" si="20"/>
        <v>5716</v>
      </c>
      <c r="G56" s="39">
        <f t="shared" si="20"/>
        <v>5858</v>
      </c>
      <c r="H56" s="40"/>
      <c r="I56" s="40"/>
      <c r="J56" s="40"/>
      <c r="K56" s="40"/>
      <c r="L56" s="40"/>
    </row>
    <row r="57" spans="1:14" x14ac:dyDescent="0.25">
      <c r="A57" t="s">
        <v>30</v>
      </c>
      <c r="D57" s="9">
        <f>D14</f>
        <v>1545</v>
      </c>
      <c r="E57" s="9">
        <f>E14</f>
        <v>1742</v>
      </c>
      <c r="F57" s="9">
        <f>F14</f>
        <v>1966</v>
      </c>
      <c r="G57" s="9">
        <f>G14</f>
        <v>2142</v>
      </c>
      <c r="H57" s="19"/>
      <c r="I57" s="19"/>
      <c r="J57" s="19"/>
      <c r="K57" s="19"/>
      <c r="L57" s="19"/>
    </row>
    <row r="58" spans="1:14" s="1" customFormat="1" x14ac:dyDescent="0.25">
      <c r="A58" s="35" t="s">
        <v>29</v>
      </c>
      <c r="B58" s="35"/>
      <c r="C58" s="35">
        <v>3840</v>
      </c>
      <c r="D58" s="39">
        <v>4072</v>
      </c>
      <c r="E58" s="39">
        <v>3881</v>
      </c>
      <c r="F58" s="39">
        <v>3750</v>
      </c>
      <c r="G58" s="39">
        <f>3716</f>
        <v>3716</v>
      </c>
      <c r="H58" s="40"/>
      <c r="I58" s="40"/>
      <c r="J58" s="40"/>
      <c r="K58" s="40"/>
      <c r="L58" s="40"/>
    </row>
    <row r="59" spans="1:14" x14ac:dyDescent="0.25">
      <c r="D59" s="9"/>
      <c r="E59" s="9"/>
      <c r="F59" s="9"/>
      <c r="G59" s="9"/>
    </row>
    <row r="60" spans="1:14" x14ac:dyDescent="0.25">
      <c r="A60" s="1" t="s">
        <v>37</v>
      </c>
      <c r="D60" s="11">
        <f>D57/D56</f>
        <v>0.27505786006765176</v>
      </c>
      <c r="E60" s="11">
        <f t="shared" ref="E60:G60" si="21">E57/E56</f>
        <v>0.30979903965854527</v>
      </c>
      <c r="F60" s="11">
        <f t="shared" si="21"/>
        <v>0.34394681595521343</v>
      </c>
      <c r="G60" s="11">
        <f t="shared" si="21"/>
        <v>0.36565380675998632</v>
      </c>
      <c r="H60" s="3"/>
      <c r="I60" s="3"/>
      <c r="J60" s="3"/>
      <c r="K60" s="3"/>
      <c r="L60" s="3"/>
    </row>
    <row r="61" spans="1:14" x14ac:dyDescent="0.25">
      <c r="A61" s="1"/>
      <c r="D61" s="11"/>
      <c r="E61" s="11"/>
      <c r="F61" s="11"/>
      <c r="G61" s="11"/>
      <c r="H61" s="3"/>
      <c r="I61" s="3"/>
      <c r="J61" s="3"/>
      <c r="K61" s="3"/>
      <c r="L61" s="3"/>
    </row>
    <row r="62" spans="1:14" x14ac:dyDescent="0.25">
      <c r="A62" s="1" t="s">
        <v>39</v>
      </c>
      <c r="D62" s="13">
        <f>D3/D56</f>
        <v>2.0932882321523945</v>
      </c>
      <c r="E62" s="13">
        <f>E3/E56</f>
        <v>3.8166459185488173</v>
      </c>
      <c r="F62" s="13">
        <f>F3/F56</f>
        <v>4.2998600419874036</v>
      </c>
      <c r="G62" s="13">
        <f>G3/G56</f>
        <v>5.3834073062478662</v>
      </c>
      <c r="H62" s="15"/>
      <c r="I62" s="15"/>
      <c r="J62" s="15"/>
      <c r="K62" s="15"/>
      <c r="L62" s="15"/>
    </row>
    <row r="63" spans="1:14" x14ac:dyDescent="0.25">
      <c r="A63" s="1"/>
      <c r="D63" s="9"/>
      <c r="E63" s="9"/>
      <c r="F63" s="9"/>
      <c r="G63" s="9"/>
    </row>
    <row r="64" spans="1:14" x14ac:dyDescent="0.25">
      <c r="A64" s="1" t="s">
        <v>40</v>
      </c>
      <c r="D64" s="9"/>
      <c r="E64" s="9"/>
      <c r="F64" s="9"/>
      <c r="G64" s="9"/>
    </row>
    <row r="65" spans="1:12" x14ac:dyDescent="0.25">
      <c r="A65" t="s">
        <v>28</v>
      </c>
      <c r="D65" s="9">
        <f t="shared" ref="D65:F65" si="22">C69</f>
        <v>1313</v>
      </c>
      <c r="E65" s="9">
        <f t="shared" si="22"/>
        <v>1341</v>
      </c>
      <c r="F65" s="9">
        <f t="shared" si="22"/>
        <v>1637</v>
      </c>
      <c r="G65" s="9">
        <f>F69</f>
        <v>2997</v>
      </c>
      <c r="H65" s="16"/>
      <c r="I65" s="16"/>
      <c r="J65" s="16"/>
      <c r="K65" s="16"/>
      <c r="L65" s="16"/>
    </row>
    <row r="66" spans="1:12" x14ac:dyDescent="0.25">
      <c r="A66" t="s">
        <v>31</v>
      </c>
      <c r="D66" s="9">
        <f>D67-D65</f>
        <v>119</v>
      </c>
      <c r="E66" s="9">
        <f t="shared" ref="E66:G66" si="23">E67-E65</f>
        <v>455</v>
      </c>
      <c r="F66" s="9">
        <f t="shared" si="23"/>
        <v>1548</v>
      </c>
      <c r="G66" s="9">
        <f t="shared" si="23"/>
        <v>77</v>
      </c>
      <c r="H66" s="16"/>
      <c r="I66" s="16"/>
      <c r="J66" s="16"/>
      <c r="K66" s="16"/>
      <c r="L66" s="16"/>
    </row>
    <row r="67" spans="1:12" s="1" customFormat="1" x14ac:dyDescent="0.25">
      <c r="A67" s="35" t="s">
        <v>32</v>
      </c>
      <c r="B67" s="35"/>
      <c r="C67" s="35"/>
      <c r="D67" s="39">
        <f>D69+D68</f>
        <v>1432</v>
      </c>
      <c r="E67" s="39">
        <f t="shared" ref="E67:G67" si="24">E69+E68</f>
        <v>1796</v>
      </c>
      <c r="F67" s="39">
        <f t="shared" si="24"/>
        <v>3185</v>
      </c>
      <c r="G67" s="39">
        <f t="shared" si="24"/>
        <v>3074</v>
      </c>
      <c r="H67" s="41"/>
      <c r="I67" s="41"/>
      <c r="J67" s="41"/>
      <c r="K67" s="41"/>
      <c r="L67" s="41"/>
    </row>
    <row r="68" spans="1:12" x14ac:dyDescent="0.25">
      <c r="A68" t="s">
        <v>36</v>
      </c>
      <c r="D68" s="9">
        <f>D13</f>
        <v>91</v>
      </c>
      <c r="E68" s="9">
        <f>E13</f>
        <v>159</v>
      </c>
      <c r="F68" s="9">
        <f>F13</f>
        <v>188</v>
      </c>
      <c r="G68" s="9">
        <f>G13</f>
        <v>180</v>
      </c>
      <c r="H68" s="44"/>
      <c r="I68" s="44"/>
      <c r="J68" s="44"/>
      <c r="K68" s="44"/>
      <c r="L68" s="44"/>
    </row>
    <row r="69" spans="1:12" s="1" customFormat="1" x14ac:dyDescent="0.25">
      <c r="A69" s="35" t="s">
        <v>29</v>
      </c>
      <c r="B69" s="35"/>
      <c r="C69" s="35">
        <v>1313</v>
      </c>
      <c r="D69" s="39">
        <v>1341</v>
      </c>
      <c r="E69" s="39">
        <v>1637</v>
      </c>
      <c r="F69" s="39">
        <v>2997</v>
      </c>
      <c r="G69" s="39">
        <v>2894</v>
      </c>
      <c r="H69" s="41"/>
      <c r="I69" s="41"/>
      <c r="J69" s="41"/>
      <c r="K69" s="41"/>
      <c r="L69" s="41"/>
    </row>
    <row r="70" spans="1:12" s="1" customFormat="1" x14ac:dyDescent="0.25">
      <c r="D70" s="8"/>
      <c r="E70" s="8"/>
      <c r="F70" s="8"/>
      <c r="G70" s="8"/>
    </row>
    <row r="71" spans="1:12" x14ac:dyDescent="0.25">
      <c r="A71" s="1" t="s">
        <v>38</v>
      </c>
      <c r="D71" s="11">
        <f>D68/D67</f>
        <v>6.3547486033519548E-2</v>
      </c>
      <c r="E71" s="11">
        <f t="shared" ref="E71:G71" si="25">E68/E67</f>
        <v>8.8530066815144762E-2</v>
      </c>
      <c r="F71" s="11">
        <f t="shared" si="25"/>
        <v>5.9026687598116169E-2</v>
      </c>
      <c r="G71" s="11">
        <f t="shared" si="25"/>
        <v>5.8555627846454128E-2</v>
      </c>
      <c r="H71" s="3"/>
      <c r="I71" s="3"/>
      <c r="J71" s="3"/>
      <c r="K71" s="3"/>
      <c r="L71" s="3"/>
    </row>
    <row r="72" spans="1:12" x14ac:dyDescent="0.25">
      <c r="A72" s="1"/>
      <c r="D72" s="9"/>
      <c r="E72" s="9"/>
      <c r="F72" s="9"/>
      <c r="G72" s="9"/>
    </row>
    <row r="73" spans="1:12" x14ac:dyDescent="0.25">
      <c r="A73" s="1" t="s">
        <v>27</v>
      </c>
      <c r="D73" s="9"/>
      <c r="E73" s="9"/>
      <c r="F73" s="9"/>
      <c r="G73" s="9"/>
    </row>
    <row r="74" spans="1:12" x14ac:dyDescent="0.25">
      <c r="A74" t="s">
        <v>9</v>
      </c>
      <c r="D74" s="9">
        <f>D25</f>
        <v>0</v>
      </c>
      <c r="E74" s="9">
        <f t="shared" ref="E74:G74" si="26">E25</f>
        <v>0</v>
      </c>
      <c r="F74" s="9">
        <f t="shared" si="26"/>
        <v>0</v>
      </c>
      <c r="G74" s="9">
        <f t="shared" si="26"/>
        <v>0</v>
      </c>
      <c r="H74" s="7"/>
      <c r="I74" s="7"/>
      <c r="J74" s="7"/>
      <c r="K74" s="7"/>
      <c r="L74" s="7"/>
    </row>
    <row r="75" spans="1:12" x14ac:dyDescent="0.25">
      <c r="A75" t="s">
        <v>10</v>
      </c>
      <c r="D75" s="9">
        <f>D28</f>
        <v>0</v>
      </c>
      <c r="E75" s="9">
        <f t="shared" ref="E75:G75" si="27">E28</f>
        <v>0</v>
      </c>
      <c r="F75" s="9">
        <f t="shared" si="27"/>
        <v>0</v>
      </c>
      <c r="G75" s="9">
        <f t="shared" si="27"/>
        <v>0</v>
      </c>
      <c r="H75" s="7"/>
      <c r="I75" s="7"/>
      <c r="J75" s="7"/>
      <c r="K75" s="7"/>
      <c r="L75" s="7"/>
    </row>
    <row r="76" spans="1:12" x14ac:dyDescent="0.25">
      <c r="A76" s="2" t="s">
        <v>11</v>
      </c>
      <c r="D76" s="9">
        <f>D31</f>
        <v>0</v>
      </c>
      <c r="E76" s="9">
        <f t="shared" ref="E76:G76" si="28">E31</f>
        <v>0</v>
      </c>
      <c r="F76" s="9">
        <f t="shared" si="28"/>
        <v>0</v>
      </c>
      <c r="G76" s="9">
        <f t="shared" si="28"/>
        <v>0</v>
      </c>
      <c r="H76" s="7"/>
      <c r="I76" s="7"/>
      <c r="J76" s="7"/>
      <c r="K76" s="7"/>
      <c r="L76" s="7"/>
    </row>
    <row r="77" spans="1:12" x14ac:dyDescent="0.25">
      <c r="A77" s="2" t="s">
        <v>12</v>
      </c>
      <c r="D77" s="9">
        <f>-D34</f>
        <v>0</v>
      </c>
      <c r="E77" s="9">
        <f t="shared" ref="E77:G77" si="29">-E34</f>
        <v>0</v>
      </c>
      <c r="F77" s="9">
        <f t="shared" si="29"/>
        <v>0</v>
      </c>
      <c r="G77" s="9">
        <f t="shared" si="29"/>
        <v>0</v>
      </c>
      <c r="H77" s="7"/>
      <c r="I77" s="7"/>
      <c r="J77" s="7"/>
      <c r="K77" s="7"/>
      <c r="L77" s="7"/>
    </row>
    <row r="78" spans="1:12" x14ac:dyDescent="0.25">
      <c r="A78" s="2" t="s">
        <v>14</v>
      </c>
      <c r="D78" s="9">
        <f>-D38</f>
        <v>0</v>
      </c>
      <c r="E78" s="9">
        <f t="shared" ref="E78:G78" si="30">-E38</f>
        <v>0</v>
      </c>
      <c r="F78" s="9">
        <f t="shared" si="30"/>
        <v>0</v>
      </c>
      <c r="G78" s="9">
        <f t="shared" si="30"/>
        <v>0</v>
      </c>
      <c r="H78" s="7"/>
      <c r="I78" s="7"/>
      <c r="J78" s="7"/>
      <c r="K78" s="7"/>
      <c r="L78" s="7"/>
    </row>
    <row r="79" spans="1:12" x14ac:dyDescent="0.25">
      <c r="A79" s="2" t="s">
        <v>15</v>
      </c>
      <c r="D79" s="9">
        <f>-D41</f>
        <v>0</v>
      </c>
      <c r="E79" s="9">
        <f t="shared" ref="E79:G79" si="31">-E41</f>
        <v>0</v>
      </c>
      <c r="F79" s="9">
        <f t="shared" si="31"/>
        <v>0</v>
      </c>
      <c r="G79" s="9">
        <f t="shared" si="31"/>
        <v>0</v>
      </c>
      <c r="H79" s="7"/>
      <c r="I79" s="7"/>
      <c r="J79" s="7"/>
      <c r="K79" s="7"/>
      <c r="L79" s="7"/>
    </row>
    <row r="80" spans="1:12" s="1" customFormat="1" x14ac:dyDescent="0.25">
      <c r="A80" s="35" t="s">
        <v>33</v>
      </c>
      <c r="B80" s="35"/>
      <c r="C80" s="35"/>
      <c r="D80" s="42">
        <f>SUM(D74:D79)</f>
        <v>0</v>
      </c>
      <c r="E80" s="42">
        <f t="shared" ref="E80:G80" si="32">SUM(E74:E79)</f>
        <v>0</v>
      </c>
      <c r="F80" s="42">
        <f t="shared" si="32"/>
        <v>0</v>
      </c>
      <c r="G80" s="42">
        <f t="shared" si="32"/>
        <v>0</v>
      </c>
      <c r="H80" s="43"/>
      <c r="I80" s="43"/>
      <c r="J80" s="43"/>
      <c r="K80" s="43"/>
      <c r="L80" s="43"/>
    </row>
    <row r="81" spans="1:12" s="1" customFormat="1" x14ac:dyDescent="0.25">
      <c r="A81" s="35" t="s">
        <v>34</v>
      </c>
      <c r="B81" s="35"/>
      <c r="C81" s="35"/>
      <c r="D81" s="39"/>
      <c r="E81" s="42">
        <f>-(E80-D80)</f>
        <v>0</v>
      </c>
      <c r="F81" s="42">
        <f t="shared" ref="F81:G81" si="33">-(F80-E80)</f>
        <v>0</v>
      </c>
      <c r="G81" s="42">
        <f t="shared" si="33"/>
        <v>0</v>
      </c>
      <c r="H81" s="43"/>
      <c r="I81" s="43"/>
      <c r="J81" s="43"/>
      <c r="K81" s="43"/>
      <c r="L81" s="43"/>
    </row>
    <row r="82" spans="1:12" x14ac:dyDescent="0.25">
      <c r="D82" s="9"/>
      <c r="E82" s="9"/>
      <c r="F82" s="9"/>
      <c r="G82" s="9"/>
    </row>
    <row r="83" spans="1:12" x14ac:dyDescent="0.25">
      <c r="D83" s="9"/>
      <c r="E83" s="9"/>
      <c r="F83" s="9"/>
      <c r="G83" s="9"/>
    </row>
    <row r="84" spans="1:12" x14ac:dyDescent="0.25">
      <c r="D84" s="9"/>
      <c r="E84" s="9"/>
      <c r="F84" s="9"/>
      <c r="G84" s="9"/>
    </row>
    <row r="85" spans="1:12" x14ac:dyDescent="0.25">
      <c r="D85" s="9"/>
      <c r="E85" s="9"/>
      <c r="F85" s="9"/>
      <c r="G85" s="9"/>
    </row>
    <row r="86" spans="1:12" x14ac:dyDescent="0.25">
      <c r="D86" s="9"/>
      <c r="E86" s="9"/>
      <c r="F86" s="9"/>
      <c r="G86" s="9"/>
    </row>
    <row r="87" spans="1:12" x14ac:dyDescent="0.25">
      <c r="D87" s="9"/>
      <c r="E87" s="9"/>
      <c r="F87" s="9"/>
      <c r="G87" s="9"/>
    </row>
  </sheetData>
  <mergeCells count="2">
    <mergeCell ref="D1:G1"/>
    <mergeCell ref="H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C6C4-D6F1-4D3E-9007-DE0A7E8D5EDC}">
  <dimension ref="A1:N25"/>
  <sheetViews>
    <sheetView showGridLines="0" tabSelected="1" workbookViewId="0">
      <selection activeCell="L9" sqref="L9"/>
    </sheetView>
  </sheetViews>
  <sheetFormatPr defaultRowHeight="15" x14ac:dyDescent="0.25"/>
  <sheetData>
    <row r="1" spans="1:14" x14ac:dyDescent="0.25">
      <c r="A1" s="1" t="s">
        <v>16</v>
      </c>
      <c r="D1" s="78" t="s">
        <v>17</v>
      </c>
      <c r="E1" s="78"/>
      <c r="F1" s="78"/>
      <c r="G1" s="78"/>
      <c r="H1" s="79" t="s">
        <v>18</v>
      </c>
      <c r="I1" s="79"/>
      <c r="J1" s="79"/>
      <c r="K1" s="79"/>
      <c r="L1" s="79"/>
    </row>
    <row r="2" spans="1:14" x14ac:dyDescent="0.25">
      <c r="D2" s="8">
        <v>2017</v>
      </c>
      <c r="E2" s="8">
        <f>D2+1</f>
        <v>2018</v>
      </c>
      <c r="F2" s="8">
        <f t="shared" ref="F2:G2" si="0">E2+1</f>
        <v>2019</v>
      </c>
      <c r="G2" s="8">
        <f t="shared" si="0"/>
        <v>2020</v>
      </c>
      <c r="H2" s="1">
        <f>G2+1</f>
        <v>2021</v>
      </c>
      <c r="I2" s="1">
        <f t="shared" ref="I2:L2" si="1">H2+1</f>
        <v>2022</v>
      </c>
      <c r="J2" s="1">
        <f t="shared" si="1"/>
        <v>2023</v>
      </c>
      <c r="K2" s="1">
        <f t="shared" si="1"/>
        <v>2024</v>
      </c>
      <c r="L2" s="1">
        <f t="shared" si="1"/>
        <v>2025</v>
      </c>
    </row>
    <row r="3" spans="1:14" x14ac:dyDescent="0.25">
      <c r="A3" s="65" t="s">
        <v>101</v>
      </c>
    </row>
    <row r="4" spans="1:14" s="1" customFormat="1" x14ac:dyDescent="0.25">
      <c r="A4" s="35" t="s">
        <v>99</v>
      </c>
      <c r="B4" s="35"/>
      <c r="C4" s="35"/>
      <c r="D4" s="83">
        <v>6570</v>
      </c>
      <c r="E4" s="83">
        <v>8306</v>
      </c>
      <c r="F4" s="83">
        <v>12103</v>
      </c>
      <c r="G4" s="83">
        <v>26717</v>
      </c>
      <c r="H4" s="83">
        <f>G4*(1+10%)</f>
        <v>29388.7</v>
      </c>
      <c r="I4" s="83">
        <f>H4*(1+5%)</f>
        <v>30858.135000000002</v>
      </c>
      <c r="J4" s="83">
        <f t="shared" ref="J4:L4" si="2">I4*(1+5%)</f>
        <v>32401.041750000004</v>
      </c>
      <c r="K4" s="83">
        <f t="shared" si="2"/>
        <v>34021.093837500004</v>
      </c>
      <c r="L4" s="83">
        <f t="shared" si="2"/>
        <v>35722.148529375008</v>
      </c>
    </row>
    <row r="5" spans="1:14" x14ac:dyDescent="0.25">
      <c r="A5" s="2"/>
      <c r="D5" s="9"/>
      <c r="E5" s="9"/>
      <c r="F5" s="9"/>
      <c r="G5" s="9"/>
      <c r="H5" s="16"/>
      <c r="I5" s="16"/>
      <c r="J5" s="16"/>
      <c r="K5" s="16"/>
      <c r="L5" s="16"/>
    </row>
    <row r="6" spans="1:14" x14ac:dyDescent="0.25">
      <c r="A6" s="65" t="s">
        <v>98</v>
      </c>
      <c r="D6" s="9"/>
      <c r="E6" s="9"/>
      <c r="F6" s="9"/>
      <c r="G6" s="9"/>
      <c r="H6" s="16"/>
      <c r="I6" s="16"/>
      <c r="J6" s="16"/>
      <c r="K6" s="16"/>
      <c r="L6" s="16"/>
    </row>
    <row r="7" spans="1:14" s="1" customFormat="1" x14ac:dyDescent="0.25">
      <c r="A7" s="35" t="s">
        <v>100</v>
      </c>
      <c r="B7" s="35"/>
      <c r="C7" s="35"/>
      <c r="D7" s="83">
        <v>7674</v>
      </c>
      <c r="E7" s="83">
        <v>9992</v>
      </c>
      <c r="F7" s="83">
        <v>10667</v>
      </c>
      <c r="G7" s="83">
        <v>14248</v>
      </c>
      <c r="H7" s="83">
        <f>G7*(1+10%)</f>
        <v>15672.800000000001</v>
      </c>
      <c r="I7" s="83">
        <f t="shared" ref="I7:L7" si="3">H7*(1+10%)</f>
        <v>17240.080000000002</v>
      </c>
      <c r="J7" s="83">
        <f t="shared" si="3"/>
        <v>18964.088000000003</v>
      </c>
      <c r="K7" s="83">
        <f t="shared" si="3"/>
        <v>20860.496800000004</v>
      </c>
      <c r="L7" s="83">
        <f t="shared" si="3"/>
        <v>22946.546480000008</v>
      </c>
    </row>
    <row r="8" spans="1:14" s="1" customFormat="1" x14ac:dyDescent="0.25">
      <c r="D8" s="8"/>
      <c r="E8" s="8"/>
      <c r="F8" s="8"/>
      <c r="G8" s="8"/>
    </row>
    <row r="9" spans="1:14" x14ac:dyDescent="0.25">
      <c r="A9" s="35" t="s">
        <v>33</v>
      </c>
      <c r="B9" s="35"/>
      <c r="C9" s="35"/>
      <c r="D9" s="42">
        <f>D4-D7</f>
        <v>-1104</v>
      </c>
      <c r="E9" s="42">
        <f>E4-E7</f>
        <v>-1686</v>
      </c>
      <c r="F9" s="42">
        <f>F4-F7</f>
        <v>1436</v>
      </c>
      <c r="G9" s="42">
        <f t="shared" ref="G9:L9" si="4">G4-G7</f>
        <v>12469</v>
      </c>
      <c r="H9" s="42">
        <f t="shared" si="4"/>
        <v>13715.9</v>
      </c>
      <c r="I9" s="42">
        <f t="shared" si="4"/>
        <v>13618.055</v>
      </c>
      <c r="J9" s="42">
        <f t="shared" si="4"/>
        <v>13436.953750000001</v>
      </c>
      <c r="K9" s="42">
        <f t="shared" si="4"/>
        <v>13160.5970375</v>
      </c>
      <c r="L9" s="42">
        <f t="shared" si="4"/>
        <v>12775.602049375</v>
      </c>
    </row>
    <row r="10" spans="1:14" x14ac:dyDescent="0.25">
      <c r="A10" s="61" t="s">
        <v>34</v>
      </c>
      <c r="B10" s="61"/>
      <c r="C10" s="61"/>
      <c r="D10" s="62"/>
      <c r="E10" s="63">
        <f>-(E9-D9)</f>
        <v>582</v>
      </c>
      <c r="F10" s="63">
        <f t="shared" ref="F10:G10" si="5">-(F9-E9)</f>
        <v>-3122</v>
      </c>
      <c r="G10" s="75">
        <f t="shared" si="5"/>
        <v>-11033</v>
      </c>
      <c r="H10" s="75">
        <f t="shared" ref="H10" si="6">-(H9-G9)</f>
        <v>-1246.8999999999996</v>
      </c>
      <c r="I10" s="75">
        <f t="shared" ref="I10" si="7">-(I9-H9)</f>
        <v>97.844999999999345</v>
      </c>
      <c r="J10" s="75">
        <f t="shared" ref="J10" si="8">-(J9-I9)</f>
        <v>181.10124999999971</v>
      </c>
      <c r="K10" s="75">
        <f t="shared" ref="K10" si="9">-(K9-J9)</f>
        <v>276.35671250000087</v>
      </c>
      <c r="L10" s="75">
        <f t="shared" ref="L10" si="10">-(L9-K9)</f>
        <v>384.99498812499951</v>
      </c>
    </row>
    <row r="11" spans="1:14" x14ac:dyDescent="0.25">
      <c r="D11" s="67"/>
      <c r="E11" s="67"/>
      <c r="F11" s="67"/>
      <c r="G11" s="67"/>
    </row>
    <row r="12" spans="1:14" x14ac:dyDescent="0.25">
      <c r="A12" s="2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2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2"/>
      <c r="D14" s="3"/>
      <c r="E14" s="3"/>
      <c r="F14" s="3"/>
      <c r="G14" s="3"/>
      <c r="H14" s="3"/>
      <c r="I14" s="3"/>
      <c r="J14" s="3"/>
      <c r="K14" s="3"/>
      <c r="L14" s="3"/>
      <c r="M14" s="16"/>
      <c r="N14" s="16"/>
    </row>
    <row r="15" spans="1:14" x14ac:dyDescent="0.25">
      <c r="A15" s="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2"/>
      <c r="D16" s="3"/>
      <c r="E16" s="3"/>
      <c r="F16" s="3"/>
      <c r="G16" s="3"/>
      <c r="H16" s="3"/>
      <c r="I16" s="3"/>
      <c r="J16" s="3"/>
      <c r="K16" s="3"/>
      <c r="L16" s="3"/>
      <c r="M16" s="16"/>
      <c r="N16" s="16"/>
    </row>
    <row r="17" spans="1:14" x14ac:dyDescent="0.25">
      <c r="A17" s="2"/>
      <c r="D17" s="53"/>
      <c r="E17" s="53"/>
      <c r="F17" s="53"/>
      <c r="G17" s="53"/>
      <c r="H17" s="3"/>
      <c r="I17" s="3"/>
      <c r="J17" s="3"/>
      <c r="K17" s="3"/>
      <c r="L17" s="3"/>
      <c r="M17" s="16"/>
      <c r="N17" s="16"/>
    </row>
    <row r="18" spans="1:14" x14ac:dyDescent="0.25">
      <c r="D18" s="74"/>
      <c r="E18" s="74"/>
      <c r="F18" s="74"/>
      <c r="G18" s="74"/>
      <c r="H18" s="16"/>
      <c r="I18" s="16"/>
      <c r="J18" s="16"/>
      <c r="K18" s="16"/>
      <c r="L18" s="16"/>
      <c r="M18" s="16"/>
      <c r="N18" s="16"/>
    </row>
    <row r="19" spans="1:14" x14ac:dyDescent="0.25">
      <c r="D19" s="67"/>
      <c r="E19" s="67"/>
      <c r="F19" s="67"/>
      <c r="G19" s="67"/>
    </row>
    <row r="20" spans="1:14" x14ac:dyDescent="0.25">
      <c r="D20" s="67"/>
      <c r="E20" s="67"/>
      <c r="F20" s="67"/>
      <c r="G20" s="67"/>
    </row>
    <row r="21" spans="1:14" x14ac:dyDescent="0.25">
      <c r="D21" s="67"/>
      <c r="E21" s="67"/>
      <c r="F21" s="67"/>
      <c r="G21" s="67"/>
    </row>
    <row r="22" spans="1:14" x14ac:dyDescent="0.25">
      <c r="D22" s="67"/>
      <c r="E22" s="67"/>
      <c r="F22" s="67"/>
      <c r="G22" s="67"/>
    </row>
    <row r="23" spans="1:14" x14ac:dyDescent="0.25">
      <c r="D23" s="67"/>
      <c r="E23" s="67"/>
      <c r="F23" s="67"/>
      <c r="G23" s="67"/>
    </row>
    <row r="24" spans="1:14" x14ac:dyDescent="0.25">
      <c r="D24" s="67"/>
      <c r="E24" s="67"/>
      <c r="F24" s="67"/>
      <c r="G24" s="67"/>
    </row>
    <row r="25" spans="1:14" x14ac:dyDescent="0.25">
      <c r="D25" s="67"/>
      <c r="E25" s="67"/>
      <c r="F25" s="67"/>
      <c r="G25" s="67"/>
    </row>
  </sheetData>
  <mergeCells count="2">
    <mergeCell ref="D1:G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0375-8992-4FCF-AF5A-8E5A837C79B3}">
  <dimension ref="A1:L9"/>
  <sheetViews>
    <sheetView showGridLines="0" topLeftCell="H1" workbookViewId="0">
      <selection activeCell="M8" sqref="M8"/>
    </sheetView>
  </sheetViews>
  <sheetFormatPr defaultRowHeight="15" x14ac:dyDescent="0.25"/>
  <cols>
    <col min="3" max="3" width="11.28515625" bestFit="1" customWidth="1"/>
    <col min="4" max="12" width="11.5703125" bestFit="1" customWidth="1"/>
  </cols>
  <sheetData>
    <row r="1" spans="1:12" x14ac:dyDescent="0.25">
      <c r="A1" s="1" t="s">
        <v>16</v>
      </c>
      <c r="D1" s="78" t="s">
        <v>17</v>
      </c>
      <c r="E1" s="78"/>
      <c r="F1" s="78"/>
      <c r="G1" s="78"/>
      <c r="H1" s="79" t="s">
        <v>18</v>
      </c>
      <c r="I1" s="79"/>
      <c r="J1" s="79"/>
      <c r="K1" s="79"/>
      <c r="L1" s="79"/>
    </row>
    <row r="2" spans="1:12" x14ac:dyDescent="0.25">
      <c r="A2" s="1" t="s">
        <v>25</v>
      </c>
      <c r="D2" s="8">
        <v>2017</v>
      </c>
      <c r="E2" s="8">
        <f>D2+1</f>
        <v>2018</v>
      </c>
      <c r="F2" s="8">
        <f t="shared" ref="F2:G2" si="0">E2+1</f>
        <v>2019</v>
      </c>
      <c r="G2" s="8">
        <f t="shared" si="0"/>
        <v>2020</v>
      </c>
      <c r="H2" s="1">
        <f>G2+1</f>
        <v>2021</v>
      </c>
      <c r="I2" s="1">
        <f t="shared" ref="I2:L2" si="1">H2+1</f>
        <v>2022</v>
      </c>
      <c r="J2" s="1">
        <f t="shared" si="1"/>
        <v>2023</v>
      </c>
      <c r="K2" s="1">
        <f t="shared" si="1"/>
        <v>2024</v>
      </c>
      <c r="L2" s="1">
        <f t="shared" si="1"/>
        <v>2025</v>
      </c>
    </row>
    <row r="3" spans="1:12" x14ac:dyDescent="0.25">
      <c r="A3" s="1"/>
      <c r="D3" s="8"/>
      <c r="E3" s="8"/>
      <c r="F3" s="8"/>
      <c r="G3" s="8"/>
      <c r="H3" s="1"/>
      <c r="I3" s="1"/>
      <c r="J3" s="1"/>
      <c r="K3" s="1"/>
      <c r="L3" s="1"/>
    </row>
    <row r="4" spans="1:12" x14ac:dyDescent="0.25">
      <c r="A4" t="s">
        <v>28</v>
      </c>
      <c r="D4" s="86">
        <f>C6</f>
        <v>12601</v>
      </c>
      <c r="E4" s="86">
        <f t="shared" ref="E4:G4" si="2">D6</f>
        <v>12604</v>
      </c>
      <c r="F4" s="86">
        <f t="shared" si="2"/>
        <v>15374</v>
      </c>
      <c r="G4" s="86">
        <f t="shared" si="2"/>
        <v>17190</v>
      </c>
      <c r="H4" s="86">
        <f>G6</f>
        <v>8748</v>
      </c>
      <c r="I4" s="86">
        <f t="shared" ref="I4:L4" si="3">H6</f>
        <v>10566</v>
      </c>
      <c r="J4" s="86">
        <f t="shared" si="3"/>
        <v>12501</v>
      </c>
      <c r="K4" s="86">
        <f t="shared" si="3"/>
        <v>14907</v>
      </c>
      <c r="L4" s="86">
        <f t="shared" si="3"/>
        <v>16758</v>
      </c>
    </row>
    <row r="5" spans="1:12" x14ac:dyDescent="0.25">
      <c r="A5" t="s">
        <v>106</v>
      </c>
      <c r="D5" s="86">
        <f>D6-D4</f>
        <v>3</v>
      </c>
      <c r="E5" s="86">
        <f t="shared" ref="E5:G5" si="4">E6-E4</f>
        <v>2770</v>
      </c>
      <c r="F5" s="86">
        <f t="shared" si="4"/>
        <v>1816</v>
      </c>
      <c r="G5" s="86">
        <f t="shared" si="4"/>
        <v>-8442</v>
      </c>
      <c r="H5" s="87">
        <v>1818</v>
      </c>
      <c r="I5" s="87">
        <v>1935</v>
      </c>
      <c r="J5" s="87">
        <v>2406</v>
      </c>
      <c r="K5" s="87">
        <v>1851</v>
      </c>
      <c r="L5" s="87">
        <v>1979</v>
      </c>
    </row>
    <row r="6" spans="1:12" x14ac:dyDescent="0.25">
      <c r="A6" s="35" t="s">
        <v>29</v>
      </c>
      <c r="B6" s="35"/>
      <c r="C6" s="85">
        <f>796+9415+2390</f>
        <v>12601</v>
      </c>
      <c r="D6" s="88">
        <f>SUM(9418, 796, 2390)</f>
        <v>12604</v>
      </c>
      <c r="E6" s="88">
        <f>SUM(9403, 2567, 3404)</f>
        <v>15374</v>
      </c>
      <c r="F6" s="88">
        <f>SUM(11634,1785, 3771)</f>
        <v>17190</v>
      </c>
      <c r="G6" s="88">
        <f>SUM(6051, 2132, 9,556)</f>
        <v>8748</v>
      </c>
      <c r="H6" s="89">
        <f>H4+H5</f>
        <v>10566</v>
      </c>
      <c r="I6" s="89">
        <f t="shared" ref="I6:L6" si="5">I4+I5</f>
        <v>12501</v>
      </c>
      <c r="J6" s="89">
        <f t="shared" si="5"/>
        <v>14907</v>
      </c>
      <c r="K6" s="89">
        <f t="shared" si="5"/>
        <v>16758</v>
      </c>
      <c r="L6" s="89">
        <f t="shared" si="5"/>
        <v>18737</v>
      </c>
    </row>
    <row r="7" spans="1:12" x14ac:dyDescent="0.25">
      <c r="D7" s="87"/>
      <c r="E7" s="87"/>
      <c r="F7" s="87"/>
      <c r="G7" s="87"/>
      <c r="H7" s="87"/>
      <c r="I7" s="87"/>
      <c r="J7" s="87"/>
      <c r="K7" s="87"/>
      <c r="L7" s="87"/>
    </row>
    <row r="8" spans="1:12" x14ac:dyDescent="0.25">
      <c r="A8" t="s">
        <v>24</v>
      </c>
      <c r="D8" s="86">
        <v>102</v>
      </c>
      <c r="E8" s="86">
        <v>143</v>
      </c>
      <c r="F8" s="86">
        <v>145</v>
      </c>
      <c r="G8" s="86">
        <v>164</v>
      </c>
      <c r="H8" s="87">
        <f>H9*H4</f>
        <v>83.459685863874341</v>
      </c>
      <c r="I8" s="87">
        <f t="shared" ref="I8:L8" si="6">I9*I4</f>
        <v>100.8041884816754</v>
      </c>
      <c r="J8" s="87">
        <f t="shared" si="6"/>
        <v>119.26492146596858</v>
      </c>
      <c r="K8" s="87">
        <f t="shared" si="6"/>
        <v>142.21919720767889</v>
      </c>
      <c r="L8" s="87">
        <f t="shared" si="6"/>
        <v>159.87853403141361</v>
      </c>
    </row>
    <row r="9" spans="1:12" x14ac:dyDescent="0.25">
      <c r="A9" t="s">
        <v>35</v>
      </c>
      <c r="D9" s="10">
        <f>D8/D4</f>
        <v>8.094595667010554E-3</v>
      </c>
      <c r="E9" s="10">
        <f t="shared" ref="E9:G9" si="7">E8/E4</f>
        <v>1.1345604569977784E-2</v>
      </c>
      <c r="F9" s="10">
        <f t="shared" si="7"/>
        <v>9.4315077403408359E-3</v>
      </c>
      <c r="G9" s="10">
        <f t="shared" si="7"/>
        <v>9.54043048283886E-3</v>
      </c>
      <c r="H9" s="6">
        <f>G9</f>
        <v>9.54043048283886E-3</v>
      </c>
      <c r="I9" s="6">
        <f t="shared" ref="I9:L9" si="8">H9</f>
        <v>9.54043048283886E-3</v>
      </c>
      <c r="J9" s="6">
        <f t="shared" si="8"/>
        <v>9.54043048283886E-3</v>
      </c>
      <c r="K9" s="6">
        <f t="shared" si="8"/>
        <v>9.54043048283886E-3</v>
      </c>
      <c r="L9" s="6">
        <f t="shared" si="8"/>
        <v>9.54043048283886E-3</v>
      </c>
    </row>
  </sheetData>
  <mergeCells count="2">
    <mergeCell ref="D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9A60-DDFD-46B3-BBA2-FEEE4A15A882}">
  <dimension ref="A1:L23"/>
  <sheetViews>
    <sheetView showGridLines="0" workbookViewId="0">
      <selection activeCell="H19" sqref="H19:L19"/>
    </sheetView>
  </sheetViews>
  <sheetFormatPr defaultRowHeight="15" x14ac:dyDescent="0.25"/>
  <sheetData>
    <row r="1" spans="1:12" x14ac:dyDescent="0.25">
      <c r="A1" s="1" t="s">
        <v>16</v>
      </c>
      <c r="D1" s="78" t="s">
        <v>17</v>
      </c>
      <c r="E1" s="78"/>
      <c r="F1" s="78"/>
      <c r="G1" s="78"/>
      <c r="H1" s="79" t="s">
        <v>18</v>
      </c>
      <c r="I1" s="79"/>
      <c r="J1" s="79"/>
      <c r="K1" s="79"/>
      <c r="L1" s="79"/>
    </row>
    <row r="2" spans="1:12" x14ac:dyDescent="0.25">
      <c r="D2" s="8">
        <v>2017</v>
      </c>
      <c r="E2" s="8">
        <f>D2+1</f>
        <v>2018</v>
      </c>
      <c r="F2" s="8">
        <f t="shared" ref="F2:G2" si="0">E2+1</f>
        <v>2019</v>
      </c>
      <c r="G2" s="8">
        <f t="shared" si="0"/>
        <v>2020</v>
      </c>
      <c r="H2" s="1">
        <f>G2+1</f>
        <v>2021</v>
      </c>
      <c r="I2" s="1">
        <f t="shared" ref="I2:L2" si="1">H2+1</f>
        <v>2022</v>
      </c>
      <c r="J2" s="1">
        <f t="shared" si="1"/>
        <v>2023</v>
      </c>
      <c r="K2" s="1">
        <f t="shared" si="1"/>
        <v>2024</v>
      </c>
      <c r="L2" s="1">
        <f t="shared" si="1"/>
        <v>2025</v>
      </c>
    </row>
    <row r="4" spans="1:12" x14ac:dyDescent="0.25">
      <c r="A4" s="1" t="s">
        <v>26</v>
      </c>
    </row>
    <row r="5" spans="1:12" x14ac:dyDescent="0.25">
      <c r="A5" t="s">
        <v>28</v>
      </c>
      <c r="D5" s="9">
        <f>C9</f>
        <v>5982</v>
      </c>
      <c r="E5" s="9">
        <f t="shared" ref="E5:L5" si="2">D9</f>
        <v>10027</v>
      </c>
      <c r="F5" s="9">
        <f t="shared" si="2"/>
        <v>11330</v>
      </c>
      <c r="G5" s="9">
        <f t="shared" si="2"/>
        <v>10396</v>
      </c>
      <c r="H5" s="7">
        <f t="shared" si="2"/>
        <v>12747</v>
      </c>
      <c r="I5" s="7">
        <f>H9</f>
        <v>16102.376869871929</v>
      </c>
      <c r="J5" s="7">
        <f>I9</f>
        <v>19952.434345558708</v>
      </c>
      <c r="K5" s="7">
        <f>J9</f>
        <v>23942.921214670445</v>
      </c>
      <c r="L5" s="7">
        <f>K9</f>
        <v>29210.363881897945</v>
      </c>
    </row>
    <row r="6" spans="1:12" x14ac:dyDescent="0.25">
      <c r="A6" t="s">
        <v>31</v>
      </c>
      <c r="D6" s="81">
        <f>D7-D5</f>
        <v>5590</v>
      </c>
      <c r="E6" s="81">
        <f t="shared" ref="E6:G6" si="3">E7-E5</f>
        <v>3045</v>
      </c>
      <c r="F6" s="81">
        <f t="shared" si="3"/>
        <v>1032</v>
      </c>
      <c r="G6" s="81">
        <f t="shared" si="3"/>
        <v>4493</v>
      </c>
      <c r="H6" s="19">
        <f>H7-H5</f>
        <v>6029.4986360159492</v>
      </c>
      <c r="I6" s="19">
        <f t="shared" ref="I6:L6" si="4">I7-I5</f>
        <v>7163.5582962300759</v>
      </c>
      <c r="J6" s="19">
        <f t="shared" si="4"/>
        <v>7966.6878537636949</v>
      </c>
      <c r="K6" s="19">
        <f t="shared" si="4"/>
        <v>10118.407868502887</v>
      </c>
      <c r="L6" s="19">
        <f t="shared" si="4"/>
        <v>13366.29747206872</v>
      </c>
    </row>
    <row r="7" spans="1:12" x14ac:dyDescent="0.25">
      <c r="A7" s="35" t="s">
        <v>32</v>
      </c>
      <c r="B7" s="35"/>
      <c r="C7" s="35"/>
      <c r="D7" s="83">
        <f>D9+D8</f>
        <v>11572</v>
      </c>
      <c r="E7" s="83">
        <f t="shared" ref="E7:G7" si="5">E9+E8</f>
        <v>13072</v>
      </c>
      <c r="F7" s="83">
        <f t="shared" si="5"/>
        <v>12362</v>
      </c>
      <c r="G7" s="83">
        <f t="shared" si="5"/>
        <v>14889</v>
      </c>
      <c r="H7" s="71">
        <f>'Income Statement'!H3/'Fixed asset Schedule'!H13</f>
        <v>18776.498636015949</v>
      </c>
      <c r="I7" s="71">
        <f>'Income Statement'!I3/'Fixed asset Schedule'!I13</f>
        <v>23265.935166102005</v>
      </c>
      <c r="J7" s="71">
        <f>'Income Statement'!J3/'Fixed asset Schedule'!J13</f>
        <v>27919.122199322403</v>
      </c>
      <c r="K7" s="71">
        <f>'Income Statement'!K3/'Fixed asset Schedule'!K13</f>
        <v>34061.329083173332</v>
      </c>
      <c r="L7" s="71">
        <f>'Income Statement'!L3/'Fixed asset Schedule'!L13</f>
        <v>42576.661353966665</v>
      </c>
    </row>
    <row r="8" spans="1:12" x14ac:dyDescent="0.25">
      <c r="A8" t="s">
        <v>30</v>
      </c>
      <c r="D8" s="9">
        <f>'Income Statement'!D14</f>
        <v>1545</v>
      </c>
      <c r="E8" s="9">
        <f>'Income Statement'!E14</f>
        <v>1742</v>
      </c>
      <c r="F8" s="9">
        <f>'Income Statement'!F14</f>
        <v>1966</v>
      </c>
      <c r="G8" s="9">
        <f>'Income Statement'!G14</f>
        <v>2142</v>
      </c>
      <c r="H8" s="19">
        <f>H7*H11</f>
        <v>2674.1217661440205</v>
      </c>
      <c r="I8" s="19">
        <f t="shared" ref="I8:J8" si="6">I7*I11</f>
        <v>3313.5008205432982</v>
      </c>
      <c r="J8" s="19">
        <f t="shared" si="6"/>
        <v>3976.2009846519577</v>
      </c>
      <c r="K8" s="19">
        <f>K7*K11</f>
        <v>4850.9652012753886</v>
      </c>
      <c r="L8" s="19">
        <f t="shared" ref="L8" si="7">L7*L11</f>
        <v>6063.7065015942353</v>
      </c>
    </row>
    <row r="9" spans="1:12" x14ac:dyDescent="0.25">
      <c r="A9" s="35" t="s">
        <v>29</v>
      </c>
      <c r="B9" s="35"/>
      <c r="C9" s="35">
        <f>5982</f>
        <v>5982</v>
      </c>
      <c r="D9" s="83">
        <v>10027</v>
      </c>
      <c r="E9" s="83">
        <v>11330</v>
      </c>
      <c r="F9" s="83">
        <v>10396</v>
      </c>
      <c r="G9" s="83">
        <v>12747</v>
      </c>
      <c r="H9" s="71">
        <f>H7-H8</f>
        <v>16102.376869871929</v>
      </c>
      <c r="I9" s="71">
        <f t="shared" ref="I9:L9" si="8">I7-I8</f>
        <v>19952.434345558708</v>
      </c>
      <c r="J9" s="71">
        <f t="shared" si="8"/>
        <v>23942.921214670445</v>
      </c>
      <c r="K9" s="71">
        <f t="shared" si="8"/>
        <v>29210.363881897945</v>
      </c>
      <c r="L9" s="71">
        <f t="shared" si="8"/>
        <v>36512.95485237243</v>
      </c>
    </row>
    <row r="10" spans="1:12" x14ac:dyDescent="0.25">
      <c r="D10" s="9"/>
      <c r="E10" s="9"/>
      <c r="F10" s="9"/>
      <c r="G10" s="9"/>
    </row>
    <row r="11" spans="1:12" x14ac:dyDescent="0.25">
      <c r="A11" s="1" t="s">
        <v>37</v>
      </c>
      <c r="D11" s="11">
        <f>D8/D7</f>
        <v>0.13351192533702039</v>
      </c>
      <c r="E11" s="11">
        <f t="shared" ref="E11:G11" si="9">E8/E7</f>
        <v>0.13326193390452876</v>
      </c>
      <c r="F11" s="11">
        <f t="shared" si="9"/>
        <v>0.15903575473224396</v>
      </c>
      <c r="G11" s="11">
        <f t="shared" si="9"/>
        <v>0.14386459802538787</v>
      </c>
      <c r="H11" s="5">
        <f>AVERAGE($D$11:$G$11)</f>
        <v>0.14241855299979525</v>
      </c>
      <c r="I11" s="5">
        <f t="shared" ref="I11:L11" si="10">AVERAGE($D$11:$G$11)</f>
        <v>0.14241855299979525</v>
      </c>
      <c r="J11" s="5">
        <f t="shared" si="10"/>
        <v>0.14241855299979525</v>
      </c>
      <c r="K11" s="5">
        <f t="shared" si="10"/>
        <v>0.14241855299979525</v>
      </c>
      <c r="L11" s="5">
        <f t="shared" si="10"/>
        <v>0.14241855299979525</v>
      </c>
    </row>
    <row r="12" spans="1:12" x14ac:dyDescent="0.25">
      <c r="A12" s="1"/>
      <c r="D12" s="11"/>
      <c r="E12" s="11"/>
      <c r="F12" s="11"/>
      <c r="G12" s="11"/>
    </row>
    <row r="13" spans="1:12" x14ac:dyDescent="0.25">
      <c r="A13" s="1" t="s">
        <v>39</v>
      </c>
      <c r="D13" s="13">
        <f>'Income Statement'!D3/'Fixed asset Schedule'!D7</f>
        <v>1.0160732803318355</v>
      </c>
      <c r="E13" s="13">
        <f>'Income Statement'!E3/'Fixed asset Schedule'!E7</f>
        <v>1.6417533659730723</v>
      </c>
      <c r="F13" s="13">
        <f>'Income Statement'!F3/'Fixed asset Schedule'!F7</f>
        <v>1.9881896133311763</v>
      </c>
      <c r="G13" s="13">
        <f>'Income Statement'!G3/'Fixed asset Schedule'!G7</f>
        <v>2.1180737457183154</v>
      </c>
      <c r="H13" s="20">
        <f>G13</f>
        <v>2.1180737457183154</v>
      </c>
      <c r="I13" s="20">
        <f t="shared" ref="I13:L13" si="11">H13</f>
        <v>2.1180737457183154</v>
      </c>
      <c r="J13" s="20">
        <f t="shared" si="11"/>
        <v>2.1180737457183154</v>
      </c>
      <c r="K13" s="20">
        <f t="shared" si="11"/>
        <v>2.1180737457183154</v>
      </c>
      <c r="L13" s="20">
        <f t="shared" si="11"/>
        <v>2.1180737457183154</v>
      </c>
    </row>
    <row r="14" spans="1:12" x14ac:dyDescent="0.25">
      <c r="A14" s="1"/>
      <c r="D14" s="9"/>
      <c r="E14" s="9"/>
      <c r="F14" s="9"/>
      <c r="G14" s="9"/>
    </row>
    <row r="15" spans="1:12" x14ac:dyDescent="0.25">
      <c r="A15" s="1" t="s">
        <v>40</v>
      </c>
      <c r="D15" s="9"/>
      <c r="E15" s="9"/>
      <c r="F15" s="9"/>
      <c r="G15" s="9"/>
      <c r="H15" s="16"/>
      <c r="I15" s="16"/>
      <c r="J15" s="16"/>
      <c r="K15" s="16"/>
      <c r="L15" s="16"/>
    </row>
    <row r="16" spans="1:12" x14ac:dyDescent="0.25">
      <c r="A16" t="s">
        <v>28</v>
      </c>
      <c r="D16" s="9">
        <f>C20</f>
        <v>376</v>
      </c>
      <c r="E16" s="9">
        <f t="shared" ref="E16:G16" si="12">D20</f>
        <v>361</v>
      </c>
      <c r="F16" s="9">
        <f t="shared" si="12"/>
        <v>282</v>
      </c>
      <c r="G16" s="9">
        <f t="shared" si="12"/>
        <v>339</v>
      </c>
      <c r="H16" s="14">
        <f>G20</f>
        <v>313</v>
      </c>
      <c r="I16" s="14">
        <f t="shared" ref="I16:L16" si="13">H20</f>
        <v>212.54895256285351</v>
      </c>
      <c r="J16" s="14">
        <f t="shared" si="13"/>
        <v>144.33564612001965</v>
      </c>
      <c r="K16" s="14">
        <f t="shared" si="13"/>
        <v>98.014026837996397</v>
      </c>
      <c r="L16" s="14">
        <f t="shared" si="13"/>
        <v>66.558398533174284</v>
      </c>
    </row>
    <row r="17" spans="1:12" x14ac:dyDescent="0.25">
      <c r="A17" t="s">
        <v>31</v>
      </c>
      <c r="D17" s="9">
        <f>D18-D16</f>
        <v>76</v>
      </c>
      <c r="E17" s="9">
        <f t="shared" ref="E17:G17" si="14">E18-E16</f>
        <v>80</v>
      </c>
      <c r="F17" s="9">
        <f t="shared" si="14"/>
        <v>245</v>
      </c>
      <c r="G17" s="9">
        <f t="shared" si="14"/>
        <v>154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</row>
    <row r="18" spans="1:12" x14ac:dyDescent="0.25">
      <c r="A18" s="35" t="s">
        <v>105</v>
      </c>
      <c r="B18" s="35"/>
      <c r="C18" s="35"/>
      <c r="D18" s="39">
        <f>D20+D19</f>
        <v>452</v>
      </c>
      <c r="E18" s="39">
        <f t="shared" ref="E18:G18" si="15">E20+E19</f>
        <v>441</v>
      </c>
      <c r="F18" s="39">
        <f t="shared" si="15"/>
        <v>527</v>
      </c>
      <c r="G18" s="39">
        <f t="shared" si="15"/>
        <v>493</v>
      </c>
      <c r="H18" s="72">
        <f>H16+H17</f>
        <v>313</v>
      </c>
      <c r="I18" s="72">
        <f t="shared" ref="I18:L18" si="16">I16+I17</f>
        <v>212.54895256285351</v>
      </c>
      <c r="J18" s="72">
        <f t="shared" si="16"/>
        <v>144.33564612001965</v>
      </c>
      <c r="K18" s="72">
        <f t="shared" si="16"/>
        <v>98.014026837996397</v>
      </c>
      <c r="L18" s="72">
        <f t="shared" si="16"/>
        <v>66.558398533174284</v>
      </c>
    </row>
    <row r="19" spans="1:12" x14ac:dyDescent="0.25">
      <c r="A19" t="s">
        <v>36</v>
      </c>
      <c r="D19" s="9">
        <f>'Income Statement'!D13</f>
        <v>91</v>
      </c>
      <c r="E19" s="9">
        <f>'Income Statement'!E13</f>
        <v>159</v>
      </c>
      <c r="F19" s="9">
        <f>'Income Statement'!F13</f>
        <v>188</v>
      </c>
      <c r="G19" s="9">
        <f>'Income Statement'!G13</f>
        <v>180</v>
      </c>
      <c r="H19" s="16">
        <f>H22*H18</f>
        <v>100.45104743714647</v>
      </c>
      <c r="I19" s="16">
        <f t="shared" ref="I19:L19" si="17">I22*I18</f>
        <v>68.213306442833854</v>
      </c>
      <c r="J19" s="16">
        <f t="shared" si="17"/>
        <v>46.321619282023256</v>
      </c>
      <c r="K19" s="16">
        <f t="shared" si="17"/>
        <v>31.45562830482212</v>
      </c>
      <c r="L19" s="16">
        <f t="shared" si="17"/>
        <v>21.360577790403802</v>
      </c>
    </row>
    <row r="20" spans="1:12" x14ac:dyDescent="0.25">
      <c r="A20" s="35" t="s">
        <v>29</v>
      </c>
      <c r="B20" s="35"/>
      <c r="C20" s="35">
        <v>376</v>
      </c>
      <c r="D20" s="39">
        <v>361</v>
      </c>
      <c r="E20" s="39">
        <v>282</v>
      </c>
      <c r="F20" s="39">
        <v>339</v>
      </c>
      <c r="G20" s="39">
        <v>313</v>
      </c>
      <c r="H20" s="72">
        <f>H18-H19</f>
        <v>212.54895256285351</v>
      </c>
      <c r="I20" s="72">
        <f t="shared" ref="I20:L20" si="18">I18-I19</f>
        <v>144.33564612001965</v>
      </c>
      <c r="J20" s="72">
        <f t="shared" si="18"/>
        <v>98.014026837996397</v>
      </c>
      <c r="K20" s="72">
        <f t="shared" si="18"/>
        <v>66.558398533174284</v>
      </c>
      <c r="L20" s="72">
        <f t="shared" si="18"/>
        <v>45.197820742770482</v>
      </c>
    </row>
    <row r="21" spans="1:12" x14ac:dyDescent="0.25">
      <c r="A21" s="1"/>
      <c r="B21" s="1"/>
      <c r="C21" s="1"/>
      <c r="D21" s="8"/>
      <c r="E21" s="8"/>
      <c r="F21" s="8"/>
      <c r="G21" s="8"/>
    </row>
    <row r="22" spans="1:12" x14ac:dyDescent="0.25">
      <c r="A22" s="1" t="s">
        <v>38</v>
      </c>
      <c r="D22" s="11">
        <f>D19/D18</f>
        <v>0.20132743362831859</v>
      </c>
      <c r="E22" s="11">
        <f t="shared" ref="E22:G22" si="19">E19/E18</f>
        <v>0.36054421768707484</v>
      </c>
      <c r="F22" s="11">
        <f t="shared" si="19"/>
        <v>0.35673624288425049</v>
      </c>
      <c r="G22" s="11">
        <f t="shared" si="19"/>
        <v>0.36511156186612576</v>
      </c>
      <c r="H22" s="5">
        <f>AVERAGE($D$22:$G$22)</f>
        <v>0.32092986401644241</v>
      </c>
      <c r="I22" s="5">
        <f t="shared" ref="I22:L22" si="20">AVERAGE($D$22:$G$22)</f>
        <v>0.32092986401644241</v>
      </c>
      <c r="J22" s="5">
        <f t="shared" si="20"/>
        <v>0.32092986401644241</v>
      </c>
      <c r="K22" s="5">
        <f t="shared" si="20"/>
        <v>0.32092986401644241</v>
      </c>
      <c r="L22" s="5">
        <f t="shared" si="20"/>
        <v>0.32092986401644241</v>
      </c>
    </row>
    <row r="23" spans="1:12" x14ac:dyDescent="0.25">
      <c r="A23" s="1"/>
      <c r="D23" s="9"/>
      <c r="E23" s="9"/>
      <c r="F23" s="9"/>
      <c r="G23" s="9"/>
    </row>
  </sheetData>
  <mergeCells count="2">
    <mergeCell ref="D1:G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7EE3-298C-4CE6-8556-F008AA242CB9}">
  <dimension ref="A1:M300"/>
  <sheetViews>
    <sheetView showGridLines="0" topLeftCell="A8" workbookViewId="0">
      <selection activeCell="G29" sqref="G29"/>
    </sheetView>
  </sheetViews>
  <sheetFormatPr defaultRowHeight="15" x14ac:dyDescent="0.25"/>
  <cols>
    <col min="1" max="1" width="10.28515625" bestFit="1" customWidth="1"/>
    <col min="2" max="2" width="9.85546875" bestFit="1" customWidth="1"/>
    <col min="3" max="3" width="15" bestFit="1" customWidth="1"/>
    <col min="4" max="4" width="9.28515625" bestFit="1" customWidth="1"/>
    <col min="5" max="5" width="15.28515625" bestFit="1" customWidth="1"/>
    <col min="7" max="7" width="12.85546875" bestFit="1" customWidth="1"/>
  </cols>
  <sheetData>
    <row r="1" spans="1:13" x14ac:dyDescent="0.25">
      <c r="A1" t="s">
        <v>43</v>
      </c>
      <c r="D1" s="45">
        <v>44408</v>
      </c>
      <c r="G1" s="21">
        <v>1.239E-2</v>
      </c>
    </row>
    <row r="2" spans="1:13" x14ac:dyDescent="0.25">
      <c r="D2" s="45"/>
      <c r="G2" s="21"/>
    </row>
    <row r="3" spans="1:13" x14ac:dyDescent="0.25">
      <c r="A3" s="80" t="s">
        <v>41</v>
      </c>
      <c r="B3" s="80"/>
      <c r="C3" s="80"/>
      <c r="D3" s="80"/>
      <c r="E3" s="80"/>
      <c r="F3" s="80"/>
      <c r="G3" s="80"/>
      <c r="I3" s="80" t="s">
        <v>62</v>
      </c>
      <c r="J3" s="80"/>
      <c r="K3" s="80"/>
      <c r="L3" s="80"/>
      <c r="M3" s="80"/>
    </row>
    <row r="4" spans="1:13" x14ac:dyDescent="0.25">
      <c r="A4" t="s">
        <v>43</v>
      </c>
      <c r="D4" s="45">
        <f>D1</f>
        <v>44408</v>
      </c>
      <c r="G4" s="21">
        <f>G1</f>
        <v>1.239E-2</v>
      </c>
    </row>
    <row r="5" spans="1:13" x14ac:dyDescent="0.25">
      <c r="A5" t="s">
        <v>47</v>
      </c>
      <c r="D5" t="s">
        <v>50</v>
      </c>
      <c r="G5" s="22">
        <f>(1.33%+1.71%)/2</f>
        <v>1.5200000000000002E-2</v>
      </c>
    </row>
    <row r="6" spans="1:13" x14ac:dyDescent="0.25">
      <c r="A6" t="s">
        <v>48</v>
      </c>
      <c r="D6" t="s">
        <v>50</v>
      </c>
      <c r="G6" s="5">
        <v>0</v>
      </c>
      <c r="I6" t="s">
        <v>63</v>
      </c>
      <c r="J6" s="6">
        <f>G9</f>
        <v>2.2899700000000002E-2</v>
      </c>
      <c r="L6" t="s">
        <v>64</v>
      </c>
      <c r="M6" s="3">
        <f ca="1">G32/SUM(G30,G32)</f>
        <v>1.6565578985122561E-2</v>
      </c>
    </row>
    <row r="7" spans="1:13" s="1" customFormat="1" x14ac:dyDescent="0.25">
      <c r="A7" s="1" t="s">
        <v>41</v>
      </c>
      <c r="G7" s="76">
        <f>G4+G5+G6</f>
        <v>2.7590000000000003E-2</v>
      </c>
      <c r="I7" s="2" t="s">
        <v>65</v>
      </c>
      <c r="J7" s="52">
        <f>G17</f>
        <v>6.2893147857414913E-2</v>
      </c>
      <c r="K7" s="2"/>
      <c r="L7" s="2" t="s">
        <v>66</v>
      </c>
      <c r="M7" s="53">
        <f ca="1">G30/SUM(G30,G32)</f>
        <v>0.98343442101487755</v>
      </c>
    </row>
    <row r="8" spans="1:13" s="1" customFormat="1" x14ac:dyDescent="0.25">
      <c r="A8" s="2" t="s">
        <v>7</v>
      </c>
      <c r="B8" s="2"/>
      <c r="C8" s="2"/>
      <c r="D8" s="2" t="s">
        <v>51</v>
      </c>
      <c r="E8" s="2"/>
      <c r="F8" s="2"/>
      <c r="G8" s="47">
        <f>'Income Statement'!L21</f>
        <v>0.17</v>
      </c>
    </row>
    <row r="9" spans="1:13" s="1" customFormat="1" x14ac:dyDescent="0.25">
      <c r="A9" s="35" t="s">
        <v>49</v>
      </c>
      <c r="B9" s="35"/>
      <c r="C9" s="35"/>
      <c r="D9" s="35"/>
      <c r="E9" s="35"/>
      <c r="F9" s="35"/>
      <c r="G9" s="46">
        <f>G7*(1-G8)</f>
        <v>2.2899700000000002E-2</v>
      </c>
      <c r="I9" s="35" t="s">
        <v>72</v>
      </c>
      <c r="J9" s="35"/>
      <c r="K9" s="35"/>
      <c r="L9" s="35"/>
      <c r="M9" s="46">
        <f ca="1">SUMPRODUCT(M6:M7,J6:J7)</f>
        <v>6.2230633238045535E-2</v>
      </c>
    </row>
    <row r="11" spans="1:13" x14ac:dyDescent="0.25">
      <c r="A11" s="80" t="s">
        <v>42</v>
      </c>
      <c r="B11" s="80"/>
      <c r="C11" s="80"/>
      <c r="D11" s="80"/>
      <c r="E11" s="80"/>
      <c r="F11" s="80"/>
      <c r="G11" s="80"/>
    </row>
    <row r="12" spans="1:13" x14ac:dyDescent="0.25">
      <c r="A12" t="s">
        <v>44</v>
      </c>
      <c r="D12" s="45">
        <v>44408</v>
      </c>
      <c r="G12" s="21">
        <f>G1</f>
        <v>1.239E-2</v>
      </c>
    </row>
    <row r="13" spans="1:13" x14ac:dyDescent="0.25">
      <c r="A13" t="s">
        <v>45</v>
      </c>
      <c r="G13" s="15">
        <f>SLOPE(E39:E194,C39:C194)</f>
        <v>0.75415525171856157</v>
      </c>
    </row>
    <row r="14" spans="1:13" x14ac:dyDescent="0.25">
      <c r="A14" t="s">
        <v>46</v>
      </c>
      <c r="G14" s="21">
        <f>G23</f>
        <v>7.9356513516054994E-2</v>
      </c>
    </row>
    <row r="15" spans="1:13" x14ac:dyDescent="0.25">
      <c r="A15" t="s">
        <v>44</v>
      </c>
      <c r="D15" s="45">
        <v>44408</v>
      </c>
      <c r="G15" s="21">
        <f>G12</f>
        <v>1.239E-2</v>
      </c>
    </row>
    <row r="17" spans="1:7" s="1" customFormat="1" x14ac:dyDescent="0.25">
      <c r="A17" s="35" t="s">
        <v>42</v>
      </c>
      <c r="B17" s="35"/>
      <c r="C17" s="35"/>
      <c r="D17" s="35"/>
      <c r="E17" s="35"/>
      <c r="F17" s="35"/>
      <c r="G17" s="51">
        <f>G12+(G13*(G14-G15))</f>
        <v>6.2893147857414913E-2</v>
      </c>
    </row>
    <row r="19" spans="1:7" x14ac:dyDescent="0.25">
      <c r="A19" s="1" t="s">
        <v>57</v>
      </c>
    </row>
    <row r="20" spans="1:7" ht="15.75" thickBot="1" x14ac:dyDescent="0.3">
      <c r="A20" t="s">
        <v>58</v>
      </c>
      <c r="D20" s="49">
        <v>31048</v>
      </c>
      <c r="G20" s="50">
        <v>1097.02</v>
      </c>
    </row>
    <row r="21" spans="1:7" x14ac:dyDescent="0.25">
      <c r="A21" t="s">
        <v>59</v>
      </c>
      <c r="D21" s="45">
        <f>D15</f>
        <v>44408</v>
      </c>
      <c r="G21" s="90">
        <v>16602.29</v>
      </c>
    </row>
    <row r="22" spans="1:7" x14ac:dyDescent="0.25">
      <c r="A22" t="s">
        <v>60</v>
      </c>
      <c r="D22" s="15">
        <f>YEARFRAC(D20,D21,1)</f>
        <v>36.578363178925564</v>
      </c>
    </row>
    <row r="23" spans="1:7" x14ac:dyDescent="0.25">
      <c r="A23" t="s">
        <v>61</v>
      </c>
      <c r="D23" s="15"/>
      <c r="G23" s="22">
        <f>(G21/G20)^(1/(D22-1))-1</f>
        <v>7.9356513516054994E-2</v>
      </c>
    </row>
    <row r="26" spans="1:7" x14ac:dyDescent="0.25">
      <c r="A26" s="1" t="s">
        <v>67</v>
      </c>
    </row>
    <row r="27" spans="1:7" x14ac:dyDescent="0.25">
      <c r="A27" t="s">
        <v>68</v>
      </c>
      <c r="G27" s="91">
        <v>990.01</v>
      </c>
    </row>
    <row r="28" spans="1:7" x14ac:dyDescent="0.25">
      <c r="A28" t="s">
        <v>69</v>
      </c>
      <c r="D28" s="20"/>
      <c r="G28" s="20">
        <f ca="1">'DCF value'!G27</f>
        <v>524.57546987505964</v>
      </c>
    </row>
    <row r="30" spans="1:7" x14ac:dyDescent="0.25">
      <c r="A30" t="s">
        <v>70</v>
      </c>
      <c r="G30" s="92">
        <f ca="1">G27*G28</f>
        <v>519334.96093100781</v>
      </c>
    </row>
    <row r="32" spans="1:7" x14ac:dyDescent="0.25">
      <c r="A32" t="s">
        <v>71</v>
      </c>
      <c r="G32">
        <f>'Debt Schedule'!G6</f>
        <v>8748</v>
      </c>
    </row>
    <row r="35" spans="1:5" x14ac:dyDescent="0.25">
      <c r="A35" s="1" t="s">
        <v>52</v>
      </c>
    </row>
    <row r="36" spans="1:5" x14ac:dyDescent="0.25">
      <c r="A36" s="1" t="s">
        <v>53</v>
      </c>
    </row>
    <row r="38" spans="1:5" x14ac:dyDescent="0.25">
      <c r="A38" s="1" t="s">
        <v>56</v>
      </c>
      <c r="B38" s="24" t="s">
        <v>54</v>
      </c>
      <c r="C38" s="1" t="s">
        <v>55</v>
      </c>
      <c r="D38" s="24" t="s">
        <v>54</v>
      </c>
      <c r="E38" s="1" t="s">
        <v>110</v>
      </c>
    </row>
    <row r="39" spans="1:5" x14ac:dyDescent="0.25">
      <c r="A39" s="48">
        <v>42583</v>
      </c>
      <c r="B39">
        <v>10782.870117</v>
      </c>
      <c r="D39">
        <v>46.006000999999998</v>
      </c>
    </row>
    <row r="40" spans="1:5" x14ac:dyDescent="0.25">
      <c r="A40" s="48">
        <v>42590</v>
      </c>
      <c r="B40">
        <v>10822.410156</v>
      </c>
      <c r="C40">
        <f>B40/B39-1</f>
        <v>3.6669308422496716E-3</v>
      </c>
      <c r="D40">
        <v>45.122002000000002</v>
      </c>
      <c r="E40">
        <f t="shared" ref="E40:E103" si="0">D40/D39-1</f>
        <v>-1.9214862861042792E-2</v>
      </c>
    </row>
    <row r="41" spans="1:5" x14ac:dyDescent="0.25">
      <c r="A41" s="48">
        <v>42597</v>
      </c>
      <c r="B41">
        <v>10829.150390999999</v>
      </c>
      <c r="C41">
        <f t="shared" ref="C41:C104" si="1">B41/B40-1</f>
        <v>6.2280350706012122E-4</v>
      </c>
      <c r="D41">
        <v>45</v>
      </c>
      <c r="E41">
        <f t="shared" si="0"/>
        <v>-2.7038250652088314E-3</v>
      </c>
    </row>
    <row r="42" spans="1:5" x14ac:dyDescent="0.25">
      <c r="A42" s="48">
        <v>42604</v>
      </c>
      <c r="B42">
        <v>10749.330078000001</v>
      </c>
      <c r="C42">
        <f t="shared" si="1"/>
        <v>-7.3708749179747235E-3</v>
      </c>
      <c r="D42">
        <v>43.998001000000002</v>
      </c>
      <c r="E42">
        <f t="shared" si="0"/>
        <v>-2.2266644444444372E-2</v>
      </c>
    </row>
    <row r="43" spans="1:5" x14ac:dyDescent="0.25">
      <c r="A43" s="48">
        <v>42611</v>
      </c>
      <c r="B43">
        <v>10856.919921999999</v>
      </c>
      <c r="C43">
        <f t="shared" si="1"/>
        <v>1.0008981324352018E-2</v>
      </c>
      <c r="D43">
        <v>39.555999999999997</v>
      </c>
      <c r="E43">
        <f t="shared" si="0"/>
        <v>-0.10095915493978935</v>
      </c>
    </row>
    <row r="44" spans="1:5" x14ac:dyDescent="0.25">
      <c r="A44" s="48">
        <v>42618</v>
      </c>
      <c r="B44">
        <v>10613.530273</v>
      </c>
      <c r="C44">
        <f t="shared" si="1"/>
        <v>-2.2417927989576869E-2</v>
      </c>
      <c r="D44">
        <v>38.894001000000003</v>
      </c>
      <c r="E44">
        <f t="shared" si="0"/>
        <v>-1.6735741733238774E-2</v>
      </c>
    </row>
    <row r="45" spans="1:5" x14ac:dyDescent="0.25">
      <c r="A45" s="48">
        <v>42625</v>
      </c>
      <c r="B45">
        <v>10532.269531</v>
      </c>
      <c r="C45">
        <f t="shared" si="1"/>
        <v>-7.6563348772576978E-3</v>
      </c>
      <c r="D45">
        <v>41.080002</v>
      </c>
      <c r="E45">
        <f t="shared" si="0"/>
        <v>5.6204066020361321E-2</v>
      </c>
    </row>
    <row r="46" spans="1:5" x14ac:dyDescent="0.25">
      <c r="A46" s="48">
        <v>42632</v>
      </c>
      <c r="B46">
        <v>10717.990234000001</v>
      </c>
      <c r="C46">
        <f t="shared" si="1"/>
        <v>1.7633493185240212E-2</v>
      </c>
      <c r="D46">
        <v>41.490001999999997</v>
      </c>
      <c r="E46">
        <f t="shared" si="0"/>
        <v>9.9805253174036768E-3</v>
      </c>
    </row>
    <row r="47" spans="1:5" x14ac:dyDescent="0.25">
      <c r="A47" s="48">
        <v>42639</v>
      </c>
      <c r="B47">
        <v>10721.740234000001</v>
      </c>
      <c r="C47">
        <f t="shared" si="1"/>
        <v>3.4987902751626443E-4</v>
      </c>
      <c r="D47">
        <v>40.805999999999997</v>
      </c>
      <c r="E47">
        <f t="shared" si="0"/>
        <v>-1.6485947626611375E-2</v>
      </c>
    </row>
    <row r="48" spans="1:5" x14ac:dyDescent="0.25">
      <c r="A48" s="48">
        <v>42646</v>
      </c>
      <c r="B48">
        <v>10626.919921999999</v>
      </c>
      <c r="C48">
        <f t="shared" si="1"/>
        <v>-8.8437427069268937E-3</v>
      </c>
      <c r="D48">
        <v>39.321998999999998</v>
      </c>
      <c r="E48">
        <f t="shared" si="0"/>
        <v>-3.636722540802817E-2</v>
      </c>
    </row>
    <row r="49" spans="1:5" x14ac:dyDescent="0.25">
      <c r="A49" s="48">
        <v>42653</v>
      </c>
      <c r="B49">
        <v>10521.299805000001</v>
      </c>
      <c r="C49">
        <f t="shared" si="1"/>
        <v>-9.9389209456017813E-3</v>
      </c>
      <c r="D49">
        <v>39.301997999999998</v>
      </c>
      <c r="E49">
        <f t="shared" si="0"/>
        <v>-5.086465721134692E-4</v>
      </c>
    </row>
    <row r="50" spans="1:5" x14ac:dyDescent="0.25">
      <c r="A50" s="48">
        <v>42660</v>
      </c>
      <c r="B50">
        <v>10571.879883</v>
      </c>
      <c r="C50">
        <f t="shared" si="1"/>
        <v>4.8073982243108659E-3</v>
      </c>
      <c r="D50">
        <v>40.018002000000003</v>
      </c>
      <c r="E50">
        <f t="shared" si="0"/>
        <v>1.8218005099893464E-2</v>
      </c>
    </row>
    <row r="51" spans="1:5" x14ac:dyDescent="0.25">
      <c r="A51" s="48">
        <v>42667</v>
      </c>
      <c r="B51">
        <v>10476.620117</v>
      </c>
      <c r="C51">
        <f t="shared" si="1"/>
        <v>-9.0106742655278182E-3</v>
      </c>
      <c r="D51">
        <v>39.993999000000002</v>
      </c>
      <c r="E51">
        <f t="shared" si="0"/>
        <v>-5.9980505773382653E-4</v>
      </c>
    </row>
    <row r="52" spans="1:5" x14ac:dyDescent="0.25">
      <c r="A52" s="48">
        <v>42674</v>
      </c>
      <c r="B52">
        <v>10289.349609000001</v>
      </c>
      <c r="C52">
        <f t="shared" si="1"/>
        <v>-1.7875088139935769E-2</v>
      </c>
      <c r="D52">
        <v>38.112000000000002</v>
      </c>
      <c r="E52">
        <f t="shared" si="0"/>
        <v>-4.7057034731635583E-2</v>
      </c>
    </row>
    <row r="53" spans="1:5" x14ac:dyDescent="0.25">
      <c r="A53" s="48">
        <v>42681</v>
      </c>
      <c r="B53">
        <v>10652.240234000001</v>
      </c>
      <c r="C53">
        <f t="shared" si="1"/>
        <v>3.5268567867747791E-2</v>
      </c>
      <c r="D53">
        <v>37.712001999999998</v>
      </c>
      <c r="E53">
        <f t="shared" si="0"/>
        <v>-1.049532955499588E-2</v>
      </c>
    </row>
    <row r="54" spans="1:5" x14ac:dyDescent="0.25">
      <c r="A54" s="48">
        <v>42688</v>
      </c>
      <c r="B54">
        <v>10709.509765999999</v>
      </c>
      <c r="C54">
        <f t="shared" si="1"/>
        <v>5.3762899392002517E-3</v>
      </c>
      <c r="D54">
        <v>37.004002</v>
      </c>
      <c r="E54">
        <f t="shared" si="0"/>
        <v>-1.8773864087088254E-2</v>
      </c>
    </row>
    <row r="55" spans="1:5" x14ac:dyDescent="0.25">
      <c r="A55" s="48">
        <v>42695</v>
      </c>
      <c r="B55">
        <v>10878.089844</v>
      </c>
      <c r="C55">
        <f t="shared" si="1"/>
        <v>1.5741157315641185E-2</v>
      </c>
      <c r="D55">
        <v>39.330002</v>
      </c>
      <c r="E55">
        <f t="shared" si="0"/>
        <v>6.2858066000536894E-2</v>
      </c>
    </row>
    <row r="56" spans="1:5" x14ac:dyDescent="0.25">
      <c r="A56" s="48">
        <v>42702</v>
      </c>
      <c r="B56">
        <v>10838.580078000001</v>
      </c>
      <c r="C56">
        <f t="shared" si="1"/>
        <v>-3.6320499799687989E-3</v>
      </c>
      <c r="D56">
        <v>36.293998999999999</v>
      </c>
      <c r="E56">
        <f t="shared" si="0"/>
        <v>-7.7193054808387784E-2</v>
      </c>
    </row>
    <row r="57" spans="1:5" x14ac:dyDescent="0.25">
      <c r="A57" s="48">
        <v>42709</v>
      </c>
      <c r="B57">
        <v>11191.790039</v>
      </c>
      <c r="C57">
        <f t="shared" si="1"/>
        <v>3.2588213442915848E-2</v>
      </c>
      <c r="D57">
        <v>38.436000999999997</v>
      </c>
      <c r="E57">
        <f t="shared" si="0"/>
        <v>5.9018076238994688E-2</v>
      </c>
    </row>
    <row r="58" spans="1:5" x14ac:dyDescent="0.25">
      <c r="A58" s="48">
        <v>42716</v>
      </c>
      <c r="B58">
        <v>11125.219727</v>
      </c>
      <c r="C58">
        <f t="shared" si="1"/>
        <v>-5.9481380340430379E-3</v>
      </c>
      <c r="D58">
        <v>40.498001000000002</v>
      </c>
      <c r="E58">
        <f t="shared" si="0"/>
        <v>5.3647620625257186E-2</v>
      </c>
    </row>
    <row r="59" spans="1:5" x14ac:dyDescent="0.25">
      <c r="A59" s="48">
        <v>42723</v>
      </c>
      <c r="B59">
        <v>11128.799805000001</v>
      </c>
      <c r="C59">
        <f t="shared" si="1"/>
        <v>3.2179840828772122E-4</v>
      </c>
      <c r="D59">
        <v>42.667999000000002</v>
      </c>
      <c r="E59">
        <f t="shared" si="0"/>
        <v>5.3582842274116249E-2</v>
      </c>
    </row>
    <row r="60" spans="1:5" x14ac:dyDescent="0.25">
      <c r="A60" s="48">
        <v>42730</v>
      </c>
      <c r="B60">
        <v>11056.900390999999</v>
      </c>
      <c r="C60">
        <f t="shared" si="1"/>
        <v>-6.4606619994815873E-3</v>
      </c>
      <c r="D60">
        <v>42.737999000000002</v>
      </c>
      <c r="E60">
        <f t="shared" si="0"/>
        <v>1.6405737705205148E-3</v>
      </c>
    </row>
    <row r="61" spans="1:5" x14ac:dyDescent="0.25">
      <c r="A61" s="48">
        <v>42737</v>
      </c>
      <c r="B61">
        <v>11237.620117</v>
      </c>
      <c r="C61">
        <f t="shared" si="1"/>
        <v>1.634451967633721E-2</v>
      </c>
      <c r="D61">
        <v>45.801997999999998</v>
      </c>
      <c r="E61">
        <f t="shared" si="0"/>
        <v>7.1692617148500393E-2</v>
      </c>
    </row>
    <row r="62" spans="1:5" x14ac:dyDescent="0.25">
      <c r="A62" s="48">
        <v>42744</v>
      </c>
      <c r="B62">
        <v>11227.169921999999</v>
      </c>
      <c r="C62">
        <f t="shared" si="1"/>
        <v>-9.2992954835624531E-4</v>
      </c>
      <c r="D62">
        <v>47.549999</v>
      </c>
      <c r="E62">
        <f t="shared" si="0"/>
        <v>3.8164295802117776E-2</v>
      </c>
    </row>
    <row r="63" spans="1:5" x14ac:dyDescent="0.25">
      <c r="A63" s="48">
        <v>42751</v>
      </c>
      <c r="B63">
        <v>11192.790039</v>
      </c>
      <c r="C63">
        <f t="shared" si="1"/>
        <v>-3.0622038535847995E-3</v>
      </c>
      <c r="D63">
        <v>48.945999</v>
      </c>
      <c r="E63">
        <f t="shared" si="0"/>
        <v>2.935857054381863E-2</v>
      </c>
    </row>
    <row r="64" spans="1:5" x14ac:dyDescent="0.25">
      <c r="A64" s="48">
        <v>42758</v>
      </c>
      <c r="B64">
        <v>11283.190430000001</v>
      </c>
      <c r="C64">
        <f t="shared" si="1"/>
        <v>8.0766628057000744E-3</v>
      </c>
      <c r="D64">
        <v>50.59</v>
      </c>
      <c r="E64">
        <f t="shared" si="0"/>
        <v>3.3588056911454611E-2</v>
      </c>
    </row>
    <row r="65" spans="1:5" x14ac:dyDescent="0.25">
      <c r="A65" s="48">
        <v>42765</v>
      </c>
      <c r="B65">
        <v>11310.740234000001</v>
      </c>
      <c r="C65">
        <f t="shared" si="1"/>
        <v>2.4416679104122263E-3</v>
      </c>
      <c r="D65">
        <v>50.265999000000001</v>
      </c>
      <c r="E65">
        <f t="shared" si="0"/>
        <v>-6.4044475192726047E-3</v>
      </c>
    </row>
    <row r="66" spans="1:5" x14ac:dyDescent="0.25">
      <c r="A66" s="48">
        <v>42772</v>
      </c>
      <c r="B66">
        <v>11377.719727</v>
      </c>
      <c r="C66">
        <f t="shared" si="1"/>
        <v>5.921760345857674E-3</v>
      </c>
      <c r="D66">
        <v>53.846001000000001</v>
      </c>
      <c r="E66">
        <f t="shared" si="0"/>
        <v>7.1221144933377278E-2</v>
      </c>
    </row>
    <row r="67" spans="1:5" x14ac:dyDescent="0.25">
      <c r="A67" s="48">
        <v>42779</v>
      </c>
      <c r="B67">
        <v>11510.910156</v>
      </c>
      <c r="C67">
        <f t="shared" si="1"/>
        <v>1.1706249775509159E-2</v>
      </c>
      <c r="D67">
        <v>54.445999</v>
      </c>
      <c r="E67">
        <f t="shared" si="0"/>
        <v>1.1142851629780237E-2</v>
      </c>
    </row>
    <row r="68" spans="1:5" x14ac:dyDescent="0.25">
      <c r="A68" s="48">
        <v>42786</v>
      </c>
      <c r="B68">
        <v>11541.290039</v>
      </c>
      <c r="C68">
        <f t="shared" si="1"/>
        <v>2.6392250993432231E-3</v>
      </c>
      <c r="D68">
        <v>51.400002000000001</v>
      </c>
      <c r="E68">
        <f t="shared" si="0"/>
        <v>-5.594528626428541E-2</v>
      </c>
    </row>
    <row r="69" spans="1:5" x14ac:dyDescent="0.25">
      <c r="A69" s="48">
        <v>42793</v>
      </c>
      <c r="B69">
        <v>11598.370117</v>
      </c>
      <c r="C69">
        <f t="shared" si="1"/>
        <v>4.9457277138966749E-3</v>
      </c>
      <c r="D69">
        <v>50.313999000000003</v>
      </c>
      <c r="E69">
        <f t="shared" si="0"/>
        <v>-2.1128462212900212E-2</v>
      </c>
    </row>
    <row r="70" spans="1:5" x14ac:dyDescent="0.25">
      <c r="A70" s="48">
        <v>42800</v>
      </c>
      <c r="B70">
        <v>11500.759765999999</v>
      </c>
      <c r="C70">
        <f t="shared" si="1"/>
        <v>-8.4158679206943754E-3</v>
      </c>
      <c r="D70">
        <v>48.737999000000002</v>
      </c>
      <c r="E70">
        <f t="shared" si="0"/>
        <v>-3.1323290362986311E-2</v>
      </c>
    </row>
    <row r="71" spans="1:5" x14ac:dyDescent="0.25">
      <c r="A71" s="48">
        <v>42807</v>
      </c>
      <c r="B71">
        <v>11589.009765999999</v>
      </c>
      <c r="C71">
        <f t="shared" si="1"/>
        <v>7.6734060875609522E-3</v>
      </c>
      <c r="D71">
        <v>52.299999</v>
      </c>
      <c r="E71">
        <f t="shared" si="0"/>
        <v>7.3084658235558653E-2</v>
      </c>
    </row>
    <row r="72" spans="1:5" x14ac:dyDescent="0.25">
      <c r="A72" s="48">
        <v>42814</v>
      </c>
      <c r="B72">
        <v>11418.889648</v>
      </c>
      <c r="C72">
        <f t="shared" si="1"/>
        <v>-1.4679435209304925E-2</v>
      </c>
      <c r="D72">
        <v>52.631999999999998</v>
      </c>
      <c r="E72">
        <f t="shared" si="0"/>
        <v>6.3480115936522807E-3</v>
      </c>
    </row>
    <row r="73" spans="1:5" x14ac:dyDescent="0.25">
      <c r="A73" s="48">
        <v>42821</v>
      </c>
      <c r="B73">
        <v>11492.849609000001</v>
      </c>
      <c r="C73">
        <f t="shared" si="1"/>
        <v>6.4769836017246618E-3</v>
      </c>
      <c r="D73">
        <v>55.66</v>
      </c>
      <c r="E73">
        <f t="shared" si="0"/>
        <v>5.7531539747682103E-2</v>
      </c>
    </row>
    <row r="74" spans="1:5" x14ac:dyDescent="0.25">
      <c r="A74" s="48">
        <v>42828</v>
      </c>
      <c r="B74">
        <v>11445.580078000001</v>
      </c>
      <c r="C74">
        <f t="shared" si="1"/>
        <v>-4.1129513226191294E-3</v>
      </c>
      <c r="D74">
        <v>60.507998999999998</v>
      </c>
      <c r="E74">
        <f t="shared" si="0"/>
        <v>8.710023356090546E-2</v>
      </c>
    </row>
    <row r="75" spans="1:5" x14ac:dyDescent="0.25">
      <c r="A75" s="48">
        <v>42835</v>
      </c>
      <c r="B75">
        <v>11324.530273</v>
      </c>
      <c r="C75">
        <f t="shared" si="1"/>
        <v>-1.0576117957767361E-2</v>
      </c>
      <c r="D75">
        <v>60.799999</v>
      </c>
      <c r="E75">
        <f t="shared" si="0"/>
        <v>4.8258082373537903E-3</v>
      </c>
    </row>
    <row r="76" spans="1:5" x14ac:dyDescent="0.25">
      <c r="A76" s="48">
        <v>42842</v>
      </c>
      <c r="B76">
        <v>11389.129883</v>
      </c>
      <c r="C76">
        <f t="shared" si="1"/>
        <v>5.7043964246374923E-3</v>
      </c>
      <c r="D76">
        <v>61.119999</v>
      </c>
      <c r="E76">
        <f t="shared" si="0"/>
        <v>5.2631579813018359E-3</v>
      </c>
    </row>
    <row r="77" spans="1:5" x14ac:dyDescent="0.25">
      <c r="A77" s="48">
        <v>42849</v>
      </c>
      <c r="B77">
        <v>11536.080078000001</v>
      </c>
      <c r="C77">
        <f t="shared" si="1"/>
        <v>1.2902670924786586E-2</v>
      </c>
      <c r="D77">
        <v>62.813999000000003</v>
      </c>
      <c r="E77">
        <f t="shared" si="0"/>
        <v>2.7715969039855626E-2</v>
      </c>
    </row>
    <row r="78" spans="1:5" x14ac:dyDescent="0.25">
      <c r="A78" s="48">
        <v>42856</v>
      </c>
      <c r="B78">
        <v>11615.610352</v>
      </c>
      <c r="C78">
        <f t="shared" si="1"/>
        <v>6.8940466312874538E-3</v>
      </c>
      <c r="D78">
        <v>61.669998</v>
      </c>
      <c r="E78">
        <f t="shared" si="0"/>
        <v>-1.8212516607961859E-2</v>
      </c>
    </row>
    <row r="79" spans="1:5" x14ac:dyDescent="0.25">
      <c r="A79" s="48">
        <v>42863</v>
      </c>
      <c r="B79">
        <v>11547.049805000001</v>
      </c>
      <c r="C79">
        <f t="shared" si="1"/>
        <v>-5.9024489391721335E-3</v>
      </c>
      <c r="D79">
        <v>64.961997999999994</v>
      </c>
      <c r="E79">
        <f t="shared" si="0"/>
        <v>5.3380900060998826E-2</v>
      </c>
    </row>
    <row r="80" spans="1:5" x14ac:dyDescent="0.25">
      <c r="A80" s="48">
        <v>42870</v>
      </c>
      <c r="B80">
        <v>11542.690430000001</v>
      </c>
      <c r="C80">
        <f t="shared" si="1"/>
        <v>-3.7753149710262335E-4</v>
      </c>
      <c r="D80">
        <v>62.165999999999997</v>
      </c>
      <c r="E80">
        <f t="shared" si="0"/>
        <v>-4.3040517319063998E-2</v>
      </c>
    </row>
    <row r="81" spans="1:5" x14ac:dyDescent="0.25">
      <c r="A81" s="48">
        <v>42877</v>
      </c>
      <c r="B81">
        <v>11631.870117</v>
      </c>
      <c r="C81">
        <f t="shared" si="1"/>
        <v>7.7260745699474498E-3</v>
      </c>
      <c r="D81">
        <v>65.028000000000006</v>
      </c>
      <c r="E81">
        <f t="shared" si="0"/>
        <v>4.6038027217450095E-2</v>
      </c>
    </row>
    <row r="82" spans="1:5" x14ac:dyDescent="0.25">
      <c r="A82" s="48">
        <v>42884</v>
      </c>
      <c r="B82">
        <v>11718.700194999999</v>
      </c>
      <c r="C82">
        <f t="shared" si="1"/>
        <v>7.4648424652796752E-3</v>
      </c>
      <c r="D82">
        <v>67.970000999999996</v>
      </c>
      <c r="E82">
        <f t="shared" si="0"/>
        <v>4.5242064956633854E-2</v>
      </c>
    </row>
    <row r="83" spans="1:5" x14ac:dyDescent="0.25">
      <c r="A83" s="48">
        <v>42891</v>
      </c>
      <c r="B83">
        <v>11744.730469</v>
      </c>
      <c r="C83">
        <f t="shared" si="1"/>
        <v>2.2212594884121195E-3</v>
      </c>
      <c r="D83">
        <v>71.463997000000006</v>
      </c>
      <c r="E83">
        <f t="shared" si="0"/>
        <v>5.1404972025820728E-2</v>
      </c>
    </row>
    <row r="84" spans="1:5" x14ac:dyDescent="0.25">
      <c r="A84" s="48">
        <v>42898</v>
      </c>
      <c r="B84">
        <v>11772.019531</v>
      </c>
      <c r="C84">
        <f t="shared" si="1"/>
        <v>2.3235153903300443E-3</v>
      </c>
      <c r="D84">
        <v>74.279999000000004</v>
      </c>
      <c r="E84">
        <f t="shared" si="0"/>
        <v>3.9404485030413161E-2</v>
      </c>
    </row>
    <row r="85" spans="1:5" x14ac:dyDescent="0.25">
      <c r="A85" s="48">
        <v>42905</v>
      </c>
      <c r="B85">
        <v>11733.200194999999</v>
      </c>
      <c r="C85">
        <f t="shared" si="1"/>
        <v>-3.2975935775314547E-3</v>
      </c>
      <c r="D85">
        <v>76.690002000000007</v>
      </c>
      <c r="E85">
        <f t="shared" si="0"/>
        <v>3.2444844270932194E-2</v>
      </c>
    </row>
    <row r="86" spans="1:5" x14ac:dyDescent="0.25">
      <c r="A86" s="48">
        <v>42912</v>
      </c>
      <c r="B86">
        <v>11761.700194999999</v>
      </c>
      <c r="C86">
        <f t="shared" si="1"/>
        <v>2.4290048346864435E-3</v>
      </c>
      <c r="D86">
        <v>72.321999000000005</v>
      </c>
      <c r="E86">
        <f t="shared" si="0"/>
        <v>-5.6956616065807375E-2</v>
      </c>
    </row>
    <row r="87" spans="1:5" x14ac:dyDescent="0.25">
      <c r="A87" s="48">
        <v>42919</v>
      </c>
      <c r="B87">
        <v>11752.980469</v>
      </c>
      <c r="C87">
        <f t="shared" si="1"/>
        <v>-7.4136611675468256E-4</v>
      </c>
      <c r="D87">
        <v>62.644001000000003</v>
      </c>
      <c r="E87">
        <f t="shared" si="0"/>
        <v>-0.13381817612646463</v>
      </c>
    </row>
    <row r="88" spans="1:5" x14ac:dyDescent="0.25">
      <c r="A88" s="48">
        <v>42926</v>
      </c>
      <c r="B88">
        <v>11897.309569999999</v>
      </c>
      <c r="C88">
        <f t="shared" si="1"/>
        <v>1.2280212783530642E-2</v>
      </c>
      <c r="D88">
        <v>65.555999999999997</v>
      </c>
      <c r="E88">
        <f t="shared" si="0"/>
        <v>4.648488208791135E-2</v>
      </c>
    </row>
    <row r="89" spans="1:5" x14ac:dyDescent="0.25">
      <c r="A89" s="48">
        <v>42933</v>
      </c>
      <c r="B89">
        <v>11924.599609000001</v>
      </c>
      <c r="C89">
        <f t="shared" si="1"/>
        <v>2.2937991853901885E-3</v>
      </c>
      <c r="D89">
        <v>65.680000000000007</v>
      </c>
      <c r="E89">
        <f t="shared" si="0"/>
        <v>1.8915125999148241E-3</v>
      </c>
    </row>
    <row r="90" spans="1:5" x14ac:dyDescent="0.25">
      <c r="A90" s="48">
        <v>42940</v>
      </c>
      <c r="B90">
        <v>11954.690430000001</v>
      </c>
      <c r="C90">
        <f t="shared" si="1"/>
        <v>2.5234240131037922E-3</v>
      </c>
      <c r="D90">
        <v>67.013999999999996</v>
      </c>
      <c r="E90">
        <f t="shared" si="0"/>
        <v>2.0310596833130079E-2</v>
      </c>
    </row>
    <row r="91" spans="1:5" x14ac:dyDescent="0.25">
      <c r="A91" s="48">
        <v>42947</v>
      </c>
      <c r="B91">
        <v>11984.889648</v>
      </c>
      <c r="C91">
        <f t="shared" si="1"/>
        <v>2.5261396919333823E-3</v>
      </c>
      <c r="D91">
        <v>71.382003999999995</v>
      </c>
      <c r="E91">
        <f t="shared" si="0"/>
        <v>6.5180469752589065E-2</v>
      </c>
    </row>
    <row r="92" spans="1:5" x14ac:dyDescent="0.25">
      <c r="A92" s="48">
        <v>42954</v>
      </c>
      <c r="B92">
        <v>11763.219727</v>
      </c>
      <c r="C92">
        <f t="shared" si="1"/>
        <v>-1.8495783232930441E-2</v>
      </c>
      <c r="D92">
        <v>71.573997000000006</v>
      </c>
      <c r="E92">
        <f t="shared" si="0"/>
        <v>2.6896555047686288E-3</v>
      </c>
    </row>
    <row r="93" spans="1:5" x14ac:dyDescent="0.25">
      <c r="A93" s="48">
        <v>42961</v>
      </c>
      <c r="B93">
        <v>11699.830078000001</v>
      </c>
      <c r="C93">
        <f t="shared" si="1"/>
        <v>-5.388800895600121E-3</v>
      </c>
      <c r="D93">
        <v>69.491996999999998</v>
      </c>
      <c r="E93">
        <f t="shared" si="0"/>
        <v>-2.9088776472830036E-2</v>
      </c>
    </row>
    <row r="94" spans="1:5" x14ac:dyDescent="0.25">
      <c r="A94" s="48">
        <v>42968</v>
      </c>
      <c r="B94">
        <v>11812.030273</v>
      </c>
      <c r="C94">
        <f t="shared" si="1"/>
        <v>9.5898995328980163E-3</v>
      </c>
      <c r="D94">
        <v>69.610000999999997</v>
      </c>
      <c r="E94">
        <f t="shared" si="0"/>
        <v>1.6980948180262967E-3</v>
      </c>
    </row>
    <row r="95" spans="1:5" x14ac:dyDescent="0.25">
      <c r="A95" s="48">
        <v>42975</v>
      </c>
      <c r="B95">
        <v>11918.080078000001</v>
      </c>
      <c r="C95">
        <f t="shared" si="1"/>
        <v>8.9781182869477227E-3</v>
      </c>
      <c r="D95">
        <v>71.080001999999993</v>
      </c>
      <c r="E95">
        <f t="shared" si="0"/>
        <v>2.1117669571646625E-2</v>
      </c>
    </row>
    <row r="96" spans="1:5" x14ac:dyDescent="0.25">
      <c r="A96" s="48">
        <v>42982</v>
      </c>
      <c r="B96">
        <v>11887.980469</v>
      </c>
      <c r="C96">
        <f t="shared" si="1"/>
        <v>-2.5255417653690104E-3</v>
      </c>
      <c r="D96">
        <v>68.680000000000007</v>
      </c>
      <c r="E96">
        <f t="shared" si="0"/>
        <v>-3.3764799275047719E-2</v>
      </c>
    </row>
    <row r="97" spans="1:5" x14ac:dyDescent="0.25">
      <c r="A97" s="48">
        <v>42989</v>
      </c>
      <c r="B97">
        <v>12080.139648</v>
      </c>
      <c r="C97">
        <f t="shared" si="1"/>
        <v>1.6164156687596298E-2</v>
      </c>
      <c r="D97">
        <v>75.961997999999994</v>
      </c>
      <c r="E97">
        <f t="shared" si="0"/>
        <v>0.10602792661619076</v>
      </c>
    </row>
    <row r="98" spans="1:5" x14ac:dyDescent="0.25">
      <c r="A98" s="48">
        <v>42996</v>
      </c>
      <c r="B98">
        <v>12151.799805000001</v>
      </c>
      <c r="C98">
        <f t="shared" si="1"/>
        <v>5.9320636257598203E-3</v>
      </c>
      <c r="D98">
        <v>70.218001999999998</v>
      </c>
      <c r="E98">
        <f t="shared" si="0"/>
        <v>-7.5616705079294966E-2</v>
      </c>
    </row>
    <row r="99" spans="1:5" x14ac:dyDescent="0.25">
      <c r="A99" s="48">
        <v>43003</v>
      </c>
      <c r="B99">
        <v>12209.160156</v>
      </c>
      <c r="C99">
        <f t="shared" si="1"/>
        <v>4.7203173126995068E-3</v>
      </c>
      <c r="D99">
        <v>68.220000999999996</v>
      </c>
      <c r="E99">
        <f t="shared" si="0"/>
        <v>-2.8454255932830463E-2</v>
      </c>
    </row>
    <row r="100" spans="1:5" x14ac:dyDescent="0.25">
      <c r="A100" s="48">
        <v>43010</v>
      </c>
      <c r="B100">
        <v>12317.690430000001</v>
      </c>
      <c r="C100">
        <f t="shared" si="1"/>
        <v>8.8892497611037236E-3</v>
      </c>
      <c r="D100">
        <v>71.375998999999993</v>
      </c>
      <c r="E100">
        <f t="shared" si="0"/>
        <v>4.6262063232745954E-2</v>
      </c>
    </row>
    <row r="101" spans="1:5" x14ac:dyDescent="0.25">
      <c r="A101" s="48">
        <v>43017</v>
      </c>
      <c r="B101">
        <v>12352</v>
      </c>
      <c r="C101">
        <f t="shared" si="1"/>
        <v>2.7853898581862158E-3</v>
      </c>
      <c r="D101">
        <v>71.113997999999995</v>
      </c>
      <c r="E101">
        <f t="shared" si="0"/>
        <v>-3.6707156981438116E-3</v>
      </c>
    </row>
    <row r="102" spans="1:5" x14ac:dyDescent="0.25">
      <c r="A102" s="48">
        <v>43024</v>
      </c>
      <c r="B102">
        <v>12430.519531</v>
      </c>
      <c r="C102">
        <f t="shared" si="1"/>
        <v>6.3568273154144261E-3</v>
      </c>
      <c r="D102">
        <v>69.019997000000004</v>
      </c>
      <c r="E102">
        <f t="shared" si="0"/>
        <v>-2.9445693659355121E-2</v>
      </c>
    </row>
    <row r="103" spans="1:5" x14ac:dyDescent="0.25">
      <c r="A103" s="48">
        <v>43031</v>
      </c>
      <c r="B103">
        <v>12366.429688</v>
      </c>
      <c r="C103">
        <f t="shared" si="1"/>
        <v>-5.1558458872268398E-3</v>
      </c>
      <c r="D103">
        <v>64.174003999999996</v>
      </c>
      <c r="E103">
        <f t="shared" si="0"/>
        <v>-7.0211434520925931E-2</v>
      </c>
    </row>
    <row r="104" spans="1:5" x14ac:dyDescent="0.25">
      <c r="A104" s="48">
        <v>43038</v>
      </c>
      <c r="B104">
        <v>12373.059569999999</v>
      </c>
      <c r="C104">
        <f t="shared" si="1"/>
        <v>5.361193300952305E-4</v>
      </c>
      <c r="D104">
        <v>61.217998999999999</v>
      </c>
      <c r="E104">
        <f t="shared" ref="E104:E167" si="2">D104/D103-1</f>
        <v>-4.6062343250391491E-2</v>
      </c>
    </row>
    <row r="105" spans="1:5" x14ac:dyDescent="0.25">
      <c r="A105" s="48">
        <v>43045</v>
      </c>
      <c r="B105">
        <v>12322.599609000001</v>
      </c>
      <c r="C105">
        <f t="shared" ref="C105:C168" si="3">B105/B104-1</f>
        <v>-4.078212079601129E-3</v>
      </c>
      <c r="D105">
        <v>60.597999999999999</v>
      </c>
      <c r="E105">
        <f t="shared" si="2"/>
        <v>-1.012772403750084E-2</v>
      </c>
    </row>
    <row r="106" spans="1:5" x14ac:dyDescent="0.25">
      <c r="A106" s="48">
        <v>43052</v>
      </c>
      <c r="B106">
        <v>12302.889648</v>
      </c>
      <c r="C106">
        <f t="shared" si="3"/>
        <v>-1.5994969913333268E-3</v>
      </c>
      <c r="D106">
        <v>63.009998000000003</v>
      </c>
      <c r="E106">
        <f t="shared" si="2"/>
        <v>3.9803260833690901E-2</v>
      </c>
    </row>
    <row r="107" spans="1:5" x14ac:dyDescent="0.25">
      <c r="A107" s="48">
        <v>43059</v>
      </c>
      <c r="B107">
        <v>12421.929688</v>
      </c>
      <c r="C107">
        <f t="shared" si="3"/>
        <v>9.675778894704834E-3</v>
      </c>
      <c r="D107">
        <v>63.110000999999997</v>
      </c>
      <c r="E107">
        <f t="shared" si="2"/>
        <v>1.5870973365210705E-3</v>
      </c>
    </row>
    <row r="108" spans="1:5" x14ac:dyDescent="0.25">
      <c r="A108" s="48">
        <v>43066</v>
      </c>
      <c r="B108">
        <v>12614.559569999999</v>
      </c>
      <c r="C108">
        <f t="shared" si="3"/>
        <v>1.5507242983840541E-2</v>
      </c>
      <c r="D108">
        <v>61.305999999999997</v>
      </c>
      <c r="E108">
        <f t="shared" si="2"/>
        <v>-2.8585025691886812E-2</v>
      </c>
    </row>
    <row r="109" spans="1:5" x14ac:dyDescent="0.25">
      <c r="A109" s="48">
        <v>43073</v>
      </c>
      <c r="B109">
        <v>12643.059569999999</v>
      </c>
      <c r="C109">
        <f t="shared" si="3"/>
        <v>2.2592940991597033E-3</v>
      </c>
      <c r="D109">
        <v>63.026001000000001</v>
      </c>
      <c r="E109">
        <f t="shared" si="2"/>
        <v>2.8055997781620157E-2</v>
      </c>
    </row>
    <row r="110" spans="1:5" x14ac:dyDescent="0.25">
      <c r="A110" s="48">
        <v>43080</v>
      </c>
      <c r="B110">
        <v>12699.679688</v>
      </c>
      <c r="C110">
        <f t="shared" si="3"/>
        <v>4.4783557086411907E-3</v>
      </c>
      <c r="D110">
        <v>68.690002000000007</v>
      </c>
      <c r="E110">
        <f t="shared" si="2"/>
        <v>8.9867688099075194E-2</v>
      </c>
    </row>
    <row r="111" spans="1:5" x14ac:dyDescent="0.25">
      <c r="A111" s="48">
        <v>43087</v>
      </c>
      <c r="B111">
        <v>12797.440430000001</v>
      </c>
      <c r="C111">
        <f t="shared" si="3"/>
        <v>7.6978903721780512E-3</v>
      </c>
      <c r="D111">
        <v>65.040001000000004</v>
      </c>
      <c r="E111">
        <f t="shared" si="2"/>
        <v>-5.3137296458369621E-2</v>
      </c>
    </row>
    <row r="112" spans="1:5" x14ac:dyDescent="0.25">
      <c r="A112" s="48">
        <v>43094</v>
      </c>
      <c r="B112">
        <v>12808.839844</v>
      </c>
      <c r="C112">
        <f t="shared" si="3"/>
        <v>8.9075734029409048E-4</v>
      </c>
      <c r="D112">
        <v>62.27</v>
      </c>
      <c r="E112">
        <f t="shared" si="2"/>
        <v>-4.2589190612097316E-2</v>
      </c>
    </row>
    <row r="113" spans="1:5" x14ac:dyDescent="0.25">
      <c r="A113" s="48">
        <v>43101</v>
      </c>
      <c r="B113">
        <v>13103.230469</v>
      </c>
      <c r="C113">
        <f t="shared" si="3"/>
        <v>2.2983394951096914E-2</v>
      </c>
      <c r="D113">
        <v>63.316001999999997</v>
      </c>
      <c r="E113">
        <f t="shared" si="2"/>
        <v>1.679784808093765E-2</v>
      </c>
    </row>
    <row r="114" spans="1:5" x14ac:dyDescent="0.25">
      <c r="A114" s="48">
        <v>43108</v>
      </c>
      <c r="B114">
        <v>13294.320313</v>
      </c>
      <c r="C114">
        <f t="shared" si="3"/>
        <v>1.4583414712279197E-2</v>
      </c>
      <c r="D114">
        <v>67.244003000000006</v>
      </c>
      <c r="E114">
        <f t="shared" si="2"/>
        <v>6.2038045295405908E-2</v>
      </c>
    </row>
    <row r="115" spans="1:5" x14ac:dyDescent="0.25">
      <c r="A115" s="48">
        <v>43115</v>
      </c>
      <c r="B115">
        <v>13384.459961</v>
      </c>
      <c r="C115">
        <f t="shared" si="3"/>
        <v>6.7803126356038579E-3</v>
      </c>
      <c r="D115">
        <v>70.003997999999996</v>
      </c>
      <c r="E115">
        <f t="shared" si="2"/>
        <v>4.1044477973745774E-2</v>
      </c>
    </row>
    <row r="116" spans="1:5" x14ac:dyDescent="0.25">
      <c r="A116" s="48">
        <v>43122</v>
      </c>
      <c r="B116">
        <v>13637.019531</v>
      </c>
      <c r="C116">
        <f t="shared" si="3"/>
        <v>1.8869612276917636E-2</v>
      </c>
      <c r="D116">
        <v>68.569999999999993</v>
      </c>
      <c r="E116">
        <f t="shared" si="2"/>
        <v>-2.0484515755800126E-2</v>
      </c>
    </row>
    <row r="117" spans="1:5" x14ac:dyDescent="0.25">
      <c r="A117" s="48">
        <v>43129</v>
      </c>
      <c r="B117">
        <v>13085.349609000001</v>
      </c>
      <c r="C117">
        <f t="shared" si="3"/>
        <v>-4.0453848492768563E-2</v>
      </c>
      <c r="D117">
        <v>68.75</v>
      </c>
      <c r="E117">
        <f t="shared" si="2"/>
        <v>2.6250546886394943E-3</v>
      </c>
    </row>
    <row r="118" spans="1:5" x14ac:dyDescent="0.25">
      <c r="A118" s="48">
        <v>43136</v>
      </c>
      <c r="B118">
        <v>12405.820313</v>
      </c>
      <c r="C118">
        <f t="shared" si="3"/>
        <v>-5.1930541888817849E-2</v>
      </c>
      <c r="D118">
        <v>62.084000000000003</v>
      </c>
      <c r="E118">
        <f t="shared" si="2"/>
        <v>-9.6959999999999935E-2</v>
      </c>
    </row>
    <row r="119" spans="1:5" x14ac:dyDescent="0.25">
      <c r="A119" s="48">
        <v>43143</v>
      </c>
      <c r="B119">
        <v>12874.360352</v>
      </c>
      <c r="C119">
        <f t="shared" si="3"/>
        <v>3.7767759582090665E-2</v>
      </c>
      <c r="D119">
        <v>67.097999999999999</v>
      </c>
      <c r="E119">
        <f t="shared" si="2"/>
        <v>8.0761548869273891E-2</v>
      </c>
    </row>
    <row r="120" spans="1:5" x14ac:dyDescent="0.25">
      <c r="A120" s="48">
        <v>43150</v>
      </c>
      <c r="B120">
        <v>12884.110352</v>
      </c>
      <c r="C120">
        <f t="shared" si="3"/>
        <v>7.5731917807364546E-4</v>
      </c>
      <c r="D120">
        <v>70.410004000000001</v>
      </c>
      <c r="E120">
        <f t="shared" si="2"/>
        <v>4.9360696294971529E-2</v>
      </c>
    </row>
    <row r="121" spans="1:5" x14ac:dyDescent="0.25">
      <c r="A121" s="48">
        <v>43157</v>
      </c>
      <c r="B121">
        <v>12557.990234000001</v>
      </c>
      <c r="C121">
        <f t="shared" si="3"/>
        <v>-2.5311807264160491E-2</v>
      </c>
      <c r="D121">
        <v>67.024001999999996</v>
      </c>
      <c r="E121">
        <f t="shared" si="2"/>
        <v>-4.8089785650346051E-2</v>
      </c>
    </row>
    <row r="122" spans="1:5" x14ac:dyDescent="0.25">
      <c r="A122" s="48">
        <v>43164</v>
      </c>
      <c r="B122">
        <v>12918.820313</v>
      </c>
      <c r="C122">
        <f t="shared" si="3"/>
        <v>2.8733107151419413E-2</v>
      </c>
      <c r="D122">
        <v>65.433998000000003</v>
      </c>
      <c r="E122">
        <f t="shared" si="2"/>
        <v>-2.3722904520085075E-2</v>
      </c>
    </row>
    <row r="123" spans="1:5" x14ac:dyDescent="0.25">
      <c r="A123" s="48">
        <v>43171</v>
      </c>
      <c r="B123">
        <v>12784.389648</v>
      </c>
      <c r="C123">
        <f t="shared" si="3"/>
        <v>-1.0405800355062222E-2</v>
      </c>
      <c r="D123">
        <v>64.269997000000004</v>
      </c>
      <c r="E123">
        <f t="shared" si="2"/>
        <v>-1.7788932903045285E-2</v>
      </c>
    </row>
    <row r="124" spans="1:5" x14ac:dyDescent="0.25">
      <c r="A124" s="48">
        <v>43178</v>
      </c>
      <c r="B124">
        <v>12177.700194999999</v>
      </c>
      <c r="C124">
        <f t="shared" si="3"/>
        <v>-4.7455488271582191E-2</v>
      </c>
      <c r="D124">
        <v>60.307999000000002</v>
      </c>
      <c r="E124">
        <f t="shared" si="2"/>
        <v>-6.1646151936182614E-2</v>
      </c>
    </row>
    <row r="125" spans="1:5" x14ac:dyDescent="0.25">
      <c r="A125" s="48">
        <v>43185</v>
      </c>
      <c r="B125">
        <v>12452.059569999999</v>
      </c>
      <c r="C125">
        <f t="shared" si="3"/>
        <v>2.252965425381781E-2</v>
      </c>
      <c r="D125">
        <v>53.226002000000001</v>
      </c>
      <c r="E125">
        <f t="shared" si="2"/>
        <v>-0.11743047551619146</v>
      </c>
    </row>
    <row r="126" spans="1:5" x14ac:dyDescent="0.25">
      <c r="A126" s="48">
        <v>43192</v>
      </c>
      <c r="B126">
        <v>12349.110352</v>
      </c>
      <c r="C126">
        <f t="shared" si="3"/>
        <v>-8.2676457995775054E-3</v>
      </c>
      <c r="D126">
        <v>59.860000999999997</v>
      </c>
      <c r="E126">
        <f t="shared" si="2"/>
        <v>0.1246383111773075</v>
      </c>
    </row>
    <row r="127" spans="1:5" x14ac:dyDescent="0.25">
      <c r="A127" s="48">
        <v>43199</v>
      </c>
      <c r="B127">
        <v>12546.049805000001</v>
      </c>
      <c r="C127">
        <f t="shared" si="3"/>
        <v>1.5947663223213837E-2</v>
      </c>
      <c r="D127">
        <v>60.068001000000002</v>
      </c>
      <c r="E127">
        <f t="shared" si="2"/>
        <v>3.4747744157239691E-3</v>
      </c>
    </row>
    <row r="128" spans="1:5" x14ac:dyDescent="0.25">
      <c r="A128" s="48">
        <v>43206</v>
      </c>
      <c r="B128">
        <v>12607.160156</v>
      </c>
      <c r="C128">
        <f t="shared" si="3"/>
        <v>4.8708838199928994E-3</v>
      </c>
      <c r="D128">
        <v>58.048000000000002</v>
      </c>
      <c r="E128">
        <f t="shared" si="2"/>
        <v>-3.3628570393078316E-2</v>
      </c>
    </row>
    <row r="129" spans="1:5" x14ac:dyDescent="0.25">
      <c r="A129" s="48">
        <v>43213</v>
      </c>
      <c r="B129">
        <v>12594.019531</v>
      </c>
      <c r="C129">
        <f t="shared" si="3"/>
        <v>-1.0423144338137513E-3</v>
      </c>
      <c r="D129">
        <v>58.816001999999997</v>
      </c>
      <c r="E129">
        <f t="shared" si="2"/>
        <v>1.3230464443219292E-2</v>
      </c>
    </row>
    <row r="130" spans="1:5" x14ac:dyDescent="0.25">
      <c r="A130" s="48">
        <v>43220</v>
      </c>
      <c r="B130">
        <v>12493.349609000001</v>
      </c>
      <c r="C130">
        <f t="shared" si="3"/>
        <v>-7.9934703731562307E-3</v>
      </c>
      <c r="D130">
        <v>58.818001000000002</v>
      </c>
      <c r="E130">
        <f t="shared" si="2"/>
        <v>3.39873492252174E-5</v>
      </c>
    </row>
    <row r="131" spans="1:5" x14ac:dyDescent="0.25">
      <c r="A131" s="48">
        <v>43227</v>
      </c>
      <c r="B131">
        <v>12761.820313</v>
      </c>
      <c r="C131">
        <f t="shared" si="3"/>
        <v>2.1489089187626487E-2</v>
      </c>
      <c r="D131">
        <v>60.212001999999998</v>
      </c>
      <c r="E131">
        <f t="shared" si="2"/>
        <v>2.3700244420071348E-2</v>
      </c>
    </row>
    <row r="132" spans="1:5" x14ac:dyDescent="0.25">
      <c r="A132" s="48">
        <v>43234</v>
      </c>
      <c r="B132">
        <v>12717.419921999999</v>
      </c>
      <c r="C132">
        <f t="shared" si="3"/>
        <v>-3.4791581381828918E-3</v>
      </c>
      <c r="D132">
        <v>55.363998000000002</v>
      </c>
      <c r="E132">
        <f t="shared" si="2"/>
        <v>-8.0515575615638824E-2</v>
      </c>
    </row>
    <row r="133" spans="1:5" x14ac:dyDescent="0.25">
      <c r="A133" s="48">
        <v>43241</v>
      </c>
      <c r="B133">
        <v>12634.940430000001</v>
      </c>
      <c r="C133">
        <f t="shared" si="3"/>
        <v>-6.4855522980189484E-3</v>
      </c>
      <c r="D133">
        <v>55.77</v>
      </c>
      <c r="E133">
        <f t="shared" si="2"/>
        <v>7.3333215567272791E-3</v>
      </c>
    </row>
    <row r="134" spans="1:5" x14ac:dyDescent="0.25">
      <c r="A134" s="48">
        <v>43248</v>
      </c>
      <c r="B134">
        <v>12620.830078000001</v>
      </c>
      <c r="C134">
        <f t="shared" si="3"/>
        <v>-1.1167723408095354E-3</v>
      </c>
      <c r="D134">
        <v>58.363998000000002</v>
      </c>
      <c r="E134">
        <f t="shared" si="2"/>
        <v>4.6512426035502985E-2</v>
      </c>
    </row>
    <row r="135" spans="1:5" x14ac:dyDescent="0.25">
      <c r="A135" s="48">
        <v>43255</v>
      </c>
      <c r="B135">
        <v>12832.070313</v>
      </c>
      <c r="C135">
        <f t="shared" si="3"/>
        <v>1.6737428021333045E-2</v>
      </c>
      <c r="D135">
        <v>63.532001000000001</v>
      </c>
      <c r="E135">
        <f t="shared" si="2"/>
        <v>8.8547789340956307E-2</v>
      </c>
    </row>
    <row r="136" spans="1:5" x14ac:dyDescent="0.25">
      <c r="A136" s="48">
        <v>43262</v>
      </c>
      <c r="B136">
        <v>12734.639648</v>
      </c>
      <c r="C136">
        <f t="shared" si="3"/>
        <v>-7.5927471268056879E-3</v>
      </c>
      <c r="D136">
        <v>71.634003000000007</v>
      </c>
      <c r="E136">
        <f t="shared" si="2"/>
        <v>0.12752631543904935</v>
      </c>
    </row>
    <row r="137" spans="1:5" x14ac:dyDescent="0.25">
      <c r="A137" s="48">
        <v>43269</v>
      </c>
      <c r="B137">
        <v>12639.570313</v>
      </c>
      <c r="C137">
        <f t="shared" si="3"/>
        <v>-7.4654122635445797E-3</v>
      </c>
      <c r="D137">
        <v>66.725998000000004</v>
      </c>
      <c r="E137">
        <f t="shared" si="2"/>
        <v>-6.8515017930800282E-2</v>
      </c>
    </row>
    <row r="138" spans="1:5" x14ac:dyDescent="0.25">
      <c r="A138" s="48">
        <v>43276</v>
      </c>
      <c r="B138">
        <v>12504.25</v>
      </c>
      <c r="C138">
        <f t="shared" si="3"/>
        <v>-1.0706084910245828E-2</v>
      </c>
      <c r="D138">
        <v>68.589995999999999</v>
      </c>
      <c r="E138">
        <f t="shared" si="2"/>
        <v>2.7935108591406799E-2</v>
      </c>
    </row>
    <row r="139" spans="1:5" x14ac:dyDescent="0.25">
      <c r="A139" s="48">
        <v>43283</v>
      </c>
      <c r="B139">
        <v>12664.879883</v>
      </c>
      <c r="C139">
        <f t="shared" si="3"/>
        <v>1.2846022992182737E-2</v>
      </c>
      <c r="D139">
        <v>61.779998999999997</v>
      </c>
      <c r="E139">
        <f t="shared" si="2"/>
        <v>-9.9285572199187766E-2</v>
      </c>
    </row>
    <row r="140" spans="1:5" x14ac:dyDescent="0.25">
      <c r="A140" s="48">
        <v>43290</v>
      </c>
      <c r="B140">
        <v>12769.5</v>
      </c>
      <c r="C140">
        <f t="shared" si="3"/>
        <v>8.260648183519903E-3</v>
      </c>
      <c r="D140">
        <v>63.773997999999999</v>
      </c>
      <c r="E140">
        <f t="shared" si="2"/>
        <v>3.2275801752602806E-2</v>
      </c>
    </row>
    <row r="141" spans="1:5" x14ac:dyDescent="0.25">
      <c r="A141" s="48">
        <v>43297</v>
      </c>
      <c r="B141">
        <v>12789.910156</v>
      </c>
      <c r="C141">
        <f t="shared" si="3"/>
        <v>1.5983520106503946E-3</v>
      </c>
      <c r="D141">
        <v>62.716000000000001</v>
      </c>
      <c r="E141">
        <f t="shared" si="2"/>
        <v>-1.6589802006767629E-2</v>
      </c>
    </row>
    <row r="142" spans="1:5" x14ac:dyDescent="0.25">
      <c r="A142" s="48">
        <v>43304</v>
      </c>
      <c r="B142">
        <v>12921.339844</v>
      </c>
      <c r="C142">
        <f t="shared" si="3"/>
        <v>1.0276044663092732E-2</v>
      </c>
      <c r="D142">
        <v>59.436000999999997</v>
      </c>
      <c r="E142">
        <f t="shared" si="2"/>
        <v>-5.2299237834045553E-2</v>
      </c>
    </row>
    <row r="143" spans="1:5" x14ac:dyDescent="0.25">
      <c r="A143" s="48">
        <v>43311</v>
      </c>
      <c r="B143">
        <v>12953.339844</v>
      </c>
      <c r="C143">
        <f t="shared" si="3"/>
        <v>2.476523362618499E-3</v>
      </c>
      <c r="D143">
        <v>69.634003000000007</v>
      </c>
      <c r="E143">
        <f t="shared" si="2"/>
        <v>0.1715795448620443</v>
      </c>
    </row>
    <row r="144" spans="1:5" x14ac:dyDescent="0.25">
      <c r="A144" s="48">
        <v>43318</v>
      </c>
      <c r="B144">
        <v>12843.490234000001</v>
      </c>
      <c r="C144">
        <f t="shared" si="3"/>
        <v>-8.4804082439697837E-3</v>
      </c>
      <c r="D144">
        <v>71.097999999999999</v>
      </c>
      <c r="E144">
        <f t="shared" si="2"/>
        <v>2.1024168321904346E-2</v>
      </c>
    </row>
    <row r="145" spans="1:5" x14ac:dyDescent="0.25">
      <c r="A145" s="48">
        <v>43325</v>
      </c>
      <c r="B145">
        <v>12908.259765999999</v>
      </c>
      <c r="C145">
        <f t="shared" si="3"/>
        <v>5.0429852649038764E-3</v>
      </c>
      <c r="D145">
        <v>61.099997999999999</v>
      </c>
      <c r="E145">
        <f t="shared" si="2"/>
        <v>-0.14062283045936597</v>
      </c>
    </row>
    <row r="146" spans="1:5" x14ac:dyDescent="0.25">
      <c r="A146" s="48">
        <v>43332</v>
      </c>
      <c r="B146">
        <v>12999.440430000001</v>
      </c>
      <c r="C146">
        <f t="shared" si="3"/>
        <v>7.0637456677289379E-3</v>
      </c>
      <c r="D146">
        <v>64.564003</v>
      </c>
      <c r="E146">
        <f t="shared" si="2"/>
        <v>5.6694028042357791E-2</v>
      </c>
    </row>
    <row r="147" spans="1:5" x14ac:dyDescent="0.25">
      <c r="A147" s="48">
        <v>43339</v>
      </c>
      <c r="B147">
        <v>13016.889648</v>
      </c>
      <c r="C147">
        <f t="shared" si="3"/>
        <v>1.3423053164449694E-3</v>
      </c>
      <c r="D147">
        <v>60.332000999999998</v>
      </c>
      <c r="E147">
        <f t="shared" si="2"/>
        <v>-6.5547391787340148E-2</v>
      </c>
    </row>
    <row r="148" spans="1:5" x14ac:dyDescent="0.25">
      <c r="A148" s="48">
        <v>43346</v>
      </c>
      <c r="B148">
        <v>12911.120117</v>
      </c>
      <c r="C148">
        <f t="shared" si="3"/>
        <v>-8.1255610103639908E-3</v>
      </c>
      <c r="D148">
        <v>52.647998999999999</v>
      </c>
      <c r="E148">
        <f t="shared" si="2"/>
        <v>-0.1273619616892866</v>
      </c>
    </row>
    <row r="149" spans="1:5" x14ac:dyDescent="0.25">
      <c r="A149" s="48">
        <v>43353</v>
      </c>
      <c r="B149">
        <v>13050.519531</v>
      </c>
      <c r="C149">
        <f t="shared" si="3"/>
        <v>1.0796848974896633E-2</v>
      </c>
      <c r="D149">
        <v>59.040000999999997</v>
      </c>
      <c r="E149">
        <f t="shared" si="2"/>
        <v>0.12141016033676788</v>
      </c>
    </row>
    <row r="150" spans="1:5" x14ac:dyDescent="0.25">
      <c r="A150" s="48">
        <v>43360</v>
      </c>
      <c r="B150">
        <v>13236.440430000001</v>
      </c>
      <c r="C150">
        <f t="shared" si="3"/>
        <v>1.4246245029430948E-2</v>
      </c>
      <c r="D150">
        <v>59.82</v>
      </c>
      <c r="E150">
        <f t="shared" si="2"/>
        <v>1.3211364952382176E-2</v>
      </c>
    </row>
    <row r="151" spans="1:5" x14ac:dyDescent="0.25">
      <c r="A151" s="48">
        <v>43367</v>
      </c>
      <c r="B151">
        <v>13082.519531</v>
      </c>
      <c r="C151">
        <f t="shared" si="3"/>
        <v>-1.1628571881843963E-2</v>
      </c>
      <c r="D151">
        <v>52.953999000000003</v>
      </c>
      <c r="E151">
        <f t="shared" si="2"/>
        <v>-0.11477768304914737</v>
      </c>
    </row>
    <row r="152" spans="1:5" x14ac:dyDescent="0.25">
      <c r="A152" s="48">
        <v>43374</v>
      </c>
      <c r="B152">
        <v>12991.950194999999</v>
      </c>
      <c r="C152">
        <f t="shared" si="3"/>
        <v>-6.9229276352609226E-3</v>
      </c>
      <c r="D152">
        <v>52.389999000000003</v>
      </c>
      <c r="E152">
        <f t="shared" si="2"/>
        <v>-1.0650753685288228E-2</v>
      </c>
    </row>
    <row r="153" spans="1:5" x14ac:dyDescent="0.25">
      <c r="A153" s="48">
        <v>43381</v>
      </c>
      <c r="B153">
        <v>12439.419921999999</v>
      </c>
      <c r="C153">
        <f t="shared" si="3"/>
        <v>-4.2528663111150444E-2</v>
      </c>
      <c r="D153">
        <v>51.756000999999998</v>
      </c>
      <c r="E153">
        <f t="shared" si="2"/>
        <v>-1.2101508152348006E-2</v>
      </c>
    </row>
    <row r="154" spans="1:5" x14ac:dyDescent="0.25">
      <c r="A154" s="48">
        <v>43388</v>
      </c>
      <c r="B154">
        <v>12457.269531</v>
      </c>
      <c r="C154">
        <f t="shared" si="3"/>
        <v>1.4349229394878815E-3</v>
      </c>
      <c r="D154">
        <v>52</v>
      </c>
      <c r="E154">
        <f t="shared" si="2"/>
        <v>4.7144098323981254E-3</v>
      </c>
    </row>
    <row r="155" spans="1:5" x14ac:dyDescent="0.25">
      <c r="A155" s="48">
        <v>43395</v>
      </c>
      <c r="B155">
        <v>11976.950194999999</v>
      </c>
      <c r="C155">
        <f t="shared" si="3"/>
        <v>-3.8557352781419918E-2</v>
      </c>
      <c r="D155">
        <v>66.180000000000007</v>
      </c>
      <c r="E155">
        <f t="shared" si="2"/>
        <v>0.27269230769230779</v>
      </c>
    </row>
    <row r="156" spans="1:5" x14ac:dyDescent="0.25">
      <c r="A156" s="48">
        <v>43402</v>
      </c>
      <c r="B156">
        <v>12321.799805000001</v>
      </c>
      <c r="C156">
        <f t="shared" si="3"/>
        <v>2.8792773150544182E-2</v>
      </c>
      <c r="D156">
        <v>69.281998000000002</v>
      </c>
      <c r="E156">
        <f t="shared" si="2"/>
        <v>4.6872136597159164E-2</v>
      </c>
    </row>
    <row r="157" spans="1:5" x14ac:dyDescent="0.25">
      <c r="A157" s="48">
        <v>43409</v>
      </c>
      <c r="B157">
        <v>12537.530273</v>
      </c>
      <c r="C157">
        <f t="shared" si="3"/>
        <v>1.7508032220460157E-2</v>
      </c>
      <c r="D157">
        <v>70.101996999999997</v>
      </c>
      <c r="E157">
        <f t="shared" si="2"/>
        <v>1.1835671944680382E-2</v>
      </c>
    </row>
    <row r="158" spans="1:5" x14ac:dyDescent="0.25">
      <c r="A158" s="48">
        <v>43416</v>
      </c>
      <c r="B158">
        <v>12400.280273</v>
      </c>
      <c r="C158">
        <f t="shared" si="3"/>
        <v>-1.0947132091523093E-2</v>
      </c>
      <c r="D158">
        <v>70.861999999999995</v>
      </c>
      <c r="E158">
        <f t="shared" si="2"/>
        <v>1.0841388726771983E-2</v>
      </c>
    </row>
    <row r="159" spans="1:5" x14ac:dyDescent="0.25">
      <c r="A159" s="48">
        <v>43423</v>
      </c>
      <c r="B159">
        <v>12036.240234000001</v>
      </c>
      <c r="C159">
        <f t="shared" si="3"/>
        <v>-2.9357404105828877E-2</v>
      </c>
      <c r="D159">
        <v>65.165999999999997</v>
      </c>
      <c r="E159">
        <f t="shared" si="2"/>
        <v>-8.0381586746069766E-2</v>
      </c>
    </row>
    <row r="160" spans="1:5" x14ac:dyDescent="0.25">
      <c r="A160" s="48">
        <v>43430</v>
      </c>
      <c r="B160">
        <v>12457.549805000001</v>
      </c>
      <c r="C160">
        <f t="shared" si="3"/>
        <v>3.5003419905983879E-2</v>
      </c>
      <c r="D160">
        <v>70.096001000000001</v>
      </c>
      <c r="E160">
        <f t="shared" si="2"/>
        <v>7.5652963201669587E-2</v>
      </c>
    </row>
    <row r="161" spans="1:5" x14ac:dyDescent="0.25">
      <c r="A161" s="48">
        <v>43437</v>
      </c>
      <c r="B161">
        <v>11941.929688</v>
      </c>
      <c r="C161">
        <f t="shared" si="3"/>
        <v>-4.1390171026492673E-2</v>
      </c>
      <c r="D161">
        <v>71.594002000000003</v>
      </c>
      <c r="E161">
        <f t="shared" si="2"/>
        <v>2.1370705584188743E-2</v>
      </c>
    </row>
    <row r="162" spans="1:5" x14ac:dyDescent="0.25">
      <c r="A162" s="48">
        <v>43444</v>
      </c>
      <c r="B162">
        <v>11755.379883</v>
      </c>
      <c r="C162">
        <f t="shared" si="3"/>
        <v>-1.5621412106240906E-2</v>
      </c>
      <c r="D162">
        <v>73.141998000000001</v>
      </c>
      <c r="E162">
        <f t="shared" si="2"/>
        <v>2.1621867150267704E-2</v>
      </c>
    </row>
    <row r="163" spans="1:5" x14ac:dyDescent="0.25">
      <c r="A163" s="48">
        <v>43451</v>
      </c>
      <c r="B163">
        <v>11036.839844</v>
      </c>
      <c r="C163">
        <f t="shared" si="3"/>
        <v>-6.1124357200834756E-2</v>
      </c>
      <c r="D163">
        <v>63.953999000000003</v>
      </c>
      <c r="E163">
        <f t="shared" si="2"/>
        <v>-0.12561864935655709</v>
      </c>
    </row>
    <row r="164" spans="1:5" x14ac:dyDescent="0.25">
      <c r="A164" s="48">
        <v>43458</v>
      </c>
      <c r="B164">
        <v>11290.950194999999</v>
      </c>
      <c r="C164">
        <f t="shared" si="3"/>
        <v>2.3023832418674006E-2</v>
      </c>
      <c r="D164">
        <v>66.774001999999996</v>
      </c>
      <c r="E164">
        <f t="shared" si="2"/>
        <v>4.4094240299187515E-2</v>
      </c>
    </row>
    <row r="165" spans="1:5" x14ac:dyDescent="0.25">
      <c r="A165" s="48">
        <v>43465</v>
      </c>
      <c r="B165">
        <v>11533.339844</v>
      </c>
      <c r="C165">
        <f t="shared" si="3"/>
        <v>2.1467604126651718E-2</v>
      </c>
      <c r="D165">
        <v>63.537998000000002</v>
      </c>
      <c r="E165">
        <f t="shared" si="2"/>
        <v>-4.846203467031962E-2</v>
      </c>
    </row>
    <row r="166" spans="1:5" x14ac:dyDescent="0.25">
      <c r="A166" s="48">
        <v>43472</v>
      </c>
      <c r="B166">
        <v>11848.009765999999</v>
      </c>
      <c r="C166">
        <f t="shared" si="3"/>
        <v>2.7283503846780244E-2</v>
      </c>
      <c r="D166">
        <v>69.452003000000005</v>
      </c>
      <c r="E166">
        <f t="shared" si="2"/>
        <v>9.3078239575631549E-2</v>
      </c>
    </row>
    <row r="167" spans="1:5" x14ac:dyDescent="0.25">
      <c r="A167" s="48">
        <v>43479</v>
      </c>
      <c r="B167">
        <v>12151.769531</v>
      </c>
      <c r="C167">
        <f t="shared" si="3"/>
        <v>2.5638041409426826E-2</v>
      </c>
      <c r="D167">
        <v>60.451999999999998</v>
      </c>
      <c r="E167">
        <f t="shared" si="2"/>
        <v>-0.12958593865176227</v>
      </c>
    </row>
    <row r="168" spans="1:5" x14ac:dyDescent="0.25">
      <c r="A168" s="48">
        <v>43486</v>
      </c>
      <c r="B168">
        <v>12127.25</v>
      </c>
      <c r="C168">
        <f t="shared" si="3"/>
        <v>-2.0177745255494095E-3</v>
      </c>
      <c r="D168">
        <v>59.408000999999999</v>
      </c>
      <c r="E168">
        <f t="shared" ref="E168:E231" si="4">D168/D167-1</f>
        <v>-1.7269883543968745E-2</v>
      </c>
    </row>
    <row r="169" spans="1:5" x14ac:dyDescent="0.25">
      <c r="A169" s="48">
        <v>43493</v>
      </c>
      <c r="B169">
        <v>12329.690430000001</v>
      </c>
      <c r="C169">
        <f t="shared" ref="C169:C232" si="5">B169/B168-1</f>
        <v>1.6693020264280989E-2</v>
      </c>
      <c r="D169">
        <v>62.442000999999998</v>
      </c>
      <c r="E169">
        <f t="shared" si="4"/>
        <v>5.1070562027495159E-2</v>
      </c>
    </row>
    <row r="170" spans="1:5" x14ac:dyDescent="0.25">
      <c r="A170" s="48">
        <v>43500</v>
      </c>
      <c r="B170">
        <v>12292.139648</v>
      </c>
      <c r="C170">
        <f t="shared" si="5"/>
        <v>-3.0455575679850799E-3</v>
      </c>
      <c r="D170">
        <v>61.16</v>
      </c>
      <c r="E170">
        <f t="shared" si="4"/>
        <v>-2.0531068503073735E-2</v>
      </c>
    </row>
    <row r="171" spans="1:5" x14ac:dyDescent="0.25">
      <c r="A171" s="48">
        <v>43507</v>
      </c>
      <c r="B171">
        <v>12603.469727</v>
      </c>
      <c r="C171">
        <f t="shared" si="5"/>
        <v>2.532757419906595E-2</v>
      </c>
      <c r="D171">
        <v>61.576000000000001</v>
      </c>
      <c r="E171">
        <f t="shared" si="4"/>
        <v>6.8018312622630805E-3</v>
      </c>
    </row>
    <row r="172" spans="1:5" x14ac:dyDescent="0.25">
      <c r="A172" s="48">
        <v>43514</v>
      </c>
      <c r="B172">
        <v>12694.519531</v>
      </c>
      <c r="C172">
        <f t="shared" si="5"/>
        <v>7.2241855593897508E-3</v>
      </c>
      <c r="D172">
        <v>58.942000999999998</v>
      </c>
      <c r="E172">
        <f t="shared" si="4"/>
        <v>-4.2776390152007293E-2</v>
      </c>
    </row>
    <row r="173" spans="1:5" x14ac:dyDescent="0.25">
      <c r="A173" s="48">
        <v>43521</v>
      </c>
      <c r="B173">
        <v>12700.669921999999</v>
      </c>
      <c r="C173">
        <f t="shared" si="5"/>
        <v>4.8449183011456398E-4</v>
      </c>
      <c r="D173">
        <v>58.957999999999998</v>
      </c>
      <c r="E173">
        <f t="shared" si="4"/>
        <v>2.7143632263171291E-4</v>
      </c>
    </row>
    <row r="174" spans="1:5" x14ac:dyDescent="0.25">
      <c r="A174" s="48">
        <v>43528</v>
      </c>
      <c r="B174">
        <v>12415.129883</v>
      </c>
      <c r="C174">
        <f t="shared" si="5"/>
        <v>-2.2482281702746243E-2</v>
      </c>
      <c r="D174">
        <v>56.827998999999998</v>
      </c>
      <c r="E174">
        <f t="shared" si="4"/>
        <v>-3.6127429695715585E-2</v>
      </c>
    </row>
    <row r="175" spans="1:5" x14ac:dyDescent="0.25">
      <c r="A175" s="48">
        <v>43535</v>
      </c>
      <c r="B175">
        <v>12715.769531</v>
      </c>
      <c r="C175">
        <f t="shared" si="5"/>
        <v>2.4215586210794671E-2</v>
      </c>
      <c r="D175">
        <v>55.085999000000001</v>
      </c>
      <c r="E175">
        <f t="shared" si="4"/>
        <v>-3.0653903544976102E-2</v>
      </c>
    </row>
    <row r="176" spans="1:5" x14ac:dyDescent="0.25">
      <c r="A176" s="48">
        <v>43542</v>
      </c>
      <c r="B176">
        <v>12539.410156</v>
      </c>
      <c r="C176">
        <f t="shared" si="5"/>
        <v>-1.3869343461286432E-2</v>
      </c>
      <c r="D176">
        <v>52.905997999999997</v>
      </c>
      <c r="E176">
        <f t="shared" si="4"/>
        <v>-3.9574502406682366E-2</v>
      </c>
    </row>
    <row r="177" spans="1:5" x14ac:dyDescent="0.25">
      <c r="A177" s="48">
        <v>43549</v>
      </c>
      <c r="B177">
        <v>12696.879883</v>
      </c>
      <c r="C177">
        <f t="shared" si="5"/>
        <v>1.2557985187577003E-2</v>
      </c>
      <c r="D177">
        <v>55.972000000000001</v>
      </c>
      <c r="E177">
        <f t="shared" si="4"/>
        <v>5.7951879104520598E-2</v>
      </c>
    </row>
    <row r="178" spans="1:5" x14ac:dyDescent="0.25">
      <c r="A178" s="48">
        <v>43556</v>
      </c>
      <c r="B178">
        <v>12927.719727</v>
      </c>
      <c r="C178">
        <f t="shared" si="5"/>
        <v>1.8180832308973383E-2</v>
      </c>
      <c r="D178">
        <v>54.992001000000002</v>
      </c>
      <c r="E178">
        <f t="shared" si="4"/>
        <v>-1.7508736511112732E-2</v>
      </c>
    </row>
    <row r="179" spans="1:5" x14ac:dyDescent="0.25">
      <c r="A179" s="48">
        <v>43563</v>
      </c>
      <c r="B179">
        <v>12969.540039</v>
      </c>
      <c r="C179">
        <f t="shared" si="5"/>
        <v>3.2349333744183806E-3</v>
      </c>
      <c r="D179">
        <v>53.540000999999997</v>
      </c>
      <c r="E179">
        <f t="shared" si="4"/>
        <v>-2.6403840078487173E-2</v>
      </c>
    </row>
    <row r="180" spans="1:5" x14ac:dyDescent="0.25">
      <c r="A180" s="48">
        <v>43570</v>
      </c>
      <c r="B180">
        <v>12922.709961</v>
      </c>
      <c r="C180">
        <f t="shared" si="5"/>
        <v>-3.6107740027154778E-3</v>
      </c>
      <c r="D180">
        <v>54.652000000000001</v>
      </c>
      <c r="E180">
        <f t="shared" si="4"/>
        <v>2.076949905174641E-2</v>
      </c>
    </row>
    <row r="181" spans="1:5" x14ac:dyDescent="0.25">
      <c r="A181" s="48">
        <v>43577</v>
      </c>
      <c r="B181">
        <v>12991.200194999999</v>
      </c>
      <c r="C181">
        <f t="shared" si="5"/>
        <v>5.2999900335686245E-3</v>
      </c>
      <c r="D181">
        <v>47.027999999999999</v>
      </c>
      <c r="E181">
        <f t="shared" si="4"/>
        <v>-0.13950084168923371</v>
      </c>
    </row>
    <row r="182" spans="1:5" x14ac:dyDescent="0.25">
      <c r="A182" s="48">
        <v>43584</v>
      </c>
      <c r="B182">
        <v>13037.879883</v>
      </c>
      <c r="C182">
        <f t="shared" si="5"/>
        <v>3.5931774816284623E-3</v>
      </c>
      <c r="D182">
        <v>51.006000999999998</v>
      </c>
      <c r="E182">
        <f t="shared" si="4"/>
        <v>8.4587926341753938E-2</v>
      </c>
    </row>
    <row r="183" spans="1:5" x14ac:dyDescent="0.25">
      <c r="A183" s="48">
        <v>43591</v>
      </c>
      <c r="B183">
        <v>12788.139648</v>
      </c>
      <c r="C183">
        <f t="shared" si="5"/>
        <v>-1.9154972836161299E-2</v>
      </c>
      <c r="D183">
        <v>47.903998999999999</v>
      </c>
      <c r="E183">
        <f t="shared" si="4"/>
        <v>-6.0816412562906041E-2</v>
      </c>
    </row>
    <row r="184" spans="1:5" x14ac:dyDescent="0.25">
      <c r="A184" s="48">
        <v>43598</v>
      </c>
      <c r="B184">
        <v>12657.629883</v>
      </c>
      <c r="C184">
        <f t="shared" si="5"/>
        <v>-1.0205531734274742E-2</v>
      </c>
      <c r="D184">
        <v>42.206001000000001</v>
      </c>
      <c r="E184">
        <f t="shared" si="4"/>
        <v>-0.11894618651774769</v>
      </c>
    </row>
    <row r="185" spans="1:5" x14ac:dyDescent="0.25">
      <c r="A185" s="48">
        <v>43605</v>
      </c>
      <c r="B185">
        <v>12581.360352</v>
      </c>
      <c r="C185">
        <f t="shared" si="5"/>
        <v>-6.0255775927241517E-3</v>
      </c>
      <c r="D185">
        <v>38.125999</v>
      </c>
      <c r="E185">
        <f t="shared" si="4"/>
        <v>-9.6668765183415495E-2</v>
      </c>
    </row>
    <row r="186" spans="1:5" x14ac:dyDescent="0.25">
      <c r="A186" s="48">
        <v>43612</v>
      </c>
      <c r="B186">
        <v>12264.490234000001</v>
      </c>
      <c r="C186">
        <f t="shared" si="5"/>
        <v>-2.5185680175643932E-2</v>
      </c>
      <c r="D186">
        <v>37.032001000000001</v>
      </c>
      <c r="E186">
        <f t="shared" si="4"/>
        <v>-2.8694277624043307E-2</v>
      </c>
    </row>
    <row r="187" spans="1:5" x14ac:dyDescent="0.25">
      <c r="A187" s="48">
        <v>43619</v>
      </c>
      <c r="B187">
        <v>12765.860352</v>
      </c>
      <c r="C187">
        <f t="shared" si="5"/>
        <v>4.0879817133376184E-2</v>
      </c>
      <c r="D187">
        <v>40.900002000000001</v>
      </c>
      <c r="E187">
        <f t="shared" si="4"/>
        <v>0.10445022941104365</v>
      </c>
    </row>
    <row r="188" spans="1:5" x14ac:dyDescent="0.25">
      <c r="A188" s="48">
        <v>43626</v>
      </c>
      <c r="B188">
        <v>12787.240234000001</v>
      </c>
      <c r="C188">
        <f t="shared" si="5"/>
        <v>1.6747701612334076E-3</v>
      </c>
      <c r="D188">
        <v>42.984000999999999</v>
      </c>
      <c r="E188">
        <f t="shared" si="4"/>
        <v>5.095351829078143E-2</v>
      </c>
    </row>
    <row r="189" spans="1:5" x14ac:dyDescent="0.25">
      <c r="A189" s="48">
        <v>43633</v>
      </c>
      <c r="B189">
        <v>13047.240234000001</v>
      </c>
      <c r="C189">
        <f t="shared" si="5"/>
        <v>2.0332768857246108E-2</v>
      </c>
      <c r="D189">
        <v>44.372002000000002</v>
      </c>
      <c r="E189">
        <f t="shared" si="4"/>
        <v>3.2291107568139132E-2</v>
      </c>
    </row>
    <row r="190" spans="1:5" x14ac:dyDescent="0.25">
      <c r="A190" s="48">
        <v>43640</v>
      </c>
      <c r="B190">
        <v>13049.709961</v>
      </c>
      <c r="C190">
        <f t="shared" si="5"/>
        <v>1.8929114170540551E-4</v>
      </c>
      <c r="D190">
        <v>44.692000999999998</v>
      </c>
      <c r="E190">
        <f t="shared" si="4"/>
        <v>7.2117322991194222E-3</v>
      </c>
    </row>
    <row r="191" spans="1:5" x14ac:dyDescent="0.25">
      <c r="A191" s="48">
        <v>43647</v>
      </c>
      <c r="B191">
        <v>13210.910156</v>
      </c>
      <c r="C191">
        <f t="shared" si="5"/>
        <v>1.2352779907121247E-2</v>
      </c>
      <c r="D191">
        <v>46.619999</v>
      </c>
      <c r="E191">
        <f t="shared" si="4"/>
        <v>4.3139666089240469E-2</v>
      </c>
    </row>
    <row r="192" spans="1:5" x14ac:dyDescent="0.25">
      <c r="A192" s="48">
        <v>43654</v>
      </c>
      <c r="B192">
        <v>13234.759765999999</v>
      </c>
      <c r="C192">
        <f t="shared" si="5"/>
        <v>1.805296510109633E-3</v>
      </c>
      <c r="D192">
        <v>49.015999000000001</v>
      </c>
      <c r="E192">
        <f t="shared" si="4"/>
        <v>5.1394252496659298E-2</v>
      </c>
    </row>
    <row r="193" spans="1:5" x14ac:dyDescent="0.25">
      <c r="A193" s="48">
        <v>43661</v>
      </c>
      <c r="B193">
        <v>13111.990234000001</v>
      </c>
      <c r="C193">
        <f t="shared" si="5"/>
        <v>-9.2762947095867965E-3</v>
      </c>
      <c r="D193">
        <v>51.636001999999998</v>
      </c>
      <c r="E193">
        <f t="shared" si="4"/>
        <v>5.3451996357352538E-2</v>
      </c>
    </row>
    <row r="194" spans="1:5" x14ac:dyDescent="0.25">
      <c r="A194" s="48">
        <v>43668</v>
      </c>
      <c r="B194">
        <v>13235.5</v>
      </c>
      <c r="C194">
        <f t="shared" si="5"/>
        <v>9.4196047888850387E-3</v>
      </c>
      <c r="D194">
        <v>45.608001999999999</v>
      </c>
      <c r="E194">
        <f t="shared" si="4"/>
        <v>-0.11674025421255496</v>
      </c>
    </row>
    <row r="195" spans="1:5" x14ac:dyDescent="0.25">
      <c r="A195" s="48">
        <v>43675</v>
      </c>
      <c r="B195">
        <v>12839.509765999999</v>
      </c>
      <c r="C195">
        <f t="shared" si="5"/>
        <v>-2.991879672094E-2</v>
      </c>
      <c r="D195">
        <v>46.868000000000002</v>
      </c>
      <c r="E195">
        <f t="shared" si="4"/>
        <v>2.7626687088813995E-2</v>
      </c>
    </row>
    <row r="196" spans="1:5" x14ac:dyDescent="0.25">
      <c r="A196" s="48">
        <v>43682</v>
      </c>
      <c r="B196">
        <v>12748.419921999999</v>
      </c>
      <c r="C196">
        <f t="shared" si="5"/>
        <v>-7.0944954799764259E-3</v>
      </c>
      <c r="D196">
        <v>47.001998999999998</v>
      </c>
      <c r="E196">
        <f t="shared" si="4"/>
        <v>2.859072288128317E-3</v>
      </c>
    </row>
    <row r="197" spans="1:5" x14ac:dyDescent="0.25">
      <c r="A197" s="48">
        <v>43689</v>
      </c>
      <c r="B197">
        <v>12580.410156</v>
      </c>
      <c r="C197">
        <f t="shared" si="5"/>
        <v>-1.3178869775858582E-2</v>
      </c>
      <c r="D197">
        <v>43.987999000000002</v>
      </c>
      <c r="E197">
        <f t="shared" si="4"/>
        <v>-6.4124932218308284E-2</v>
      </c>
    </row>
    <row r="198" spans="1:5" x14ac:dyDescent="0.25">
      <c r="A198" s="48">
        <v>43696</v>
      </c>
      <c r="B198">
        <v>12416.450194999999</v>
      </c>
      <c r="C198">
        <f t="shared" si="5"/>
        <v>-1.3032958303176079E-2</v>
      </c>
      <c r="D198">
        <v>42.279998999999997</v>
      </c>
      <c r="E198">
        <f t="shared" si="4"/>
        <v>-3.8828772365844699E-2</v>
      </c>
    </row>
    <row r="199" spans="1:5" x14ac:dyDescent="0.25">
      <c r="A199" s="48">
        <v>43703</v>
      </c>
      <c r="B199">
        <v>12736.879883</v>
      </c>
      <c r="C199">
        <f t="shared" si="5"/>
        <v>2.5806867741396289E-2</v>
      </c>
      <c r="D199">
        <v>45.122002000000002</v>
      </c>
      <c r="E199">
        <f t="shared" si="4"/>
        <v>6.7218615591736475E-2</v>
      </c>
    </row>
    <row r="200" spans="1:5" x14ac:dyDescent="0.25">
      <c r="A200" s="48">
        <v>43710</v>
      </c>
      <c r="B200">
        <v>12933.379883</v>
      </c>
      <c r="C200">
        <f t="shared" si="5"/>
        <v>1.5427640191713721E-2</v>
      </c>
      <c r="D200">
        <v>45.490001999999997</v>
      </c>
      <c r="E200">
        <f t="shared" si="4"/>
        <v>8.1556664972444182E-3</v>
      </c>
    </row>
    <row r="201" spans="1:5" x14ac:dyDescent="0.25">
      <c r="A201" s="48">
        <v>43717</v>
      </c>
      <c r="B201">
        <v>13124.339844</v>
      </c>
      <c r="C201">
        <f t="shared" si="5"/>
        <v>1.4764892296328824E-2</v>
      </c>
      <c r="D201">
        <v>49.040000999999997</v>
      </c>
      <c r="E201">
        <f t="shared" si="4"/>
        <v>7.8039104065108722E-2</v>
      </c>
    </row>
    <row r="202" spans="1:5" x14ac:dyDescent="0.25">
      <c r="A202" s="48">
        <v>43724</v>
      </c>
      <c r="B202">
        <v>13093.799805000001</v>
      </c>
      <c r="C202">
        <f t="shared" si="5"/>
        <v>-2.3269771556518881E-3</v>
      </c>
      <c r="D202">
        <v>48.124001</v>
      </c>
      <c r="E202">
        <f t="shared" si="4"/>
        <v>-1.8678629309163308E-2</v>
      </c>
    </row>
    <row r="203" spans="1:5" x14ac:dyDescent="0.25">
      <c r="A203" s="48">
        <v>43731</v>
      </c>
      <c r="B203">
        <v>12971.980469</v>
      </c>
      <c r="C203">
        <f t="shared" si="5"/>
        <v>-9.3035893181658835E-3</v>
      </c>
      <c r="D203">
        <v>48.425998999999997</v>
      </c>
      <c r="E203">
        <f t="shared" si="4"/>
        <v>6.275413384684958E-3</v>
      </c>
    </row>
    <row r="204" spans="1:5" x14ac:dyDescent="0.25">
      <c r="A204" s="48">
        <v>43738</v>
      </c>
      <c r="B204">
        <v>12831.549805000001</v>
      </c>
      <c r="C204">
        <f t="shared" si="5"/>
        <v>-1.0825691908463497E-2</v>
      </c>
      <c r="D204">
        <v>46.285998999999997</v>
      </c>
      <c r="E204">
        <f t="shared" si="4"/>
        <v>-4.4191137905074562E-2</v>
      </c>
    </row>
    <row r="205" spans="1:5" x14ac:dyDescent="0.25">
      <c r="A205" s="48">
        <v>43745</v>
      </c>
      <c r="B205">
        <v>12926.919921999999</v>
      </c>
      <c r="C205">
        <f t="shared" si="5"/>
        <v>7.4324706250865624E-3</v>
      </c>
      <c r="D205">
        <v>49.577998999999998</v>
      </c>
      <c r="E205">
        <f t="shared" si="4"/>
        <v>7.1123019295748602E-2</v>
      </c>
    </row>
    <row r="206" spans="1:5" x14ac:dyDescent="0.25">
      <c r="A206" s="48">
        <v>43752</v>
      </c>
      <c r="B206">
        <v>13006.639648</v>
      </c>
      <c r="C206">
        <f t="shared" si="5"/>
        <v>6.1669544238707186E-3</v>
      </c>
      <c r="D206">
        <v>51.389999000000003</v>
      </c>
      <c r="E206">
        <f t="shared" si="4"/>
        <v>3.6548469816218399E-2</v>
      </c>
    </row>
    <row r="207" spans="1:5" x14ac:dyDescent="0.25">
      <c r="A207" s="48">
        <v>43759</v>
      </c>
      <c r="B207">
        <v>13146.240234000001</v>
      </c>
      <c r="C207">
        <f t="shared" si="5"/>
        <v>1.0733024807177305E-2</v>
      </c>
      <c r="D207">
        <v>65.625998999999993</v>
      </c>
      <c r="E207">
        <f t="shared" si="4"/>
        <v>0.27701888065808267</v>
      </c>
    </row>
    <row r="208" spans="1:5" x14ac:dyDescent="0.25">
      <c r="A208" s="48">
        <v>43766</v>
      </c>
      <c r="B208">
        <v>13300.269531</v>
      </c>
      <c r="C208">
        <f t="shared" si="5"/>
        <v>1.1716604463201108E-2</v>
      </c>
      <c r="D208">
        <v>62.661999000000002</v>
      </c>
      <c r="E208">
        <f t="shared" si="4"/>
        <v>-4.5165026744964143E-2</v>
      </c>
    </row>
    <row r="209" spans="1:5" x14ac:dyDescent="0.25">
      <c r="A209" s="48">
        <v>43773</v>
      </c>
      <c r="B209">
        <v>13407.799805000001</v>
      </c>
      <c r="C209">
        <f t="shared" si="5"/>
        <v>8.0848191647071577E-3</v>
      </c>
      <c r="D209">
        <v>67.428000999999995</v>
      </c>
      <c r="E209">
        <f t="shared" si="4"/>
        <v>7.6058888577748673E-2</v>
      </c>
    </row>
    <row r="210" spans="1:5" x14ac:dyDescent="0.25">
      <c r="A210" s="48">
        <v>43780</v>
      </c>
      <c r="B210">
        <v>13492.959961</v>
      </c>
      <c r="C210">
        <f t="shared" si="5"/>
        <v>6.3515384506442896E-3</v>
      </c>
      <c r="D210">
        <v>70.433998000000003</v>
      </c>
      <c r="E210">
        <f t="shared" si="4"/>
        <v>4.4580841125632764E-2</v>
      </c>
    </row>
    <row r="211" spans="1:5" x14ac:dyDescent="0.25">
      <c r="A211" s="48">
        <v>43787</v>
      </c>
      <c r="B211">
        <v>13440.950194999999</v>
      </c>
      <c r="C211">
        <f t="shared" si="5"/>
        <v>-3.8545853652816042E-3</v>
      </c>
      <c r="D211">
        <v>66.608001999999999</v>
      </c>
      <c r="E211">
        <f t="shared" si="4"/>
        <v>-5.4320301397629112E-2</v>
      </c>
    </row>
    <row r="212" spans="1:5" x14ac:dyDescent="0.25">
      <c r="A212" s="48">
        <v>43794</v>
      </c>
      <c r="B212">
        <v>13545.209961</v>
      </c>
      <c r="C212">
        <f t="shared" si="5"/>
        <v>7.7568746619405271E-3</v>
      </c>
      <c r="D212">
        <v>65.987999000000002</v>
      </c>
      <c r="E212">
        <f t="shared" si="4"/>
        <v>-9.3082359684050209E-3</v>
      </c>
    </row>
    <row r="213" spans="1:5" x14ac:dyDescent="0.25">
      <c r="A213" s="48">
        <v>43801</v>
      </c>
      <c r="B213">
        <v>13588.290039</v>
      </c>
      <c r="C213">
        <f t="shared" si="5"/>
        <v>3.1804658712590861E-3</v>
      </c>
      <c r="D213">
        <v>67.178000999999995</v>
      </c>
      <c r="E213">
        <f t="shared" si="4"/>
        <v>1.8033612445196079E-2</v>
      </c>
    </row>
    <row r="214" spans="1:5" x14ac:dyDescent="0.25">
      <c r="A214" s="48">
        <v>43808</v>
      </c>
      <c r="B214">
        <v>13697.339844</v>
      </c>
      <c r="C214">
        <f t="shared" si="5"/>
        <v>8.0252779920810813E-3</v>
      </c>
      <c r="D214">
        <v>71.678000999999995</v>
      </c>
      <c r="E214">
        <f t="shared" si="4"/>
        <v>6.6986214728241178E-2</v>
      </c>
    </row>
    <row r="215" spans="1:5" x14ac:dyDescent="0.25">
      <c r="A215" s="48">
        <v>43815</v>
      </c>
      <c r="B215">
        <v>13889.25</v>
      </c>
      <c r="C215">
        <f t="shared" si="5"/>
        <v>1.4010761081033163E-2</v>
      </c>
      <c r="D215">
        <v>81.117996000000005</v>
      </c>
      <c r="E215">
        <f t="shared" si="4"/>
        <v>0.13170003164569288</v>
      </c>
    </row>
    <row r="216" spans="1:5" x14ac:dyDescent="0.25">
      <c r="A216" s="48">
        <v>43822</v>
      </c>
      <c r="B216">
        <v>13944.139648</v>
      </c>
      <c r="C216">
        <f t="shared" si="5"/>
        <v>3.9519519052504393E-3</v>
      </c>
      <c r="D216">
        <v>86.075996000000004</v>
      </c>
      <c r="E216">
        <f t="shared" si="4"/>
        <v>6.1120839326454846E-2</v>
      </c>
    </row>
    <row r="217" spans="1:5" x14ac:dyDescent="0.25">
      <c r="A217" s="48">
        <v>43829</v>
      </c>
      <c r="B217">
        <v>13917.049805000001</v>
      </c>
      <c r="C217">
        <f t="shared" si="5"/>
        <v>-1.9427403686311795E-3</v>
      </c>
      <c r="D217">
        <v>88.601996999999997</v>
      </c>
      <c r="E217">
        <f t="shared" si="4"/>
        <v>2.9346172189514963E-2</v>
      </c>
    </row>
    <row r="218" spans="1:5" x14ac:dyDescent="0.25">
      <c r="A218" s="48">
        <v>43836</v>
      </c>
      <c r="B218">
        <v>13957.969727</v>
      </c>
      <c r="C218">
        <f t="shared" si="5"/>
        <v>2.9402727282974439E-3</v>
      </c>
      <c r="D218">
        <v>95.629997000000003</v>
      </c>
      <c r="E218">
        <f t="shared" si="4"/>
        <v>7.9321011240863992E-2</v>
      </c>
    </row>
    <row r="219" spans="1:5" x14ac:dyDescent="0.25">
      <c r="A219" s="48">
        <v>43843</v>
      </c>
      <c r="B219">
        <v>14183.200194999999</v>
      </c>
      <c r="C219">
        <f t="shared" si="5"/>
        <v>1.6136334467348634E-2</v>
      </c>
      <c r="D219">
        <v>102.099998</v>
      </c>
      <c r="E219">
        <f t="shared" si="4"/>
        <v>6.7656605698732664E-2</v>
      </c>
    </row>
    <row r="220" spans="1:5" x14ac:dyDescent="0.25">
      <c r="A220" s="48">
        <v>43850</v>
      </c>
      <c r="B220">
        <v>13978.469727</v>
      </c>
      <c r="C220">
        <f t="shared" si="5"/>
        <v>-1.4434716085596322E-2</v>
      </c>
      <c r="D220">
        <v>112.96399700000001</v>
      </c>
      <c r="E220">
        <f t="shared" si="4"/>
        <v>0.10640547710882431</v>
      </c>
    </row>
    <row r="221" spans="1:5" x14ac:dyDescent="0.25">
      <c r="A221" s="48">
        <v>43857</v>
      </c>
      <c r="B221">
        <v>13614.099609000001</v>
      </c>
      <c r="C221">
        <f t="shared" si="5"/>
        <v>-2.6066524098571575E-2</v>
      </c>
      <c r="D221">
        <v>130.11399800000001</v>
      </c>
      <c r="E221">
        <f t="shared" si="4"/>
        <v>0.15181829127381175</v>
      </c>
    </row>
    <row r="222" spans="1:5" x14ac:dyDescent="0.25">
      <c r="A222" s="48">
        <v>43864</v>
      </c>
      <c r="B222">
        <v>13931.929688</v>
      </c>
      <c r="C222">
        <f t="shared" si="5"/>
        <v>2.3345655469561022E-2</v>
      </c>
      <c r="D222">
        <v>149.61399800000001</v>
      </c>
      <c r="E222">
        <f t="shared" si="4"/>
        <v>0.1498685790901606</v>
      </c>
    </row>
    <row r="223" spans="1:5" x14ac:dyDescent="0.25">
      <c r="A223" s="48">
        <v>43871</v>
      </c>
      <c r="B223">
        <v>14097.339844</v>
      </c>
      <c r="C223">
        <f t="shared" si="5"/>
        <v>1.1872738357449064E-2</v>
      </c>
      <c r="D223">
        <v>160.00599700000001</v>
      </c>
      <c r="E223">
        <f t="shared" si="4"/>
        <v>6.9458734736839167E-2</v>
      </c>
    </row>
    <row r="224" spans="1:5" x14ac:dyDescent="0.25">
      <c r="A224" s="48">
        <v>43878</v>
      </c>
      <c r="B224">
        <v>13975.780273</v>
      </c>
      <c r="C224">
        <f t="shared" si="5"/>
        <v>-8.6228729920090341E-3</v>
      </c>
      <c r="D224">
        <v>180.199997</v>
      </c>
      <c r="E224">
        <f t="shared" si="4"/>
        <v>0.12620776957503654</v>
      </c>
    </row>
    <row r="225" spans="1:5" x14ac:dyDescent="0.25">
      <c r="A225" s="48">
        <v>43885</v>
      </c>
      <c r="B225">
        <v>12380.969727</v>
      </c>
      <c r="C225">
        <f t="shared" si="5"/>
        <v>-0.11411245131558323</v>
      </c>
      <c r="D225">
        <v>133.598007</v>
      </c>
      <c r="E225">
        <f t="shared" si="4"/>
        <v>-0.25861260141974363</v>
      </c>
    </row>
    <row r="226" spans="1:5" x14ac:dyDescent="0.25">
      <c r="A226" s="48">
        <v>43892</v>
      </c>
      <c r="B226">
        <v>12352.030273</v>
      </c>
      <c r="C226">
        <f t="shared" si="5"/>
        <v>-2.3374141636812729E-3</v>
      </c>
      <c r="D226">
        <v>140.695999</v>
      </c>
      <c r="E226">
        <f t="shared" si="4"/>
        <v>5.3129475202425835E-2</v>
      </c>
    </row>
    <row r="227" spans="1:5" x14ac:dyDescent="0.25">
      <c r="A227" s="48">
        <v>43899</v>
      </c>
      <c r="B227">
        <v>10851.740234000001</v>
      </c>
      <c r="C227">
        <f t="shared" si="5"/>
        <v>-0.12146100728715392</v>
      </c>
      <c r="D227">
        <v>109.32399700000001</v>
      </c>
      <c r="E227">
        <f t="shared" si="4"/>
        <v>-0.22297721486735378</v>
      </c>
    </row>
    <row r="228" spans="1:5" x14ac:dyDescent="0.25">
      <c r="A228" s="48">
        <v>43906</v>
      </c>
      <c r="B228">
        <v>9133.1601559999999</v>
      </c>
      <c r="C228">
        <f t="shared" si="5"/>
        <v>-0.15836907638237152</v>
      </c>
      <c r="D228">
        <v>85.505996999999994</v>
      </c>
      <c r="E228">
        <f t="shared" si="4"/>
        <v>-0.21786616528482772</v>
      </c>
    </row>
    <row r="229" spans="1:5" x14ac:dyDescent="0.25">
      <c r="A229" s="48">
        <v>43913</v>
      </c>
      <c r="B229">
        <v>10187.209961</v>
      </c>
      <c r="C229">
        <f t="shared" si="5"/>
        <v>0.11540910123070014</v>
      </c>
      <c r="D229">
        <v>102.87200199999999</v>
      </c>
      <c r="E229">
        <f t="shared" si="4"/>
        <v>0.2030969243011107</v>
      </c>
    </row>
    <row r="230" spans="1:5" x14ac:dyDescent="0.25">
      <c r="A230" s="48">
        <v>43920</v>
      </c>
      <c r="B230">
        <v>9880.6298829999996</v>
      </c>
      <c r="C230">
        <f t="shared" si="5"/>
        <v>-3.0094606783770073E-2</v>
      </c>
      <c r="D230">
        <v>96.001998999999998</v>
      </c>
      <c r="E230">
        <f t="shared" si="4"/>
        <v>-6.6782048238936742E-2</v>
      </c>
    </row>
    <row r="231" spans="1:5" x14ac:dyDescent="0.25">
      <c r="A231" s="48">
        <v>43927</v>
      </c>
      <c r="B231">
        <v>11136.610352</v>
      </c>
      <c r="C231">
        <f t="shared" si="5"/>
        <v>0.12711542521807861</v>
      </c>
      <c r="D231">
        <v>114.599998</v>
      </c>
      <c r="E231">
        <f t="shared" si="4"/>
        <v>0.1937251223279215</v>
      </c>
    </row>
    <row r="232" spans="1:5" x14ac:dyDescent="0.25">
      <c r="A232" s="48">
        <v>43934</v>
      </c>
      <c r="B232">
        <v>11208.290039</v>
      </c>
      <c r="C232">
        <f t="shared" si="5"/>
        <v>6.4364007300594661E-3</v>
      </c>
      <c r="D232">
        <v>150.77799999999999</v>
      </c>
      <c r="E232">
        <f t="shared" ref="E232:E295" si="6">D232/D231-1</f>
        <v>0.31568937723716184</v>
      </c>
    </row>
    <row r="233" spans="1:5" x14ac:dyDescent="0.25">
      <c r="A233" s="48">
        <v>43941</v>
      </c>
      <c r="B233">
        <v>11017.900390999999</v>
      </c>
      <c r="C233">
        <f t="shared" ref="C233:C296" si="7">B233/B232-1</f>
        <v>-1.6986502609900977E-2</v>
      </c>
      <c r="D233">
        <v>145.029999</v>
      </c>
      <c r="E233">
        <f t="shared" si="6"/>
        <v>-3.8122279112337232E-2</v>
      </c>
    </row>
    <row r="234" spans="1:5" x14ac:dyDescent="0.25">
      <c r="A234" s="48">
        <v>43948</v>
      </c>
      <c r="B234">
        <v>11058.570313</v>
      </c>
      <c r="C234">
        <f t="shared" si="7"/>
        <v>3.6912588203485974E-3</v>
      </c>
      <c r="D234">
        <v>140.26400799999999</v>
      </c>
      <c r="E234">
        <f t="shared" si="6"/>
        <v>-3.2862104618783139E-2</v>
      </c>
    </row>
    <row r="235" spans="1:5" x14ac:dyDescent="0.25">
      <c r="A235" s="48">
        <v>43955</v>
      </c>
      <c r="B235">
        <v>11354.339844</v>
      </c>
      <c r="C235">
        <f t="shared" si="7"/>
        <v>2.6745729567980936E-2</v>
      </c>
      <c r="D235">
        <v>163.88400300000001</v>
      </c>
      <c r="E235">
        <f t="shared" si="6"/>
        <v>0.16839669232894039</v>
      </c>
    </row>
    <row r="236" spans="1:5" x14ac:dyDescent="0.25">
      <c r="A236" s="48">
        <v>43962</v>
      </c>
      <c r="B236">
        <v>10947.320313</v>
      </c>
      <c r="C236">
        <f t="shared" si="7"/>
        <v>-3.5847044970657826E-2</v>
      </c>
      <c r="D236">
        <v>159.834</v>
      </c>
      <c r="E236">
        <f t="shared" si="6"/>
        <v>-2.471261944950176E-2</v>
      </c>
    </row>
    <row r="237" spans="1:5" x14ac:dyDescent="0.25">
      <c r="A237" s="48">
        <v>43969</v>
      </c>
      <c r="B237">
        <v>11331.969727</v>
      </c>
      <c r="C237">
        <f t="shared" si="7"/>
        <v>3.513639895447529E-2</v>
      </c>
      <c r="D237">
        <v>163.37600699999999</v>
      </c>
      <c r="E237">
        <f t="shared" si="6"/>
        <v>2.2160535305379314E-2</v>
      </c>
    </row>
    <row r="238" spans="1:5" x14ac:dyDescent="0.25">
      <c r="A238" s="48">
        <v>43976</v>
      </c>
      <c r="B238">
        <v>11802.950194999999</v>
      </c>
      <c r="C238">
        <f t="shared" si="7"/>
        <v>4.1562100795047296E-2</v>
      </c>
      <c r="D238">
        <v>167</v>
      </c>
      <c r="E238">
        <f t="shared" si="6"/>
        <v>2.2181916834336679E-2</v>
      </c>
    </row>
    <row r="239" spans="1:5" x14ac:dyDescent="0.25">
      <c r="A239" s="48">
        <v>43983</v>
      </c>
      <c r="B239">
        <v>12641.440430000001</v>
      </c>
      <c r="C239">
        <f t="shared" si="7"/>
        <v>7.1040733134263734E-2</v>
      </c>
      <c r="D239">
        <v>177.13200399999999</v>
      </c>
      <c r="E239">
        <f t="shared" si="6"/>
        <v>6.0670682634730522E-2</v>
      </c>
    </row>
    <row r="240" spans="1:5" x14ac:dyDescent="0.25">
      <c r="A240" s="48">
        <v>43990</v>
      </c>
      <c r="B240">
        <v>11867.169921999999</v>
      </c>
      <c r="C240">
        <f t="shared" si="7"/>
        <v>-6.1248598392517284E-2</v>
      </c>
      <c r="D240">
        <v>187.05600000000001</v>
      </c>
      <c r="E240">
        <f t="shared" si="6"/>
        <v>5.6025990650452995E-2</v>
      </c>
    </row>
    <row r="241" spans="1:5" x14ac:dyDescent="0.25">
      <c r="A241" s="48">
        <v>43997</v>
      </c>
      <c r="B241">
        <v>11980.120117</v>
      </c>
      <c r="C241">
        <f t="shared" si="7"/>
        <v>9.5178712146530842E-3</v>
      </c>
      <c r="D241">
        <v>200.179993</v>
      </c>
      <c r="E241">
        <f t="shared" si="6"/>
        <v>7.016077003678034E-2</v>
      </c>
    </row>
    <row r="242" spans="1:5" x14ac:dyDescent="0.25">
      <c r="A242" s="48">
        <v>44004</v>
      </c>
      <c r="B242">
        <v>11604.429688</v>
      </c>
      <c r="C242">
        <f t="shared" si="7"/>
        <v>-3.1359487662138585E-2</v>
      </c>
      <c r="D242">
        <v>191.94799800000001</v>
      </c>
      <c r="E242">
        <f t="shared" si="6"/>
        <v>-4.1122965770110653E-2</v>
      </c>
    </row>
    <row r="243" spans="1:5" x14ac:dyDescent="0.25">
      <c r="A243" s="48">
        <v>44011</v>
      </c>
      <c r="B243">
        <v>11991.519531</v>
      </c>
      <c r="C243">
        <f t="shared" si="7"/>
        <v>3.3357075996615748E-2</v>
      </c>
      <c r="D243">
        <v>241.73199500000001</v>
      </c>
      <c r="E243">
        <f t="shared" si="6"/>
        <v>0.25936189759061712</v>
      </c>
    </row>
    <row r="244" spans="1:5" x14ac:dyDescent="0.25">
      <c r="A244" s="48">
        <v>44018</v>
      </c>
      <c r="B244">
        <v>12075.580078000001</v>
      </c>
      <c r="C244">
        <f t="shared" si="7"/>
        <v>7.0099995903514234E-3</v>
      </c>
      <c r="D244">
        <v>308.92999300000002</v>
      </c>
      <c r="E244">
        <f t="shared" si="6"/>
        <v>0.27798553517915581</v>
      </c>
    </row>
    <row r="245" spans="1:5" x14ac:dyDescent="0.25">
      <c r="A245" s="48">
        <v>44025</v>
      </c>
      <c r="B245">
        <v>12402.740234000001</v>
      </c>
      <c r="C245">
        <f t="shared" si="7"/>
        <v>2.7092707256029858E-2</v>
      </c>
      <c r="D245">
        <v>300.16799900000001</v>
      </c>
      <c r="E245">
        <f t="shared" si="6"/>
        <v>-2.8362393417721732E-2</v>
      </c>
    </row>
    <row r="246" spans="1:5" x14ac:dyDescent="0.25">
      <c r="A246" s="48">
        <v>44032</v>
      </c>
      <c r="B246">
        <v>12461.780273</v>
      </c>
      <c r="C246">
        <f t="shared" si="7"/>
        <v>4.7602415180922897E-3</v>
      </c>
      <c r="D246">
        <v>283.39999399999999</v>
      </c>
      <c r="E246">
        <f t="shared" si="6"/>
        <v>-5.5862067428447015E-2</v>
      </c>
    </row>
    <row r="247" spans="1:5" x14ac:dyDescent="0.25">
      <c r="A247" s="48">
        <v>44039</v>
      </c>
      <c r="B247">
        <v>12465.049805000001</v>
      </c>
      <c r="C247">
        <f t="shared" si="7"/>
        <v>2.6236476076246795E-4</v>
      </c>
      <c r="D247">
        <v>286.15200800000002</v>
      </c>
      <c r="E247">
        <f t="shared" si="6"/>
        <v>9.7107059218921599E-3</v>
      </c>
    </row>
    <row r="248" spans="1:5" x14ac:dyDescent="0.25">
      <c r="A248" s="48">
        <v>44046</v>
      </c>
      <c r="B248">
        <v>12765.839844</v>
      </c>
      <c r="C248">
        <f t="shared" si="7"/>
        <v>2.4130672857748614E-2</v>
      </c>
      <c r="D248">
        <v>290.54199199999999</v>
      </c>
      <c r="E248">
        <f t="shared" si="6"/>
        <v>1.534144048361874E-2</v>
      </c>
    </row>
    <row r="249" spans="1:5" x14ac:dyDescent="0.25">
      <c r="A249" s="48">
        <v>44053</v>
      </c>
      <c r="B249">
        <v>12902.5</v>
      </c>
      <c r="C249">
        <f t="shared" si="7"/>
        <v>1.0705144171476499E-2</v>
      </c>
      <c r="D249">
        <v>330.141998</v>
      </c>
      <c r="E249">
        <f t="shared" si="6"/>
        <v>0.13629701416792117</v>
      </c>
    </row>
    <row r="250" spans="1:5" x14ac:dyDescent="0.25">
      <c r="A250" s="48">
        <v>44060</v>
      </c>
      <c r="B250">
        <v>12809.070313</v>
      </c>
      <c r="C250">
        <f t="shared" si="7"/>
        <v>-7.2412080604533635E-3</v>
      </c>
      <c r="D250">
        <v>409.99600199999998</v>
      </c>
      <c r="E250">
        <f t="shared" si="6"/>
        <v>0.24187775103972076</v>
      </c>
    </row>
    <row r="251" spans="1:5" x14ac:dyDescent="0.25">
      <c r="A251" s="48">
        <v>44067</v>
      </c>
      <c r="B251">
        <v>13170.959961</v>
      </c>
      <c r="C251">
        <f t="shared" si="7"/>
        <v>2.8252608437375537E-2</v>
      </c>
      <c r="D251">
        <v>442.67999300000002</v>
      </c>
      <c r="E251">
        <f t="shared" si="6"/>
        <v>7.9717828565557758E-2</v>
      </c>
    </row>
    <row r="252" spans="1:5" x14ac:dyDescent="0.25">
      <c r="A252" s="48">
        <v>44074</v>
      </c>
      <c r="B252">
        <v>12966.139648</v>
      </c>
      <c r="C252">
        <f t="shared" si="7"/>
        <v>-1.5550902410035872E-2</v>
      </c>
      <c r="D252">
        <v>418.32000699999998</v>
      </c>
      <c r="E252">
        <f t="shared" si="6"/>
        <v>-5.5028432242701486E-2</v>
      </c>
    </row>
    <row r="253" spans="1:5" x14ac:dyDescent="0.25">
      <c r="A253" s="48">
        <v>44081</v>
      </c>
      <c r="B253">
        <v>12773.040039</v>
      </c>
      <c r="C253">
        <f t="shared" si="7"/>
        <v>-1.489260599084985E-2</v>
      </c>
      <c r="D253">
        <v>372.72000100000002</v>
      </c>
      <c r="E253">
        <f t="shared" si="6"/>
        <v>-0.10900747092404772</v>
      </c>
    </row>
    <row r="254" spans="1:5" x14ac:dyDescent="0.25">
      <c r="A254" s="48">
        <v>44088</v>
      </c>
      <c r="B254">
        <v>12833.570313</v>
      </c>
      <c r="C254">
        <f t="shared" si="7"/>
        <v>4.7389089688267827E-3</v>
      </c>
      <c r="D254">
        <v>442.14999399999999</v>
      </c>
      <c r="E254">
        <f t="shared" si="6"/>
        <v>0.18627922519242524</v>
      </c>
    </row>
    <row r="255" spans="1:5" x14ac:dyDescent="0.25">
      <c r="A255" s="48">
        <v>44095</v>
      </c>
      <c r="B255">
        <v>12485.379883</v>
      </c>
      <c r="C255">
        <f t="shared" si="7"/>
        <v>-2.7131220814467727E-2</v>
      </c>
      <c r="D255">
        <v>407.33999599999999</v>
      </c>
      <c r="E255">
        <f t="shared" si="6"/>
        <v>-7.8728934688168328E-2</v>
      </c>
    </row>
    <row r="256" spans="1:5" x14ac:dyDescent="0.25">
      <c r="A256" s="48">
        <v>44102</v>
      </c>
      <c r="B256">
        <v>12749.790039</v>
      </c>
      <c r="C256">
        <f t="shared" si="7"/>
        <v>2.117758197810371E-2</v>
      </c>
      <c r="D256">
        <v>415.08999599999999</v>
      </c>
      <c r="E256">
        <f t="shared" si="6"/>
        <v>1.9025875377089108E-2</v>
      </c>
    </row>
    <row r="257" spans="1:5" x14ac:dyDescent="0.25">
      <c r="A257" s="48">
        <v>44109</v>
      </c>
      <c r="B257">
        <v>13252.620117</v>
      </c>
      <c r="C257">
        <f t="shared" si="7"/>
        <v>3.9438302627879063E-2</v>
      </c>
      <c r="D257">
        <v>434</v>
      </c>
      <c r="E257">
        <f t="shared" si="6"/>
        <v>4.5556395437677644E-2</v>
      </c>
    </row>
    <row r="258" spans="1:5" x14ac:dyDescent="0.25">
      <c r="A258" s="48">
        <v>44116</v>
      </c>
      <c r="B258">
        <v>13169.320313</v>
      </c>
      <c r="C258">
        <f t="shared" si="7"/>
        <v>-6.285534729328468E-3</v>
      </c>
      <c r="D258">
        <v>439.67001299999998</v>
      </c>
      <c r="E258">
        <f t="shared" si="6"/>
        <v>1.3064546082949269E-2</v>
      </c>
    </row>
    <row r="259" spans="1:5" x14ac:dyDescent="0.25">
      <c r="A259" s="48">
        <v>44123</v>
      </c>
      <c r="B259">
        <v>13199.860352</v>
      </c>
      <c r="C259">
        <f t="shared" si="7"/>
        <v>2.3190292493571185E-3</v>
      </c>
      <c r="D259">
        <v>420.63000499999998</v>
      </c>
      <c r="E259">
        <f t="shared" si="6"/>
        <v>-4.3305223092392264E-2</v>
      </c>
    </row>
    <row r="260" spans="1:5" x14ac:dyDescent="0.25">
      <c r="A260" s="48">
        <v>44130</v>
      </c>
      <c r="B260">
        <v>12429.330078000001</v>
      </c>
      <c r="C260">
        <f t="shared" si="7"/>
        <v>-5.8374123168905334E-2</v>
      </c>
      <c r="D260">
        <v>388.040009</v>
      </c>
      <c r="E260">
        <f t="shared" si="6"/>
        <v>-7.7479009135356325E-2</v>
      </c>
    </row>
    <row r="261" spans="1:5" x14ac:dyDescent="0.25">
      <c r="A261" s="48">
        <v>44137</v>
      </c>
      <c r="B261">
        <v>13218.669921999999</v>
      </c>
      <c r="C261">
        <f t="shared" si="7"/>
        <v>6.3506225922596915E-2</v>
      </c>
      <c r="D261">
        <v>429.95001200000002</v>
      </c>
      <c r="E261">
        <f t="shared" si="6"/>
        <v>0.10800433467673698</v>
      </c>
    </row>
    <row r="262" spans="1:5" x14ac:dyDescent="0.25">
      <c r="A262" s="48">
        <v>44144</v>
      </c>
      <c r="B262">
        <v>13761.320313</v>
      </c>
      <c r="C262">
        <f t="shared" si="7"/>
        <v>4.1051814910429085E-2</v>
      </c>
      <c r="D262">
        <v>408.5</v>
      </c>
      <c r="E262">
        <f t="shared" si="6"/>
        <v>-4.9889548555239971E-2</v>
      </c>
    </row>
    <row r="263" spans="1:5" x14ac:dyDescent="0.25">
      <c r="A263" s="48">
        <v>44151</v>
      </c>
      <c r="B263">
        <v>13827</v>
      </c>
      <c r="C263">
        <f t="shared" si="7"/>
        <v>4.7727751048678435E-3</v>
      </c>
      <c r="D263">
        <v>489.60998499999999</v>
      </c>
      <c r="E263">
        <f t="shared" si="6"/>
        <v>0.19855565483476134</v>
      </c>
    </row>
    <row r="264" spans="1:5" x14ac:dyDescent="0.25">
      <c r="A264" s="48">
        <v>44158</v>
      </c>
      <c r="B264">
        <v>14198.5</v>
      </c>
      <c r="C264">
        <f t="shared" si="7"/>
        <v>2.6867722571779939E-2</v>
      </c>
      <c r="D264">
        <v>585.76000999999997</v>
      </c>
      <c r="E264">
        <f t="shared" si="6"/>
        <v>0.19638084995345828</v>
      </c>
    </row>
    <row r="265" spans="1:5" x14ac:dyDescent="0.25">
      <c r="A265" s="48">
        <v>44165</v>
      </c>
      <c r="B265">
        <v>14417.330078000001</v>
      </c>
      <c r="C265">
        <f t="shared" si="7"/>
        <v>1.5412196922210075E-2</v>
      </c>
      <c r="D265">
        <v>599.03997800000002</v>
      </c>
      <c r="E265">
        <f t="shared" si="6"/>
        <v>2.267134623956335E-2</v>
      </c>
    </row>
    <row r="266" spans="1:5" x14ac:dyDescent="0.25">
      <c r="A266" s="48">
        <v>44172</v>
      </c>
      <c r="B266">
        <v>14355.290039</v>
      </c>
      <c r="C266">
        <f t="shared" si="7"/>
        <v>-4.3031572880939395E-3</v>
      </c>
      <c r="D266">
        <v>609.98999000000003</v>
      </c>
      <c r="E266">
        <f t="shared" si="6"/>
        <v>1.8279267498237051E-2</v>
      </c>
    </row>
    <row r="267" spans="1:5" x14ac:dyDescent="0.25">
      <c r="A267" s="48">
        <v>44179</v>
      </c>
      <c r="B267">
        <v>14467.820313</v>
      </c>
      <c r="C267">
        <f t="shared" si="7"/>
        <v>7.8389411634514072E-3</v>
      </c>
      <c r="D267">
        <v>695</v>
      </c>
      <c r="E267">
        <f t="shared" si="6"/>
        <v>0.13936295905445917</v>
      </c>
    </row>
    <row r="268" spans="1:5" x14ac:dyDescent="0.25">
      <c r="A268" s="48">
        <v>44186</v>
      </c>
      <c r="B268">
        <v>14382.5</v>
      </c>
      <c r="C268">
        <f t="shared" si="7"/>
        <v>-5.8972472116850527E-3</v>
      </c>
      <c r="D268">
        <v>661.77002000000005</v>
      </c>
      <c r="E268">
        <f t="shared" si="6"/>
        <v>-4.7812920863309238E-2</v>
      </c>
    </row>
    <row r="269" spans="1:5" x14ac:dyDescent="0.25">
      <c r="A269" s="48">
        <v>44193</v>
      </c>
      <c r="B269">
        <v>14524.799805000001</v>
      </c>
      <c r="C269">
        <f t="shared" si="7"/>
        <v>9.8939548061880433E-3</v>
      </c>
      <c r="D269">
        <v>705.669983</v>
      </c>
      <c r="E269">
        <f t="shared" si="6"/>
        <v>6.6337189164296095E-2</v>
      </c>
    </row>
    <row r="270" spans="1:5" x14ac:dyDescent="0.25">
      <c r="A270" s="48">
        <v>44200</v>
      </c>
      <c r="B270">
        <v>14966.830078000001</v>
      </c>
      <c r="C270">
        <f t="shared" si="7"/>
        <v>3.0432796247410909E-2</v>
      </c>
      <c r="D270">
        <v>880.02002000000005</v>
      </c>
      <c r="E270">
        <f t="shared" si="6"/>
        <v>0.24707021865772072</v>
      </c>
    </row>
    <row r="271" spans="1:5" x14ac:dyDescent="0.25">
      <c r="A271" s="48">
        <v>44207</v>
      </c>
      <c r="B271">
        <v>14894.169921999999</v>
      </c>
      <c r="C271">
        <f t="shared" si="7"/>
        <v>-4.8547458360475026E-3</v>
      </c>
      <c r="D271">
        <v>826.15997300000004</v>
      </c>
      <c r="E271">
        <f t="shared" si="6"/>
        <v>-6.1203206490688666E-2</v>
      </c>
    </row>
    <row r="272" spans="1:5" x14ac:dyDescent="0.25">
      <c r="A272" s="48">
        <v>44214</v>
      </c>
      <c r="B272">
        <v>14951.839844</v>
      </c>
      <c r="C272">
        <f t="shared" si="7"/>
        <v>3.8719795934929468E-3</v>
      </c>
      <c r="D272">
        <v>846.64001499999995</v>
      </c>
      <c r="E272">
        <f t="shared" si="6"/>
        <v>2.4789438691433574E-2</v>
      </c>
    </row>
    <row r="273" spans="1:5" x14ac:dyDescent="0.25">
      <c r="A273" s="48">
        <v>44221</v>
      </c>
      <c r="B273">
        <v>14397.200194999999</v>
      </c>
      <c r="C273">
        <f t="shared" si="7"/>
        <v>-3.7095076912729952E-2</v>
      </c>
      <c r="D273">
        <v>793.53002900000001</v>
      </c>
      <c r="E273">
        <f t="shared" si="6"/>
        <v>-6.2730304567520268E-2</v>
      </c>
    </row>
    <row r="274" spans="1:5" x14ac:dyDescent="0.25">
      <c r="A274" s="48">
        <v>44228</v>
      </c>
      <c r="B274">
        <v>15069.599609000001</v>
      </c>
      <c r="C274">
        <f t="shared" si="7"/>
        <v>4.6703484350625324E-2</v>
      </c>
      <c r="D274">
        <v>852.22997999999995</v>
      </c>
      <c r="E274">
        <f t="shared" si="6"/>
        <v>7.3973194277188403E-2</v>
      </c>
    </row>
    <row r="275" spans="1:5" x14ac:dyDescent="0.25">
      <c r="A275" s="48">
        <v>44235</v>
      </c>
      <c r="B275">
        <v>15369.599609000001</v>
      </c>
      <c r="C275">
        <f t="shared" si="7"/>
        <v>1.99076291198097E-2</v>
      </c>
      <c r="D275">
        <v>816.11999500000002</v>
      </c>
      <c r="E275">
        <f t="shared" si="6"/>
        <v>-4.2371174269180134E-2</v>
      </c>
    </row>
    <row r="276" spans="1:5" x14ac:dyDescent="0.25">
      <c r="A276" s="48">
        <v>44242</v>
      </c>
      <c r="B276">
        <v>15362.690430000001</v>
      </c>
      <c r="C276">
        <f t="shared" si="7"/>
        <v>-4.495353929685475E-4</v>
      </c>
      <c r="D276">
        <v>781.29998799999998</v>
      </c>
      <c r="E276">
        <f t="shared" si="6"/>
        <v>-4.2665303158023971E-2</v>
      </c>
    </row>
    <row r="277" spans="1:5" x14ac:dyDescent="0.25">
      <c r="A277" s="48">
        <v>44249</v>
      </c>
      <c r="B277">
        <v>15010.469727</v>
      </c>
      <c r="C277">
        <f t="shared" si="7"/>
        <v>-2.2927019496024603E-2</v>
      </c>
      <c r="D277">
        <v>675.5</v>
      </c>
      <c r="E277">
        <f t="shared" si="6"/>
        <v>-0.13541532013949042</v>
      </c>
    </row>
    <row r="278" spans="1:5" x14ac:dyDescent="0.25">
      <c r="A278" s="48">
        <v>44256</v>
      </c>
      <c r="B278">
        <v>15251.830078000001</v>
      </c>
      <c r="C278">
        <f t="shared" si="7"/>
        <v>1.6079466891422811E-2</v>
      </c>
      <c r="D278">
        <v>597.95001200000002</v>
      </c>
      <c r="E278">
        <f t="shared" si="6"/>
        <v>-0.11480383123612137</v>
      </c>
    </row>
    <row r="279" spans="1:5" x14ac:dyDescent="0.25">
      <c r="A279" s="48">
        <v>44263</v>
      </c>
      <c r="B279">
        <v>15715.209961</v>
      </c>
      <c r="C279">
        <f t="shared" si="7"/>
        <v>3.0381920112551031E-2</v>
      </c>
      <c r="D279">
        <v>693.72997999999995</v>
      </c>
      <c r="E279">
        <f t="shared" si="6"/>
        <v>0.16018056037767914</v>
      </c>
    </row>
    <row r="280" spans="1:5" x14ac:dyDescent="0.25">
      <c r="A280" s="48">
        <v>44270</v>
      </c>
      <c r="B280">
        <v>15562.259765999999</v>
      </c>
      <c r="C280">
        <f t="shared" si="7"/>
        <v>-9.7326217963090711E-3</v>
      </c>
      <c r="D280">
        <v>654.86999500000002</v>
      </c>
      <c r="E280">
        <f t="shared" si="6"/>
        <v>-5.6016009283611945E-2</v>
      </c>
    </row>
    <row r="281" spans="1:5" x14ac:dyDescent="0.25">
      <c r="A281" s="48">
        <v>44277</v>
      </c>
      <c r="B281">
        <v>15682.540039</v>
      </c>
      <c r="C281">
        <f t="shared" si="7"/>
        <v>7.7289721935360767E-3</v>
      </c>
      <c r="D281">
        <v>618.71002199999998</v>
      </c>
      <c r="E281">
        <f t="shared" si="6"/>
        <v>-5.5217025174592149E-2</v>
      </c>
    </row>
    <row r="282" spans="1:5" x14ac:dyDescent="0.25">
      <c r="A282" s="48">
        <v>44284</v>
      </c>
      <c r="B282">
        <v>15751.700194999999</v>
      </c>
      <c r="C282">
        <f t="shared" si="7"/>
        <v>4.4100098471300253E-3</v>
      </c>
      <c r="D282">
        <v>661.75</v>
      </c>
      <c r="E282">
        <f t="shared" si="6"/>
        <v>6.9564055000874037E-2</v>
      </c>
    </row>
    <row r="283" spans="1:5" x14ac:dyDescent="0.25">
      <c r="A283" s="48">
        <v>44291</v>
      </c>
      <c r="B283">
        <v>15956.370117</v>
      </c>
      <c r="C283">
        <f t="shared" si="7"/>
        <v>1.299351304724361E-2</v>
      </c>
      <c r="D283">
        <v>677.02002000000005</v>
      </c>
      <c r="E283">
        <f t="shared" si="6"/>
        <v>2.3075209671326036E-2</v>
      </c>
    </row>
    <row r="284" spans="1:5" x14ac:dyDescent="0.25">
      <c r="A284" s="48">
        <v>44298</v>
      </c>
      <c r="B284">
        <v>16186.290039</v>
      </c>
      <c r="C284">
        <f t="shared" si="7"/>
        <v>1.4409287345061195E-2</v>
      </c>
      <c r="D284">
        <v>739.78002900000001</v>
      </c>
      <c r="E284">
        <f t="shared" si="6"/>
        <v>9.270037391213326E-2</v>
      </c>
    </row>
    <row r="285" spans="1:5" x14ac:dyDescent="0.25">
      <c r="A285" s="48">
        <v>44305</v>
      </c>
      <c r="B285">
        <v>16206</v>
      </c>
      <c r="C285">
        <f t="shared" si="7"/>
        <v>1.2176947869160237E-3</v>
      </c>
      <c r="D285">
        <v>729.40002400000003</v>
      </c>
      <c r="E285">
        <f t="shared" si="6"/>
        <v>-1.4031204673139341E-2</v>
      </c>
    </row>
    <row r="286" spans="1:5" x14ac:dyDescent="0.25">
      <c r="A286" s="48">
        <v>44312</v>
      </c>
      <c r="B286">
        <v>16219.330078000001</v>
      </c>
      <c r="C286">
        <f t="shared" si="7"/>
        <v>8.2253967666301442E-4</v>
      </c>
      <c r="D286">
        <v>709.44000200000005</v>
      </c>
      <c r="E286">
        <f t="shared" si="6"/>
        <v>-2.7364986760680443E-2</v>
      </c>
    </row>
    <row r="287" spans="1:5" x14ac:dyDescent="0.25">
      <c r="A287" s="48">
        <v>44319</v>
      </c>
      <c r="B287">
        <v>16590.429688</v>
      </c>
      <c r="C287">
        <f t="shared" si="7"/>
        <v>2.2880082482775288E-2</v>
      </c>
      <c r="D287">
        <v>672.36999500000002</v>
      </c>
      <c r="E287">
        <f t="shared" si="6"/>
        <v>-5.2252490549581476E-2</v>
      </c>
    </row>
    <row r="288" spans="1:5" x14ac:dyDescent="0.25">
      <c r="A288" s="48">
        <v>44326</v>
      </c>
      <c r="B288">
        <v>16415.359375</v>
      </c>
      <c r="C288">
        <f t="shared" si="7"/>
        <v>-1.0552488168924845E-2</v>
      </c>
      <c r="D288">
        <v>589.73999000000003</v>
      </c>
      <c r="E288">
        <f t="shared" si="6"/>
        <v>-0.12289365321841883</v>
      </c>
    </row>
    <row r="289" spans="1:5" x14ac:dyDescent="0.25">
      <c r="A289" s="48">
        <v>44333</v>
      </c>
      <c r="B289">
        <v>16375</v>
      </c>
      <c r="C289">
        <f t="shared" si="7"/>
        <v>-2.4586348722566154E-3</v>
      </c>
      <c r="D289">
        <v>580.88000499999998</v>
      </c>
      <c r="E289">
        <f t="shared" si="6"/>
        <v>-1.5023544528496413E-2</v>
      </c>
    </row>
    <row r="290" spans="1:5" x14ac:dyDescent="0.25">
      <c r="A290" s="48">
        <v>44340</v>
      </c>
      <c r="B290">
        <v>16555.660156000002</v>
      </c>
      <c r="C290">
        <f t="shared" si="7"/>
        <v>1.1032681282442836E-2</v>
      </c>
      <c r="D290">
        <v>625.21997099999999</v>
      </c>
      <c r="E290">
        <f t="shared" si="6"/>
        <v>7.6332401904589675E-2</v>
      </c>
    </row>
    <row r="291" spans="1:5" x14ac:dyDescent="0.25">
      <c r="A291" s="48">
        <v>44347</v>
      </c>
      <c r="B291">
        <v>16708.740234000001</v>
      </c>
      <c r="C291">
        <f t="shared" si="7"/>
        <v>9.2463892443770401E-3</v>
      </c>
      <c r="D291">
        <v>599.04998799999998</v>
      </c>
      <c r="E291">
        <f t="shared" si="6"/>
        <v>-4.1857240993346312E-2</v>
      </c>
    </row>
    <row r="292" spans="1:5" x14ac:dyDescent="0.25">
      <c r="A292" s="48">
        <v>44354</v>
      </c>
      <c r="B292">
        <v>16694.929688</v>
      </c>
      <c r="C292">
        <f t="shared" si="7"/>
        <v>-8.2654621512989745E-4</v>
      </c>
      <c r="D292">
        <v>609.89001499999995</v>
      </c>
      <c r="E292">
        <f t="shared" si="6"/>
        <v>1.8095363020022237E-2</v>
      </c>
    </row>
    <row r="293" spans="1:5" x14ac:dyDescent="0.25">
      <c r="A293" s="48">
        <v>44361</v>
      </c>
      <c r="B293">
        <v>16143.950194999999</v>
      </c>
      <c r="C293">
        <f t="shared" si="7"/>
        <v>-3.3002804042716938E-2</v>
      </c>
      <c r="D293">
        <v>623.30999799999995</v>
      </c>
      <c r="E293">
        <f t="shared" si="6"/>
        <v>2.2003939513585813E-2</v>
      </c>
    </row>
    <row r="294" spans="1:5" x14ac:dyDescent="0.25">
      <c r="A294" s="48">
        <v>44368</v>
      </c>
      <c r="B294">
        <v>16658.789063</v>
      </c>
      <c r="C294">
        <f t="shared" si="7"/>
        <v>3.1890513894142991E-2</v>
      </c>
      <c r="D294">
        <v>671.86999500000002</v>
      </c>
      <c r="E294">
        <f t="shared" si="6"/>
        <v>7.790665504454175E-2</v>
      </c>
    </row>
    <row r="295" spans="1:5" x14ac:dyDescent="0.25">
      <c r="A295" s="48">
        <v>44375</v>
      </c>
      <c r="B295">
        <v>16674.849609000001</v>
      </c>
      <c r="C295">
        <f t="shared" si="7"/>
        <v>9.6408844239892488E-4</v>
      </c>
      <c r="D295">
        <v>678.90002400000003</v>
      </c>
      <c r="E295">
        <f t="shared" si="6"/>
        <v>1.0463376921602263E-2</v>
      </c>
    </row>
    <row r="296" spans="1:5" x14ac:dyDescent="0.25">
      <c r="A296" s="48">
        <v>44382</v>
      </c>
      <c r="B296">
        <v>16633.300781000002</v>
      </c>
      <c r="C296">
        <f t="shared" si="7"/>
        <v>-2.4917063106568715E-3</v>
      </c>
      <c r="D296">
        <v>656.95001200000002</v>
      </c>
      <c r="E296">
        <f t="shared" ref="E296:E300" si="8">D296/D295-1</f>
        <v>-3.2331729597935621E-2</v>
      </c>
    </row>
    <row r="297" spans="1:5" x14ac:dyDescent="0.25">
      <c r="A297" s="48">
        <v>44389</v>
      </c>
      <c r="B297">
        <v>16364.660156</v>
      </c>
      <c r="C297">
        <f t="shared" ref="C297:C300" si="9">B297/B296-1</f>
        <v>-1.6150770585887986E-2</v>
      </c>
      <c r="D297">
        <v>644.21997099999999</v>
      </c>
      <c r="E297">
        <f t="shared" si="8"/>
        <v>-1.937748803937922E-2</v>
      </c>
    </row>
    <row r="298" spans="1:5" x14ac:dyDescent="0.25">
      <c r="A298" s="48">
        <v>44396</v>
      </c>
      <c r="B298">
        <v>16552.380859000001</v>
      </c>
      <c r="C298">
        <f t="shared" si="9"/>
        <v>1.1471103048307008E-2</v>
      </c>
      <c r="D298">
        <v>643.38000499999998</v>
      </c>
      <c r="E298">
        <f t="shared" si="8"/>
        <v>-1.3038496752842965E-3</v>
      </c>
    </row>
    <row r="299" spans="1:5" x14ac:dyDescent="0.25">
      <c r="A299" s="48">
        <v>44403</v>
      </c>
      <c r="B299">
        <v>16602.289063</v>
      </c>
      <c r="C299">
        <f t="shared" si="9"/>
        <v>3.0151676924992099E-3</v>
      </c>
      <c r="D299">
        <v>687.20001200000002</v>
      </c>
      <c r="E299">
        <f t="shared" si="8"/>
        <v>6.8109059435255581E-2</v>
      </c>
    </row>
    <row r="300" spans="1:5" x14ac:dyDescent="0.25">
      <c r="A300" s="48">
        <v>44407</v>
      </c>
      <c r="B300">
        <v>16602.287109000001</v>
      </c>
      <c r="C300">
        <f t="shared" si="9"/>
        <v>-1.1769461383259738E-7</v>
      </c>
      <c r="D300">
        <v>687.20001200000002</v>
      </c>
      <c r="E300">
        <f t="shared" si="8"/>
        <v>0</v>
      </c>
    </row>
  </sheetData>
  <mergeCells count="3">
    <mergeCell ref="A3:G3"/>
    <mergeCell ref="A11:G11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C749-35A3-4E1A-A1FE-1D35D11750CE}">
  <dimension ref="A1:M27"/>
  <sheetViews>
    <sheetView showGridLines="0" topLeftCell="A5" workbookViewId="0">
      <selection activeCell="A29" sqref="A29"/>
    </sheetView>
  </sheetViews>
  <sheetFormatPr defaultRowHeight="15" x14ac:dyDescent="0.25"/>
  <cols>
    <col min="7" max="7" width="11.5703125" bestFit="1" customWidth="1"/>
    <col min="8" max="10" width="10.42578125" customWidth="1"/>
    <col min="11" max="11" width="15.7109375" customWidth="1"/>
    <col min="12" max="12" width="10.42578125" customWidth="1"/>
  </cols>
  <sheetData>
    <row r="1" spans="1:12" x14ac:dyDescent="0.25">
      <c r="G1">
        <v>0</v>
      </c>
      <c r="H1">
        <v>1</v>
      </c>
      <c r="I1">
        <f>H1+1</f>
        <v>2</v>
      </c>
      <c r="J1">
        <f t="shared" ref="J1:L1" si="0">I1+1</f>
        <v>3</v>
      </c>
      <c r="K1">
        <f t="shared" si="0"/>
        <v>4</v>
      </c>
      <c r="L1">
        <f t="shared" si="0"/>
        <v>5</v>
      </c>
    </row>
    <row r="2" spans="1:12" x14ac:dyDescent="0.25">
      <c r="H2" s="1">
        <v>2021</v>
      </c>
      <c r="I2" s="1">
        <v>2022</v>
      </c>
      <c r="J2" s="1">
        <v>2023</v>
      </c>
      <c r="K2" s="1">
        <v>2024</v>
      </c>
      <c r="L2" s="1">
        <v>2025</v>
      </c>
    </row>
    <row r="3" spans="1:12" x14ac:dyDescent="0.25">
      <c r="A3" t="s">
        <v>73</v>
      </c>
      <c r="H3" s="16">
        <f>'Income Statement'!H16</f>
        <v>2266.8905014552852</v>
      </c>
      <c r="I3" s="16">
        <f>'Income Statement'!I16</f>
        <v>3794.4804162576966</v>
      </c>
      <c r="J3" s="16">
        <f>'Income Statement'!J16</f>
        <v>3252.4117853637395</v>
      </c>
      <c r="K3" s="16">
        <f>'Income Statement'!K16</f>
        <v>5771.5525500272906</v>
      </c>
      <c r="L3" s="16">
        <f>'Income Statement'!L16</f>
        <v>7665.3432305049955</v>
      </c>
    </row>
    <row r="4" spans="1:12" x14ac:dyDescent="0.25">
      <c r="A4" t="s">
        <v>74</v>
      </c>
      <c r="H4" s="16">
        <f>-'Income Statement'!H21*'DCF value'!H3</f>
        <v>-371.7700422386668</v>
      </c>
      <c r="I4" s="16">
        <f>-'Income Statement'!I21*'DCF value'!I3</f>
        <v>-622.29478826626223</v>
      </c>
      <c r="J4" s="16">
        <f>-'Income Statement'!J21*'DCF value'!J3</f>
        <v>-533.39553279965332</v>
      </c>
      <c r="K4" s="16">
        <f>-'Income Statement'!K21*'DCF value'!K3</f>
        <v>-946.53461820447569</v>
      </c>
      <c r="L4" s="16">
        <f>-'Income Statement'!L21*'DCF value'!L3</f>
        <v>-1303.1083491858494</v>
      </c>
    </row>
    <row r="5" spans="1:12" s="1" customFormat="1" x14ac:dyDescent="0.25">
      <c r="A5" s="35" t="s">
        <v>75</v>
      </c>
      <c r="B5" s="35"/>
      <c r="C5" s="35"/>
      <c r="D5" s="35"/>
      <c r="E5" s="35"/>
      <c r="F5" s="35"/>
      <c r="G5" s="35"/>
      <c r="H5" s="41">
        <f>SUM(H3:H4)</f>
        <v>1895.1204592166184</v>
      </c>
      <c r="I5" s="41">
        <f t="shared" ref="I5:L5" si="1">SUM(I3:I4)</f>
        <v>3172.1856279914346</v>
      </c>
      <c r="J5" s="41">
        <f t="shared" si="1"/>
        <v>2719.0162525640862</v>
      </c>
      <c r="K5" s="41">
        <f t="shared" si="1"/>
        <v>4825.0179318228147</v>
      </c>
      <c r="L5" s="41">
        <f t="shared" si="1"/>
        <v>6362.2348813191456</v>
      </c>
    </row>
    <row r="6" spans="1:12" x14ac:dyDescent="0.25">
      <c r="A6" t="s">
        <v>76</v>
      </c>
      <c r="H6" s="16">
        <f>'Income Statement'!H12</f>
        <v>2774.5728135811669</v>
      </c>
      <c r="I6" s="16">
        <f>'Income Statement'!I12</f>
        <v>3381.7141269861322</v>
      </c>
      <c r="J6" s="16">
        <f>'Income Statement'!J12</f>
        <v>4022.5226039339809</v>
      </c>
      <c r="K6" s="16">
        <f>'Income Statement'!K12</f>
        <v>4882.4208295802109</v>
      </c>
      <c r="L6" s="16">
        <f>'Income Statement'!L12</f>
        <v>6085.0670793846393</v>
      </c>
    </row>
    <row r="7" spans="1:12" x14ac:dyDescent="0.25">
      <c r="A7" t="s">
        <v>77</v>
      </c>
      <c r="H7" s="16">
        <f>'Working Capital Schedule'!H10</f>
        <v>-1246.8999999999996</v>
      </c>
      <c r="I7" s="16">
        <f>'Working Capital Schedule'!I10</f>
        <v>97.844999999999345</v>
      </c>
      <c r="J7" s="16">
        <f>'Working Capital Schedule'!J10</f>
        <v>181.10124999999971</v>
      </c>
      <c r="K7" s="16">
        <f>'Working Capital Schedule'!K10</f>
        <v>276.35671250000087</v>
      </c>
      <c r="L7" s="16">
        <f>'Working Capital Schedule'!L10</f>
        <v>384.99498812499951</v>
      </c>
    </row>
    <row r="8" spans="1:12" x14ac:dyDescent="0.25">
      <c r="A8" t="s">
        <v>78</v>
      </c>
      <c r="H8" s="16">
        <f>-'Fixed asset Schedule'!H6</f>
        <v>-6029.4986360159492</v>
      </c>
      <c r="I8" s="16">
        <f>-'Fixed asset Schedule'!I6</f>
        <v>-7163.5582962300759</v>
      </c>
      <c r="J8" s="16">
        <f>-'Fixed asset Schedule'!J6</f>
        <v>-7966.6878537636949</v>
      </c>
      <c r="K8" s="16">
        <f>-'Fixed asset Schedule'!K6</f>
        <v>-10118.407868502887</v>
      </c>
      <c r="L8" s="16">
        <f>-'Fixed asset Schedule'!L6</f>
        <v>-13366.29747206872</v>
      </c>
    </row>
    <row r="9" spans="1:12" s="1" customFormat="1" x14ac:dyDescent="0.25">
      <c r="A9" s="35" t="s">
        <v>79</v>
      </c>
      <c r="B9" s="35"/>
      <c r="C9" s="35"/>
      <c r="D9" s="35"/>
      <c r="E9" s="35"/>
      <c r="F9" s="35"/>
      <c r="G9" s="35"/>
      <c r="H9" s="41">
        <f>H5+H6+H7+H8</f>
        <v>-2606.7053632181633</v>
      </c>
      <c r="I9" s="41">
        <f t="shared" ref="I9:L9" si="2">I5+I6+I7+I8</f>
        <v>-511.81354125250982</v>
      </c>
      <c r="J9" s="41">
        <f t="shared" si="2"/>
        <v>-1044.0477472656275</v>
      </c>
      <c r="K9" s="41">
        <f t="shared" si="2"/>
        <v>-134.61239459986064</v>
      </c>
      <c r="L9" s="41">
        <f t="shared" si="2"/>
        <v>-534.00052323993441</v>
      </c>
    </row>
    <row r="10" spans="1:12" x14ac:dyDescent="0.25">
      <c r="A10" t="s">
        <v>80</v>
      </c>
      <c r="G10" s="15"/>
      <c r="H10" s="15">
        <f ca="1">1/(1+'Discount rates'!$M$9)^('DCF value'!H1-0.5)</f>
        <v>0.97026549960081243</v>
      </c>
      <c r="I10" s="15">
        <f ca="1">1/(1+'Discount rates'!$M$9)^('DCF value'!I1-0.5)</f>
        <v>0.91342263086793907</v>
      </c>
      <c r="J10" s="15">
        <f ca="1">1/(1+'Discount rates'!$M$9)^('DCF value'!J1-0.5)</f>
        <v>0.85990989365794479</v>
      </c>
      <c r="K10" s="15">
        <f ca="1">1/(1+'Discount rates'!$M$9)^('DCF value'!K1-0.5)</f>
        <v>0.80953219268083298</v>
      </c>
      <c r="L10" s="15">
        <f ca="1">1/(1+'Discount rates'!$M$9)^('DCF value'!L1-0.5)</f>
        <v>0.76210586227691379</v>
      </c>
    </row>
    <row r="11" spans="1:12" x14ac:dyDescent="0.25">
      <c r="H11" s="16"/>
      <c r="I11" s="16"/>
      <c r="J11" s="16"/>
      <c r="K11" s="16"/>
      <c r="L11" s="16"/>
    </row>
    <row r="12" spans="1:12" x14ac:dyDescent="0.25">
      <c r="A12" t="s">
        <v>81</v>
      </c>
      <c r="G12" s="15"/>
      <c r="H12" s="16"/>
      <c r="I12" s="16"/>
      <c r="J12" s="16"/>
      <c r="K12" s="16"/>
      <c r="L12" s="16"/>
    </row>
    <row r="13" spans="1:12" x14ac:dyDescent="0.25">
      <c r="G13" s="15">
        <v>-4409.4875892930922</v>
      </c>
      <c r="H13" s="16"/>
      <c r="I13" s="16"/>
      <c r="J13" s="16"/>
      <c r="K13" s="16"/>
      <c r="L13" s="16"/>
    </row>
    <row r="14" spans="1:12" x14ac:dyDescent="0.25">
      <c r="A14" t="s">
        <v>84</v>
      </c>
      <c r="G14" s="15"/>
      <c r="H14" s="16"/>
      <c r="I14" s="16"/>
      <c r="J14" s="16"/>
      <c r="K14" s="16"/>
      <c r="L14" s="16"/>
    </row>
    <row r="15" spans="1:12" s="1" customFormat="1" x14ac:dyDescent="0.25">
      <c r="A15" s="1" t="s">
        <v>85</v>
      </c>
      <c r="G15" s="91">
        <v>115.97</v>
      </c>
      <c r="H15" s="24"/>
      <c r="I15" s="24"/>
      <c r="J15" s="24"/>
      <c r="K15" s="24"/>
      <c r="L15" s="24"/>
    </row>
    <row r="16" spans="1:12" x14ac:dyDescent="0.25">
      <c r="A16" t="s">
        <v>86</v>
      </c>
      <c r="D16" s="20"/>
      <c r="G16" s="19">
        <f>L3+L6</f>
        <v>13750.410309889634</v>
      </c>
      <c r="H16" s="15"/>
      <c r="I16" s="15"/>
      <c r="J16" s="15"/>
      <c r="K16" s="19">
        <v>13750</v>
      </c>
      <c r="L16" s="19"/>
    </row>
    <row r="17" spans="1:13" s="1" customFormat="1" x14ac:dyDescent="0.25">
      <c r="A17" s="1" t="s">
        <v>89</v>
      </c>
      <c r="G17" s="23">
        <f ca="1">K17/(1+'Discount rates'!M9)^5</f>
        <v>513884.44852030091</v>
      </c>
      <c r="H17" s="24"/>
      <c r="I17" s="24"/>
      <c r="J17" s="24"/>
      <c r="K17" s="23">
        <v>694959.64</v>
      </c>
      <c r="L17" s="77"/>
    </row>
    <row r="18" spans="1:13" x14ac:dyDescent="0.25">
      <c r="A18" t="s">
        <v>87</v>
      </c>
      <c r="G18" s="15"/>
      <c r="H18" s="15"/>
      <c r="I18" s="15"/>
      <c r="J18" s="15"/>
      <c r="K18" s="15"/>
    </row>
    <row r="19" spans="1:13" s="2" customFormat="1" x14ac:dyDescent="0.25"/>
    <row r="20" spans="1:13" s="1" customFormat="1" x14ac:dyDescent="0.25">
      <c r="A20" s="1" t="s">
        <v>88</v>
      </c>
      <c r="G20" s="23">
        <f ca="1">G17+G13</f>
        <v>509474.96093100781</v>
      </c>
      <c r="M20" s="2"/>
    </row>
    <row r="21" spans="1:13" x14ac:dyDescent="0.25">
      <c r="A21" s="54" t="s">
        <v>90</v>
      </c>
      <c r="B21" s="25"/>
      <c r="C21" s="25"/>
      <c r="D21" s="25"/>
      <c r="E21" s="25"/>
      <c r="F21" s="25"/>
      <c r="G21" s="25">
        <f>SUM(19384, 74)</f>
        <v>19458</v>
      </c>
      <c r="H21" s="25"/>
    </row>
    <row r="22" spans="1:13" x14ac:dyDescent="0.25">
      <c r="A22" s="55" t="s">
        <v>82</v>
      </c>
      <c r="B22" s="55"/>
      <c r="C22" s="55"/>
      <c r="D22" s="55"/>
      <c r="E22" s="55"/>
      <c r="F22" s="55"/>
      <c r="G22" s="56">
        <f ca="1">G20+G21</f>
        <v>528932.96093100775</v>
      </c>
      <c r="H22" s="25"/>
    </row>
    <row r="23" spans="1:13" x14ac:dyDescent="0.25">
      <c r="A23" s="54" t="s">
        <v>83</v>
      </c>
      <c r="B23" s="25"/>
      <c r="C23" s="25"/>
      <c r="D23" s="25"/>
      <c r="E23" s="25"/>
      <c r="F23" s="25"/>
      <c r="G23" s="25">
        <f>-'Discount rates'!G32</f>
        <v>-8748</v>
      </c>
      <c r="H23" s="25"/>
    </row>
    <row r="24" spans="1:13" x14ac:dyDescent="0.25">
      <c r="A24" s="54" t="s">
        <v>91</v>
      </c>
      <c r="G24">
        <v>-850</v>
      </c>
    </row>
    <row r="25" spans="1:13" x14ac:dyDescent="0.25">
      <c r="A25" s="55" t="s">
        <v>92</v>
      </c>
      <c r="B25" s="36"/>
      <c r="C25" s="36"/>
      <c r="D25" s="36"/>
      <c r="E25" s="36"/>
      <c r="F25" s="36"/>
      <c r="G25" s="57">
        <f ca="1">G22+G23+G24</f>
        <v>519334.96093100775</v>
      </c>
    </row>
    <row r="26" spans="1:13" x14ac:dyDescent="0.25">
      <c r="A26" t="s">
        <v>68</v>
      </c>
      <c r="G26" s="20">
        <f>'Discount rates'!G27</f>
        <v>990.01</v>
      </c>
    </row>
    <row r="27" spans="1:13" x14ac:dyDescent="0.25">
      <c r="A27" s="58" t="s">
        <v>111</v>
      </c>
      <c r="B27" s="59"/>
      <c r="C27" s="59"/>
      <c r="D27" s="59"/>
      <c r="E27" s="59"/>
      <c r="F27" s="59"/>
      <c r="G27" s="60">
        <f ca="1">G25/G26</f>
        <v>524.57546987505964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Steps</vt:lpstr>
      <vt:lpstr>Income Statement</vt:lpstr>
      <vt:lpstr>Working Capital Schedule</vt:lpstr>
      <vt:lpstr>Debt Schedule</vt:lpstr>
      <vt:lpstr>Fixed asset Schedule</vt:lpstr>
      <vt:lpstr>Discount rates</vt:lpstr>
      <vt:lpstr>DCF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Aarya</cp:lastModifiedBy>
  <dcterms:created xsi:type="dcterms:W3CDTF">2021-02-22T06:54:57Z</dcterms:created>
  <dcterms:modified xsi:type="dcterms:W3CDTF">2021-07-31T10:09:35Z</dcterms:modified>
</cp:coreProperties>
</file>