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Phys 294 Fall 2020\04 Bubble chamber\"/>
    </mc:Choice>
  </mc:AlternateContent>
  <xr:revisionPtr revIDLastSave="0" documentId="13_ncr:1_{5D67FD79-B4A8-4255-BA8A-DF0F5257AF70}" xr6:coauthVersionLast="45" xr6:coauthVersionMax="45" xr10:uidLastSave="{00000000-0000-0000-0000-000000000000}"/>
  <bookViews>
    <workbookView xWindow="12396" yWindow="180" windowWidth="10548" windowHeight="12132" xr2:uid="{82514777-3B76-43AE-A57C-82D812F2A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1" l="1"/>
  <c r="K6" i="1" l="1"/>
  <c r="I6" i="1"/>
  <c r="N6" i="1" l="1"/>
  <c r="P7" i="1"/>
  <c r="P6" i="1"/>
  <c r="P5" i="1"/>
  <c r="P4" i="1"/>
  <c r="P3" i="1"/>
  <c r="W4" i="1" l="1"/>
  <c r="V4" i="1"/>
  <c r="AE14" i="1"/>
  <c r="AG14" i="1" s="1"/>
  <c r="AE12" i="1"/>
  <c r="AG12" i="1"/>
  <c r="AE13" i="1"/>
  <c r="AG13" i="1" s="1"/>
  <c r="AE15" i="1"/>
  <c r="AG15" i="1" s="1"/>
  <c r="AB4" i="1"/>
  <c r="AC4" i="1"/>
  <c r="O4" i="1"/>
  <c r="O5" i="1"/>
  <c r="O6" i="1"/>
  <c r="O7" i="1"/>
  <c r="O3" i="1"/>
  <c r="N7" i="1"/>
  <c r="N5" i="1"/>
  <c r="N4" i="1"/>
  <c r="N3" i="1"/>
  <c r="I3" i="1"/>
  <c r="I2" i="1"/>
  <c r="N1" i="1"/>
  <c r="I4" i="1"/>
  <c r="S12" i="1" l="1"/>
  <c r="V12" i="1" s="1"/>
  <c r="Y4" i="1"/>
  <c r="K2" i="1"/>
  <c r="K3" i="1" s="1"/>
  <c r="C4" i="1"/>
  <c r="C5" i="1"/>
  <c r="C6" i="1"/>
  <c r="C12" i="1"/>
  <c r="C13" i="1"/>
  <c r="C14" i="1"/>
  <c r="C20" i="1"/>
  <c r="C21" i="1"/>
  <c r="C22" i="1"/>
  <c r="C29" i="1"/>
  <c r="C30" i="1"/>
  <c r="C36" i="1"/>
  <c r="C2" i="1"/>
  <c r="B3" i="1"/>
  <c r="C3" i="1" s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B31" i="1"/>
  <c r="C31" i="1" s="1"/>
  <c r="B32" i="1"/>
  <c r="C32" i="1" s="1"/>
  <c r="B33" i="1"/>
  <c r="C33" i="1" s="1"/>
  <c r="B34" i="1"/>
  <c r="C34" i="1" s="1"/>
  <c r="B35" i="1"/>
  <c r="C35" i="1" s="1"/>
  <c r="B36" i="1"/>
  <c r="B2" i="1"/>
  <c r="F2" i="1"/>
  <c r="F3" i="1" l="1"/>
  <c r="F4" i="1" s="1"/>
  <c r="V5" i="1"/>
  <c r="W5" i="1" s="1"/>
  <c r="V6" i="1"/>
  <c r="W6" i="1" s="1"/>
  <c r="S14" i="1" l="1"/>
  <c r="V14" i="1" s="1"/>
  <c r="AB6" i="1"/>
  <c r="S13" i="1"/>
  <c r="V13" i="1" s="1"/>
  <c r="Z4" i="1"/>
  <c r="AA12" i="1"/>
  <c r="AC12" i="1" s="1"/>
  <c r="T12" i="1" s="1"/>
  <c r="W12" i="1" s="1"/>
  <c r="Y6" i="1"/>
  <c r="Y5" i="1"/>
  <c r="AB5" i="1"/>
  <c r="AA14" i="1"/>
  <c r="AC14" i="1" s="1"/>
  <c r="T14" i="1" s="1"/>
  <c r="Y7" i="1" l="1"/>
  <c r="AB7" i="1"/>
  <c r="W14" i="1"/>
  <c r="Z5" i="1"/>
  <c r="AC5" i="1"/>
  <c r="AA13" i="1"/>
  <c r="AC13" i="1" s="1"/>
  <c r="T13" i="1" s="1"/>
  <c r="W13" i="1" s="1"/>
  <c r="Z6" i="1"/>
  <c r="AC7" i="1" l="1"/>
  <c r="Z7" i="1"/>
  <c r="V7" i="1"/>
  <c r="W7" i="1" l="1"/>
  <c r="AA15" i="1" s="1"/>
  <c r="AC15" i="1" s="1"/>
  <c r="T15" i="1" s="1"/>
  <c r="S15" i="1"/>
  <c r="V15" i="1" s="1"/>
  <c r="V16" i="1" s="1"/>
  <c r="W15" i="1" l="1"/>
  <c r="W16" i="1" s="1"/>
</calcChain>
</file>

<file path=xl/sharedStrings.xml><?xml version="1.0" encoding="utf-8"?>
<sst xmlns="http://schemas.openxmlformats.org/spreadsheetml/2006/main" count="75" uniqueCount="74">
  <si>
    <t>stdev</t>
  </si>
  <si>
    <t>N</t>
  </si>
  <si>
    <t>rad</t>
  </si>
  <si>
    <t>rad-rbar</t>
  </si>
  <si>
    <t>(r-rbar)^2</t>
  </si>
  <si>
    <t>sterr</t>
  </si>
  <si>
    <t>punc</t>
  </si>
  <si>
    <t>runc</t>
  </si>
  <si>
    <t>c [m/s]</t>
  </si>
  <si>
    <t>q [C]</t>
  </si>
  <si>
    <t>rbar [m]</t>
  </si>
  <si>
    <t>p [eV/c]</t>
  </si>
  <si>
    <t>eV2J</t>
  </si>
  <si>
    <t>Chosen slide</t>
  </si>
  <si>
    <t>16B</t>
  </si>
  <si>
    <t>p1, p1unc</t>
  </si>
  <si>
    <t>r1, r1unc</t>
  </si>
  <si>
    <t>r2, r2unc</t>
  </si>
  <si>
    <t>r3, r3unc</t>
  </si>
  <si>
    <t>p2, p2unc</t>
  </si>
  <si>
    <t>p3, p3unc</t>
  </si>
  <si>
    <t>p1x, p1xunc</t>
  </si>
  <si>
    <t>p2x, p2xunc</t>
  </si>
  <si>
    <t>p3x, p3xunc</t>
  </si>
  <si>
    <t>p1y, p1yunc</t>
  </si>
  <si>
    <t>p2y, p2yunc</t>
  </si>
  <si>
    <t>p3y, p3yunc</t>
  </si>
  <si>
    <t>Momentum conservation</t>
  </si>
  <si>
    <t>Energy conservation</t>
  </si>
  <si>
    <t>particle</t>
  </si>
  <si>
    <t>electron</t>
  </si>
  <si>
    <t>proton</t>
  </si>
  <si>
    <t>neutron</t>
  </si>
  <si>
    <t>mass [eV/c^2]</t>
  </si>
  <si>
    <t>mass [kg]</t>
  </si>
  <si>
    <t>pion (-/+)</t>
  </si>
  <si>
    <t>pion (0)</t>
  </si>
  <si>
    <t>Elastic colision</t>
  </si>
  <si>
    <t>E1, E1unc</t>
  </si>
  <si>
    <t>E2, E2unc</t>
  </si>
  <si>
    <t>E3, E3unc</t>
  </si>
  <si>
    <t>E4, E4unc</t>
  </si>
  <si>
    <t>r4, r4unc</t>
  </si>
  <si>
    <t>p4, p4unc</t>
  </si>
  <si>
    <t>p4x, p4xunc</t>
  </si>
  <si>
    <t>p4y, p4yunc</t>
  </si>
  <si>
    <t>Uncertainties for energy conservation</t>
  </si>
  <si>
    <t>p1^2unc</t>
  </si>
  <si>
    <t>p2^2unc</t>
  </si>
  <si>
    <t>p3^2unc</t>
  </si>
  <si>
    <t>p4^2unc</t>
  </si>
  <si>
    <t>mass unc [kg]</t>
  </si>
  <si>
    <t>m1^2unc</t>
  </si>
  <si>
    <t>m2^2unc</t>
  </si>
  <si>
    <t>m3^2unc</t>
  </si>
  <si>
    <t>m4^2unc</t>
  </si>
  <si>
    <t>m1^2 * c^4 unc</t>
  </si>
  <si>
    <t>p1^2 * c^2 unc</t>
  </si>
  <si>
    <t>p2^2 * c^2 unc</t>
  </si>
  <si>
    <t>p3^2 * c^2 unc</t>
  </si>
  <si>
    <t>p4^2 * c^2 unc</t>
  </si>
  <si>
    <t>m2^2 * c^4 unc</t>
  </si>
  <si>
    <t>m3^2 * c^4 unc</t>
  </si>
  <si>
    <t>m4^2 * c^4 unc</t>
  </si>
  <si>
    <t>E1^2, E1^2unc</t>
  </si>
  <si>
    <t>E2^2, E2^2unc</t>
  </si>
  <si>
    <t>E3^2, E3^2unc</t>
  </si>
  <si>
    <t>E4^2, E4^2unc</t>
  </si>
  <si>
    <t>E2 + E3 + E4</t>
  </si>
  <si>
    <t xml:space="preserve"> </t>
  </si>
  <si>
    <t>p [kg m/s]</t>
  </si>
  <si>
    <t>r1bar</t>
  </si>
  <si>
    <t>B [T]</t>
  </si>
  <si>
    <t>Bunc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</si>
</sst>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FAF-5A37-4A2E-AF8A-CF8556ABE718}">
  <dimension ref="A1:AG36"/>
  <sheetViews>
    <sheetView tabSelected="1" topLeftCell="Q1" workbookViewId="0">
      <selection activeCell="Z6" sqref="Z6"/>
    </sheetView>
  </sheetViews>
  <sheetFormatPr defaultRowHeight="14.4" x14ac:dyDescent="0.3"/>
  <cols>
    <col min="1" max="7" width="8.88671875" style="1"/>
    <col min="8" max="8" width="12" style="1" bestFit="1" customWidth="1"/>
    <col min="9" max="9" width="8.88671875" style="1"/>
    <col min="10" max="10" width="12" style="1" bestFit="1" customWidth="1"/>
    <col min="11" max="11" width="8.88671875" style="1"/>
    <col min="12" max="12" width="12" style="1" bestFit="1" customWidth="1"/>
    <col min="13" max="13" width="10" style="1" bestFit="1" customWidth="1"/>
    <col min="14" max="14" width="12" style="1" bestFit="1" customWidth="1"/>
    <col min="15" max="15" width="8.88671875" style="1"/>
    <col min="16" max="16" width="12" style="1" bestFit="1" customWidth="1"/>
    <col min="17" max="17" width="8.88671875" style="1"/>
    <col min="18" max="18" width="13.6640625" style="1" customWidth="1"/>
    <col min="19" max="27" width="12" style="1" bestFit="1" customWidth="1"/>
    <col min="28" max="29" width="12.6640625" style="1" bestFit="1" customWidth="1"/>
    <col min="30" max="33" width="8.88671875" style="1"/>
  </cols>
  <sheetData>
    <row r="1" spans="1:33" x14ac:dyDescent="0.3">
      <c r="A1" s="1" t="s">
        <v>2</v>
      </c>
      <c r="B1" s="1" t="s">
        <v>3</v>
      </c>
      <c r="C1" s="1" t="s">
        <v>4</v>
      </c>
      <c r="E1" s="1" t="s">
        <v>1</v>
      </c>
      <c r="F1" s="1">
        <v>35</v>
      </c>
      <c r="H1" s="1" t="s">
        <v>8</v>
      </c>
      <c r="I1" s="1">
        <v>299792458</v>
      </c>
      <c r="M1" s="1" t="s">
        <v>12</v>
      </c>
      <c r="N1" s="1">
        <f>1.602176634*10^(-19)</f>
        <v>1.6021766340000001E-19</v>
      </c>
      <c r="R1" s="1" t="s">
        <v>13</v>
      </c>
      <c r="S1" s="1" t="s">
        <v>14</v>
      </c>
    </row>
    <row r="2" spans="1:33" x14ac:dyDescent="0.3">
      <c r="A2" s="1">
        <v>240</v>
      </c>
      <c r="B2" s="1">
        <f t="shared" ref="B2:B36" si="0">A2-$F$2</f>
        <v>-22.571428571428555</v>
      </c>
      <c r="C2" s="1">
        <f>B2^2</f>
        <v>509.46938775510131</v>
      </c>
      <c r="E2" s="1" t="s">
        <v>71</v>
      </c>
      <c r="F2" s="1">
        <f>AVERAGE(A2:A36)</f>
        <v>262.57142857142856</v>
      </c>
      <c r="H2" s="1" t="s">
        <v>11</v>
      </c>
      <c r="I2" s="1">
        <f xml:space="preserve"> 921 * 10^6</f>
        <v>921000000</v>
      </c>
      <c r="J2" s="1" t="s">
        <v>6</v>
      </c>
      <c r="K2" s="1">
        <f>I2*0.03</f>
        <v>27630000</v>
      </c>
      <c r="M2" s="1" t="s">
        <v>29</v>
      </c>
      <c r="N2" s="1" t="s">
        <v>33</v>
      </c>
      <c r="O2" s="1" t="s">
        <v>34</v>
      </c>
      <c r="P2" s="1" t="s">
        <v>51</v>
      </c>
    </row>
    <row r="3" spans="1:33" x14ac:dyDescent="0.3">
      <c r="A3" s="1">
        <v>250</v>
      </c>
      <c r="B3" s="1">
        <f t="shared" si="0"/>
        <v>-12.571428571428555</v>
      </c>
      <c r="C3" s="1">
        <f t="shared" ref="C3:C36" si="1">B3^2</f>
        <v>158.04081632653021</v>
      </c>
      <c r="E3" s="1" t="s">
        <v>0</v>
      </c>
      <c r="F3" s="1">
        <f>SQRT( (1/(F1-1)) * SUM(C2:C236))</f>
        <v>10.244900350578201</v>
      </c>
      <c r="H3" s="1" t="s">
        <v>70</v>
      </c>
      <c r="I3" s="1">
        <f xml:space="preserve"> (I2 * N1)  / I1</f>
        <v>4.9220873992567215E-19</v>
      </c>
      <c r="J3" s="1" t="s">
        <v>6</v>
      </c>
      <c r="K3" s="1">
        <f xml:space="preserve"> (K2 * N1) / I1</f>
        <v>1.4766262197770168E-20</v>
      </c>
      <c r="M3" s="1" t="s">
        <v>30</v>
      </c>
      <c r="N3" s="1">
        <f xml:space="preserve"> 0.51099 * 10^6</f>
        <v>510990.00000000006</v>
      </c>
      <c r="O3" s="1">
        <f xml:space="preserve"> (N3 * $N$1) / $I$1^2</f>
        <v>9.1092241533263963E-31</v>
      </c>
      <c r="P3" s="2">
        <f>1E-33</f>
        <v>1.0000000000000001E-33</v>
      </c>
      <c r="R3" s="1" t="s">
        <v>27</v>
      </c>
    </row>
    <row r="4" spans="1:33" x14ac:dyDescent="0.3">
      <c r="A4" s="1">
        <v>280</v>
      </c>
      <c r="B4" s="1">
        <f t="shared" si="0"/>
        <v>17.428571428571445</v>
      </c>
      <c r="C4" s="1">
        <f t="shared" si="1"/>
        <v>303.75510204081689</v>
      </c>
      <c r="E4" s="1" t="s">
        <v>5</v>
      </c>
      <c r="F4" s="1">
        <f>F3/SQRT(F1)</f>
        <v>1.7317042241121674</v>
      </c>
      <c r="H4" s="1" t="s">
        <v>9</v>
      </c>
      <c r="I4" s="1">
        <f xml:space="preserve"> 1.602176634*10^(-19)</f>
        <v>1.6021766340000001E-19</v>
      </c>
      <c r="M4" s="1" t="s">
        <v>31</v>
      </c>
      <c r="N4" s="1">
        <f xml:space="preserve"> 938.272 * 10^6</f>
        <v>938272000</v>
      </c>
      <c r="O4" s="1">
        <f xml:space="preserve"> (N4 * $N$1) / $I$1^2</f>
        <v>1.6726217665296512E-27</v>
      </c>
      <c r="P4" s="1">
        <f xml:space="preserve"> 1E-29</f>
        <v>9.9999999999999994E-30</v>
      </c>
      <c r="R4" s="1" t="s">
        <v>16</v>
      </c>
      <c r="S4" s="1">
        <v>2.6</v>
      </c>
      <c r="T4" s="1">
        <v>0.1</v>
      </c>
      <c r="U4" s="1" t="s">
        <v>15</v>
      </c>
      <c r="V4" s="1">
        <f xml:space="preserve"> I3</f>
        <v>4.9220873992567215E-19</v>
      </c>
      <c r="W4" s="1">
        <f xml:space="preserve"> K3</f>
        <v>1.4766262197770168E-20</v>
      </c>
      <c r="X4" s="1" t="s">
        <v>21</v>
      </c>
      <c r="Y4" s="1">
        <f>V4</f>
        <v>4.9220873992567215E-19</v>
      </c>
      <c r="Z4" s="1">
        <f>W4</f>
        <v>1.4766262197770168E-20</v>
      </c>
      <c r="AA4" s="1" t="s">
        <v>24</v>
      </c>
      <c r="AB4" s="1">
        <f>0</f>
        <v>0</v>
      </c>
      <c r="AC4" s="1">
        <f>0</f>
        <v>0</v>
      </c>
    </row>
    <row r="5" spans="1:33" x14ac:dyDescent="0.3">
      <c r="A5" s="1">
        <v>280</v>
      </c>
      <c r="B5" s="1">
        <f t="shared" si="0"/>
        <v>17.428571428571445</v>
      </c>
      <c r="C5" s="1">
        <f t="shared" si="1"/>
        <v>303.75510204081689</v>
      </c>
      <c r="H5" s="1" t="s">
        <v>10</v>
      </c>
      <c r="I5" s="1">
        <v>2.6</v>
      </c>
      <c r="J5" s="1" t="s">
        <v>7</v>
      </c>
      <c r="K5" s="1">
        <v>0.1</v>
      </c>
      <c r="M5" s="1" t="s">
        <v>35</v>
      </c>
      <c r="N5" s="1">
        <f xml:space="preserve"> 139.5669 * 10^6</f>
        <v>139566900</v>
      </c>
      <c r="O5" s="1">
        <f xml:space="preserve"> (N5 * $N$1) / $I$1^2</f>
        <v>2.4880059814964864E-28</v>
      </c>
      <c r="P5" s="1">
        <f xml:space="preserve"> 1E-30</f>
        <v>1.0000000000000001E-30</v>
      </c>
      <c r="R5" s="1" t="s">
        <v>17</v>
      </c>
      <c r="S5" s="1">
        <v>1.125</v>
      </c>
      <c r="T5" s="1">
        <v>2.5000000000000001E-2</v>
      </c>
      <c r="U5" s="1" t="s">
        <v>19</v>
      </c>
      <c r="V5" s="1">
        <f xml:space="preserve"> $I$4 * $I$6 *S5</f>
        <v>2.1297493554476197E-19</v>
      </c>
      <c r="W5" s="1">
        <f xml:space="preserve"> V5 * SQRT( (T5 / S5)^2 + ($K$6 / $I$6))</f>
        <v>4.727457990442709E-20</v>
      </c>
      <c r="X5" s="1" t="s">
        <v>22</v>
      </c>
      <c r="Y5" s="1">
        <f xml:space="preserve"> V5 * COS(19 * (PI() / 180))</f>
        <v>2.0137175769463966E-19</v>
      </c>
      <c r="Z5" s="1">
        <f xml:space="preserve"> W5 * COS(19 * (PI() / 180))</f>
        <v>4.4698993453289989E-20</v>
      </c>
      <c r="AA5" s="1" t="s">
        <v>25</v>
      </c>
      <c r="AB5" s="1">
        <f xml:space="preserve"> V5 * SIN(19 * (PI() / 180))</f>
        <v>6.9337856710940055E-20</v>
      </c>
      <c r="AC5" s="1">
        <f xml:space="preserve"> W5 * SIN(19 * (PI() / 180))</f>
        <v>1.5391097732221713E-20</v>
      </c>
    </row>
    <row r="6" spans="1:33" x14ac:dyDescent="0.3">
      <c r="A6" s="1">
        <v>265</v>
      </c>
      <c r="B6" s="1">
        <f t="shared" si="0"/>
        <v>2.4285714285714448</v>
      </c>
      <c r="C6" s="1">
        <f t="shared" si="1"/>
        <v>5.8979591836735485</v>
      </c>
      <c r="H6" s="1" t="s">
        <v>72</v>
      </c>
      <c r="I6" s="1">
        <f xml:space="preserve"> I3 / (I4 * I5)</f>
        <v>1.1815866602980691</v>
      </c>
      <c r="J6" s="1" t="s">
        <v>73</v>
      </c>
      <c r="K6" s="1">
        <f xml:space="preserve"> I6 * SQRT( (K3 / I3)^2 + (K5 / I5)^2)</f>
        <v>5.7635393623908536E-2</v>
      </c>
      <c r="M6" s="1" t="s">
        <v>36</v>
      </c>
      <c r="N6" s="1">
        <f xml:space="preserve"> 134.9626 * 10^6</f>
        <v>134962600</v>
      </c>
      <c r="O6" s="1">
        <f xml:space="preserve"> (N6 * $N$1) / $I$1^2</f>
        <v>2.4059268786389732E-28</v>
      </c>
      <c r="P6" s="2">
        <f>1E-30</f>
        <v>1.0000000000000001E-30</v>
      </c>
      <c r="R6" s="1" t="s">
        <v>18</v>
      </c>
      <c r="S6" s="1">
        <v>0.88300000000000001</v>
      </c>
      <c r="T6" s="1">
        <v>3.3000000000000002E-2</v>
      </c>
      <c r="U6" s="1" t="s">
        <v>20</v>
      </c>
      <c r="V6" s="1">
        <f xml:space="preserve"> $I$4 * $I$6 *S6</f>
        <v>1.6716166052091095E-19</v>
      </c>
      <c r="W6" s="1">
        <f xml:space="preserve"> V6 * SQRT( (T6 / S6)^2 + ($K$6 / $I$6))</f>
        <v>3.7443718106586817E-20</v>
      </c>
      <c r="X6" s="1" t="s">
        <v>23</v>
      </c>
      <c r="Y6" s="1">
        <f xml:space="preserve"> V6 * COS(68 * (PI() / 180))</f>
        <v>6.2619860197485586E-20</v>
      </c>
      <c r="Z6" s="1">
        <f xml:space="preserve"> W6 * COS(68 * (PI() / 180))</f>
        <v>1.4026663684734188E-20</v>
      </c>
      <c r="AA6" s="1" t="s">
        <v>26</v>
      </c>
      <c r="AB6" s="1">
        <f xml:space="preserve"> - V6 * SIN(68 * (PI() / 180))</f>
        <v>-1.5498959273756299E-19</v>
      </c>
      <c r="AC6" s="1">
        <f xml:space="preserve"> W6 * SIN(68 * (PI() / 180))</f>
        <v>3.4717210883377374E-20</v>
      </c>
    </row>
    <row r="7" spans="1:33" x14ac:dyDescent="0.3">
      <c r="A7" s="1">
        <v>280</v>
      </c>
      <c r="B7" s="1">
        <f t="shared" si="0"/>
        <v>17.428571428571445</v>
      </c>
      <c r="C7" s="1">
        <f t="shared" si="1"/>
        <v>303.75510204081689</v>
      </c>
      <c r="M7" s="1" t="s">
        <v>32</v>
      </c>
      <c r="N7" s="1">
        <f xml:space="preserve"> 939.566 * 10^6</f>
        <v>939566000</v>
      </c>
      <c r="O7" s="1">
        <f xml:space="preserve"> (N7 * $N$1) / $I$1^2</f>
        <v>1.6749285310562374E-27</v>
      </c>
      <c r="P7" s="2">
        <f>1E-29</f>
        <v>9.9999999999999994E-30</v>
      </c>
      <c r="R7" s="3" t="s">
        <v>42</v>
      </c>
      <c r="U7" s="1" t="s">
        <v>43</v>
      </c>
      <c r="V7" s="1">
        <f xml:space="preserve"> SQRT(Y7^2 + AB7^2)</f>
        <v>2.4376069140378059E-19</v>
      </c>
      <c r="W7" s="1">
        <f xml:space="preserve"> V7 * (1/2) * (SQRT((Y7^2 * 2 * (Z7/Y7))^2 + (AB7^2 * 2 * (AC7/AB7))^2) / V7^2)</f>
        <v>4.7884778358879104E-20</v>
      </c>
      <c r="X7" s="1" t="s">
        <v>44</v>
      </c>
      <c r="Y7" s="1">
        <f xml:space="preserve"> Y4 - Y5 - Y6</f>
        <v>2.2821712203354691E-19</v>
      </c>
      <c r="Z7" s="1">
        <f xml:space="preserve"> SQRT(Z4^2 + Z5^2 + Z6^2)</f>
        <v>4.9120156851899389E-20</v>
      </c>
      <c r="AA7" s="1" t="s">
        <v>45</v>
      </c>
      <c r="AB7" s="1">
        <f xml:space="preserve"> -(AB5 + AB6)</f>
        <v>8.5651736026622931E-20</v>
      </c>
      <c r="AC7" s="1">
        <f xml:space="preserve"> SQRT(AC4^2 + AC5^2 + AC6^2)</f>
        <v>3.7975921594132468E-20</v>
      </c>
    </row>
    <row r="8" spans="1:33" x14ac:dyDescent="0.3">
      <c r="A8" s="1">
        <v>250</v>
      </c>
      <c r="B8" s="1">
        <f t="shared" si="0"/>
        <v>-12.571428571428555</v>
      </c>
      <c r="C8" s="1">
        <f t="shared" si="1"/>
        <v>158.04081632653021</v>
      </c>
      <c r="K8" s="1" t="s">
        <v>69</v>
      </c>
    </row>
    <row r="9" spans="1:33" x14ac:dyDescent="0.3">
      <c r="A9" s="1">
        <v>250</v>
      </c>
      <c r="B9" s="1">
        <f t="shared" si="0"/>
        <v>-12.571428571428555</v>
      </c>
      <c r="C9" s="1">
        <f t="shared" si="1"/>
        <v>158.04081632653021</v>
      </c>
      <c r="R9" s="1" t="s">
        <v>37</v>
      </c>
    </row>
    <row r="10" spans="1:33" x14ac:dyDescent="0.3">
      <c r="A10" s="1">
        <v>265</v>
      </c>
      <c r="B10" s="1">
        <f t="shared" si="0"/>
        <v>2.4285714285714448</v>
      </c>
      <c r="C10" s="1">
        <f t="shared" si="1"/>
        <v>5.8979591836735485</v>
      </c>
    </row>
    <row r="11" spans="1:33" x14ac:dyDescent="0.3">
      <c r="A11" s="1">
        <v>265</v>
      </c>
      <c r="B11" s="1">
        <f t="shared" si="0"/>
        <v>2.4285714285714448</v>
      </c>
      <c r="C11" s="1">
        <f t="shared" si="1"/>
        <v>5.8979591836735485</v>
      </c>
      <c r="R11" s="1" t="s">
        <v>28</v>
      </c>
      <c r="Z11" s="1" t="s">
        <v>46</v>
      </c>
    </row>
    <row r="12" spans="1:33" x14ac:dyDescent="0.3">
      <c r="A12" s="1">
        <v>265</v>
      </c>
      <c r="B12" s="1">
        <f t="shared" si="0"/>
        <v>2.4285714285714448</v>
      </c>
      <c r="C12" s="1">
        <f t="shared" si="1"/>
        <v>5.8979591836735485</v>
      </c>
      <c r="R12" s="1" t="s">
        <v>64</v>
      </c>
      <c r="S12" s="1">
        <f xml:space="preserve"> O5^2 * I1^4  + V4^2 * I1^2</f>
        <v>2.2274109729152505E-20</v>
      </c>
      <c r="T12" s="1">
        <f xml:space="preserve"> SQRT(AC12^2 + AG12^2)</f>
        <v>1.3064516859285076E-21</v>
      </c>
      <c r="U12" s="1" t="s">
        <v>38</v>
      </c>
      <c r="V12" s="1">
        <f xml:space="preserve"> S12^(1/2)</f>
        <v>1.4924513301663308E-10</v>
      </c>
      <c r="W12" s="1">
        <f xml:space="preserve"> V12 * (1/2) * (T12/S12)</f>
        <v>4.3768652937677565E-12</v>
      </c>
      <c r="Z12" s="1" t="s">
        <v>47</v>
      </c>
      <c r="AA12" s="1">
        <f xml:space="preserve"> V4^2 * 2 * (W4 / V4)</f>
        <v>1.4536166619553082E-38</v>
      </c>
      <c r="AB12" s="1" t="s">
        <v>57</v>
      </c>
      <c r="AC12" s="1">
        <f xml:space="preserve"> V4^2 * $I$1^2 * SQRT( (AA12 / V4^2)^2 )</f>
        <v>1.3064455028304591E-21</v>
      </c>
      <c r="AD12" s="1" t="s">
        <v>52</v>
      </c>
      <c r="AE12" s="1">
        <f xml:space="preserve"> O5^2 * 2 * (P5 / O5)</f>
        <v>4.9760119629929733E-58</v>
      </c>
      <c r="AF12" s="1" t="s">
        <v>56</v>
      </c>
      <c r="AG12" s="1">
        <f xml:space="preserve"> O5^2 * I1^4 * SQRT(  (AE12 / O5^2)^2 )</f>
        <v>4.0194277588575222E-24</v>
      </c>
    </row>
    <row r="13" spans="1:33" x14ac:dyDescent="0.3">
      <c r="A13" s="1">
        <v>265</v>
      </c>
      <c r="B13" s="1">
        <f t="shared" si="0"/>
        <v>2.4285714285714448</v>
      </c>
      <c r="C13" s="1">
        <f t="shared" si="1"/>
        <v>5.8979591836735485</v>
      </c>
      <c r="R13" s="1" t="s">
        <v>65</v>
      </c>
      <c r="S13" s="1">
        <f xml:space="preserve"> O5^2 * I1^4 + V5^2 * I1^2</f>
        <v>4.576620800123655E-21</v>
      </c>
      <c r="T13" s="1">
        <f xml:space="preserve"> SQRT(AC13^2 + AG13^2)</f>
        <v>1.8097919259596414E-21</v>
      </c>
      <c r="U13" s="1" t="s">
        <v>39</v>
      </c>
      <c r="V13" s="1">
        <f t="shared" ref="V13:V15" si="2" xml:space="preserve"> S13^(1/2)</f>
        <v>6.7650726530641597E-11</v>
      </c>
      <c r="W13" s="1">
        <f t="shared" ref="W13:W15" si="3" xml:space="preserve"> V13 * (1/2) * (T13/S13)</f>
        <v>1.3375997707429775E-11</v>
      </c>
      <c r="Z13" s="1" t="s">
        <v>48</v>
      </c>
      <c r="AA13" s="1">
        <f xml:space="preserve"> V5^2 * 2 * (W5 / V5)</f>
        <v>2.0136601216102119E-38</v>
      </c>
      <c r="AB13" s="1" t="s">
        <v>58</v>
      </c>
      <c r="AC13" s="1">
        <f xml:space="preserve"> V5^2 * $I$1^2 * SQRT( (AA13 / V5^2)^2 )</f>
        <v>1.8097874625129879E-21</v>
      </c>
      <c r="AD13" s="1" t="s">
        <v>53</v>
      </c>
      <c r="AE13" s="1">
        <f xml:space="preserve"> O5^2 * 2 * (P5 / O5)</f>
        <v>4.9760119629929733E-58</v>
      </c>
      <c r="AF13" s="1" t="s">
        <v>61</v>
      </c>
      <c r="AG13" s="1">
        <f xml:space="preserve"> O5^2 * I1^4 * SQRT( (AE13 / O5^2)^2 )</f>
        <v>4.0194277588575222E-24</v>
      </c>
    </row>
    <row r="14" spans="1:33" x14ac:dyDescent="0.3">
      <c r="A14" s="1">
        <v>265</v>
      </c>
      <c r="B14" s="1">
        <f t="shared" si="0"/>
        <v>2.4285714285714448</v>
      </c>
      <c r="C14" s="1">
        <f t="shared" si="1"/>
        <v>5.8979591836735485</v>
      </c>
      <c r="R14" s="1" t="s">
        <v>66</v>
      </c>
      <c r="S14" s="1">
        <f xml:space="preserve"> O5^2 * I1^4 + V6^2 * I1^2</f>
        <v>3.0114114760027928E-21</v>
      </c>
      <c r="T14" s="1">
        <f xml:space="preserve"> SQRT(AC14^2 + AG14^2)</f>
        <v>1.1570837239052209E-21</v>
      </c>
      <c r="U14" s="1" t="s">
        <v>40</v>
      </c>
      <c r="V14" s="1">
        <f t="shared" si="2"/>
        <v>5.4876328922430598E-11</v>
      </c>
      <c r="W14" s="1">
        <f t="shared" si="3"/>
        <v>1.0542648776130733E-11</v>
      </c>
      <c r="Z14" s="1" t="s">
        <v>49</v>
      </c>
      <c r="AA14" s="1">
        <f xml:space="preserve"> V6^2 * 2 * (W6 / V6)</f>
        <v>1.2518308189547903E-38</v>
      </c>
      <c r="AB14" s="1" t="s">
        <v>59</v>
      </c>
      <c r="AC14" s="1">
        <f xml:space="preserve"> V6^2 * $I$1^2 * SQRT( (AA14 / V6^2)^2 )</f>
        <v>1.1250894314379693E-21</v>
      </c>
      <c r="AD14" s="1" t="s">
        <v>54</v>
      </c>
      <c r="AE14" s="1">
        <f xml:space="preserve"> O4^2 * 2 * (P4 / O4)</f>
        <v>3.3452435330593026E-56</v>
      </c>
      <c r="AF14" s="1" t="s">
        <v>62</v>
      </c>
      <c r="AG14" s="1">
        <f xml:space="preserve"> O4^2 * I1^4 * SQRT( (AE14 / O4^2)^2 )</f>
        <v>2.7021568309955771E-22</v>
      </c>
    </row>
    <row r="15" spans="1:33" x14ac:dyDescent="0.3">
      <c r="A15" s="1">
        <v>265</v>
      </c>
      <c r="B15" s="1">
        <f t="shared" si="0"/>
        <v>2.4285714285714448</v>
      </c>
      <c r="C15" s="1">
        <f t="shared" si="1"/>
        <v>5.8979591836735485</v>
      </c>
      <c r="R15" s="1" t="s">
        <v>67</v>
      </c>
      <c r="S15" s="1">
        <f xml:space="preserve"> O6^2 * I1^4 + V7^2 * I1^2</f>
        <v>5.8079091826523966E-21</v>
      </c>
      <c r="T15" s="1">
        <f xml:space="preserve"> SQRT(AC15^2 + AG15^2)</f>
        <v>2.0981343857084804E-21</v>
      </c>
      <c r="U15" s="1" t="s">
        <v>41</v>
      </c>
      <c r="V15" s="1">
        <f t="shared" si="2"/>
        <v>7.6209639696382219E-11</v>
      </c>
      <c r="W15" s="1">
        <f t="shared" si="3"/>
        <v>1.3765544582466264E-11</v>
      </c>
      <c r="Z15" s="1" t="s">
        <v>50</v>
      </c>
      <c r="AA15" s="1">
        <f xml:space="preserve"> V7^2 * 2 * (W7 / V7)</f>
        <v>2.3344853360954321E-38</v>
      </c>
      <c r="AB15" s="1" t="s">
        <v>60</v>
      </c>
      <c r="AC15" s="1">
        <f xml:space="preserve"> V7^2 * $I$1^2 * SQRT( (AA15 / V7^2)^2 )</f>
        <v>2.0981307855009297E-21</v>
      </c>
      <c r="AD15" s="1" t="s">
        <v>55</v>
      </c>
      <c r="AE15" s="2">
        <f xml:space="preserve"> O6^2 * 2 * (P6 / O6)</f>
        <v>4.8118537572779465E-58</v>
      </c>
      <c r="AF15" s="1" t="s">
        <v>63</v>
      </c>
      <c r="AG15" s="2">
        <f xml:space="preserve"> O6^2 * I1^4 * SQRT( (AE15 / O6^2)^2 )</f>
        <v>3.8868271835770821E-24</v>
      </c>
    </row>
    <row r="16" spans="1:33" x14ac:dyDescent="0.3">
      <c r="A16" s="1">
        <v>265</v>
      </c>
      <c r="B16" s="1">
        <f t="shared" si="0"/>
        <v>2.4285714285714448</v>
      </c>
      <c r="C16" s="1">
        <f t="shared" si="1"/>
        <v>5.8979591836735485</v>
      </c>
      <c r="U16" s="1" t="s">
        <v>68</v>
      </c>
      <c r="V16" s="1">
        <f>SUM(V13:V15)</f>
        <v>1.9873669514945441E-10</v>
      </c>
      <c r="W16" s="1">
        <f xml:space="preserve"> SQRT(W13^2 + W14^2 + W15^2)</f>
        <v>2.1898743697707493E-11</v>
      </c>
    </row>
    <row r="17" spans="1:3" x14ac:dyDescent="0.3">
      <c r="A17" s="1">
        <v>265</v>
      </c>
      <c r="B17" s="1">
        <f t="shared" si="0"/>
        <v>2.4285714285714448</v>
      </c>
      <c r="C17" s="1">
        <f t="shared" si="1"/>
        <v>5.8979591836735485</v>
      </c>
    </row>
    <row r="18" spans="1:3" x14ac:dyDescent="0.3">
      <c r="A18" s="1">
        <v>250</v>
      </c>
      <c r="B18" s="1">
        <f t="shared" si="0"/>
        <v>-12.571428571428555</v>
      </c>
      <c r="C18" s="1">
        <f t="shared" si="1"/>
        <v>158.04081632653021</v>
      </c>
    </row>
    <row r="19" spans="1:3" x14ac:dyDescent="0.3">
      <c r="A19" s="1">
        <v>265</v>
      </c>
      <c r="B19" s="1">
        <f t="shared" si="0"/>
        <v>2.4285714285714448</v>
      </c>
      <c r="C19" s="1">
        <f t="shared" si="1"/>
        <v>5.8979591836735485</v>
      </c>
    </row>
    <row r="20" spans="1:3" x14ac:dyDescent="0.3">
      <c r="A20" s="1">
        <v>265</v>
      </c>
      <c r="B20" s="1">
        <f t="shared" si="0"/>
        <v>2.4285714285714448</v>
      </c>
      <c r="C20" s="1">
        <f t="shared" si="1"/>
        <v>5.8979591836735485</v>
      </c>
    </row>
    <row r="21" spans="1:3" x14ac:dyDescent="0.3">
      <c r="A21" s="1">
        <v>265</v>
      </c>
      <c r="B21" s="1">
        <f t="shared" si="0"/>
        <v>2.4285714285714448</v>
      </c>
      <c r="C21" s="1">
        <f t="shared" si="1"/>
        <v>5.8979591836735485</v>
      </c>
    </row>
    <row r="22" spans="1:3" x14ac:dyDescent="0.3">
      <c r="A22" s="1">
        <v>265</v>
      </c>
      <c r="B22" s="1">
        <f t="shared" si="0"/>
        <v>2.4285714285714448</v>
      </c>
      <c r="C22" s="1">
        <f t="shared" si="1"/>
        <v>5.8979591836735485</v>
      </c>
    </row>
    <row r="23" spans="1:3" x14ac:dyDescent="0.3">
      <c r="A23" s="1">
        <v>265</v>
      </c>
      <c r="B23" s="1">
        <f t="shared" si="0"/>
        <v>2.4285714285714448</v>
      </c>
      <c r="C23" s="1">
        <f t="shared" si="1"/>
        <v>5.8979591836735485</v>
      </c>
    </row>
    <row r="24" spans="1:3" x14ac:dyDescent="0.3">
      <c r="A24" s="1">
        <v>250</v>
      </c>
      <c r="B24" s="1">
        <f t="shared" si="0"/>
        <v>-12.571428571428555</v>
      </c>
      <c r="C24" s="1">
        <f t="shared" si="1"/>
        <v>158.04081632653021</v>
      </c>
    </row>
    <row r="25" spans="1:3" x14ac:dyDescent="0.3">
      <c r="A25" s="1">
        <v>250</v>
      </c>
      <c r="B25" s="1">
        <f t="shared" si="0"/>
        <v>-12.571428571428555</v>
      </c>
      <c r="C25" s="1">
        <f t="shared" si="1"/>
        <v>158.04081632653021</v>
      </c>
    </row>
    <row r="26" spans="1:3" x14ac:dyDescent="0.3">
      <c r="A26" s="1">
        <v>265</v>
      </c>
      <c r="B26" s="1">
        <f t="shared" si="0"/>
        <v>2.4285714285714448</v>
      </c>
      <c r="C26" s="1">
        <f t="shared" si="1"/>
        <v>5.8979591836735485</v>
      </c>
    </row>
    <row r="27" spans="1:3" x14ac:dyDescent="0.3">
      <c r="A27" s="1">
        <v>265</v>
      </c>
      <c r="B27" s="1">
        <f t="shared" si="0"/>
        <v>2.4285714285714448</v>
      </c>
      <c r="C27" s="1">
        <f t="shared" si="1"/>
        <v>5.8979591836735485</v>
      </c>
    </row>
    <row r="28" spans="1:3" x14ac:dyDescent="0.3">
      <c r="A28" s="1">
        <v>265</v>
      </c>
      <c r="B28" s="1">
        <f t="shared" si="0"/>
        <v>2.4285714285714448</v>
      </c>
      <c r="C28" s="1">
        <f t="shared" si="1"/>
        <v>5.8979591836735485</v>
      </c>
    </row>
    <row r="29" spans="1:3" x14ac:dyDescent="0.3">
      <c r="A29" s="1">
        <v>280</v>
      </c>
      <c r="B29" s="1">
        <f t="shared" si="0"/>
        <v>17.428571428571445</v>
      </c>
      <c r="C29" s="1">
        <f t="shared" si="1"/>
        <v>303.75510204081689</v>
      </c>
    </row>
    <row r="30" spans="1:3" x14ac:dyDescent="0.3">
      <c r="A30" s="1">
        <v>265</v>
      </c>
      <c r="B30" s="1">
        <f t="shared" si="0"/>
        <v>2.4285714285714448</v>
      </c>
      <c r="C30" s="1">
        <f t="shared" si="1"/>
        <v>5.8979591836735485</v>
      </c>
    </row>
    <row r="31" spans="1:3" x14ac:dyDescent="0.3">
      <c r="A31" s="1">
        <v>265</v>
      </c>
      <c r="B31" s="1">
        <f t="shared" si="0"/>
        <v>2.4285714285714448</v>
      </c>
      <c r="C31" s="1">
        <f t="shared" si="1"/>
        <v>5.8979591836735485</v>
      </c>
    </row>
    <row r="32" spans="1:3" x14ac:dyDescent="0.3">
      <c r="A32" s="1">
        <v>250</v>
      </c>
      <c r="B32" s="1">
        <f t="shared" si="0"/>
        <v>-12.571428571428555</v>
      </c>
      <c r="C32" s="1">
        <f t="shared" si="1"/>
        <v>158.04081632653021</v>
      </c>
    </row>
    <row r="33" spans="1:3" x14ac:dyDescent="0.3">
      <c r="A33" s="1">
        <v>250</v>
      </c>
      <c r="B33" s="1">
        <f t="shared" si="0"/>
        <v>-12.571428571428555</v>
      </c>
      <c r="C33" s="1">
        <f t="shared" si="1"/>
        <v>158.04081632653021</v>
      </c>
    </row>
    <row r="34" spans="1:3" x14ac:dyDescent="0.3">
      <c r="A34" s="1">
        <v>265</v>
      </c>
      <c r="B34" s="1">
        <f t="shared" si="0"/>
        <v>2.4285714285714448</v>
      </c>
      <c r="C34" s="1">
        <f t="shared" si="1"/>
        <v>5.8979591836735485</v>
      </c>
    </row>
    <row r="35" spans="1:3" x14ac:dyDescent="0.3">
      <c r="A35" s="1">
        <v>280</v>
      </c>
      <c r="B35" s="1">
        <f t="shared" si="0"/>
        <v>17.428571428571445</v>
      </c>
      <c r="C35" s="1">
        <f t="shared" si="1"/>
        <v>303.75510204081689</v>
      </c>
    </row>
    <row r="36" spans="1:3" x14ac:dyDescent="0.3">
      <c r="A36" s="1">
        <v>250</v>
      </c>
      <c r="B36" s="1">
        <f t="shared" si="0"/>
        <v>-12.571428571428555</v>
      </c>
      <c r="C36" s="1">
        <f t="shared" si="1"/>
        <v>158.04081632653021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2020-06-07T09:16:36Z</dcterms:created>
  <dcterms:modified xsi:type="dcterms:W3CDTF">2020-06-24T15:26:01Z</dcterms:modified>
</cp:coreProperties>
</file>