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salazar\Desktop\Phys 294 Fall 2020\02 Kater pendulum\"/>
    </mc:Choice>
  </mc:AlternateContent>
  <xr:revisionPtr revIDLastSave="0" documentId="13_ncr:1_{4848FF69-0E6C-435A-8706-92F46B82D58C}" xr6:coauthVersionLast="45" xr6:coauthVersionMax="45" xr10:uidLastSave="{00000000-0000-0000-0000-000000000000}"/>
  <bookViews>
    <workbookView xWindow="11688" yWindow="180" windowWidth="11256" windowHeight="12132" activeTab="3" xr2:uid="{22F5C7CC-50D9-4500-A7F4-AB99978C7AC0}"/>
  </bookViews>
  <sheets>
    <sheet name="1rodItself" sheetId="1" r:id="rId1"/>
    <sheet name="2rodWweights" sheetId="2" r:id="rId2"/>
    <sheet name="3nonsymmetrical" sheetId="3" r:id="rId3"/>
    <sheet name="4BesselPendulu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3" i="4" l="1"/>
  <c r="AA13" i="4"/>
  <c r="AB12" i="4"/>
  <c r="AA12" i="4"/>
  <c r="AE11" i="4"/>
  <c r="AE12" i="4"/>
  <c r="AB10" i="4"/>
  <c r="AA10" i="4" l="1"/>
  <c r="AB7" i="4"/>
  <c r="AA6" i="4"/>
  <c r="AA5" i="4"/>
  <c r="AA7" i="4" s="1"/>
  <c r="AA8" i="4" s="1"/>
  <c r="AB8" i="4" s="1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J5" i="4"/>
  <c r="F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5" i="4"/>
  <c r="AF31" i="1" l="1"/>
  <c r="AF30" i="1"/>
  <c r="K7" i="3" l="1"/>
  <c r="G14" i="3"/>
  <c r="G15" i="3" s="1"/>
  <c r="B2" i="3"/>
  <c r="B3" i="3"/>
  <c r="H6" i="3"/>
  <c r="H9" i="3" s="1"/>
  <c r="G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J7" i="3"/>
  <c r="O5" i="3"/>
  <c r="P5" i="3" s="1"/>
  <c r="Q5" i="3" s="1"/>
  <c r="L5" i="3"/>
  <c r="M5" i="3" s="1"/>
  <c r="N5" i="3" s="1"/>
  <c r="J5" i="3"/>
  <c r="K5" i="3" s="1"/>
  <c r="H10" i="3"/>
  <c r="H7" i="3"/>
  <c r="G10" i="3"/>
  <c r="G7" i="3"/>
  <c r="H4" i="3"/>
  <c r="G4" i="3"/>
  <c r="AC3" i="2"/>
  <c r="AD25" i="2"/>
  <c r="N3" i="2"/>
  <c r="L7" i="3" l="1"/>
  <c r="H14" i="3" s="1"/>
  <c r="H15" i="3" s="1"/>
  <c r="G9" i="3"/>
  <c r="D5" i="4"/>
  <c r="D6" i="4" s="1"/>
  <c r="D2" i="3"/>
  <c r="H4" i="4" l="1"/>
  <c r="H5" i="4"/>
  <c r="H6" i="4" s="1"/>
  <c r="L5" i="4"/>
  <c r="L6" i="4" s="1"/>
  <c r="P4" i="4"/>
  <c r="L4" i="4"/>
  <c r="D4" i="4"/>
  <c r="D3" i="3"/>
  <c r="D4" i="3" s="1"/>
  <c r="X4" i="4"/>
  <c r="T4" i="4"/>
  <c r="T5" i="4"/>
  <c r="T6" i="4" s="1"/>
  <c r="X5" i="4"/>
  <c r="X6" i="4" s="1"/>
  <c r="P5" i="4"/>
  <c r="P6" i="4" s="1"/>
  <c r="AI35" i="2"/>
  <c r="AI34" i="2"/>
  <c r="AH35" i="2"/>
  <c r="AH36" i="2" s="1"/>
  <c r="AI36" i="2" s="1"/>
  <c r="AH34" i="2"/>
  <c r="AI26" i="2"/>
  <c r="AH26" i="2"/>
  <c r="AH32" i="2"/>
  <c r="AI32" i="2" s="1"/>
  <c r="AI25" i="2"/>
  <c r="AH25" i="2"/>
  <c r="AH30" i="2"/>
  <c r="AI30" i="2" s="1"/>
  <c r="AH29" i="2"/>
  <c r="AI29" i="2" s="1"/>
  <c r="AI27" i="2"/>
  <c r="AH3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Z11" i="2"/>
  <c r="Z12" i="2"/>
  <c r="Z13" i="2"/>
  <c r="Z10" i="2"/>
  <c r="W11" i="2"/>
  <c r="W12" i="2"/>
  <c r="W13" i="2"/>
  <c r="W10" i="2"/>
  <c r="D5" i="3" l="1"/>
  <c r="D6" i="3"/>
  <c r="AH31" i="2"/>
  <c r="AI31" i="2"/>
  <c r="AE25" i="2"/>
  <c r="AI33" i="2" s="1"/>
  <c r="V6" i="1" l="1"/>
  <c r="V5" i="1"/>
  <c r="V4" i="1"/>
  <c r="V3" i="1"/>
  <c r="W6" i="2"/>
  <c r="W5" i="2"/>
  <c r="W4" i="2"/>
  <c r="W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3" i="2"/>
  <c r="X4" i="2" l="1"/>
  <c r="X5" i="2"/>
  <c r="X3" i="2"/>
  <c r="V10" i="1"/>
  <c r="X10" i="1" s="1"/>
  <c r="AD10" i="1" s="1"/>
  <c r="AK4" i="2"/>
  <c r="AK5" i="2"/>
  <c r="AK6" i="2"/>
  <c r="AK3" i="2"/>
  <c r="AE5" i="2"/>
  <c r="X12" i="2" s="1"/>
  <c r="AC12" i="2" s="1"/>
  <c r="AE4" i="2"/>
  <c r="X11" i="2" s="1"/>
  <c r="AC11" i="2" s="1"/>
  <c r="AE3" i="2"/>
  <c r="X10" i="2" s="1"/>
  <c r="AC10" i="2" s="1"/>
  <c r="F11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0" i="2"/>
  <c r="F9" i="2"/>
  <c r="F8" i="2"/>
  <c r="F7" i="2"/>
  <c r="F6" i="2"/>
  <c r="F5" i="2"/>
  <c r="F4" i="2"/>
  <c r="F3" i="2"/>
  <c r="W13" i="1"/>
  <c r="W11" i="1"/>
  <c r="W12" i="1"/>
  <c r="V11" i="1"/>
  <c r="V12" i="1"/>
  <c r="V13" i="1"/>
  <c r="AB6" i="1"/>
  <c r="AA6" i="1"/>
  <c r="Z6" i="1"/>
  <c r="W6" i="1"/>
  <c r="P7" i="1"/>
  <c r="P6" i="1"/>
  <c r="P5" i="1"/>
  <c r="P3" i="1"/>
  <c r="P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Y12" i="1" l="1"/>
  <c r="AE12" i="1" s="1"/>
  <c r="Y11" i="1"/>
  <c r="AE11" i="1" s="1"/>
  <c r="Y13" i="1"/>
  <c r="AE13" i="1" s="1"/>
  <c r="AB11" i="1"/>
  <c r="X13" i="1"/>
  <c r="AD13" i="1" s="1"/>
  <c r="AF13" i="1" s="1"/>
  <c r="X12" i="1"/>
  <c r="AD12" i="1" s="1"/>
  <c r="AF12" i="1" s="1"/>
  <c r="X11" i="1"/>
  <c r="AD11" i="1" s="1"/>
  <c r="AF11" i="1" s="1"/>
  <c r="AC11" i="1"/>
  <c r="AC13" i="1"/>
  <c r="AC12" i="1"/>
  <c r="AB12" i="1"/>
  <c r="AB13" i="1"/>
  <c r="AE6" i="2"/>
  <c r="X13" i="2" s="1"/>
  <c r="AC13" i="2" s="1"/>
  <c r="X6" i="2"/>
  <c r="P4" i="2"/>
  <c r="P5" i="2" s="1"/>
  <c r="AF6" i="2" s="1"/>
  <c r="P3" i="2"/>
  <c r="L3" i="2"/>
  <c r="L4" i="2"/>
  <c r="L5" i="2" s="1"/>
  <c r="AF5" i="2" s="1"/>
  <c r="H3" i="2"/>
  <c r="D4" i="2"/>
  <c r="D5" i="2" s="1"/>
  <c r="AF3" i="2" s="1"/>
  <c r="D3" i="2"/>
  <c r="H4" i="2"/>
  <c r="H5" i="2" s="1"/>
  <c r="AF4" i="2" s="1"/>
  <c r="Z4" i="1"/>
  <c r="Z5" i="1"/>
  <c r="Z3" i="1"/>
  <c r="W1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B3" i="1"/>
  <c r="AJ11" i="1" l="1"/>
  <c r="AI11" i="1"/>
  <c r="AG11" i="1"/>
  <c r="AH11" i="1"/>
  <c r="AJ12" i="1"/>
  <c r="AI12" i="1"/>
  <c r="AG12" i="1"/>
  <c r="AH12" i="1"/>
  <c r="AI13" i="1"/>
  <c r="AG13" i="1"/>
  <c r="AJ13" i="1"/>
  <c r="AH13" i="1"/>
  <c r="AB10" i="1"/>
  <c r="Y10" i="1"/>
  <c r="AE10" i="1" s="1"/>
  <c r="P6" i="2"/>
  <c r="Y6" i="2"/>
  <c r="AG6" i="2" s="1"/>
  <c r="P7" i="2"/>
  <c r="Y5" i="2"/>
  <c r="AG5" i="2" s="1"/>
  <c r="Y4" i="2"/>
  <c r="AG4" i="2" s="1"/>
  <c r="Y3" i="2"/>
  <c r="AG3" i="2" s="1"/>
  <c r="L6" i="2"/>
  <c r="L7" i="2"/>
  <c r="D7" i="2"/>
  <c r="D6" i="2"/>
  <c r="H6" i="2"/>
  <c r="H7" i="2"/>
  <c r="L4" i="1"/>
  <c r="L5" i="1" s="1"/>
  <c r="AA5" i="1" s="1"/>
  <c r="L3" i="1"/>
  <c r="W5" i="1" s="1"/>
  <c r="H4" i="1"/>
  <c r="H5" i="1" s="1"/>
  <c r="AA4" i="1" s="1"/>
  <c r="D3" i="1"/>
  <c r="W3" i="1" s="1"/>
  <c r="D4" i="1"/>
  <c r="D5" i="1" s="1"/>
  <c r="AA3" i="1" s="1"/>
  <c r="H3" i="1"/>
  <c r="L7" i="1" l="1"/>
  <c r="L6" i="1"/>
  <c r="D7" i="1"/>
  <c r="D6" i="1"/>
  <c r="W4" i="1"/>
  <c r="H7" i="1"/>
  <c r="H6" i="1"/>
  <c r="AB3" i="1"/>
  <c r="AB5" i="1"/>
  <c r="AB4" i="1" l="1"/>
  <c r="AF10" i="1"/>
  <c r="AC23" i="1" s="1"/>
  <c r="AC10" i="1"/>
  <c r="AJ10" i="1" l="1"/>
  <c r="AC20" i="1" s="1"/>
  <c r="AI10" i="1"/>
  <c r="AC22" i="1" s="1"/>
  <c r="AG10" i="1"/>
  <c r="AC19" i="1" s="1"/>
  <c r="AH10" i="1"/>
  <c r="AC21" i="1" s="1"/>
  <c r="AF19" i="1" l="1"/>
  <c r="AG20" i="1" l="1"/>
  <c r="AF20" i="1"/>
  <c r="AF24" i="1" s="1"/>
  <c r="AG21" i="1"/>
  <c r="AF21" i="1"/>
  <c r="AF25" i="1" l="1"/>
  <c r="V5" i="2" s="1"/>
  <c r="V3" i="2"/>
  <c r="AF27" i="1"/>
  <c r="U12" i="2" l="1"/>
  <c r="AA12" i="2" s="1"/>
  <c r="U11" i="2"/>
  <c r="AA11" i="2" s="1"/>
  <c r="U13" i="2"/>
  <c r="AA13" i="2" s="1"/>
  <c r="U10" i="2"/>
  <c r="AA10" i="2" s="1"/>
  <c r="AD26" i="2"/>
  <c r="G3" i="3" s="1"/>
  <c r="G13" i="3" s="1"/>
  <c r="G16" i="3" s="1"/>
  <c r="AF28" i="1"/>
  <c r="AE26" i="2" s="1"/>
  <c r="V12" i="2" l="1"/>
  <c r="AB12" i="2" s="1"/>
  <c r="AD12" i="2" s="1"/>
  <c r="AH12" i="2" s="1"/>
  <c r="V11" i="2"/>
  <c r="AB11" i="2" s="1"/>
  <c r="AD11" i="2" s="1"/>
  <c r="AH11" i="2" s="1"/>
  <c r="G17" i="3"/>
  <c r="V13" i="2"/>
  <c r="AB13" i="2" s="1"/>
  <c r="AD13" i="2" s="1"/>
  <c r="AG13" i="2" s="1"/>
  <c r="V10" i="2"/>
  <c r="AB10" i="2" s="1"/>
  <c r="AD10" i="2" s="1"/>
  <c r="AH10" i="2" s="1"/>
  <c r="AE27" i="2"/>
  <c r="H3" i="3"/>
  <c r="H13" i="3" s="1"/>
  <c r="H16" i="3" s="1"/>
  <c r="H17" i="3" s="1"/>
  <c r="AD27" i="2"/>
  <c r="AG12" i="2" l="1"/>
  <c r="AE12" i="2"/>
  <c r="AF11" i="2"/>
  <c r="AE11" i="2"/>
  <c r="AE13" i="2"/>
  <c r="AF12" i="2"/>
  <c r="AG11" i="2"/>
  <c r="AF10" i="2"/>
  <c r="AA19" i="2" s="1"/>
  <c r="AE10" i="2"/>
  <c r="AA17" i="2" s="1"/>
  <c r="AH13" i="2"/>
  <c r="AA18" i="2" s="1"/>
  <c r="AA21" i="2"/>
  <c r="AG10" i="2"/>
  <c r="AF13" i="2"/>
  <c r="AA20" i="2" l="1"/>
  <c r="AD17" i="2"/>
  <c r="AD18" i="2" l="1"/>
  <c r="AD22" i="2" s="1"/>
  <c r="AE18" i="2"/>
  <c r="AE22" i="2" s="1"/>
  <c r="AD19" i="2"/>
  <c r="AD21" i="2" s="1"/>
  <c r="AE19" i="2"/>
  <c r="AE21" i="2" s="1"/>
</calcChain>
</file>

<file path=xl/sharedStrings.xml><?xml version="1.0" encoding="utf-8"?>
<sst xmlns="http://schemas.openxmlformats.org/spreadsheetml/2006/main" count="276" uniqueCount="122">
  <si>
    <t>Period</t>
  </si>
  <si>
    <t>Pbar</t>
  </si>
  <si>
    <t>stdev</t>
  </si>
  <si>
    <t>sterror</t>
  </si>
  <si>
    <t>Pbar + stdev</t>
  </si>
  <si>
    <t>Pbar - stdev</t>
  </si>
  <si>
    <t>a</t>
  </si>
  <si>
    <t>I/g</t>
  </si>
  <si>
    <t>Summary</t>
  </si>
  <si>
    <t>mrod</t>
  </si>
  <si>
    <t>mrod*a^2</t>
  </si>
  <si>
    <t>y error</t>
  </si>
  <si>
    <t>x error</t>
  </si>
  <si>
    <t>a error</t>
  </si>
  <si>
    <t>Pbar error</t>
  </si>
  <si>
    <t>mrod error</t>
  </si>
  <si>
    <t>Pbar^2 error</t>
  </si>
  <si>
    <t>a^2 eror</t>
  </si>
  <si>
    <t>x^2</t>
  </si>
  <si>
    <t>xy</t>
  </si>
  <si>
    <t>N</t>
  </si>
  <si>
    <t>Slope</t>
  </si>
  <si>
    <t>Value</t>
  </si>
  <si>
    <t>Unc</t>
  </si>
  <si>
    <t>Delta</t>
  </si>
  <si>
    <t>Intercept</t>
  </si>
  <si>
    <t>Weighted least-squares</t>
  </si>
  <si>
    <t>weight</t>
  </si>
  <si>
    <t>sum(wx)</t>
  </si>
  <si>
    <t>wx</t>
  </si>
  <si>
    <t>wy</t>
  </si>
  <si>
    <t>wxy</t>
  </si>
  <si>
    <t>wx^2</t>
  </si>
  <si>
    <t>sum(wx^2)</t>
  </si>
  <si>
    <t>sum(wy)</t>
  </si>
  <si>
    <t>sum(wxy)</t>
  </si>
  <si>
    <t>sum(w)</t>
  </si>
  <si>
    <t>g</t>
  </si>
  <si>
    <t>Acceleration due to gravity</t>
  </si>
  <si>
    <t>g unc</t>
  </si>
  <si>
    <t>Time [s]</t>
  </si>
  <si>
    <t>mwasher</t>
  </si>
  <si>
    <t>mbolt2</t>
  </si>
  <si>
    <t>mbolt2 error</t>
  </si>
  <si>
    <t>mwasher error</t>
  </si>
  <si>
    <t>mtotal</t>
  </si>
  <si>
    <t>mtotal error</t>
  </si>
  <si>
    <t>I</t>
  </si>
  <si>
    <t>I unc</t>
  </si>
  <si>
    <t>Irod</t>
  </si>
  <si>
    <t>Irod unc</t>
  </si>
  <si>
    <t>a^2</t>
  </si>
  <si>
    <t>Weighted fit</t>
  </si>
  <si>
    <t>a^2 error</t>
  </si>
  <si>
    <t>I_G, I_G unc</t>
  </si>
  <si>
    <t>Corroboration</t>
  </si>
  <si>
    <t>I_W, I_W unc</t>
  </si>
  <si>
    <t>I_R, I_W unc</t>
  </si>
  <si>
    <t>I _G, I_G unc</t>
  </si>
  <si>
    <t>r1, r1 unc</t>
  </si>
  <si>
    <t>r2, r2 unc</t>
  </si>
  <si>
    <t>r1^2 + r2^2, unc</t>
  </si>
  <si>
    <t>I_W + m_W * x_W^2, unc</t>
  </si>
  <si>
    <t>x_W, unc</t>
  </si>
  <si>
    <t>r1^2, unc</t>
  </si>
  <si>
    <t>r2^2, unc</t>
  </si>
  <si>
    <t>m_W * x_W^2 , unc</t>
  </si>
  <si>
    <t>x_W^2, unc</t>
  </si>
  <si>
    <t>x_B, unc</t>
  </si>
  <si>
    <t>x_B^2, unc</t>
  </si>
  <si>
    <t>m_B * x_B^2, unc</t>
  </si>
  <si>
    <t>Corroboration calculations</t>
  </si>
  <si>
    <t>Calculations for plotting</t>
  </si>
  <si>
    <t>I/g unc</t>
  </si>
  <si>
    <t>x unc</t>
  </si>
  <si>
    <t>Cycles</t>
  </si>
  <si>
    <t>Bolts in 1st position</t>
  </si>
  <si>
    <t>Lightest weight on top</t>
  </si>
  <si>
    <t>Heaviest weight on top</t>
  </si>
  <si>
    <t>stderr</t>
  </si>
  <si>
    <t>Bolts in 2nd position</t>
  </si>
  <si>
    <t>Bolts in 3rd position</t>
  </si>
  <si>
    <t>I_R, unc</t>
  </si>
  <si>
    <t>m_R, unc</t>
  </si>
  <si>
    <t>x_P, unc</t>
  </si>
  <si>
    <t>m_A, unc</t>
  </si>
  <si>
    <t>m_B, unc</t>
  </si>
  <si>
    <t>Uncertainties calculations</t>
  </si>
  <si>
    <t>x_P^2 unc</t>
  </si>
  <si>
    <t>x_P - x_A unc</t>
  </si>
  <si>
    <t>(x_P - x_A)^2 unc</t>
  </si>
  <si>
    <t>m_A * (x_P - x_A)^2 unc</t>
  </si>
  <si>
    <t>x_P - x_B unc</t>
  </si>
  <si>
    <t>(x_P - x_B)^2 unc</t>
  </si>
  <si>
    <t>m_R * x_P^2 unc</t>
  </si>
  <si>
    <t>m_B * (x_P - x_B)^2 unc</t>
  </si>
  <si>
    <t>I, unc</t>
  </si>
  <si>
    <t>T, unc</t>
  </si>
  <si>
    <t>x_G, unc</t>
  </si>
  <si>
    <t>Calculations</t>
  </si>
  <si>
    <t>m_A * x_A unc</t>
  </si>
  <si>
    <t>m_B * x_B unc</t>
  </si>
  <si>
    <t>m_A * x_A + m_B * x_B unc</t>
  </si>
  <si>
    <t>a, unc</t>
  </si>
  <si>
    <t>T^2, unc</t>
  </si>
  <si>
    <t>x_A, unc</t>
  </si>
  <si>
    <t>x1</t>
  </si>
  <si>
    <t>x2</t>
  </si>
  <si>
    <t>x3</t>
  </si>
  <si>
    <t>2*I_W, unc</t>
  </si>
  <si>
    <t>Irod (parallelepiped)</t>
  </si>
  <si>
    <t>Irod (linFit)</t>
  </si>
  <si>
    <t>mtot, mtot unc</t>
  </si>
  <si>
    <t>L, unc</t>
  </si>
  <si>
    <t>g, unc</t>
  </si>
  <si>
    <t>T1</t>
  </si>
  <si>
    <t>T2</t>
  </si>
  <si>
    <t>k, unc</t>
  </si>
  <si>
    <t>Calculation of uncertainties</t>
  </si>
  <si>
    <t>x_P - x_G unc</t>
  </si>
  <si>
    <t>L - x_P - x_G unc</t>
  </si>
  <si>
    <t>k^2, 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</si>
</sst>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4482064741907258E-2"/>
                  <c:y val="-6.06991834354039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'1rodItself'!$X$10:$X$13</c:f>
                <c:numCache>
                  <c:formatCode>General</c:formatCode>
                  <c:ptCount val="4"/>
                  <c:pt idx="0">
                    <c:v>5.4697403820838796E-6</c:v>
                  </c:pt>
                  <c:pt idx="1">
                    <c:v>4.1795459370924126E-6</c:v>
                  </c:pt>
                  <c:pt idx="2">
                    <c:v>3.0512422579249172E-6</c:v>
                  </c:pt>
                  <c:pt idx="3">
                    <c:v>2.2615055706155528E-6</c:v>
                  </c:pt>
                </c:numCache>
              </c:numRef>
            </c:plus>
            <c:minus>
              <c:numRef>
                <c:f>'1rodItself'!$X$10:$X$13</c:f>
                <c:numCache>
                  <c:formatCode>General</c:formatCode>
                  <c:ptCount val="4"/>
                  <c:pt idx="0">
                    <c:v>5.4697403820838796E-6</c:v>
                  </c:pt>
                  <c:pt idx="1">
                    <c:v>4.1795459370924126E-6</c:v>
                  </c:pt>
                  <c:pt idx="2">
                    <c:v>3.0512422579249172E-6</c:v>
                  </c:pt>
                  <c:pt idx="3">
                    <c:v>2.2615055706155528E-6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'1rodItself'!$Y$10:$Y$13</c:f>
                <c:numCache>
                  <c:formatCode>General</c:formatCode>
                  <c:ptCount val="4"/>
                  <c:pt idx="0">
                    <c:v>3.9424357952920432E-5</c:v>
                  </c:pt>
                  <c:pt idx="1">
                    <c:v>2.6216034482735939E-5</c:v>
                  </c:pt>
                  <c:pt idx="2">
                    <c:v>1.5361352284222895E-5</c:v>
                  </c:pt>
                  <c:pt idx="3">
                    <c:v>7.4215901261117882E-6</c:v>
                  </c:pt>
                </c:numCache>
              </c:numRef>
            </c:plus>
            <c:minus>
              <c:numRef>
                <c:f>'1rodItself'!$Y$10:$Y$13</c:f>
                <c:numCache>
                  <c:formatCode>General</c:formatCode>
                  <c:ptCount val="4"/>
                  <c:pt idx="0">
                    <c:v>3.9424357952920432E-5</c:v>
                  </c:pt>
                  <c:pt idx="1">
                    <c:v>2.6216034482735939E-5</c:v>
                  </c:pt>
                  <c:pt idx="2">
                    <c:v>1.5361352284222895E-5</c:v>
                  </c:pt>
                  <c:pt idx="3">
                    <c:v>7.4215901261117882E-6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'1rodItself'!$W$10:$W$13</c:f>
              <c:numCache>
                <c:formatCode>General</c:formatCode>
                <c:ptCount val="4"/>
                <c:pt idx="0">
                  <c:v>2.9400000000000004E-4</c:v>
                </c:pt>
                <c:pt idx="1">
                  <c:v>1.9494E-4</c:v>
                </c:pt>
                <c:pt idx="2">
                  <c:v>1.1353499999999999E-4</c:v>
                </c:pt>
                <c:pt idx="3">
                  <c:v>5.3999999999999998E-5</c:v>
                </c:pt>
              </c:numCache>
            </c:numRef>
          </c:xVal>
          <c:yVal>
            <c:numRef>
              <c:f>'1rodItself'!$V$10:$V$13</c:f>
              <c:numCache>
                <c:formatCode>General</c:formatCode>
                <c:ptCount val="4"/>
                <c:pt idx="0">
                  <c:v>4.0937392176104286E-5</c:v>
                </c:pt>
                <c:pt idx="1">
                  <c:v>3.1266677821795926E-5</c:v>
                </c:pt>
                <c:pt idx="2">
                  <c:v>2.2790305219776916E-5</c:v>
                </c:pt>
                <c:pt idx="3">
                  <c:v>1.6811957976764066E-5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F-4EFA-9248-F41215B85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57792"/>
        <c:axId val="528459432"/>
      </c:scatterChart>
      <c:valAx>
        <c:axId val="528457792"/>
        <c:scaling>
          <c:orientation val="minMax"/>
          <c:min val="3.0000000000000011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59432"/>
        <c:crosses val="autoZero"/>
        <c:crossBetween val="midCat"/>
      </c:valAx>
      <c:valAx>
        <c:axId val="528459432"/>
        <c:scaling>
          <c:orientation val="minMax"/>
          <c:min val="6.0000000000000018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5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991294838145233"/>
                  <c:y val="-3.09055118110236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'2rodWweights'!$AE$3:$AE$6</c:f>
                <c:numCache>
                  <c:formatCode>General</c:formatCode>
                  <c:ptCount val="4"/>
                  <c:pt idx="0">
                    <c:v>2.2800000000000001E-4</c:v>
                  </c:pt>
                  <c:pt idx="1">
                    <c:v>1.7200000000000001E-4</c:v>
                  </c:pt>
                  <c:pt idx="2">
                    <c:v>1.2E-4</c:v>
                  </c:pt>
                  <c:pt idx="3">
                    <c:v>6.3999999999999997E-5</c:v>
                  </c:pt>
                </c:numCache>
              </c:numRef>
            </c:plus>
            <c:minus>
              <c:numRef>
                <c:f>'2rodWweights'!$AE$3:$AE$6</c:f>
                <c:numCache>
                  <c:formatCode>General</c:formatCode>
                  <c:ptCount val="4"/>
                  <c:pt idx="0">
                    <c:v>2.2800000000000001E-4</c:v>
                  </c:pt>
                  <c:pt idx="1">
                    <c:v>1.7200000000000001E-4</c:v>
                  </c:pt>
                  <c:pt idx="2">
                    <c:v>1.2E-4</c:v>
                  </c:pt>
                  <c:pt idx="3">
                    <c:v>6.3999999999999997E-5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'2rodWweights'!$V$10:$V$13</c:f>
                <c:numCache>
                  <c:formatCode>General</c:formatCode>
                  <c:ptCount val="4"/>
                  <c:pt idx="0">
                    <c:v>6.2803216622734151E-4</c:v>
                  </c:pt>
                  <c:pt idx="1">
                    <c:v>5.0738300531502157E-4</c:v>
                  </c:pt>
                  <c:pt idx="2">
                    <c:v>4.3608415617842793E-4</c:v>
                  </c:pt>
                  <c:pt idx="3">
                    <c:v>3.642506448917369E-4</c:v>
                  </c:pt>
                </c:numCache>
              </c:numRef>
            </c:plus>
            <c:minus>
              <c:numRef>
                <c:f>'2rodWweights'!$V$10:$V$13</c:f>
                <c:numCache>
                  <c:formatCode>General</c:formatCode>
                  <c:ptCount val="4"/>
                  <c:pt idx="0">
                    <c:v>6.2803216622734151E-4</c:v>
                  </c:pt>
                  <c:pt idx="1">
                    <c:v>5.0738300531502157E-4</c:v>
                  </c:pt>
                  <c:pt idx="2">
                    <c:v>4.3608415617842793E-4</c:v>
                  </c:pt>
                  <c:pt idx="3">
                    <c:v>3.642506448917369E-4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'2rodWweights'!$X$3:$X$6</c:f>
              <c:numCache>
                <c:formatCode>General</c:formatCode>
                <c:ptCount val="4"/>
                <c:pt idx="0">
                  <c:v>1.2996000000000001E-2</c:v>
                </c:pt>
                <c:pt idx="1">
                  <c:v>7.3959999999999989E-3</c:v>
                </c:pt>
                <c:pt idx="2">
                  <c:v>3.5999999999999999E-3</c:v>
                </c:pt>
                <c:pt idx="3">
                  <c:v>1.024E-3</c:v>
                </c:pt>
              </c:numCache>
            </c:numRef>
          </c:xVal>
          <c:yVal>
            <c:numRef>
              <c:f>'2rodWweights'!$U$10:$U$13</c:f>
              <c:numCache>
                <c:formatCode>General</c:formatCode>
                <c:ptCount val="4"/>
                <c:pt idx="0">
                  <c:v>2.9455009444388099E-3</c:v>
                </c:pt>
                <c:pt idx="1">
                  <c:v>2.3780499656733678E-3</c:v>
                </c:pt>
                <c:pt idx="2">
                  <c:v>2.0402855386264149E-3</c:v>
                </c:pt>
                <c:pt idx="3">
                  <c:v>1.6912811691933774E-3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5F-4895-A62E-93558B0E4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36264"/>
        <c:axId val="541236592"/>
      </c:scatterChart>
      <c:valAx>
        <c:axId val="54123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36592"/>
        <c:crosses val="autoZero"/>
        <c:crossBetween val="midCat"/>
      </c:valAx>
      <c:valAx>
        <c:axId val="5412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3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063188976377952"/>
                  <c:y val="1.1614537766112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('4BesselPendulum'!$D$7,'4BesselPendulum'!$L$7,'4BesselPendulum'!$T$7)</c:f>
              <c:numCache>
                <c:formatCode>General</c:formatCode>
                <c:ptCount val="3"/>
                <c:pt idx="0">
                  <c:v>2.7E-2</c:v>
                </c:pt>
                <c:pt idx="1">
                  <c:v>5.3999999999999999E-2</c:v>
                </c:pt>
                <c:pt idx="2">
                  <c:v>8.1000000000000003E-2</c:v>
                </c:pt>
              </c:numCache>
            </c:numRef>
          </c:xVal>
          <c:yVal>
            <c:numRef>
              <c:f>('4BesselPendulum'!$D$4,'4BesselPendulum'!$L$4,'4BesselPendulum'!$T$4)</c:f>
              <c:numCache>
                <c:formatCode>General</c:formatCode>
                <c:ptCount val="3"/>
                <c:pt idx="0">
                  <c:v>0.94299599999999995</c:v>
                </c:pt>
                <c:pt idx="1">
                  <c:v>0.95231200000000016</c:v>
                </c:pt>
                <c:pt idx="2">
                  <c:v>0.96689600000000009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D-4A1D-8A4A-EB5425D22ED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554877515310586"/>
                  <c:y val="0.32844524642752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('4BesselPendulum'!$D$7,'4BesselPendulum'!$L$7,'4BesselPendulum'!$T$7)</c:f>
              <c:numCache>
                <c:formatCode>General</c:formatCode>
                <c:ptCount val="3"/>
                <c:pt idx="0">
                  <c:v>2.7E-2</c:v>
                </c:pt>
                <c:pt idx="1">
                  <c:v>5.3999999999999999E-2</c:v>
                </c:pt>
                <c:pt idx="2">
                  <c:v>8.1000000000000003E-2</c:v>
                </c:pt>
              </c:numCache>
            </c:numRef>
          </c:xVal>
          <c:yVal>
            <c:numRef>
              <c:f>('4BesselPendulum'!$H$4,'4BesselPendulum'!$P$4,'4BesselPendulum'!$X$4)</c:f>
              <c:numCache>
                <c:formatCode>General</c:formatCode>
                <c:ptCount val="3"/>
                <c:pt idx="0">
                  <c:v>0.92943200000000004</c:v>
                </c:pt>
                <c:pt idx="1">
                  <c:v>0.94512800000000008</c:v>
                </c:pt>
                <c:pt idx="2">
                  <c:v>0.97878000000000032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1D-4A1D-8A4A-EB5425D2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58176"/>
        <c:axId val="598755552"/>
      </c:scatterChart>
      <c:valAx>
        <c:axId val="5987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55552"/>
        <c:crosses val="autoZero"/>
        <c:crossBetween val="midCat"/>
      </c:valAx>
      <c:valAx>
        <c:axId val="5987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335280</xdr:colOff>
      <xdr:row>13</xdr:row>
      <xdr:rowOff>118110</xdr:rowOff>
    </xdr:from>
    <xdr:to>
      <xdr:col>26</xdr:col>
      <xdr:colOff>426720</xdr:colOff>
      <xdr:row>28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8DFE4-F5EF-4CA2-A59C-BD28B2B6D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</xdr:colOff>
      <xdr:row>15</xdr:row>
      <xdr:rowOff>60960</xdr:rowOff>
    </xdr:from>
    <xdr:to>
      <xdr:col>24</xdr:col>
      <xdr:colOff>274320</xdr:colOff>
      <xdr:row>29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9DE71-F079-4104-8F52-475D087BD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598170</xdr:colOff>
      <xdr:row>10</xdr:row>
      <xdr:rowOff>87630</xdr:rowOff>
    </xdr:from>
    <xdr:to>
      <xdr:col>22</xdr:col>
      <xdr:colOff>293370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925FE-DF1F-48B3-B0CB-370B3A495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F378-01F5-4820-870A-C60BB488D91E}">
  <dimension ref="A1:AJ31"/>
  <sheetViews>
    <sheetView topLeftCell="O1" workbookViewId="0">
      <selection activeCell="AH28" sqref="AH28"/>
    </sheetView>
  </sheetViews>
  <sheetFormatPr defaultRowHeight="14.4" x14ac:dyDescent="0.3"/>
  <cols>
    <col min="9" max="9" width="11" bestFit="1" customWidth="1"/>
    <col min="10" max="10" width="12" bestFit="1" customWidth="1"/>
    <col min="24" max="28" width="12" bestFit="1" customWidth="1"/>
    <col min="31" max="35" width="12" bestFit="1" customWidth="1"/>
    <col min="37" max="38" width="12" bestFit="1" customWidth="1"/>
    <col min="39" max="39" width="11" bestFit="1" customWidth="1"/>
  </cols>
  <sheetData>
    <row r="1" spans="1:36" x14ac:dyDescent="0.3">
      <c r="A1" t="s">
        <v>6</v>
      </c>
      <c r="B1">
        <v>0.14000000000000001</v>
      </c>
      <c r="E1" t="s">
        <v>6</v>
      </c>
      <c r="F1">
        <v>0.114</v>
      </c>
      <c r="I1" t="s">
        <v>6</v>
      </c>
      <c r="J1">
        <v>8.6999999999999994E-2</v>
      </c>
      <c r="M1" t="s">
        <v>6</v>
      </c>
      <c r="N1">
        <v>0.06</v>
      </c>
      <c r="Q1" t="s">
        <v>6</v>
      </c>
      <c r="R1">
        <v>3.3000000000000002E-2</v>
      </c>
      <c r="V1" t="s">
        <v>8</v>
      </c>
    </row>
    <row r="2" spans="1:36" x14ac:dyDescent="0.3">
      <c r="A2" t="s">
        <v>40</v>
      </c>
      <c r="B2" t="s">
        <v>0</v>
      </c>
      <c r="E2" t="s">
        <v>40</v>
      </c>
      <c r="F2" t="s">
        <v>0</v>
      </c>
      <c r="I2" t="s">
        <v>40</v>
      </c>
      <c r="J2" t="s">
        <v>0</v>
      </c>
      <c r="M2" t="s">
        <v>40</v>
      </c>
      <c r="N2" t="s">
        <v>0</v>
      </c>
      <c r="Q2" t="s">
        <v>40</v>
      </c>
      <c r="R2" t="s">
        <v>0</v>
      </c>
      <c r="V2" t="s">
        <v>6</v>
      </c>
      <c r="W2" t="s">
        <v>1</v>
      </c>
      <c r="X2" t="s">
        <v>9</v>
      </c>
      <c r="Y2" t="s">
        <v>13</v>
      </c>
      <c r="Z2" t="s">
        <v>17</v>
      </c>
      <c r="AA2" t="s">
        <v>14</v>
      </c>
      <c r="AB2" t="s">
        <v>16</v>
      </c>
      <c r="AC2" t="s">
        <v>15</v>
      </c>
    </row>
    <row r="3" spans="1:36" x14ac:dyDescent="0.3">
      <c r="A3">
        <v>4.476</v>
      </c>
      <c r="B3">
        <f>A3/5</f>
        <v>0.8952</v>
      </c>
      <c r="C3" t="s">
        <v>1</v>
      </c>
      <c r="D3">
        <f>AVERAGE(B3:B27)</f>
        <v>0.87726399999999982</v>
      </c>
      <c r="E3">
        <v>4.1529999999999996</v>
      </c>
      <c r="F3">
        <f>E3/5</f>
        <v>0.83059999999999989</v>
      </c>
      <c r="G3" t="s">
        <v>1</v>
      </c>
      <c r="H3">
        <f>AVERAGE(F3:F27)</f>
        <v>0.84961600000000015</v>
      </c>
      <c r="I3">
        <v>4.1509999999999998</v>
      </c>
      <c r="J3">
        <f>I3/5</f>
        <v>0.83019999999999994</v>
      </c>
      <c r="K3" t="s">
        <v>1</v>
      </c>
      <c r="L3">
        <f>AVERAGE(J3:J27)</f>
        <v>0.83032800000000007</v>
      </c>
      <c r="M3">
        <v>4.1379999999999999</v>
      </c>
      <c r="N3">
        <f>M3/5</f>
        <v>0.8276</v>
      </c>
      <c r="O3" t="s">
        <v>1</v>
      </c>
      <c r="P3">
        <f>AVERAGE(N3:N27)</f>
        <v>0.85875199999999996</v>
      </c>
      <c r="S3" t="s">
        <v>1</v>
      </c>
      <c r="V3">
        <f>B1</f>
        <v>0.14000000000000001</v>
      </c>
      <c r="W3">
        <f>D3</f>
        <v>0.87726399999999982</v>
      </c>
      <c r="X3">
        <v>1.4999999999999999E-2</v>
      </c>
      <c r="Y3">
        <v>1E-3</v>
      </c>
      <c r="Z3">
        <f>V3^2 * 2 * Y3 /V3</f>
        <v>2.8000000000000003E-4</v>
      </c>
      <c r="AA3">
        <f>D5</f>
        <v>2.1243891671097687E-3</v>
      </c>
      <c r="AB3">
        <f>W3^2 * 2 * AA3 /W3</f>
        <v>3.7273002765907674E-3</v>
      </c>
      <c r="AC3">
        <v>2E-3</v>
      </c>
    </row>
    <row r="4" spans="1:36" x14ac:dyDescent="0.3">
      <c r="A4">
        <v>4.3419999999999996</v>
      </c>
      <c r="B4">
        <f t="shared" ref="B4:B27" si="0">A4/5</f>
        <v>0.86839999999999995</v>
      </c>
      <c r="C4" t="s">
        <v>2</v>
      </c>
      <c r="D4">
        <f>_xlfn.STDEV.S(B3:B27)</f>
        <v>1.0621945835548843E-2</v>
      </c>
      <c r="E4">
        <v>4.2370000000000001</v>
      </c>
      <c r="F4">
        <f t="shared" ref="F4:F27" si="1">E4/5</f>
        <v>0.84740000000000004</v>
      </c>
      <c r="G4" t="s">
        <v>2</v>
      </c>
      <c r="H4">
        <f>_xlfn.STDEV.S(F3:F27)</f>
        <v>7.9611389469933045E-3</v>
      </c>
      <c r="I4">
        <v>4.1989999999999998</v>
      </c>
      <c r="J4">
        <f t="shared" ref="J4:J27" si="2">I4/5</f>
        <v>0.83979999999999999</v>
      </c>
      <c r="K4" t="s">
        <v>2</v>
      </c>
      <c r="L4">
        <f>_xlfn.STDEV.S(J3:J27)</f>
        <v>8.0003916570794645E-3</v>
      </c>
      <c r="M4">
        <v>4.3739999999999997</v>
      </c>
      <c r="N4">
        <f t="shared" ref="N4:N27" si="3">M4/5</f>
        <v>0.87479999999999991</v>
      </c>
      <c r="O4" t="s">
        <v>2</v>
      </c>
      <c r="P4">
        <f>_xlfn.STDEV.S(N3:N27)</f>
        <v>1.348447007981155E-2</v>
      </c>
      <c r="S4" t="s">
        <v>2</v>
      </c>
      <c r="V4">
        <f>F1</f>
        <v>0.114</v>
      </c>
      <c r="W4">
        <f>H3</f>
        <v>0.84961600000000015</v>
      </c>
      <c r="Y4">
        <v>1E-3</v>
      </c>
      <c r="Z4">
        <f t="shared" ref="Z4:Z5" si="4">V4^2 * 2 * Y4 /V4</f>
        <v>2.2800000000000001E-4</v>
      </c>
      <c r="AA4">
        <f>H5</f>
        <v>1.5922277893986609E-3</v>
      </c>
      <c r="AB4">
        <f t="shared" ref="AB4:AB6" si="5">W4^2 * 2 * AA4 /W4</f>
        <v>2.7055644110354658E-3</v>
      </c>
      <c r="AC4">
        <v>2E-3</v>
      </c>
    </row>
    <row r="5" spans="1:36" x14ac:dyDescent="0.3">
      <c r="A5">
        <v>4.4340000000000002</v>
      </c>
      <c r="B5">
        <f t="shared" si="0"/>
        <v>0.88680000000000003</v>
      </c>
      <c r="C5" t="s">
        <v>3</v>
      </c>
      <c r="D5">
        <f>D4/SQRT(25)</f>
        <v>2.1243891671097687E-3</v>
      </c>
      <c r="E5">
        <v>4.25</v>
      </c>
      <c r="F5">
        <f t="shared" si="1"/>
        <v>0.85</v>
      </c>
      <c r="G5" t="s">
        <v>3</v>
      </c>
      <c r="H5">
        <f>H4/SQRT(25)</f>
        <v>1.5922277893986609E-3</v>
      </c>
      <c r="I5">
        <v>4.09</v>
      </c>
      <c r="J5">
        <f t="shared" si="2"/>
        <v>0.81799999999999995</v>
      </c>
      <c r="K5" t="s">
        <v>3</v>
      </c>
      <c r="L5">
        <f>L4/SQRT(25)</f>
        <v>1.600078331415893E-3</v>
      </c>
      <c r="M5">
        <v>4.3</v>
      </c>
      <c r="N5">
        <f t="shared" si="3"/>
        <v>0.86</v>
      </c>
      <c r="O5" t="s">
        <v>3</v>
      </c>
      <c r="P5">
        <f>P4/SQRT(25)</f>
        <v>2.6968940159623101E-3</v>
      </c>
      <c r="S5" t="s">
        <v>3</v>
      </c>
      <c r="V5">
        <f>J1</f>
        <v>8.6999999999999994E-2</v>
      </c>
      <c r="W5">
        <f>L3</f>
        <v>0.83032800000000007</v>
      </c>
      <c r="Y5">
        <v>1E-3</v>
      </c>
      <c r="Z5">
        <f t="shared" si="4"/>
        <v>1.74E-4</v>
      </c>
      <c r="AA5">
        <f>L5</f>
        <v>1.600078331415893E-3</v>
      </c>
      <c r="AB5">
        <f t="shared" si="5"/>
        <v>2.6571796815357913E-3</v>
      </c>
      <c r="AC5">
        <v>2E-3</v>
      </c>
    </row>
    <row r="6" spans="1:36" x14ac:dyDescent="0.3">
      <c r="A6">
        <v>4.4260000000000002</v>
      </c>
      <c r="B6">
        <f t="shared" si="0"/>
        <v>0.88519999999999999</v>
      </c>
      <c r="C6" t="s">
        <v>4</v>
      </c>
      <c r="D6">
        <f>D3+D4</f>
        <v>0.8878859458355487</v>
      </c>
      <c r="E6">
        <v>4.234</v>
      </c>
      <c r="F6">
        <f t="shared" si="1"/>
        <v>0.8468</v>
      </c>
      <c r="G6" t="s">
        <v>4</v>
      </c>
      <c r="H6">
        <f>H3+H4</f>
        <v>0.8575771389469935</v>
      </c>
      <c r="I6">
        <v>4.1749999999999998</v>
      </c>
      <c r="J6">
        <f t="shared" si="2"/>
        <v>0.83499999999999996</v>
      </c>
      <c r="K6" t="s">
        <v>4</v>
      </c>
      <c r="L6">
        <f>L3+L4</f>
        <v>0.83832839165707951</v>
      </c>
      <c r="M6">
        <v>4.2590000000000003</v>
      </c>
      <c r="N6">
        <f t="shared" si="3"/>
        <v>0.85180000000000011</v>
      </c>
      <c r="O6" t="s">
        <v>4</v>
      </c>
      <c r="P6">
        <f>P3+P4</f>
        <v>0.87223647007981153</v>
      </c>
      <c r="S6" t="s">
        <v>4</v>
      </c>
      <c r="V6">
        <f>N1</f>
        <v>0.06</v>
      </c>
      <c r="W6">
        <f>P3</f>
        <v>0.85875199999999996</v>
      </c>
      <c r="Y6">
        <v>1E-3</v>
      </c>
      <c r="Z6">
        <f>V6^2 * 2 * Y6/V6</f>
        <v>1.2E-4</v>
      </c>
      <c r="AA6">
        <f xml:space="preserve"> P5</f>
        <v>2.6968940159623101E-3</v>
      </c>
      <c r="AB6">
        <f t="shared" si="5"/>
        <v>4.6319262599913312E-3</v>
      </c>
      <c r="AC6">
        <v>2E-3</v>
      </c>
    </row>
    <row r="7" spans="1:36" x14ac:dyDescent="0.3">
      <c r="A7">
        <v>4.3769999999999998</v>
      </c>
      <c r="B7">
        <f t="shared" si="0"/>
        <v>0.87539999999999996</v>
      </c>
      <c r="C7" t="s">
        <v>5</v>
      </c>
      <c r="D7">
        <f>D3-D4</f>
        <v>0.86664205416445095</v>
      </c>
      <c r="E7">
        <v>4.1769999999999996</v>
      </c>
      <c r="F7">
        <f t="shared" si="1"/>
        <v>0.83539999999999992</v>
      </c>
      <c r="G7" t="s">
        <v>5</v>
      </c>
      <c r="H7">
        <f>H3-H4</f>
        <v>0.8416548610530068</v>
      </c>
      <c r="I7">
        <v>4.1310000000000002</v>
      </c>
      <c r="J7">
        <f t="shared" si="2"/>
        <v>0.82620000000000005</v>
      </c>
      <c r="K7" t="s">
        <v>5</v>
      </c>
      <c r="L7">
        <f>L3-L4</f>
        <v>0.82232760834292062</v>
      </c>
      <c r="M7">
        <v>4.306</v>
      </c>
      <c r="N7">
        <f t="shared" si="3"/>
        <v>0.86119999999999997</v>
      </c>
      <c r="O7" t="s">
        <v>5</v>
      </c>
      <c r="P7">
        <f>P3-P4</f>
        <v>0.84526752992018839</v>
      </c>
      <c r="S7" t="s">
        <v>5</v>
      </c>
    </row>
    <row r="8" spans="1:36" x14ac:dyDescent="0.3">
      <c r="A8">
        <v>4.415</v>
      </c>
      <c r="B8">
        <f t="shared" si="0"/>
        <v>0.88300000000000001</v>
      </c>
      <c r="E8">
        <v>4.1790000000000003</v>
      </c>
      <c r="F8">
        <f t="shared" si="1"/>
        <v>0.8358000000000001</v>
      </c>
      <c r="I8">
        <v>4.1139999999999999</v>
      </c>
      <c r="J8">
        <f t="shared" si="2"/>
        <v>0.82279999999999998</v>
      </c>
      <c r="M8">
        <v>4.2359999999999998</v>
      </c>
      <c r="N8">
        <f t="shared" si="3"/>
        <v>0.84719999999999995</v>
      </c>
      <c r="V8" t="s">
        <v>72</v>
      </c>
    </row>
    <row r="9" spans="1:36" x14ac:dyDescent="0.3">
      <c r="A9">
        <v>4.375</v>
      </c>
      <c r="B9">
        <f t="shared" si="0"/>
        <v>0.875</v>
      </c>
      <c r="E9">
        <v>4.2430000000000003</v>
      </c>
      <c r="F9">
        <f t="shared" si="1"/>
        <v>0.84860000000000002</v>
      </c>
      <c r="I9">
        <v>4.1379999999999999</v>
      </c>
      <c r="J9">
        <f t="shared" si="2"/>
        <v>0.8276</v>
      </c>
      <c r="M9">
        <v>4.2750000000000004</v>
      </c>
      <c r="N9">
        <f t="shared" si="3"/>
        <v>0.85500000000000009</v>
      </c>
      <c r="V9" t="s">
        <v>7</v>
      </c>
      <c r="W9" t="s">
        <v>10</v>
      </c>
      <c r="X9" t="s">
        <v>73</v>
      </c>
      <c r="Y9" t="s">
        <v>74</v>
      </c>
      <c r="AB9" t="s">
        <v>18</v>
      </c>
      <c r="AC9" t="s">
        <v>19</v>
      </c>
      <c r="AD9" t="s">
        <v>11</v>
      </c>
      <c r="AE9" t="s">
        <v>12</v>
      </c>
      <c r="AF9" t="s">
        <v>27</v>
      </c>
      <c r="AG9" t="s">
        <v>29</v>
      </c>
      <c r="AH9" t="s">
        <v>30</v>
      </c>
      <c r="AI9" t="s">
        <v>31</v>
      </c>
      <c r="AJ9" t="s">
        <v>32</v>
      </c>
    </row>
    <row r="10" spans="1:36" x14ac:dyDescent="0.3">
      <c r="A10">
        <v>4.32</v>
      </c>
      <c r="B10">
        <f t="shared" si="0"/>
        <v>0.8640000000000001</v>
      </c>
      <c r="E10">
        <v>4.2130000000000001</v>
      </c>
      <c r="F10">
        <f t="shared" si="1"/>
        <v>0.84260000000000002</v>
      </c>
      <c r="I10">
        <v>4.133</v>
      </c>
      <c r="J10">
        <f t="shared" si="2"/>
        <v>0.8266</v>
      </c>
      <c r="M10">
        <v>4.3579999999999997</v>
      </c>
      <c r="N10">
        <f t="shared" si="3"/>
        <v>0.87159999999999993</v>
      </c>
      <c r="V10">
        <f>$X$3*V3*W3^2 / (4*PI()^2)</f>
        <v>4.0937392176104286E-5</v>
      </c>
      <c r="W10">
        <f>$X$3*V3^2</f>
        <v>2.9400000000000004E-4</v>
      </c>
      <c r="X10">
        <f>V10*SQRT((AC3/$X$3)^2 + (Y3/V3)^2 + (AB3/W3^2)^2)</f>
        <v>5.4697403820838796E-6</v>
      </c>
      <c r="Y10">
        <f>W10*SQRT((AC3/$X$3)^2 + (Z3/V3^2)^2)</f>
        <v>3.9424357952920432E-5</v>
      </c>
      <c r="AB10">
        <f>W10^2</f>
        <v>8.643600000000002E-8</v>
      </c>
      <c r="AC10">
        <f>W10*V10</f>
        <v>1.2035593299774662E-8</v>
      </c>
      <c r="AD10">
        <f t="shared" ref="AD10:AE13" si="6" xml:space="preserve"> X10</f>
        <v>5.4697403820838796E-6</v>
      </c>
      <c r="AE10">
        <f t="shared" si="6"/>
        <v>3.9424357952920432E-5</v>
      </c>
      <c r="AF10">
        <f>1/AD10^2</f>
        <v>33424627302.058624</v>
      </c>
      <c r="AG10">
        <f>AF10*W10</f>
        <v>9826840.4268052373</v>
      </c>
      <c r="AH10">
        <f>AF10*V10</f>
        <v>1368317.0762044964</v>
      </c>
      <c r="AI10">
        <f>AF10*V10*W10</f>
        <v>402.28522040412201</v>
      </c>
      <c r="AJ10">
        <f>AF10*W10^2</f>
        <v>2889.0910854807398</v>
      </c>
    </row>
    <row r="11" spans="1:36" x14ac:dyDescent="0.3">
      <c r="A11">
        <v>4.3239999999999998</v>
      </c>
      <c r="B11">
        <f t="shared" si="0"/>
        <v>0.86480000000000001</v>
      </c>
      <c r="E11">
        <v>4.2750000000000004</v>
      </c>
      <c r="F11">
        <f t="shared" si="1"/>
        <v>0.85500000000000009</v>
      </c>
      <c r="I11">
        <v>4.1429999999999998</v>
      </c>
      <c r="J11">
        <f t="shared" si="2"/>
        <v>0.8286</v>
      </c>
      <c r="M11">
        <v>4.2240000000000002</v>
      </c>
      <c r="N11">
        <f t="shared" si="3"/>
        <v>0.8448</v>
      </c>
      <c r="V11">
        <f>$X$3*V4*W4^2 / (4*PI()^2)</f>
        <v>3.1266677821795926E-5</v>
      </c>
      <c r="W11">
        <f>$X$3*V4^2</f>
        <v>1.9494E-4</v>
      </c>
      <c r="X11">
        <f t="shared" ref="X11:X13" si="7">V11*SQRT((AC4/$X$3)^2 + (Y4/V4)^2 + (AB4/W4^2)^2)</f>
        <v>4.1795459370924126E-6</v>
      </c>
      <c r="Y11">
        <f t="shared" ref="Y11:Y13" si="8">W11*SQRT((AC4/$X$3)^2 + (Z4/V4^2)^2)</f>
        <v>2.6216034482735939E-5</v>
      </c>
      <c r="AB11">
        <f>W11^2</f>
        <v>3.8001603599999998E-8</v>
      </c>
      <c r="AC11">
        <f>W11*V11</f>
        <v>6.0951261745808976E-9</v>
      </c>
      <c r="AD11">
        <f t="shared" si="6"/>
        <v>4.1795459370924126E-6</v>
      </c>
      <c r="AE11">
        <f t="shared" si="6"/>
        <v>2.6216034482735939E-5</v>
      </c>
      <c r="AF11">
        <f t="shared" ref="AF11:AF13" si="9">1/AD11^2</f>
        <v>57245558159.418823</v>
      </c>
      <c r="AG11">
        <f>AF11*W11</f>
        <v>11159449.107597105</v>
      </c>
      <c r="AH11">
        <f>AF11*V11</f>
        <v>1789878.4236994293</v>
      </c>
      <c r="AI11">
        <f>AF11*V11*W11</f>
        <v>348.91889991596673</v>
      </c>
      <c r="AJ11">
        <f>AF11*W11^2</f>
        <v>2175.4230090349797</v>
      </c>
    </row>
    <row r="12" spans="1:36" x14ac:dyDescent="0.3">
      <c r="A12">
        <v>4.3849999999999998</v>
      </c>
      <c r="B12">
        <f t="shared" si="0"/>
        <v>0.877</v>
      </c>
      <c r="E12">
        <v>4.2839999999999998</v>
      </c>
      <c r="F12">
        <f t="shared" si="1"/>
        <v>0.85680000000000001</v>
      </c>
      <c r="I12">
        <v>4.1139999999999999</v>
      </c>
      <c r="J12">
        <f t="shared" si="2"/>
        <v>0.82279999999999998</v>
      </c>
      <c r="M12">
        <v>4.2370000000000001</v>
      </c>
      <c r="N12">
        <f t="shared" si="3"/>
        <v>0.84740000000000004</v>
      </c>
      <c r="V12">
        <f>$X$3*V5*W5^2 / (4*PI()^2)</f>
        <v>2.2790305219776916E-5</v>
      </c>
      <c r="W12">
        <f>$X$3*V5^2</f>
        <v>1.1353499999999999E-4</v>
      </c>
      <c r="X12">
        <f t="shared" si="7"/>
        <v>3.0512422579249172E-6</v>
      </c>
      <c r="Y12">
        <f t="shared" si="8"/>
        <v>1.5361352284222895E-5</v>
      </c>
      <c r="AB12">
        <f>W12^2</f>
        <v>1.2890196224999998E-8</v>
      </c>
      <c r="AC12">
        <f>W12*V12</f>
        <v>2.5874973031273718E-9</v>
      </c>
      <c r="AD12">
        <f t="shared" si="6"/>
        <v>3.0512422579249172E-6</v>
      </c>
      <c r="AE12">
        <f t="shared" si="6"/>
        <v>1.5361352284222895E-5</v>
      </c>
      <c r="AF12">
        <f t="shared" si="9"/>
        <v>107410470523.35056</v>
      </c>
      <c r="AG12">
        <f>AF12*W12</f>
        <v>12194847.770868605</v>
      </c>
      <c r="AH12">
        <f>AF12*V12</f>
        <v>2447917.4070270108</v>
      </c>
      <c r="AI12">
        <f>AF12*V12*W12</f>
        <v>277.92430280681162</v>
      </c>
      <c r="AJ12">
        <f>AF12*W12^2</f>
        <v>1384.542041665567</v>
      </c>
    </row>
    <row r="13" spans="1:36" x14ac:dyDescent="0.3">
      <c r="A13">
        <v>4.4009999999999998</v>
      </c>
      <c r="B13">
        <f t="shared" si="0"/>
        <v>0.88019999999999998</v>
      </c>
      <c r="E13">
        <v>4.2169999999999996</v>
      </c>
      <c r="F13">
        <f t="shared" si="1"/>
        <v>0.84339999999999993</v>
      </c>
      <c r="I13">
        <v>4.1429999999999998</v>
      </c>
      <c r="J13">
        <f t="shared" si="2"/>
        <v>0.8286</v>
      </c>
      <c r="M13">
        <v>4.42</v>
      </c>
      <c r="N13">
        <f t="shared" si="3"/>
        <v>0.88400000000000001</v>
      </c>
      <c r="V13">
        <f>$X$3*V6*W6^2 / (4*PI()^2)</f>
        <v>1.6811957976764066E-5</v>
      </c>
      <c r="W13">
        <f>$X$3*V6^2</f>
        <v>5.3999999999999998E-5</v>
      </c>
      <c r="X13">
        <f t="shared" si="7"/>
        <v>2.2615055706155528E-6</v>
      </c>
      <c r="Y13">
        <f t="shared" si="8"/>
        <v>7.4215901261117882E-6</v>
      </c>
      <c r="AB13">
        <f>W13^2</f>
        <v>2.9159999999999999E-9</v>
      </c>
      <c r="AC13">
        <f>W13*V13</f>
        <v>9.0784573074525957E-10</v>
      </c>
      <c r="AD13">
        <f t="shared" si="6"/>
        <v>2.2615055706155528E-6</v>
      </c>
      <c r="AE13">
        <f t="shared" si="6"/>
        <v>7.4215901261117882E-6</v>
      </c>
      <c r="AF13">
        <f t="shared" si="9"/>
        <v>195526072291.47028</v>
      </c>
      <c r="AG13">
        <f>AF13*W13</f>
        <v>10558407.903739395</v>
      </c>
      <c r="AH13">
        <f>AF13*V13</f>
        <v>3287176.1107259314</v>
      </c>
      <c r="AI13">
        <f>AF13*V13*W13</f>
        <v>177.50750997920028</v>
      </c>
      <c r="AJ13">
        <f>AF13*W13^2</f>
        <v>570.15402680192733</v>
      </c>
    </row>
    <row r="14" spans="1:36" x14ac:dyDescent="0.3">
      <c r="A14">
        <v>4.3259999999999996</v>
      </c>
      <c r="B14">
        <f t="shared" si="0"/>
        <v>0.86519999999999997</v>
      </c>
      <c r="E14">
        <v>4.2409999999999997</v>
      </c>
      <c r="F14">
        <f t="shared" si="1"/>
        <v>0.84819999999999995</v>
      </c>
      <c r="I14">
        <v>4.1070000000000002</v>
      </c>
      <c r="J14">
        <f t="shared" si="2"/>
        <v>0.82140000000000002</v>
      </c>
      <c r="M14">
        <v>4.3579999999999997</v>
      </c>
      <c r="N14">
        <f t="shared" si="3"/>
        <v>0.87159999999999993</v>
      </c>
    </row>
    <row r="15" spans="1:36" x14ac:dyDescent="0.3">
      <c r="A15">
        <v>4.5250000000000004</v>
      </c>
      <c r="B15">
        <f t="shared" si="0"/>
        <v>0.90500000000000003</v>
      </c>
      <c r="E15">
        <v>4.2590000000000003</v>
      </c>
      <c r="F15">
        <f t="shared" si="1"/>
        <v>0.85180000000000011</v>
      </c>
      <c r="I15">
        <v>4.17</v>
      </c>
      <c r="J15">
        <f t="shared" si="2"/>
        <v>0.83399999999999996</v>
      </c>
      <c r="M15">
        <v>4.4020000000000001</v>
      </c>
      <c r="N15">
        <f t="shared" si="3"/>
        <v>0.88040000000000007</v>
      </c>
    </row>
    <row r="16" spans="1:36" x14ac:dyDescent="0.3">
      <c r="A16">
        <v>4.4359999999999999</v>
      </c>
      <c r="B16">
        <f t="shared" si="0"/>
        <v>0.88719999999999999</v>
      </c>
      <c r="E16">
        <v>4.29</v>
      </c>
      <c r="F16">
        <f t="shared" si="1"/>
        <v>0.85799999999999998</v>
      </c>
      <c r="I16">
        <v>4.2249999999999996</v>
      </c>
      <c r="J16">
        <f t="shared" si="2"/>
        <v>0.84499999999999997</v>
      </c>
      <c r="M16">
        <v>4.3040000000000003</v>
      </c>
      <c r="N16">
        <f t="shared" si="3"/>
        <v>0.86080000000000001</v>
      </c>
    </row>
    <row r="17" spans="1:33" x14ac:dyDescent="0.3">
      <c r="A17">
        <v>4.3860000000000001</v>
      </c>
      <c r="B17">
        <f t="shared" si="0"/>
        <v>0.87719999999999998</v>
      </c>
      <c r="E17">
        <v>4.2320000000000002</v>
      </c>
      <c r="F17">
        <f t="shared" si="1"/>
        <v>0.84640000000000004</v>
      </c>
      <c r="I17">
        <v>4.0819999999999999</v>
      </c>
      <c r="J17">
        <f t="shared" si="2"/>
        <v>0.81640000000000001</v>
      </c>
      <c r="M17">
        <v>4.359</v>
      </c>
      <c r="N17">
        <f t="shared" si="3"/>
        <v>0.87180000000000002</v>
      </c>
      <c r="AB17" t="s">
        <v>26</v>
      </c>
    </row>
    <row r="18" spans="1:33" x14ac:dyDescent="0.3">
      <c r="A18">
        <v>4.452</v>
      </c>
      <c r="B18">
        <f t="shared" si="0"/>
        <v>0.89039999999999997</v>
      </c>
      <c r="E18">
        <v>4.2489999999999997</v>
      </c>
      <c r="F18">
        <f t="shared" si="1"/>
        <v>0.84979999999999989</v>
      </c>
      <c r="I18">
        <v>4.1749999999999998</v>
      </c>
      <c r="J18">
        <f t="shared" si="2"/>
        <v>0.83499999999999996</v>
      </c>
      <c r="M18">
        <v>4.2160000000000002</v>
      </c>
      <c r="N18">
        <f t="shared" si="3"/>
        <v>0.84320000000000006</v>
      </c>
      <c r="AB18" t="s">
        <v>20</v>
      </c>
      <c r="AC18">
        <v>4</v>
      </c>
      <c r="AF18" t="s">
        <v>22</v>
      </c>
      <c r="AG18" t="s">
        <v>23</v>
      </c>
    </row>
    <row r="19" spans="1:33" x14ac:dyDescent="0.3">
      <c r="A19">
        <v>4.335</v>
      </c>
      <c r="B19">
        <f t="shared" si="0"/>
        <v>0.86699999999999999</v>
      </c>
      <c r="E19">
        <v>4.2510000000000003</v>
      </c>
      <c r="F19">
        <f t="shared" si="1"/>
        <v>0.85020000000000007</v>
      </c>
      <c r="I19">
        <v>4.165</v>
      </c>
      <c r="J19">
        <f t="shared" si="2"/>
        <v>0.83299999999999996</v>
      </c>
      <c r="M19">
        <v>4.282</v>
      </c>
      <c r="N19">
        <f t="shared" si="3"/>
        <v>0.85640000000000005</v>
      </c>
      <c r="AB19" t="s">
        <v>28</v>
      </c>
      <c r="AC19">
        <f>SUM(AG10:AG13)</f>
        <v>43739545.20901034</v>
      </c>
      <c r="AE19" t="s">
        <v>24</v>
      </c>
      <c r="AF19">
        <f>AC23*AC20 - AC19^2</f>
        <v>849660532244506</v>
      </c>
    </row>
    <row r="20" spans="1:33" x14ac:dyDescent="0.3">
      <c r="A20">
        <v>4.3079999999999998</v>
      </c>
      <c r="B20">
        <f t="shared" si="0"/>
        <v>0.86159999999999992</v>
      </c>
      <c r="E20">
        <v>4.2380000000000004</v>
      </c>
      <c r="F20">
        <f t="shared" si="1"/>
        <v>0.84760000000000013</v>
      </c>
      <c r="I20">
        <v>4.1849999999999996</v>
      </c>
      <c r="J20">
        <f t="shared" si="2"/>
        <v>0.83699999999999997</v>
      </c>
      <c r="M20">
        <v>4.3310000000000004</v>
      </c>
      <c r="N20">
        <f t="shared" si="3"/>
        <v>0.86620000000000008</v>
      </c>
      <c r="AB20" t="s">
        <v>33</v>
      </c>
      <c r="AC20">
        <f>SUM(AJ10:AJ13)</f>
        <v>7019.2101629832141</v>
      </c>
      <c r="AE20" t="s">
        <v>21</v>
      </c>
      <c r="AF20">
        <f>(AC23*AC22 - AC19*AC21)/AF19</f>
        <v>0.10115993569674089</v>
      </c>
      <c r="AG20">
        <f>SQRT(AC23/AF19)</f>
        <v>2.152328389847015E-2</v>
      </c>
    </row>
    <row r="21" spans="1:33" x14ac:dyDescent="0.3">
      <c r="A21">
        <v>4.3680000000000003</v>
      </c>
      <c r="B21">
        <f t="shared" si="0"/>
        <v>0.87360000000000004</v>
      </c>
      <c r="E21">
        <v>4.3170000000000002</v>
      </c>
      <c r="F21">
        <f t="shared" si="1"/>
        <v>0.86340000000000006</v>
      </c>
      <c r="I21">
        <v>4.2160000000000002</v>
      </c>
      <c r="J21">
        <f t="shared" si="2"/>
        <v>0.84320000000000006</v>
      </c>
      <c r="M21">
        <v>4.2320000000000002</v>
      </c>
      <c r="N21">
        <f t="shared" si="3"/>
        <v>0.84640000000000004</v>
      </c>
      <c r="AB21" t="s">
        <v>34</v>
      </c>
      <c r="AC21">
        <f>SUM(AH10:AH13)</f>
        <v>8893289.0176568683</v>
      </c>
      <c r="AE21" t="s">
        <v>25</v>
      </c>
      <c r="AF21">
        <f>(AC20*AC21 - AC19*AC22)/AF19</f>
        <v>1.1352954906227842E-5</v>
      </c>
      <c r="AG21">
        <f>SQRT(AC20/AF19)</f>
        <v>2.8742292208392013E-6</v>
      </c>
    </row>
    <row r="22" spans="1:33" x14ac:dyDescent="0.3">
      <c r="A22">
        <v>4.4189999999999996</v>
      </c>
      <c r="B22">
        <f t="shared" si="0"/>
        <v>0.88379999999999992</v>
      </c>
      <c r="E22">
        <v>4.2809999999999997</v>
      </c>
      <c r="F22">
        <f t="shared" si="1"/>
        <v>0.85619999999999996</v>
      </c>
      <c r="I22">
        <v>4.202</v>
      </c>
      <c r="J22">
        <f t="shared" si="2"/>
        <v>0.84040000000000004</v>
      </c>
      <c r="M22">
        <v>4.2460000000000004</v>
      </c>
      <c r="N22">
        <f t="shared" si="3"/>
        <v>0.84920000000000007</v>
      </c>
      <c r="AB22" t="s">
        <v>35</v>
      </c>
      <c r="AC22">
        <f>SUM(AI10:AI13)</f>
        <v>1206.6359331061008</v>
      </c>
    </row>
    <row r="23" spans="1:33" x14ac:dyDescent="0.3">
      <c r="A23">
        <v>4.3780000000000001</v>
      </c>
      <c r="B23">
        <f t="shared" si="0"/>
        <v>0.87560000000000004</v>
      </c>
      <c r="E23">
        <v>4.25</v>
      </c>
      <c r="F23">
        <f t="shared" si="1"/>
        <v>0.85</v>
      </c>
      <c r="I23">
        <v>4.1669999999999998</v>
      </c>
      <c r="J23">
        <f t="shared" si="2"/>
        <v>0.83339999999999992</v>
      </c>
      <c r="M23">
        <v>4.3209999999999997</v>
      </c>
      <c r="N23">
        <f t="shared" si="3"/>
        <v>0.86419999999999997</v>
      </c>
      <c r="AB23" t="s">
        <v>36</v>
      </c>
      <c r="AC23">
        <f>SUM(AF10:AF13)</f>
        <v>393606728276.29828</v>
      </c>
      <c r="AE23" t="s">
        <v>38</v>
      </c>
    </row>
    <row r="24" spans="1:33" x14ac:dyDescent="0.3">
      <c r="A24">
        <v>4.3600000000000003</v>
      </c>
      <c r="B24">
        <f t="shared" si="0"/>
        <v>0.87200000000000011</v>
      </c>
      <c r="E24">
        <v>4.3170000000000002</v>
      </c>
      <c r="F24">
        <f t="shared" si="1"/>
        <v>0.86340000000000006</v>
      </c>
      <c r="I24">
        <v>4.101</v>
      </c>
      <c r="J24">
        <f t="shared" si="2"/>
        <v>0.82020000000000004</v>
      </c>
      <c r="M24">
        <v>4.2510000000000003</v>
      </c>
      <c r="N24">
        <f t="shared" si="3"/>
        <v>0.85020000000000007</v>
      </c>
      <c r="AE24" t="s">
        <v>37</v>
      </c>
      <c r="AF24">
        <f>AF20^-1</f>
        <v>9.8853364537302433</v>
      </c>
    </row>
    <row r="25" spans="1:33" x14ac:dyDescent="0.3">
      <c r="A25">
        <v>4.367</v>
      </c>
      <c r="B25">
        <f t="shared" si="0"/>
        <v>0.87339999999999995</v>
      </c>
      <c r="E25">
        <v>4.266</v>
      </c>
      <c r="F25">
        <f t="shared" si="1"/>
        <v>0.85319999999999996</v>
      </c>
      <c r="I25">
        <v>4.2060000000000004</v>
      </c>
      <c r="J25">
        <f t="shared" si="2"/>
        <v>0.84120000000000006</v>
      </c>
      <c r="M25">
        <v>4.26</v>
      </c>
      <c r="N25">
        <f t="shared" si="3"/>
        <v>0.85199999999999998</v>
      </c>
      <c r="AE25" t="s">
        <v>39</v>
      </c>
      <c r="AF25">
        <f>AF24*1*AG20/AF20</f>
        <v>2.1032526509641394</v>
      </c>
    </row>
    <row r="26" spans="1:33" x14ac:dyDescent="0.3">
      <c r="A26">
        <v>4.3289999999999997</v>
      </c>
      <c r="B26">
        <f t="shared" si="0"/>
        <v>0.8657999999999999</v>
      </c>
      <c r="E26">
        <v>4.274</v>
      </c>
      <c r="F26">
        <f t="shared" si="1"/>
        <v>0.8548</v>
      </c>
      <c r="I26">
        <v>4.1239999999999997</v>
      </c>
      <c r="J26">
        <f t="shared" si="2"/>
        <v>0.82479999999999998</v>
      </c>
      <c r="M26">
        <v>4.3789999999999996</v>
      </c>
      <c r="N26">
        <f t="shared" si="3"/>
        <v>0.87579999999999991</v>
      </c>
    </row>
    <row r="27" spans="1:33" x14ac:dyDescent="0.3">
      <c r="A27">
        <v>4.3940000000000001</v>
      </c>
      <c r="B27">
        <f t="shared" si="0"/>
        <v>0.87880000000000003</v>
      </c>
      <c r="E27">
        <v>4.2750000000000004</v>
      </c>
      <c r="F27">
        <f t="shared" si="1"/>
        <v>0.85500000000000009</v>
      </c>
      <c r="I27">
        <v>4.1349999999999998</v>
      </c>
      <c r="J27">
        <f t="shared" si="2"/>
        <v>0.82699999999999996</v>
      </c>
      <c r="M27">
        <v>4.2759999999999998</v>
      </c>
      <c r="N27">
        <f t="shared" si="3"/>
        <v>0.85519999999999996</v>
      </c>
      <c r="AE27" t="s">
        <v>111</v>
      </c>
      <c r="AF27">
        <f xml:space="preserve"> AF21 * AF24</f>
        <v>1.122277789920897E-4</v>
      </c>
    </row>
    <row r="28" spans="1:33" x14ac:dyDescent="0.3">
      <c r="AE28" t="s">
        <v>50</v>
      </c>
      <c r="AF28">
        <f xml:space="preserve"> AF27 * SQRT( (AG21/AF21)^2 + (AF25/AF24)^2 )</f>
        <v>3.7113987040246007E-5</v>
      </c>
    </row>
    <row r="30" spans="1:33" x14ac:dyDescent="0.3">
      <c r="AE30" t="s">
        <v>110</v>
      </c>
      <c r="AF30">
        <f xml:space="preserve"> X3/12 * (0.292^2 + 0.017^2)</f>
        <v>1.0694125E-4</v>
      </c>
    </row>
    <row r="31" spans="1:33" x14ac:dyDescent="0.3">
      <c r="AE31" t="s">
        <v>50</v>
      </c>
      <c r="AF31">
        <f>AF30*SQRT((AC3/X3)^2+(SQRT((0.292^2*2*0.001/0.292)^2+(0.017^2*2*0.001/0.017)^2)))</f>
        <v>1.4491532460777915E-5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C414-0A12-4985-AEA9-8C0442A8D680}">
  <dimension ref="A1:AK36"/>
  <sheetViews>
    <sheetView topLeftCell="U1" workbookViewId="0">
      <selection activeCell="AC22" sqref="AC22"/>
    </sheetView>
  </sheetViews>
  <sheetFormatPr defaultRowHeight="14.4" x14ac:dyDescent="0.3"/>
  <cols>
    <col min="22" max="22" width="12" bestFit="1" customWidth="1"/>
    <col min="25" max="28" width="12" bestFit="1" customWidth="1"/>
    <col min="30" max="30" width="12.6640625" bestFit="1" customWidth="1"/>
    <col min="31" max="31" width="12" bestFit="1" customWidth="1"/>
    <col min="33" max="33" width="22.21875" bestFit="1" customWidth="1"/>
    <col min="34" max="35" width="12" bestFit="1" customWidth="1"/>
  </cols>
  <sheetData>
    <row r="1" spans="1:37" x14ac:dyDescent="0.3">
      <c r="A1" t="s">
        <v>6</v>
      </c>
      <c r="B1">
        <v>0.114</v>
      </c>
      <c r="E1" t="s">
        <v>6</v>
      </c>
      <c r="F1">
        <v>8.5999999999999993E-2</v>
      </c>
      <c r="I1" t="s">
        <v>6</v>
      </c>
      <c r="J1">
        <v>0.06</v>
      </c>
      <c r="M1" t="s">
        <v>6</v>
      </c>
      <c r="N1">
        <v>3.2000000000000001E-2</v>
      </c>
      <c r="Q1" t="s">
        <v>6</v>
      </c>
      <c r="U1" t="s">
        <v>8</v>
      </c>
    </row>
    <row r="2" spans="1:37" x14ac:dyDescent="0.3">
      <c r="A2" t="s">
        <v>40</v>
      </c>
      <c r="B2" t="s">
        <v>0</v>
      </c>
      <c r="E2" t="s">
        <v>40</v>
      </c>
      <c r="F2" t="s">
        <v>0</v>
      </c>
      <c r="I2" t="s">
        <v>40</v>
      </c>
      <c r="J2" t="s">
        <v>0</v>
      </c>
      <c r="M2" t="s">
        <v>40</v>
      </c>
      <c r="N2" t="s">
        <v>0</v>
      </c>
      <c r="Q2" t="s">
        <v>40</v>
      </c>
      <c r="R2" t="s">
        <v>0</v>
      </c>
      <c r="U2" t="s">
        <v>49</v>
      </c>
      <c r="V2" t="s">
        <v>37</v>
      </c>
      <c r="W2" t="s">
        <v>6</v>
      </c>
      <c r="X2" t="s">
        <v>51</v>
      </c>
      <c r="Y2" t="s">
        <v>1</v>
      </c>
      <c r="Z2" t="s">
        <v>9</v>
      </c>
      <c r="AA2" t="s">
        <v>42</v>
      </c>
      <c r="AB2" t="s">
        <v>41</v>
      </c>
      <c r="AC2" t="s">
        <v>45</v>
      </c>
      <c r="AD2" t="s">
        <v>13</v>
      </c>
      <c r="AE2" t="s">
        <v>53</v>
      </c>
      <c r="AF2" t="s">
        <v>14</v>
      </c>
      <c r="AG2" t="s">
        <v>16</v>
      </c>
      <c r="AH2" t="s">
        <v>15</v>
      </c>
      <c r="AI2" t="s">
        <v>43</v>
      </c>
      <c r="AJ2" t="s">
        <v>44</v>
      </c>
      <c r="AK2" t="s">
        <v>46</v>
      </c>
    </row>
    <row r="3" spans="1:37" x14ac:dyDescent="0.3">
      <c r="A3">
        <v>5.2160000000000002</v>
      </c>
      <c r="B3">
        <f>A3/5</f>
        <v>1.0432000000000001</v>
      </c>
      <c r="C3" t="s">
        <v>1</v>
      </c>
      <c r="D3">
        <f>AVERAGE(B3:B27)</f>
        <v>1.0355680000000003</v>
      </c>
      <c r="E3">
        <v>5.3890000000000002</v>
      </c>
      <c r="F3">
        <f>E3/5</f>
        <v>1.0778000000000001</v>
      </c>
      <c r="G3" t="s">
        <v>1</v>
      </c>
      <c r="H3">
        <f>AVERAGE(F3:F27)</f>
        <v>1.071304</v>
      </c>
      <c r="I3">
        <v>3.5840000000000001</v>
      </c>
      <c r="J3">
        <f>I3/3</f>
        <v>1.1946666666666668</v>
      </c>
      <c r="K3" t="s">
        <v>1</v>
      </c>
      <c r="L3">
        <f>AVERAGE(J3:J27)</f>
        <v>1.1880133333333334</v>
      </c>
      <c r="M3">
        <v>2.9660000000000002</v>
      </c>
      <c r="N3">
        <f>M3/2</f>
        <v>1.4830000000000001</v>
      </c>
      <c r="O3" t="s">
        <v>1</v>
      </c>
      <c r="P3">
        <f xml:space="preserve"> AVERAGE(N3:N27)</f>
        <v>1.4811000000000001</v>
      </c>
      <c r="S3" t="s">
        <v>1</v>
      </c>
      <c r="U3">
        <v>1.1222670225846878E-4</v>
      </c>
      <c r="V3">
        <f>'1rodItself'!AF24</f>
        <v>9.8853364537302433</v>
      </c>
      <c r="W3">
        <f>B1</f>
        <v>0.114</v>
      </c>
      <c r="X3">
        <f>W3^2</f>
        <v>1.2996000000000001E-2</v>
      </c>
      <c r="Y3">
        <f>D3</f>
        <v>1.0355680000000003</v>
      </c>
      <c r="Z3">
        <v>1.6E-2</v>
      </c>
      <c r="AA3">
        <v>1.5769999999999999E-2</v>
      </c>
      <c r="AB3">
        <v>1.217E-2</v>
      </c>
      <c r="AC3">
        <f xml:space="preserve"> Z3 + 2*AA3 + 4*AB3</f>
        <v>9.622E-2</v>
      </c>
      <c r="AD3">
        <v>1E-3</v>
      </c>
      <c r="AE3">
        <f>W3^2 * 2 * AD3 /W3</f>
        <v>2.2800000000000001E-4</v>
      </c>
      <c r="AF3">
        <f>D5</f>
        <v>1.4453917577367551E-3</v>
      </c>
      <c r="AG3">
        <f>Y3^2 * 2 * AF3 /Y3</f>
        <v>2.9936029035518728E-3</v>
      </c>
      <c r="AH3">
        <v>1E-3</v>
      </c>
      <c r="AI3">
        <v>1.0000000000000001E-5</v>
      </c>
      <c r="AJ3">
        <v>1.0000000000000001E-5</v>
      </c>
      <c r="AK3">
        <f>SQRT(AH3^2 + AI3^2 + AJ3^2)</f>
        <v>1.0000999950004999E-3</v>
      </c>
    </row>
    <row r="4" spans="1:37" x14ac:dyDescent="0.3">
      <c r="A4">
        <v>5.1959999999999997</v>
      </c>
      <c r="B4">
        <f t="shared" ref="B4:B27" si="0">A4/5</f>
        <v>1.0391999999999999</v>
      </c>
      <c r="C4" t="s">
        <v>2</v>
      </c>
      <c r="D4">
        <f>_xlfn.STDEV.S(B3:B27)</f>
        <v>7.2269587886837757E-3</v>
      </c>
      <c r="E4">
        <v>5.3239999999999998</v>
      </c>
      <c r="F4">
        <f t="shared" ref="F4:F27" si="1">E4/5</f>
        <v>1.0648</v>
      </c>
      <c r="G4" t="s">
        <v>2</v>
      </c>
      <c r="H4">
        <f>_xlfn.STDEV.S(F3:F27)</f>
        <v>8.7816323463617077E-3</v>
      </c>
      <c r="I4">
        <v>3.55</v>
      </c>
      <c r="J4">
        <f t="shared" ref="J4:J27" si="2">I4/3</f>
        <v>1.1833333333333333</v>
      </c>
      <c r="K4" t="s">
        <v>2</v>
      </c>
      <c r="L4">
        <f>_xlfn.STDEV.S(J3:J27)</f>
        <v>1.5915715503865981E-2</v>
      </c>
      <c r="M4">
        <v>2.9510000000000001</v>
      </c>
      <c r="N4">
        <f t="shared" ref="N4:N27" si="3">M4/2</f>
        <v>1.4755</v>
      </c>
      <c r="O4" t="s">
        <v>2</v>
      </c>
      <c r="P4">
        <f>_xlfn.STDEV.S(N3:N27)</f>
        <v>2.0479156069851449E-2</v>
      </c>
      <c r="S4" t="s">
        <v>2</v>
      </c>
      <c r="U4">
        <v>1.8604382186507343E-5</v>
      </c>
      <c r="V4" t="s">
        <v>39</v>
      </c>
      <c r="W4">
        <f>F1</f>
        <v>8.5999999999999993E-2</v>
      </c>
      <c r="X4">
        <f t="shared" ref="X4:X6" si="4">W4^2</f>
        <v>7.3959999999999989E-3</v>
      </c>
      <c r="Y4">
        <f>H3</f>
        <v>1.071304</v>
      </c>
      <c r="AD4">
        <v>1E-3</v>
      </c>
      <c r="AE4">
        <f>W4^2 * 2 * AD4 /W4</f>
        <v>1.7200000000000001E-4</v>
      </c>
      <c r="AF4">
        <f>H5</f>
        <v>1.7563264692723416E-3</v>
      </c>
      <c r="AG4">
        <f>Y4^2 * 2 * AF4 /Y4</f>
        <v>3.763119143674673E-3</v>
      </c>
      <c r="AH4">
        <v>1E-3</v>
      </c>
      <c r="AI4">
        <v>1.0000000000000001E-5</v>
      </c>
      <c r="AJ4">
        <v>1.0000000000000001E-5</v>
      </c>
      <c r="AK4">
        <f t="shared" ref="AK4:AK6" si="5">SQRT(AH4^2 + AI4^2 + AJ4^2)</f>
        <v>1.0000999950004999E-3</v>
      </c>
    </row>
    <row r="5" spans="1:37" x14ac:dyDescent="0.3">
      <c r="A5">
        <v>5.1950000000000003</v>
      </c>
      <c r="B5">
        <f t="shared" si="0"/>
        <v>1.0390000000000001</v>
      </c>
      <c r="C5" t="s">
        <v>3</v>
      </c>
      <c r="D5">
        <f>D4/SQRT(25)</f>
        <v>1.4453917577367551E-3</v>
      </c>
      <c r="E5">
        <v>5.335</v>
      </c>
      <c r="F5">
        <f t="shared" si="1"/>
        <v>1.0669999999999999</v>
      </c>
      <c r="G5" t="s">
        <v>3</v>
      </c>
      <c r="H5">
        <f>H4/SQRT(25)</f>
        <v>1.7563264692723416E-3</v>
      </c>
      <c r="I5">
        <v>3.6339999999999999</v>
      </c>
      <c r="J5">
        <f t="shared" si="2"/>
        <v>1.2113333333333334</v>
      </c>
      <c r="K5" t="s">
        <v>3</v>
      </c>
      <c r="L5">
        <f>L4/SQRT(25)</f>
        <v>3.183143100773196E-3</v>
      </c>
      <c r="M5">
        <v>2.9180000000000001</v>
      </c>
      <c r="N5">
        <f t="shared" si="3"/>
        <v>1.4590000000000001</v>
      </c>
      <c r="O5" t="s">
        <v>3</v>
      </c>
      <c r="P5">
        <f>P4/SQRT(25)</f>
        <v>4.0958312139702897E-3</v>
      </c>
      <c r="S5" t="s">
        <v>3</v>
      </c>
      <c r="V5">
        <f>'1rodItself'!AF25</f>
        <v>2.1032526509641394</v>
      </c>
      <c r="W5">
        <f>J1</f>
        <v>0.06</v>
      </c>
      <c r="X5">
        <f t="shared" si="4"/>
        <v>3.5999999999999999E-3</v>
      </c>
      <c r="Y5">
        <f>L3</f>
        <v>1.1880133333333334</v>
      </c>
      <c r="AD5">
        <v>1E-3</v>
      </c>
      <c r="AE5">
        <f>W5^2 * 2 * AD5 /W5</f>
        <v>1.2E-4</v>
      </c>
      <c r="AF5">
        <f>L5</f>
        <v>3.183143100773196E-3</v>
      </c>
      <c r="AG5">
        <f>Y5^2 * 2 * AF5 /Y5</f>
        <v>7.5632328912531343E-3</v>
      </c>
      <c r="AH5">
        <v>1E-3</v>
      </c>
      <c r="AI5">
        <v>1.0000000000000001E-5</v>
      </c>
      <c r="AJ5">
        <v>1.0000000000000001E-5</v>
      </c>
      <c r="AK5">
        <f t="shared" si="5"/>
        <v>1.0000999950004999E-3</v>
      </c>
    </row>
    <row r="6" spans="1:37" x14ac:dyDescent="0.3">
      <c r="A6">
        <v>5.141</v>
      </c>
      <c r="B6">
        <f t="shared" si="0"/>
        <v>1.0282</v>
      </c>
      <c r="C6" t="s">
        <v>4</v>
      </c>
      <c r="D6">
        <f>D3+D4</f>
        <v>1.042794958788684</v>
      </c>
      <c r="E6">
        <v>5.4089999999999998</v>
      </c>
      <c r="F6">
        <f t="shared" si="1"/>
        <v>1.0817999999999999</v>
      </c>
      <c r="G6" t="s">
        <v>4</v>
      </c>
      <c r="H6">
        <f>H3+H4</f>
        <v>1.0800856323463617</v>
      </c>
      <c r="I6">
        <v>3.5259999999999998</v>
      </c>
      <c r="J6">
        <f t="shared" si="2"/>
        <v>1.1753333333333333</v>
      </c>
      <c r="K6" t="s">
        <v>4</v>
      </c>
      <c r="L6">
        <f>L3+L4</f>
        <v>1.2039290488371994</v>
      </c>
      <c r="M6">
        <v>2.94</v>
      </c>
      <c r="N6">
        <f t="shared" si="3"/>
        <v>1.47</v>
      </c>
      <c r="O6" t="s">
        <v>4</v>
      </c>
      <c r="P6">
        <f>P3+P4</f>
        <v>1.5015791560698515</v>
      </c>
      <c r="S6" t="s">
        <v>4</v>
      </c>
      <c r="W6">
        <f>N1</f>
        <v>3.2000000000000001E-2</v>
      </c>
      <c r="X6">
        <f t="shared" si="4"/>
        <v>1.024E-3</v>
      </c>
      <c r="Y6">
        <f>P3</f>
        <v>1.4811000000000001</v>
      </c>
      <c r="AD6">
        <v>1E-3</v>
      </c>
      <c r="AE6">
        <f>W6^2 * 2 * AD6/W6</f>
        <v>6.3999999999999997E-5</v>
      </c>
      <c r="AF6">
        <f xml:space="preserve"> P5</f>
        <v>4.0958312139702897E-3</v>
      </c>
      <c r="AG6">
        <f>Y6^2 * 2 * AF6 /Y6</f>
        <v>1.2132671222022794E-2</v>
      </c>
      <c r="AH6">
        <v>1E-3</v>
      </c>
      <c r="AI6">
        <v>1.0000000000000001E-5</v>
      </c>
      <c r="AJ6">
        <v>1.0000000000000001E-5</v>
      </c>
      <c r="AK6">
        <f t="shared" si="5"/>
        <v>1.0000999950004999E-3</v>
      </c>
    </row>
    <row r="7" spans="1:37" x14ac:dyDescent="0.3">
      <c r="A7">
        <v>5.2450000000000001</v>
      </c>
      <c r="B7">
        <f t="shared" si="0"/>
        <v>1.0489999999999999</v>
      </c>
      <c r="C7" t="s">
        <v>5</v>
      </c>
      <c r="D7">
        <f>D3-D4</f>
        <v>1.0283410412113165</v>
      </c>
      <c r="E7">
        <v>5.3540000000000001</v>
      </c>
      <c r="F7">
        <f t="shared" si="1"/>
        <v>1.0708</v>
      </c>
      <c r="G7" t="s">
        <v>5</v>
      </c>
      <c r="H7">
        <f>H3-H4</f>
        <v>1.0625223676536384</v>
      </c>
      <c r="I7">
        <v>3.5830000000000002</v>
      </c>
      <c r="J7">
        <f t="shared" si="2"/>
        <v>1.1943333333333335</v>
      </c>
      <c r="K7" t="s">
        <v>5</v>
      </c>
      <c r="L7">
        <f>L3-L4</f>
        <v>1.1720976178294673</v>
      </c>
      <c r="M7">
        <v>2.9769999999999999</v>
      </c>
      <c r="N7">
        <f t="shared" si="3"/>
        <v>1.4884999999999999</v>
      </c>
      <c r="O7" t="s">
        <v>5</v>
      </c>
      <c r="P7">
        <f>P3-P4</f>
        <v>1.4606208439301487</v>
      </c>
      <c r="S7" t="s">
        <v>5</v>
      </c>
    </row>
    <row r="8" spans="1:37" x14ac:dyDescent="0.3">
      <c r="A8">
        <v>5.2329999999999997</v>
      </c>
      <c r="B8">
        <f t="shared" si="0"/>
        <v>1.0466</v>
      </c>
      <c r="E8">
        <v>5.4039999999999999</v>
      </c>
      <c r="F8">
        <f t="shared" si="1"/>
        <v>1.0808</v>
      </c>
      <c r="I8">
        <v>3.694</v>
      </c>
      <c r="J8">
        <f t="shared" si="2"/>
        <v>1.2313333333333334</v>
      </c>
      <c r="M8">
        <v>2.9670000000000001</v>
      </c>
      <c r="N8">
        <f t="shared" si="3"/>
        <v>1.4835</v>
      </c>
      <c r="U8" t="s">
        <v>72</v>
      </c>
      <c r="Z8" t="s">
        <v>52</v>
      </c>
    </row>
    <row r="9" spans="1:37" x14ac:dyDescent="0.3">
      <c r="A9">
        <v>5.173</v>
      </c>
      <c r="B9">
        <f t="shared" si="0"/>
        <v>1.0346</v>
      </c>
      <c r="E9">
        <v>5.3520000000000003</v>
      </c>
      <c r="F9">
        <f t="shared" si="1"/>
        <v>1.0704</v>
      </c>
      <c r="I9">
        <v>3.5590000000000002</v>
      </c>
      <c r="J9">
        <f t="shared" si="2"/>
        <v>1.1863333333333335</v>
      </c>
      <c r="M9">
        <v>2.9990000000000001</v>
      </c>
      <c r="N9">
        <f t="shared" si="3"/>
        <v>1.4995000000000001</v>
      </c>
      <c r="U9" t="s">
        <v>47</v>
      </c>
      <c r="V9" t="s">
        <v>48</v>
      </c>
      <c r="W9" t="s">
        <v>51</v>
      </c>
      <c r="X9" t="s">
        <v>53</v>
      </c>
      <c r="Z9" t="s">
        <v>18</v>
      </c>
      <c r="AA9" t="s">
        <v>19</v>
      </c>
      <c r="AB9" t="s">
        <v>11</v>
      </c>
      <c r="AC9" t="s">
        <v>12</v>
      </c>
      <c r="AD9" t="s">
        <v>27</v>
      </c>
      <c r="AE9" t="s">
        <v>29</v>
      </c>
      <c r="AF9" t="s">
        <v>30</v>
      </c>
      <c r="AG9" t="s">
        <v>31</v>
      </c>
      <c r="AH9" t="s">
        <v>32</v>
      </c>
    </row>
    <row r="10" spans="1:37" x14ac:dyDescent="0.3">
      <c r="A10">
        <v>5.1269999999999998</v>
      </c>
      <c r="B10">
        <f t="shared" si="0"/>
        <v>1.0253999999999999</v>
      </c>
      <c r="E10">
        <v>5.3869999999999996</v>
      </c>
      <c r="F10">
        <f t="shared" si="1"/>
        <v>1.0773999999999999</v>
      </c>
      <c r="I10">
        <v>3.5710000000000002</v>
      </c>
      <c r="J10">
        <f t="shared" si="2"/>
        <v>1.1903333333333335</v>
      </c>
      <c r="M10">
        <v>2.8820000000000001</v>
      </c>
      <c r="N10">
        <f t="shared" si="3"/>
        <v>1.4410000000000001</v>
      </c>
      <c r="U10">
        <f xml:space="preserve"> $AC$3 * W3 * $V$3 * Y3^2 / (4 * PI()^2)</f>
        <v>2.9455009444388099E-3</v>
      </c>
      <c r="V10">
        <f xml:space="preserve"> U10 * SQRT( ($AK$3/$AC$3)^2 + (AD3/W3)^2 + ($V$5/$V$3)^2 + (AG3/Y3^2)^2 )</f>
        <v>6.2803216622734151E-4</v>
      </c>
      <c r="W10">
        <f>X3</f>
        <v>1.2996000000000001E-2</v>
      </c>
      <c r="X10">
        <f>AE3</f>
        <v>2.2800000000000001E-4</v>
      </c>
      <c r="Z10">
        <f>W10^2</f>
        <v>1.6889601600000002E-4</v>
      </c>
      <c r="AA10">
        <f xml:space="preserve"> W10 * U10</f>
        <v>3.8279730273926776E-5</v>
      </c>
      <c r="AB10">
        <f>V10</f>
        <v>6.2803216622734151E-4</v>
      </c>
      <c r="AC10">
        <f>X10</f>
        <v>2.2800000000000001E-4</v>
      </c>
      <c r="AD10">
        <f>1/AB10^2</f>
        <v>2535340.094059336</v>
      </c>
      <c r="AE10">
        <f xml:space="preserve"> AD10 * W10</f>
        <v>32949.279862395131</v>
      </c>
      <c r="AF10">
        <f xml:space="preserve"> AD10 * U10</f>
        <v>7467.8466415253552</v>
      </c>
      <c r="AG10">
        <f xml:space="preserve"> AD10 * W10 * U10</f>
        <v>97.052134953263518</v>
      </c>
      <c r="AH10">
        <f xml:space="preserve"> AD10 * Z10</f>
        <v>428.20884109168719</v>
      </c>
    </row>
    <row r="11" spans="1:37" x14ac:dyDescent="0.3">
      <c r="A11">
        <v>5.1970000000000001</v>
      </c>
      <c r="B11">
        <f t="shared" si="0"/>
        <v>1.0394000000000001</v>
      </c>
      <c r="E11">
        <v>5.3680000000000003</v>
      </c>
      <c r="F11">
        <f t="shared" si="1"/>
        <v>1.0736000000000001</v>
      </c>
      <c r="I11">
        <v>3.569</v>
      </c>
      <c r="J11">
        <f t="shared" si="2"/>
        <v>1.1896666666666667</v>
      </c>
      <c r="M11">
        <v>3.0009999999999999</v>
      </c>
      <c r="N11">
        <f t="shared" si="3"/>
        <v>1.5004999999999999</v>
      </c>
      <c r="U11">
        <f t="shared" ref="U11:U13" si="6" xml:space="preserve"> $AC$3 * W4 * $V$3 * Y4^2 / (4 * PI()^2)</f>
        <v>2.3780499656733678E-3</v>
      </c>
      <c r="V11">
        <f xml:space="preserve"> U11 * SQRT( ($AK$3/$AC$3)^2 + (AD4/W4)^2 + ($V$5/$V$3)^2 + (AG4/Y4^2)^2)</f>
        <v>5.0738300531502157E-4</v>
      </c>
      <c r="W11">
        <f t="shared" ref="W11:W13" si="7">X4</f>
        <v>7.3959999999999989E-3</v>
      </c>
      <c r="X11">
        <f t="shared" ref="X11:X13" si="8">AE4</f>
        <v>1.7200000000000001E-4</v>
      </c>
      <c r="Z11">
        <f t="shared" ref="Z11:Z13" si="9">W11^2</f>
        <v>5.4700815999999987E-5</v>
      </c>
      <c r="AA11">
        <f t="shared" ref="AA11:AA13" si="10" xml:space="preserve"> W11 * U11</f>
        <v>1.7588057546120225E-5</v>
      </c>
      <c r="AB11">
        <f t="shared" ref="AB11:AB13" si="11">V11</f>
        <v>5.0738300531502157E-4</v>
      </c>
      <c r="AC11">
        <f t="shared" ref="AC11:AC13" si="12">X11</f>
        <v>1.7200000000000001E-4</v>
      </c>
      <c r="AD11">
        <f t="shared" ref="AD11:AD13" si="13">1/AB11^2</f>
        <v>3884437.7578922757</v>
      </c>
      <c r="AE11">
        <f t="shared" ref="AE11:AE13" si="14" xml:space="preserve"> AD11 * W11</f>
        <v>28729.301657371267</v>
      </c>
      <c r="AF11">
        <f t="shared" ref="AF11:AF13" si="15" xml:space="preserve"> AD11 * U11</f>
        <v>9237.3870768160596</v>
      </c>
      <c r="AG11">
        <f t="shared" ref="AG11:AG13" si="16" xml:space="preserve"> AD11 * W11 * U11</f>
        <v>68.319714820131566</v>
      </c>
      <c r="AH11">
        <f t="shared" ref="AH11:AH13" si="17" xml:space="preserve"> AD11 * Z11</f>
        <v>212.48191505791786</v>
      </c>
    </row>
    <row r="12" spans="1:37" x14ac:dyDescent="0.3">
      <c r="A12">
        <v>5.1959999999999997</v>
      </c>
      <c r="B12">
        <f t="shared" si="0"/>
        <v>1.0391999999999999</v>
      </c>
      <c r="E12">
        <v>5.3710000000000004</v>
      </c>
      <c r="F12">
        <f t="shared" si="1"/>
        <v>1.0742</v>
      </c>
      <c r="I12">
        <v>3.5179999999999998</v>
      </c>
      <c r="J12">
        <f t="shared" si="2"/>
        <v>1.1726666666666665</v>
      </c>
      <c r="M12">
        <v>2.9470000000000001</v>
      </c>
      <c r="N12">
        <f t="shared" si="3"/>
        <v>1.4735</v>
      </c>
      <c r="U12">
        <f t="shared" si="6"/>
        <v>2.0402855386264149E-3</v>
      </c>
      <c r="V12">
        <f xml:space="preserve"> U12 * SQRT( ($AK$3/$AC$3)^2 + (AD5/W5)^2 + ($V$5/$V$3)^2 + (AG5/Y5^2)^2)</f>
        <v>4.3608415617842793E-4</v>
      </c>
      <c r="W12">
        <f t="shared" si="7"/>
        <v>3.5999999999999999E-3</v>
      </c>
      <c r="X12">
        <f t="shared" si="8"/>
        <v>1.2E-4</v>
      </c>
      <c r="Z12">
        <f t="shared" si="9"/>
        <v>1.296E-5</v>
      </c>
      <c r="AA12">
        <f t="shared" si="10"/>
        <v>7.3450279390550934E-6</v>
      </c>
      <c r="AB12">
        <f t="shared" si="11"/>
        <v>4.3608415617842793E-4</v>
      </c>
      <c r="AC12">
        <f t="shared" si="12"/>
        <v>1.2E-4</v>
      </c>
      <c r="AD12">
        <f t="shared" si="13"/>
        <v>5258469.7953888588</v>
      </c>
      <c r="AE12">
        <f t="shared" si="14"/>
        <v>18930.49126339989</v>
      </c>
      <c r="AF12">
        <f t="shared" si="15"/>
        <v>10728.779878835692</v>
      </c>
      <c r="AG12">
        <f t="shared" si="16"/>
        <v>38.623607563808484</v>
      </c>
      <c r="AH12">
        <f t="shared" si="17"/>
        <v>68.149768548239607</v>
      </c>
    </row>
    <row r="13" spans="1:37" x14ac:dyDescent="0.3">
      <c r="A13">
        <v>5.1980000000000004</v>
      </c>
      <c r="B13">
        <f t="shared" si="0"/>
        <v>1.0396000000000001</v>
      </c>
      <c r="E13">
        <v>5.3780000000000001</v>
      </c>
      <c r="F13">
        <f t="shared" si="1"/>
        <v>1.0756000000000001</v>
      </c>
      <c r="I13">
        <v>3.5609999999999999</v>
      </c>
      <c r="J13">
        <f t="shared" si="2"/>
        <v>1.1870000000000001</v>
      </c>
      <c r="M13">
        <v>2.915</v>
      </c>
      <c r="N13">
        <f t="shared" si="3"/>
        <v>1.4575</v>
      </c>
      <c r="U13">
        <f t="shared" si="6"/>
        <v>1.6912811691933774E-3</v>
      </c>
      <c r="V13">
        <f xml:space="preserve"> U13 * SQRT( ($AK$3/$AC$3)^2 + (AD6/W6)^2 + ($V$5/$V$3)^2 + (AG6/Y6^2)^2)</f>
        <v>3.642506448917369E-4</v>
      </c>
      <c r="W13">
        <f t="shared" si="7"/>
        <v>1.024E-3</v>
      </c>
      <c r="X13">
        <f t="shared" si="8"/>
        <v>6.3999999999999997E-5</v>
      </c>
      <c r="Z13">
        <f t="shared" si="9"/>
        <v>1.048576E-6</v>
      </c>
      <c r="AA13">
        <f t="shared" si="10"/>
        <v>1.7318719172540184E-6</v>
      </c>
      <c r="AB13">
        <f t="shared" si="11"/>
        <v>3.642506448917369E-4</v>
      </c>
      <c r="AC13">
        <f t="shared" si="12"/>
        <v>6.3999999999999997E-5</v>
      </c>
      <c r="AD13">
        <f t="shared" si="13"/>
        <v>7537014.3355851965</v>
      </c>
      <c r="AE13">
        <f t="shared" si="14"/>
        <v>7717.9026796392409</v>
      </c>
      <c r="AF13">
        <f t="shared" si="15"/>
        <v>12747.210417715778</v>
      </c>
      <c r="AG13">
        <f t="shared" si="16"/>
        <v>13.053143467740956</v>
      </c>
      <c r="AH13">
        <f t="shared" si="17"/>
        <v>7.9031323439505829</v>
      </c>
    </row>
    <row r="14" spans="1:37" x14ac:dyDescent="0.3">
      <c r="A14">
        <v>5.19</v>
      </c>
      <c r="B14">
        <f t="shared" si="0"/>
        <v>1.038</v>
      </c>
      <c r="E14">
        <v>5.2720000000000002</v>
      </c>
      <c r="F14">
        <f t="shared" si="1"/>
        <v>1.0544</v>
      </c>
      <c r="I14">
        <v>3.508</v>
      </c>
      <c r="J14">
        <f t="shared" si="2"/>
        <v>1.1693333333333333</v>
      </c>
      <c r="M14">
        <v>2.984</v>
      </c>
      <c r="N14">
        <f t="shared" si="3"/>
        <v>1.492</v>
      </c>
    </row>
    <row r="15" spans="1:37" x14ac:dyDescent="0.3">
      <c r="A15">
        <v>5.1619999999999999</v>
      </c>
      <c r="B15">
        <f t="shared" si="0"/>
        <v>1.0324</v>
      </c>
      <c r="E15">
        <v>5.4260000000000002</v>
      </c>
      <c r="F15">
        <f t="shared" si="1"/>
        <v>1.0851999999999999</v>
      </c>
      <c r="I15">
        <v>3.5110000000000001</v>
      </c>
      <c r="J15">
        <f t="shared" si="2"/>
        <v>1.1703333333333334</v>
      </c>
      <c r="M15">
        <v>2.976</v>
      </c>
      <c r="N15">
        <f t="shared" si="3"/>
        <v>1.488</v>
      </c>
      <c r="Z15" t="s">
        <v>26</v>
      </c>
    </row>
    <row r="16" spans="1:37" x14ac:dyDescent="0.3">
      <c r="A16">
        <v>5.13</v>
      </c>
      <c r="B16">
        <f t="shared" si="0"/>
        <v>1.026</v>
      </c>
      <c r="E16">
        <v>5.2270000000000003</v>
      </c>
      <c r="F16">
        <f t="shared" si="1"/>
        <v>1.0454000000000001</v>
      </c>
      <c r="I16">
        <v>3.6110000000000002</v>
      </c>
      <c r="J16">
        <f t="shared" si="2"/>
        <v>1.2036666666666667</v>
      </c>
      <c r="M16">
        <v>2.9689999999999999</v>
      </c>
      <c r="N16">
        <f t="shared" si="3"/>
        <v>1.4844999999999999</v>
      </c>
      <c r="Z16" t="s">
        <v>20</v>
      </c>
      <c r="AA16">
        <v>4</v>
      </c>
      <c r="AD16" t="s">
        <v>22</v>
      </c>
      <c r="AE16" t="s">
        <v>23</v>
      </c>
    </row>
    <row r="17" spans="1:35" x14ac:dyDescent="0.3">
      <c r="A17">
        <v>5.1619999999999999</v>
      </c>
      <c r="B17">
        <f t="shared" si="0"/>
        <v>1.0324</v>
      </c>
      <c r="E17">
        <v>5.3620000000000001</v>
      </c>
      <c r="F17">
        <f t="shared" si="1"/>
        <v>1.0724</v>
      </c>
      <c r="I17">
        <v>3.55</v>
      </c>
      <c r="J17">
        <f t="shared" si="2"/>
        <v>1.1833333333333333</v>
      </c>
      <c r="M17">
        <v>2.9910000000000001</v>
      </c>
      <c r="N17">
        <f t="shared" si="3"/>
        <v>1.4955000000000001</v>
      </c>
      <c r="Z17" t="s">
        <v>28</v>
      </c>
      <c r="AA17">
        <f xml:space="preserve"> SUM(AE10:AE13)</f>
        <v>88326.975462805523</v>
      </c>
      <c r="AC17" t="s">
        <v>24</v>
      </c>
      <c r="AD17">
        <f xml:space="preserve"> AA21*AA18 - (AA17)^2</f>
        <v>5970762550.2512722</v>
      </c>
    </row>
    <row r="18" spans="1:35" x14ac:dyDescent="0.3">
      <c r="A18">
        <v>5.1040000000000001</v>
      </c>
      <c r="B18">
        <f t="shared" si="0"/>
        <v>1.0207999999999999</v>
      </c>
      <c r="E18">
        <v>5.3579999999999997</v>
      </c>
      <c r="F18">
        <f t="shared" si="1"/>
        <v>1.0715999999999999</v>
      </c>
      <c r="I18">
        <v>3.5579999999999998</v>
      </c>
      <c r="J18">
        <f t="shared" si="2"/>
        <v>1.1859999999999999</v>
      </c>
      <c r="M18">
        <v>3.0070000000000001</v>
      </c>
      <c r="N18">
        <f t="shared" si="3"/>
        <v>1.5035000000000001</v>
      </c>
      <c r="Z18" t="s">
        <v>33</v>
      </c>
      <c r="AA18">
        <f xml:space="preserve"> SUM(AH10:AH13)</f>
        <v>716.74365704179525</v>
      </c>
      <c r="AC18" t="s">
        <v>21</v>
      </c>
      <c r="AD18">
        <f xml:space="preserve"> (AA21* AA20 - AA17 * AA19) / AD17</f>
        <v>0.10410056247160034</v>
      </c>
      <c r="AE18">
        <f xml:space="preserve"> SQRT(AA21 / AD17)</f>
        <v>5.6729408448549151E-2</v>
      </c>
    </row>
    <row r="19" spans="1:35" x14ac:dyDescent="0.3">
      <c r="A19">
        <v>5.18</v>
      </c>
      <c r="B19">
        <f t="shared" si="0"/>
        <v>1.036</v>
      </c>
      <c r="E19">
        <v>5.3049999999999997</v>
      </c>
      <c r="F19">
        <f t="shared" si="1"/>
        <v>1.0609999999999999</v>
      </c>
      <c r="I19">
        <v>3.5270000000000001</v>
      </c>
      <c r="J19">
        <f t="shared" si="2"/>
        <v>1.1756666666666666</v>
      </c>
      <c r="M19">
        <v>2.9649999999999999</v>
      </c>
      <c r="N19">
        <f t="shared" si="3"/>
        <v>1.4824999999999999</v>
      </c>
      <c r="Z19" t="s">
        <v>34</v>
      </c>
      <c r="AA19">
        <f xml:space="preserve"> SUM(AF10:AF13)</f>
        <v>40181.224014892883</v>
      </c>
      <c r="AC19" t="s">
        <v>25</v>
      </c>
      <c r="AD19">
        <f xml:space="preserve"> (AA18*AA19 - AA17*AA20) / AD17</f>
        <v>1.6125898369396927E-3</v>
      </c>
      <c r="AE19">
        <f xml:space="preserve"> SQRT(AA18 / AD17)</f>
        <v>3.4647111128661745E-4</v>
      </c>
    </row>
    <row r="20" spans="1:35" x14ac:dyDescent="0.3">
      <c r="A20">
        <v>5.2119999999999997</v>
      </c>
      <c r="B20">
        <f t="shared" si="0"/>
        <v>1.0424</v>
      </c>
      <c r="E20">
        <v>5.3449999999999998</v>
      </c>
      <c r="F20">
        <f t="shared" si="1"/>
        <v>1.069</v>
      </c>
      <c r="I20">
        <v>3.4580000000000002</v>
      </c>
      <c r="J20">
        <f t="shared" si="2"/>
        <v>1.1526666666666667</v>
      </c>
      <c r="M20">
        <v>2.9940000000000002</v>
      </c>
      <c r="N20">
        <f t="shared" si="3"/>
        <v>1.4970000000000001</v>
      </c>
      <c r="Z20" t="s">
        <v>35</v>
      </c>
      <c r="AA20">
        <f xml:space="preserve"> SUM(AG10:AG13)</f>
        <v>217.04860080494453</v>
      </c>
    </row>
    <row r="21" spans="1:35" x14ac:dyDescent="0.3">
      <c r="A21">
        <v>5.1219999999999999</v>
      </c>
      <c r="B21">
        <f t="shared" si="0"/>
        <v>1.0244</v>
      </c>
      <c r="E21">
        <v>5.3890000000000002</v>
      </c>
      <c r="F21">
        <f t="shared" si="1"/>
        <v>1.0778000000000001</v>
      </c>
      <c r="I21">
        <v>3.5750000000000002</v>
      </c>
      <c r="J21">
        <f t="shared" si="2"/>
        <v>1.1916666666666667</v>
      </c>
      <c r="M21">
        <v>2.92</v>
      </c>
      <c r="N21">
        <f t="shared" si="3"/>
        <v>1.46</v>
      </c>
      <c r="Z21" t="s">
        <v>36</v>
      </c>
      <c r="AA21">
        <f xml:space="preserve"> SUM(AD10:AD13)</f>
        <v>19215261.982925668</v>
      </c>
      <c r="AC21" t="s">
        <v>54</v>
      </c>
      <c r="AD21">
        <f>AD19</f>
        <v>1.6125898369396927E-3</v>
      </c>
      <c r="AE21">
        <f>AE19</f>
        <v>3.4647111128661745E-4</v>
      </c>
    </row>
    <row r="22" spans="1:35" x14ac:dyDescent="0.3">
      <c r="A22">
        <v>5.1870000000000003</v>
      </c>
      <c r="B22">
        <f t="shared" si="0"/>
        <v>1.0374000000000001</v>
      </c>
      <c r="E22">
        <v>5.3710000000000004</v>
      </c>
      <c r="F22">
        <f t="shared" si="1"/>
        <v>1.0742</v>
      </c>
      <c r="I22">
        <v>3.5489999999999999</v>
      </c>
      <c r="J22">
        <f t="shared" si="2"/>
        <v>1.1830000000000001</v>
      </c>
      <c r="M22">
        <v>2.948</v>
      </c>
      <c r="N22">
        <f t="shared" si="3"/>
        <v>1.474</v>
      </c>
      <c r="AC22" t="s">
        <v>112</v>
      </c>
      <c r="AD22">
        <f xml:space="preserve"> AD18</f>
        <v>0.10410056247160034</v>
      </c>
      <c r="AE22">
        <f xml:space="preserve"> AE18</f>
        <v>5.6729408448549151E-2</v>
      </c>
    </row>
    <row r="23" spans="1:35" x14ac:dyDescent="0.3">
      <c r="A23">
        <v>5.1440000000000001</v>
      </c>
      <c r="B23">
        <f t="shared" si="0"/>
        <v>1.0287999999999999</v>
      </c>
      <c r="E23">
        <v>5.33</v>
      </c>
      <c r="F23">
        <f t="shared" si="1"/>
        <v>1.0660000000000001</v>
      </c>
      <c r="I23">
        <v>3.556</v>
      </c>
      <c r="J23">
        <f t="shared" si="2"/>
        <v>1.1853333333333333</v>
      </c>
      <c r="M23">
        <v>2.9140000000000001</v>
      </c>
      <c r="N23">
        <f t="shared" si="3"/>
        <v>1.4570000000000001</v>
      </c>
    </row>
    <row r="24" spans="1:35" x14ac:dyDescent="0.3">
      <c r="A24">
        <v>5.1449999999999996</v>
      </c>
      <c r="B24">
        <f t="shared" si="0"/>
        <v>1.0289999999999999</v>
      </c>
      <c r="E24">
        <v>5.3550000000000004</v>
      </c>
      <c r="F24">
        <f t="shared" si="1"/>
        <v>1.0710000000000002</v>
      </c>
      <c r="I24">
        <v>3.5409999999999999</v>
      </c>
      <c r="J24">
        <f t="shared" si="2"/>
        <v>1.1803333333333332</v>
      </c>
      <c r="M24">
        <v>2.99</v>
      </c>
      <c r="N24">
        <f t="shared" si="3"/>
        <v>1.4950000000000001</v>
      </c>
      <c r="AC24" t="s">
        <v>55</v>
      </c>
      <c r="AG24" t="s">
        <v>71</v>
      </c>
    </row>
    <row r="25" spans="1:35" x14ac:dyDescent="0.3">
      <c r="A25">
        <v>5.2130000000000001</v>
      </c>
      <c r="B25">
        <f t="shared" si="0"/>
        <v>1.0426</v>
      </c>
      <c r="E25">
        <v>5.3360000000000003</v>
      </c>
      <c r="F25">
        <f t="shared" si="1"/>
        <v>1.0672000000000001</v>
      </c>
      <c r="I25">
        <v>3.6139999999999999</v>
      </c>
      <c r="J25">
        <f t="shared" si="2"/>
        <v>1.2046666666666666</v>
      </c>
      <c r="M25">
        <v>2.88</v>
      </c>
      <c r="N25">
        <f t="shared" si="3"/>
        <v>1.44</v>
      </c>
      <c r="AC25" t="s">
        <v>56</v>
      </c>
      <c r="AD25">
        <f xml:space="preserve"> (AB3/2) * (AH28^2 + AH27^2)</f>
        <v>2.3488100000000001E-6</v>
      </c>
      <c r="AE25">
        <f xml:space="preserve"> AD25 * SQRT( (AJ3/AB3)^2 + (AI31/AH31)^2)</f>
        <v>1.1956685891165665E-7</v>
      </c>
      <c r="AG25" t="s">
        <v>63</v>
      </c>
      <c r="AH25">
        <f xml:space="preserve"> 0.135</f>
        <v>0.13500000000000001</v>
      </c>
      <c r="AI25">
        <f xml:space="preserve"> 0.0005</f>
        <v>5.0000000000000001E-4</v>
      </c>
    </row>
    <row r="26" spans="1:35" x14ac:dyDescent="0.3">
      <c r="A26">
        <v>5.18</v>
      </c>
      <c r="B26">
        <f t="shared" si="0"/>
        <v>1.036</v>
      </c>
      <c r="E26">
        <v>5.3550000000000004</v>
      </c>
      <c r="F26">
        <f t="shared" si="1"/>
        <v>1.0710000000000002</v>
      </c>
      <c r="I26">
        <v>3.6259999999999999</v>
      </c>
      <c r="J26">
        <f t="shared" si="2"/>
        <v>1.2086666666666666</v>
      </c>
      <c r="M26">
        <v>3.0059999999999998</v>
      </c>
      <c r="N26">
        <f t="shared" si="3"/>
        <v>1.5029999999999999</v>
      </c>
      <c r="AC26" t="s">
        <v>57</v>
      </c>
      <c r="AD26">
        <f xml:space="preserve"> '1rodItself'!AF27</f>
        <v>1.122277789920897E-4</v>
      </c>
      <c r="AE26">
        <f xml:space="preserve"> '1rodItself'!AF28</f>
        <v>3.7113987040246007E-5</v>
      </c>
      <c r="AG26" t="s">
        <v>67</v>
      </c>
      <c r="AH26">
        <f>AH25^2</f>
        <v>1.8225000000000002E-2</v>
      </c>
      <c r="AI26">
        <f>AH26 * 2 *AI25/AH25</f>
        <v>1.35E-4</v>
      </c>
    </row>
    <row r="27" spans="1:35" x14ac:dyDescent="0.3">
      <c r="A27">
        <v>5.1980000000000004</v>
      </c>
      <c r="B27">
        <f t="shared" si="0"/>
        <v>1.0396000000000001</v>
      </c>
      <c r="E27">
        <v>5.4109999999999996</v>
      </c>
      <c r="F27">
        <f t="shared" si="1"/>
        <v>1.0821999999999998</v>
      </c>
      <c r="I27">
        <v>3.5680000000000001</v>
      </c>
      <c r="J27">
        <f t="shared" si="2"/>
        <v>1.1893333333333334</v>
      </c>
      <c r="M27">
        <v>3.048</v>
      </c>
      <c r="N27">
        <f t="shared" si="3"/>
        <v>1.524</v>
      </c>
      <c r="AC27" t="s">
        <v>58</v>
      </c>
      <c r="AD27">
        <f xml:space="preserve"> AD26 + 4 * (AD25 + AB3  * AH25^2) + 2* (AA3 * AH25^2)</f>
        <v>1.5836325189920895E-3</v>
      </c>
      <c r="AE27">
        <f xml:space="preserve"> SQRT(AE26^2 + (2 * AI33)^2 + (2 * AI36)^2)</f>
        <v>3.7505970067157957E-5</v>
      </c>
      <c r="AG27" t="s">
        <v>59</v>
      </c>
      <c r="AH27">
        <v>5.0000000000000001E-3</v>
      </c>
      <c r="AI27">
        <f xml:space="preserve"> 0.0005</f>
        <v>5.0000000000000001E-4</v>
      </c>
    </row>
    <row r="28" spans="1:35" x14ac:dyDescent="0.3">
      <c r="AG28" t="s">
        <v>60</v>
      </c>
      <c r="AH28">
        <v>1.9E-2</v>
      </c>
      <c r="AI28">
        <v>5.0000000000000001E-4</v>
      </c>
    </row>
    <row r="29" spans="1:35" x14ac:dyDescent="0.3">
      <c r="AG29" t="s">
        <v>64</v>
      </c>
      <c r="AH29">
        <f>AH27^2</f>
        <v>2.5000000000000001E-5</v>
      </c>
      <c r="AI29">
        <f xml:space="preserve"> AH29 * 2 * AI27/AH27</f>
        <v>5.0000000000000004E-6</v>
      </c>
    </row>
    <row r="30" spans="1:35" x14ac:dyDescent="0.3">
      <c r="AG30" t="s">
        <v>65</v>
      </c>
      <c r="AH30">
        <f>AH28^2</f>
        <v>3.6099999999999999E-4</v>
      </c>
      <c r="AI30">
        <f xml:space="preserve"> AH30 * 2 * AI28/ AH28</f>
        <v>1.9000000000000001E-5</v>
      </c>
    </row>
    <row r="31" spans="1:35" x14ac:dyDescent="0.3">
      <c r="AG31" t="s">
        <v>61</v>
      </c>
      <c r="AH31">
        <f xml:space="preserve"> AH29+AH30</f>
        <v>3.86E-4</v>
      </c>
      <c r="AI31">
        <f xml:space="preserve"> SQRT(AI29^2 + AI30^2)</f>
        <v>1.9646882704388503E-5</v>
      </c>
    </row>
    <row r="32" spans="1:35" x14ac:dyDescent="0.3">
      <c r="AG32" t="s">
        <v>66</v>
      </c>
      <c r="AH32">
        <f xml:space="preserve"> AB3 * AH25^2</f>
        <v>2.2179825000000002E-4</v>
      </c>
      <c r="AI32">
        <f>AH32 * SQRT( (AJ3/AB3)^2 + (AI26/AH26)^2)</f>
        <v>1.6530274543999564E-6</v>
      </c>
    </row>
    <row r="33" spans="33:35" x14ac:dyDescent="0.3">
      <c r="AG33" t="s">
        <v>62</v>
      </c>
      <c r="AH33">
        <f xml:space="preserve"> AD25 + AB3 * 0.135^2</f>
        <v>2.2414706000000001E-4</v>
      </c>
      <c r="AI33">
        <f xml:space="preserve"> SQRT(AE25^2 + AI32^2)</f>
        <v>1.6573460709067374E-6</v>
      </c>
    </row>
    <row r="34" spans="33:35" x14ac:dyDescent="0.3">
      <c r="AG34" t="s">
        <v>68</v>
      </c>
      <c r="AH34">
        <f xml:space="preserve"> AH25</f>
        <v>0.13500000000000001</v>
      </c>
      <c r="AI34">
        <f>AI25</f>
        <v>5.0000000000000001E-4</v>
      </c>
    </row>
    <row r="35" spans="33:35" x14ac:dyDescent="0.3">
      <c r="AG35" t="s">
        <v>69</v>
      </c>
      <c r="AH35">
        <f xml:space="preserve"> AH26</f>
        <v>1.8225000000000002E-2</v>
      </c>
      <c r="AI35">
        <f>AI26</f>
        <v>1.35E-4</v>
      </c>
    </row>
    <row r="36" spans="33:35" x14ac:dyDescent="0.3">
      <c r="AG36" t="s">
        <v>70</v>
      </c>
      <c r="AH36">
        <f xml:space="preserve"> AA3 * AH35</f>
        <v>2.8740824999999999E-4</v>
      </c>
      <c r="AI36">
        <f xml:space="preserve"> AH36 * SQRT( (AI3/AA3)^2 + (AI35/AH35)^2 )</f>
        <v>2.1367365689293568E-6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083-AA3A-43D0-9B8D-E8FD40EF6E8A}">
  <dimension ref="A1:Q26"/>
  <sheetViews>
    <sheetView workbookViewId="0">
      <selection activeCell="H17" sqref="H17"/>
    </sheetView>
  </sheetViews>
  <sheetFormatPr defaultRowHeight="14.4" x14ac:dyDescent="0.3"/>
  <cols>
    <col min="7" max="8" width="12" bestFit="1" customWidth="1"/>
    <col min="10" max="11" width="12.6640625" bestFit="1" customWidth="1"/>
    <col min="12" max="14" width="12" bestFit="1" customWidth="1"/>
  </cols>
  <sheetData>
    <row r="1" spans="1:17" x14ac:dyDescent="0.3">
      <c r="A1" t="s">
        <v>40</v>
      </c>
      <c r="B1" t="s">
        <v>0</v>
      </c>
    </row>
    <row r="2" spans="1:17" x14ac:dyDescent="0.3">
      <c r="A2">
        <v>5.0019999999999998</v>
      </c>
      <c r="B2">
        <f>A2/5</f>
        <v>1.0004</v>
      </c>
      <c r="C2" t="s">
        <v>1</v>
      </c>
      <c r="D2">
        <f>AVERAGE(B2:B26)</f>
        <v>1.001736</v>
      </c>
      <c r="F2" t="s">
        <v>99</v>
      </c>
    </row>
    <row r="3" spans="1:17" x14ac:dyDescent="0.3">
      <c r="A3">
        <v>5.0049999999999999</v>
      </c>
      <c r="B3">
        <f>A3/5</f>
        <v>1.0009999999999999</v>
      </c>
      <c r="C3" t="s">
        <v>2</v>
      </c>
      <c r="D3">
        <f>_xlfn.STDEV.S(B2:B26)</f>
        <v>6.8897798706973757E-3</v>
      </c>
      <c r="F3" t="s">
        <v>82</v>
      </c>
      <c r="G3">
        <f>'2rodWweights'!AD26</f>
        <v>1.122277789920897E-4</v>
      </c>
      <c r="H3">
        <f>'2rodWweights'!AE26</f>
        <v>3.7113987040246007E-5</v>
      </c>
      <c r="J3" t="s">
        <v>87</v>
      </c>
    </row>
    <row r="4" spans="1:17" x14ac:dyDescent="0.3">
      <c r="A4">
        <v>5.0199999999999996</v>
      </c>
      <c r="B4">
        <f t="shared" ref="B4:B26" si="0">A4/5</f>
        <v>1.004</v>
      </c>
      <c r="C4" t="s">
        <v>3</v>
      </c>
      <c r="D4">
        <f>D3/SQRT(25)</f>
        <v>1.3779559741394752E-3</v>
      </c>
      <c r="F4" t="s">
        <v>83</v>
      </c>
      <c r="G4">
        <f xml:space="preserve"> '2rodWweights'!Z3</f>
        <v>1.6E-2</v>
      </c>
      <c r="H4">
        <f xml:space="preserve"> '2rodWweights'!AH3</f>
        <v>1E-3</v>
      </c>
      <c r="J4" t="s">
        <v>88</v>
      </c>
      <c r="K4" t="s">
        <v>94</v>
      </c>
      <c r="L4" t="s">
        <v>89</v>
      </c>
      <c r="M4" t="s">
        <v>90</v>
      </c>
      <c r="N4" t="s">
        <v>91</v>
      </c>
      <c r="O4" t="s">
        <v>92</v>
      </c>
      <c r="P4" t="s">
        <v>93</v>
      </c>
      <c r="Q4" t="s">
        <v>95</v>
      </c>
    </row>
    <row r="5" spans="1:17" x14ac:dyDescent="0.3">
      <c r="A5">
        <v>4.952</v>
      </c>
      <c r="B5">
        <f t="shared" si="0"/>
        <v>0.99039999999999995</v>
      </c>
      <c r="C5" t="s">
        <v>4</v>
      </c>
      <c r="D5">
        <f xml:space="preserve"> D2+D3</f>
        <v>1.0086257798706972</v>
      </c>
      <c r="F5" t="s">
        <v>84</v>
      </c>
      <c r="G5">
        <v>8.5999999999999993E-2</v>
      </c>
      <c r="H5">
        <v>5.0000000000000001E-4</v>
      </c>
      <c r="J5">
        <f>G5^2 * 2 * H5/G5</f>
        <v>8.6000000000000003E-5</v>
      </c>
      <c r="K5">
        <f xml:space="preserve"> G4*G5^2 * SQRT((H4/G4)^2 + (J5/G5^2)^2)</f>
        <v>7.5229111386483884E-6</v>
      </c>
      <c r="L5">
        <f xml:space="preserve"> SQRT(H5^2 + H8^2)</f>
        <v>1.1180339887498947E-3</v>
      </c>
      <c r="M5">
        <f xml:space="preserve"> ABS((G5-G8)^2 * 2 * L5/(G5-G8))</f>
        <v>1.0956733089748972E-4</v>
      </c>
      <c r="N5">
        <f xml:space="preserve"> G7*(G5-G8)^2 * SQRT((H7/G7)^2 + (M5/(G5-G8)^2)^2)</f>
        <v>4.3949424001686321E-6</v>
      </c>
      <c r="O5">
        <f xml:space="preserve"> SQRT(H5^2 + H11^2)</f>
        <v>1.1180339887498947E-3</v>
      </c>
      <c r="P5">
        <f xml:space="preserve"> (G5-G11)^2 * 2 * O5/(G5-G11)</f>
        <v>3.7118728426496506E-4</v>
      </c>
      <c r="Q5">
        <f>G10 * (G5-G11)^2 * SQRT((H10/G10)^2 + (P5/(G5-G11)^2)^2)</f>
        <v>1.4895970296654058E-5</v>
      </c>
    </row>
    <row r="6" spans="1:17" x14ac:dyDescent="0.3">
      <c r="A6">
        <v>5.0439999999999996</v>
      </c>
      <c r="B6">
        <f t="shared" si="0"/>
        <v>1.0087999999999999</v>
      </c>
      <c r="C6" t="s">
        <v>5</v>
      </c>
      <c r="D6">
        <f>D2-D3</f>
        <v>0.99484622012930257</v>
      </c>
      <c r="F6" t="s">
        <v>109</v>
      </c>
      <c r="G6">
        <f xml:space="preserve"> 2*'2rodWweights'!AD25</f>
        <v>4.6976200000000003E-6</v>
      </c>
      <c r="H6">
        <f>2*'2rodWweights'!AE25</f>
        <v>2.3913371782331331E-7</v>
      </c>
      <c r="J6" t="s">
        <v>100</v>
      </c>
      <c r="K6" t="s">
        <v>101</v>
      </c>
      <c r="L6" t="s">
        <v>102</v>
      </c>
    </row>
    <row r="7" spans="1:17" x14ac:dyDescent="0.3">
      <c r="A7">
        <v>5.0030000000000001</v>
      </c>
      <c r="B7">
        <f t="shared" si="0"/>
        <v>1.0005999999999999</v>
      </c>
      <c r="F7" t="s">
        <v>85</v>
      </c>
      <c r="G7">
        <f xml:space="preserve"> '2rodWweights'!AA3 + 2 * '2rodWweights'!AB3</f>
        <v>4.011E-2</v>
      </c>
      <c r="H7">
        <f xml:space="preserve"> SQRT('2rodWweights'!AI3^2 + (2 * '2rodWweights'!AJ3^2))</f>
        <v>1.7320508075688774E-5</v>
      </c>
      <c r="J7">
        <f>G7*G8 * SQRT((H7/G7)^2 + (H8/G8)^2)</f>
        <v>4.0178098511502511E-5</v>
      </c>
      <c r="K7">
        <f>ABS(G10*G11*SQRT((H10/G10)^2+(H11/G11)^2))</f>
        <v>4.0133927044334951E-5</v>
      </c>
      <c r="L7">
        <f xml:space="preserve"> SQRT(J7^2 + K7^2)</f>
        <v>5.6789186470665346E-5</v>
      </c>
    </row>
    <row r="8" spans="1:17" x14ac:dyDescent="0.3">
      <c r="A8">
        <v>5.0519999999999996</v>
      </c>
      <c r="B8">
        <f t="shared" si="0"/>
        <v>1.0104</v>
      </c>
      <c r="F8" t="s">
        <v>105</v>
      </c>
      <c r="G8">
        <v>0.13500000000000001</v>
      </c>
      <c r="H8">
        <v>1E-3</v>
      </c>
    </row>
    <row r="9" spans="1:17" x14ac:dyDescent="0.3">
      <c r="A9">
        <v>4.96</v>
      </c>
      <c r="B9">
        <f t="shared" si="0"/>
        <v>0.99199999999999999</v>
      </c>
      <c r="F9" t="s">
        <v>109</v>
      </c>
      <c r="G9">
        <f>G6</f>
        <v>4.6976200000000003E-6</v>
      </c>
      <c r="H9">
        <f>H6</f>
        <v>2.3913371782331331E-7</v>
      </c>
    </row>
    <row r="10" spans="1:17" x14ac:dyDescent="0.3">
      <c r="A10">
        <v>5.0259999999999998</v>
      </c>
      <c r="B10">
        <f t="shared" si="0"/>
        <v>1.0051999999999999</v>
      </c>
      <c r="F10" t="s">
        <v>86</v>
      </c>
      <c r="G10">
        <f>G7</f>
        <v>4.011E-2</v>
      </c>
      <c r="H10">
        <f>H7</f>
        <v>1.7320508075688774E-5</v>
      </c>
    </row>
    <row r="11" spans="1:17" x14ac:dyDescent="0.3">
      <c r="A11">
        <v>4.9429999999999996</v>
      </c>
      <c r="B11">
        <f t="shared" si="0"/>
        <v>0.98859999999999992</v>
      </c>
      <c r="F11" t="s">
        <v>68</v>
      </c>
      <c r="G11">
        <v>-0.08</v>
      </c>
      <c r="H11">
        <v>1E-3</v>
      </c>
    </row>
    <row r="12" spans="1:17" x14ac:dyDescent="0.3">
      <c r="A12">
        <v>5.0289999999999999</v>
      </c>
      <c r="B12">
        <f t="shared" si="0"/>
        <v>1.0058</v>
      </c>
    </row>
    <row r="13" spans="1:17" x14ac:dyDescent="0.3">
      <c r="A13">
        <v>4.9530000000000003</v>
      </c>
      <c r="B13">
        <f t="shared" si="0"/>
        <v>0.99060000000000004</v>
      </c>
      <c r="F13" t="s">
        <v>96</v>
      </c>
      <c r="G13">
        <f xml:space="preserve"> G3 + G4*G5^2 + G6 + G7*(G5-G8)^2 + G9 + G10*(G5- G11)^2</f>
        <v>1.4415342889920893E-3</v>
      </c>
      <c r="H13">
        <f xml:space="preserve"> SQRT(H3^2 + K5^2 + H6^2 + N5^2 + H9^2 + Q5^2)</f>
        <v>4.0931186712250944E-5</v>
      </c>
    </row>
    <row r="14" spans="1:17" x14ac:dyDescent="0.3">
      <c r="A14">
        <v>4.96</v>
      </c>
      <c r="B14">
        <f t="shared" si="0"/>
        <v>0.99199999999999999</v>
      </c>
      <c r="F14" t="s">
        <v>98</v>
      </c>
      <c r="G14">
        <f xml:space="preserve"> (G7*G8 + G10*G11)/(G7+G10)</f>
        <v>2.7500000000000007E-2</v>
      </c>
      <c r="H14">
        <f xml:space="preserve"> G14 * SQRT((L7/(G7*G8 + G10*G11))^2 + (H7*SQRT(2)/(G7+G10))^2)</f>
        <v>7.0796785550851689E-4</v>
      </c>
    </row>
    <row r="15" spans="1:17" x14ac:dyDescent="0.3">
      <c r="A15">
        <v>5.0369999999999999</v>
      </c>
      <c r="B15">
        <f t="shared" si="0"/>
        <v>1.0074000000000001</v>
      </c>
      <c r="F15" t="s">
        <v>103</v>
      </c>
      <c r="G15">
        <f xml:space="preserve"> G5-G14</f>
        <v>5.8499999999999983E-2</v>
      </c>
      <c r="H15">
        <f xml:space="preserve"> SQRT(H14^2 + H5^2)</f>
        <v>8.6672861060041646E-4</v>
      </c>
    </row>
    <row r="16" spans="1:17" x14ac:dyDescent="0.3">
      <c r="A16">
        <v>4.976</v>
      </c>
      <c r="B16">
        <f t="shared" si="0"/>
        <v>0.99519999999999997</v>
      </c>
      <c r="F16" t="s">
        <v>104</v>
      </c>
      <c r="G16">
        <f xml:space="preserve"> G13*4*PI()^2/('2rodWweights'!AC3*'3nonsymmetrical'!G15*'2rodWweights'!V3)</f>
        <v>1.0227560091445156</v>
      </c>
      <c r="H16">
        <f xml:space="preserve"> G16*SQRT((H13/G13)^2 + ('2rodWweights'!AK3/'2rodWweights'!AC3)^2 + ('2rodWweights'!V5/'2rodWweights'!V3)^2 + ('3nonsymmetrical'!H15/'3nonsymmetrical'!G15)^2)</f>
        <v>0.22031474066835591</v>
      </c>
    </row>
    <row r="17" spans="1:8" x14ac:dyDescent="0.3">
      <c r="A17">
        <v>4.9950000000000001</v>
      </c>
      <c r="B17">
        <f t="shared" si="0"/>
        <v>0.999</v>
      </c>
      <c r="F17" t="s">
        <v>97</v>
      </c>
      <c r="G17">
        <f>SQRT(G16)</f>
        <v>1.0113140012600021</v>
      </c>
      <c r="H17">
        <f xml:space="preserve"> G17 * (1/2) *H16/G16</f>
        <v>0.1089249928280754</v>
      </c>
    </row>
    <row r="18" spans="1:8" x14ac:dyDescent="0.3">
      <c r="A18">
        <v>5.0030000000000001</v>
      </c>
      <c r="B18">
        <f t="shared" si="0"/>
        <v>1.0005999999999999</v>
      </c>
    </row>
    <row r="19" spans="1:8" x14ac:dyDescent="0.3">
      <c r="A19">
        <v>5.0259999999999998</v>
      </c>
      <c r="B19">
        <f t="shared" si="0"/>
        <v>1.0051999999999999</v>
      </c>
    </row>
    <row r="20" spans="1:8" x14ac:dyDescent="0.3">
      <c r="A20">
        <v>5.0439999999999996</v>
      </c>
      <c r="B20">
        <f t="shared" si="0"/>
        <v>1.0087999999999999</v>
      </c>
    </row>
    <row r="21" spans="1:8" x14ac:dyDescent="0.3">
      <c r="A21">
        <v>5.0419999999999998</v>
      </c>
      <c r="B21">
        <f t="shared" si="0"/>
        <v>1.0084</v>
      </c>
    </row>
    <row r="22" spans="1:8" x14ac:dyDescent="0.3">
      <c r="A22">
        <v>5.0460000000000003</v>
      </c>
      <c r="B22">
        <f t="shared" si="0"/>
        <v>1.0092000000000001</v>
      </c>
    </row>
    <row r="23" spans="1:8" x14ac:dyDescent="0.3">
      <c r="A23">
        <v>5.0030000000000001</v>
      </c>
      <c r="B23">
        <f t="shared" si="0"/>
        <v>1.0005999999999999</v>
      </c>
    </row>
    <row r="24" spans="1:8" x14ac:dyDescent="0.3">
      <c r="A24">
        <v>5.0060000000000002</v>
      </c>
      <c r="B24">
        <f t="shared" si="0"/>
        <v>1.0012000000000001</v>
      </c>
    </row>
    <row r="25" spans="1:8" x14ac:dyDescent="0.3">
      <c r="A25">
        <v>5.0339999999999998</v>
      </c>
      <c r="B25">
        <f t="shared" si="0"/>
        <v>1.0067999999999999</v>
      </c>
    </row>
    <row r="26" spans="1:8" x14ac:dyDescent="0.3">
      <c r="A26">
        <v>5.056</v>
      </c>
      <c r="B26">
        <f t="shared" si="0"/>
        <v>1.0112000000000001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ED64-647E-40C5-BACD-8359DED28520}">
  <dimension ref="A1:AE29"/>
  <sheetViews>
    <sheetView tabSelected="1" topLeftCell="Y3" workbookViewId="0">
      <selection activeCell="AA13" sqref="AA13"/>
    </sheetView>
  </sheetViews>
  <sheetFormatPr defaultRowHeight="14.4" x14ac:dyDescent="0.3"/>
  <cols>
    <col min="28" max="28" width="12" bestFit="1" customWidth="1"/>
    <col min="29" max="29" width="12.6640625" bestFit="1" customWidth="1"/>
  </cols>
  <sheetData>
    <row r="1" spans="1:31" x14ac:dyDescent="0.3">
      <c r="A1" t="s">
        <v>75</v>
      </c>
      <c r="B1">
        <v>7</v>
      </c>
    </row>
    <row r="2" spans="1:31" x14ac:dyDescent="0.3">
      <c r="A2" t="s">
        <v>76</v>
      </c>
      <c r="I2" t="s">
        <v>80</v>
      </c>
      <c r="Q2" t="s">
        <v>81</v>
      </c>
    </row>
    <row r="3" spans="1:31" x14ac:dyDescent="0.3">
      <c r="A3" t="s">
        <v>77</v>
      </c>
      <c r="E3" t="s">
        <v>78</v>
      </c>
      <c r="I3" t="s">
        <v>77</v>
      </c>
      <c r="M3" t="s">
        <v>78</v>
      </c>
      <c r="Q3" t="s">
        <v>77</v>
      </c>
      <c r="U3" t="s">
        <v>78</v>
      </c>
    </row>
    <row r="4" spans="1:31" x14ac:dyDescent="0.3">
      <c r="A4" t="s">
        <v>40</v>
      </c>
      <c r="B4" t="s">
        <v>0</v>
      </c>
      <c r="C4" t="s">
        <v>1</v>
      </c>
      <c r="D4">
        <f>AVERAGE(B5:B29)</f>
        <v>0.94299599999999995</v>
      </c>
      <c r="E4" t="s">
        <v>40</v>
      </c>
      <c r="F4" t="s">
        <v>0</v>
      </c>
      <c r="G4" t="s">
        <v>1</v>
      </c>
      <c r="H4">
        <f>AVERAGE(F5:F29)</f>
        <v>0.92943200000000004</v>
      </c>
      <c r="I4" t="s">
        <v>40</v>
      </c>
      <c r="J4" t="s">
        <v>0</v>
      </c>
      <c r="K4" t="s">
        <v>1</v>
      </c>
      <c r="L4">
        <f>AVERAGE(J5:J29)</f>
        <v>0.95231200000000016</v>
      </c>
      <c r="M4" t="s">
        <v>40</v>
      </c>
      <c r="N4" t="s">
        <v>0</v>
      </c>
      <c r="O4" t="s">
        <v>1</v>
      </c>
      <c r="P4">
        <f>AVERAGE(N5:N29)</f>
        <v>0.94512800000000008</v>
      </c>
      <c r="Q4" t="s">
        <v>40</v>
      </c>
      <c r="R4" t="s">
        <v>0</v>
      </c>
      <c r="S4" t="s">
        <v>1</v>
      </c>
      <c r="T4">
        <f>AVERAGE(R5:R29)</f>
        <v>0.96689600000000009</v>
      </c>
      <c r="U4" t="s">
        <v>40</v>
      </c>
      <c r="V4" t="s">
        <v>0</v>
      </c>
      <c r="W4" t="s">
        <v>1</v>
      </c>
      <c r="X4">
        <f>AVERAGE(V5:V29)</f>
        <v>0.97878000000000032</v>
      </c>
      <c r="Z4" t="s">
        <v>113</v>
      </c>
      <c r="AA4">
        <v>0.23200000000000001</v>
      </c>
      <c r="AB4">
        <v>1E-3</v>
      </c>
    </row>
    <row r="5" spans="1:31" x14ac:dyDescent="0.3">
      <c r="A5">
        <v>9.3859999999999992</v>
      </c>
      <c r="B5">
        <f>A5/10</f>
        <v>0.93859999999999988</v>
      </c>
      <c r="C5" t="s">
        <v>2</v>
      </c>
      <c r="D5">
        <f>_xlfn.STDEV.S(B5:B29)</f>
        <v>3.8898886016611738E-3</v>
      </c>
      <c r="E5">
        <v>9.3520000000000003</v>
      </c>
      <c r="F5">
        <f>E5/10</f>
        <v>0.93520000000000003</v>
      </c>
      <c r="G5" t="s">
        <v>2</v>
      </c>
      <c r="H5">
        <f>_xlfn.STDEV.S(F5:F29)</f>
        <v>2.9721933539615768E-3</v>
      </c>
      <c r="I5">
        <v>9.5530000000000008</v>
      </c>
      <c r="J5">
        <f>I5/10</f>
        <v>0.95530000000000004</v>
      </c>
      <c r="K5" t="s">
        <v>2</v>
      </c>
      <c r="L5">
        <f>_xlfn.STDEV.S(J5:J29)</f>
        <v>3.7481462084609316E-3</v>
      </c>
      <c r="M5">
        <v>9.5120000000000005</v>
      </c>
      <c r="N5">
        <f>M5/10</f>
        <v>0.95120000000000005</v>
      </c>
      <c r="O5" t="s">
        <v>2</v>
      </c>
      <c r="P5">
        <f>_xlfn.STDEV.S(N5:N29)</f>
        <v>3.4021463813304728E-3</v>
      </c>
      <c r="Q5">
        <v>9.7460000000000004</v>
      </c>
      <c r="R5">
        <f>Q5/10</f>
        <v>0.97460000000000002</v>
      </c>
      <c r="S5" t="s">
        <v>2</v>
      </c>
      <c r="T5">
        <f>_xlfn.STDEV.S(R5:R29)</f>
        <v>3.8367173468995515E-3</v>
      </c>
      <c r="U5">
        <v>9.7629999999999999</v>
      </c>
      <c r="V5">
        <f>U5/10</f>
        <v>0.97629999999999995</v>
      </c>
      <c r="W5" t="s">
        <v>2</v>
      </c>
      <c r="X5">
        <f>_xlfn.STDEV.S(V5:V29)</f>
        <v>4.0057250696139135E-3</v>
      </c>
      <c r="Z5" t="s">
        <v>115</v>
      </c>
      <c r="AA5">
        <f xml:space="preserve"> 3.6132 * 0.0663^2 + 0.0524 * 0.0663 + 0.9389</f>
        <v>0.95825662710799997</v>
      </c>
    </row>
    <row r="6" spans="1:31" x14ac:dyDescent="0.3">
      <c r="A6">
        <v>9.3859999999999992</v>
      </c>
      <c r="B6">
        <f t="shared" ref="B6:B29" si="0">A6/10</f>
        <v>0.93859999999999988</v>
      </c>
      <c r="C6" t="s">
        <v>79</v>
      </c>
      <c r="D6">
        <f>D5/SQRT(25)</f>
        <v>7.7797772033223473E-4</v>
      </c>
      <c r="E6">
        <v>9.2870000000000008</v>
      </c>
      <c r="F6">
        <f t="shared" ref="F6:F29" si="1">E6/10</f>
        <v>0.92870000000000008</v>
      </c>
      <c r="G6" t="s">
        <v>79</v>
      </c>
      <c r="H6">
        <f>H5/SQRT(25)</f>
        <v>5.9443867079231533E-4</v>
      </c>
      <c r="I6">
        <v>9.58</v>
      </c>
      <c r="J6">
        <f t="shared" ref="J6:J29" si="2">I6/10</f>
        <v>0.95799999999999996</v>
      </c>
      <c r="K6" t="s">
        <v>79</v>
      </c>
      <c r="L6">
        <f>L5/SQRT(25)</f>
        <v>7.4962924169218637E-4</v>
      </c>
      <c r="M6">
        <v>9.532</v>
      </c>
      <c r="N6">
        <f t="shared" ref="N6:N29" si="3">M6/10</f>
        <v>0.95320000000000005</v>
      </c>
      <c r="O6" t="s">
        <v>79</v>
      </c>
      <c r="P6">
        <f>P5/SQRT(25)</f>
        <v>6.8042927626609461E-4</v>
      </c>
      <c r="Q6">
        <v>9.7230000000000008</v>
      </c>
      <c r="R6">
        <f t="shared" ref="R6:R29" si="4">Q6/10</f>
        <v>0.97230000000000005</v>
      </c>
      <c r="S6" t="s">
        <v>79</v>
      </c>
      <c r="T6">
        <f>T5/SQRT(25)</f>
        <v>7.6734346937991035E-4</v>
      </c>
      <c r="U6">
        <v>9.7520000000000007</v>
      </c>
      <c r="V6">
        <f t="shared" ref="V6:V29" si="5">U6/10</f>
        <v>0.97520000000000007</v>
      </c>
      <c r="W6" t="s">
        <v>79</v>
      </c>
      <c r="X6">
        <f>X5/SQRT(25)</f>
        <v>8.011450139227827E-4</v>
      </c>
      <c r="Z6" t="s">
        <v>116</v>
      </c>
      <c r="AA6">
        <f xml:space="preserve"> 12.316 * 0.0663^2 - 0.4162 * 0.0663 + 0.9317</f>
        <v>0.95824325803999999</v>
      </c>
    </row>
    <row r="7" spans="1:31" x14ac:dyDescent="0.3">
      <c r="A7">
        <v>9.4589999999999996</v>
      </c>
      <c r="B7">
        <f t="shared" si="0"/>
        <v>0.94589999999999996</v>
      </c>
      <c r="C7" t="s">
        <v>106</v>
      </c>
      <c r="D7">
        <v>2.7E-2</v>
      </c>
      <c r="E7">
        <v>9.3450000000000006</v>
      </c>
      <c r="F7">
        <f t="shared" si="1"/>
        <v>0.93450000000000011</v>
      </c>
      <c r="I7">
        <v>9.5449999999999999</v>
      </c>
      <c r="J7">
        <f t="shared" si="2"/>
        <v>0.95450000000000002</v>
      </c>
      <c r="K7" t="s">
        <v>107</v>
      </c>
      <c r="L7">
        <v>5.3999999999999999E-2</v>
      </c>
      <c r="M7">
        <v>9.4870000000000001</v>
      </c>
      <c r="N7">
        <f t="shared" si="3"/>
        <v>0.94869999999999999</v>
      </c>
      <c r="Q7">
        <v>9.7059999999999995</v>
      </c>
      <c r="R7">
        <f t="shared" si="4"/>
        <v>0.97059999999999991</v>
      </c>
      <c r="S7" t="s">
        <v>108</v>
      </c>
      <c r="T7">
        <v>8.1000000000000003E-2</v>
      </c>
      <c r="U7">
        <v>9.8520000000000003</v>
      </c>
      <c r="V7">
        <f t="shared" si="5"/>
        <v>0.98520000000000008</v>
      </c>
      <c r="Z7" t="s">
        <v>97</v>
      </c>
      <c r="AA7">
        <f xml:space="preserve"> AVERAGE(AA5:AA6)</f>
        <v>0.95824994257399998</v>
      </c>
      <c r="AB7">
        <f xml:space="preserve"> _xlfn.STDEV.S(AA5:AA6)</f>
        <v>9.4533586409298142E-6</v>
      </c>
    </row>
    <row r="8" spans="1:31" x14ac:dyDescent="0.3">
      <c r="A8">
        <v>9.52</v>
      </c>
      <c r="B8">
        <f t="shared" si="0"/>
        <v>0.95199999999999996</v>
      </c>
      <c r="E8">
        <v>9.3049999999999997</v>
      </c>
      <c r="F8">
        <f t="shared" si="1"/>
        <v>0.93049999999999999</v>
      </c>
      <c r="I8">
        <v>9.5519999999999996</v>
      </c>
      <c r="J8">
        <f t="shared" si="2"/>
        <v>0.95519999999999994</v>
      </c>
      <c r="M8">
        <v>9.4369999999999994</v>
      </c>
      <c r="N8">
        <f t="shared" si="3"/>
        <v>0.94369999999999998</v>
      </c>
      <c r="Q8">
        <v>9.64</v>
      </c>
      <c r="R8">
        <f t="shared" si="4"/>
        <v>0.96400000000000008</v>
      </c>
      <c r="U8">
        <v>9.7620000000000005</v>
      </c>
      <c r="V8">
        <f t="shared" si="5"/>
        <v>0.97620000000000007</v>
      </c>
      <c r="Z8" t="s">
        <v>114</v>
      </c>
      <c r="AA8">
        <f xml:space="preserve"> AA4 * (2 * PI() / AA7)^2</f>
        <v>9.9744766456878722</v>
      </c>
      <c r="AB8">
        <f xml:space="preserve"> AA8 * SQRT( (AB4/AA4)^2 + ((AA7^2 * 2 * AB7/AA7)/AA7^2)^2)</f>
        <v>4.2993884240547189E-2</v>
      </c>
    </row>
    <row r="9" spans="1:31" x14ac:dyDescent="0.3">
      <c r="A9">
        <v>9.3689999999999998</v>
      </c>
      <c r="B9">
        <f t="shared" si="0"/>
        <v>0.93689999999999996</v>
      </c>
      <c r="E9">
        <v>9.3190000000000008</v>
      </c>
      <c r="F9">
        <f t="shared" si="1"/>
        <v>0.93190000000000006</v>
      </c>
      <c r="I9">
        <v>9.5269999999999992</v>
      </c>
      <c r="J9">
        <f t="shared" si="2"/>
        <v>0.95269999999999988</v>
      </c>
      <c r="M9">
        <v>9.4619999999999997</v>
      </c>
      <c r="N9">
        <f t="shared" si="3"/>
        <v>0.94619999999999993</v>
      </c>
      <c r="Q9">
        <v>9.6460000000000008</v>
      </c>
      <c r="R9">
        <f t="shared" si="4"/>
        <v>0.96460000000000012</v>
      </c>
      <c r="U9">
        <v>9.8260000000000005</v>
      </c>
      <c r="V9">
        <f t="shared" si="5"/>
        <v>0.98260000000000003</v>
      </c>
    </row>
    <row r="10" spans="1:31" x14ac:dyDescent="0.3">
      <c r="A10">
        <v>9.4109999999999996</v>
      </c>
      <c r="B10">
        <f t="shared" si="0"/>
        <v>0.94109999999999994</v>
      </c>
      <c r="E10">
        <v>9.3260000000000005</v>
      </c>
      <c r="F10">
        <f t="shared" si="1"/>
        <v>0.9326000000000001</v>
      </c>
      <c r="I10">
        <v>9.5039999999999996</v>
      </c>
      <c r="J10">
        <f t="shared" si="2"/>
        <v>0.95039999999999991</v>
      </c>
      <c r="M10">
        <v>9.4120000000000008</v>
      </c>
      <c r="N10">
        <f t="shared" si="3"/>
        <v>0.94120000000000004</v>
      </c>
      <c r="Q10">
        <v>9.7059999999999995</v>
      </c>
      <c r="R10">
        <f t="shared" si="4"/>
        <v>0.97059999999999991</v>
      </c>
      <c r="U10">
        <v>9.7929999999999993</v>
      </c>
      <c r="V10">
        <f t="shared" si="5"/>
        <v>0.97929999999999995</v>
      </c>
      <c r="Z10" t="s">
        <v>98</v>
      </c>
      <c r="AA10">
        <f xml:space="preserve"> (4 * '2rodWweights'!AB3 * '3nonsymmetrical'!G8 - '2rodWweights'!AB3 * '3nonsymmetrical'!G8) / (5 * '2rodWweights'!AB3)</f>
        <v>8.1000000000000003E-2</v>
      </c>
      <c r="AB10">
        <f xml:space="preserve"> (3/5) * 0.001</f>
        <v>5.9999999999999995E-4</v>
      </c>
      <c r="AD10" t="s">
        <v>118</v>
      </c>
    </row>
    <row r="11" spans="1:31" x14ac:dyDescent="0.3">
      <c r="A11">
        <v>9.4890000000000008</v>
      </c>
      <c r="B11">
        <f t="shared" si="0"/>
        <v>0.94890000000000008</v>
      </c>
      <c r="E11">
        <v>9.3190000000000008</v>
      </c>
      <c r="F11">
        <f t="shared" si="1"/>
        <v>0.93190000000000006</v>
      </c>
      <c r="I11">
        <v>9.4610000000000003</v>
      </c>
      <c r="J11">
        <f t="shared" si="2"/>
        <v>0.94610000000000005</v>
      </c>
      <c r="M11">
        <v>9.4529999999999994</v>
      </c>
      <c r="N11">
        <f t="shared" si="3"/>
        <v>0.94529999999999992</v>
      </c>
      <c r="Q11">
        <v>9.6150000000000002</v>
      </c>
      <c r="R11">
        <f t="shared" si="4"/>
        <v>0.96150000000000002</v>
      </c>
      <c r="U11">
        <v>9.8049999999999997</v>
      </c>
      <c r="V11">
        <f t="shared" si="5"/>
        <v>0.98049999999999993</v>
      </c>
      <c r="Z11" t="s">
        <v>84</v>
      </c>
      <c r="AA11">
        <v>0.13500000000000001</v>
      </c>
      <c r="AB11">
        <v>1E-3</v>
      </c>
      <c r="AD11" t="s">
        <v>119</v>
      </c>
      <c r="AE11">
        <f xml:space="preserve"> SQRT(AB11^2 + AB10^2)</f>
        <v>1.16619037896906E-3</v>
      </c>
    </row>
    <row r="12" spans="1:31" x14ac:dyDescent="0.3">
      <c r="A12">
        <v>9.4529999999999994</v>
      </c>
      <c r="B12">
        <f t="shared" si="0"/>
        <v>0.94529999999999992</v>
      </c>
      <c r="E12">
        <v>9.2260000000000009</v>
      </c>
      <c r="F12">
        <f t="shared" si="1"/>
        <v>0.92260000000000009</v>
      </c>
      <c r="I12">
        <v>9.4779999999999998</v>
      </c>
      <c r="J12">
        <f t="shared" si="2"/>
        <v>0.94779999999999998</v>
      </c>
      <c r="M12">
        <v>9.4429999999999996</v>
      </c>
      <c r="N12">
        <f t="shared" si="3"/>
        <v>0.94429999999999992</v>
      </c>
      <c r="Q12">
        <v>9.6460000000000008</v>
      </c>
      <c r="R12">
        <f t="shared" si="4"/>
        <v>0.96460000000000012</v>
      </c>
      <c r="U12">
        <v>9.8040000000000003</v>
      </c>
      <c r="V12">
        <f t="shared" si="5"/>
        <v>0.98040000000000005</v>
      </c>
      <c r="Z12" t="s">
        <v>121</v>
      </c>
      <c r="AA12">
        <f xml:space="preserve"> (AA4 - (AA11-AA10)) * (AA11 - AA10)</f>
        <v>9.6120000000000008E-3</v>
      </c>
      <c r="AB12">
        <f xml:space="preserve"> AA12 * SQRT( (AE11/(AA11-AA10))^2 + (AE12/(AA4 - (AA11 - AA10)))^2 )</f>
        <v>2.2354417907876736E-4</v>
      </c>
      <c r="AD12" t="s">
        <v>120</v>
      </c>
      <c r="AE12">
        <f xml:space="preserve"> SQRT(AB4^2 + AB11^2 + AB10^2)</f>
        <v>1.5362291495737215E-3</v>
      </c>
    </row>
    <row r="13" spans="1:31" x14ac:dyDescent="0.3">
      <c r="A13">
        <v>9.4440000000000008</v>
      </c>
      <c r="B13">
        <f t="shared" si="0"/>
        <v>0.94440000000000013</v>
      </c>
      <c r="E13">
        <v>9.2859999999999996</v>
      </c>
      <c r="F13">
        <f t="shared" si="1"/>
        <v>0.92859999999999998</v>
      </c>
      <c r="I13">
        <v>9.5429999999999993</v>
      </c>
      <c r="J13">
        <f t="shared" si="2"/>
        <v>0.95429999999999993</v>
      </c>
      <c r="M13">
        <v>9.4179999999999993</v>
      </c>
      <c r="N13">
        <f t="shared" si="3"/>
        <v>0.94179999999999997</v>
      </c>
      <c r="Q13">
        <v>9.68</v>
      </c>
      <c r="R13">
        <f t="shared" si="4"/>
        <v>0.96799999999999997</v>
      </c>
      <c r="U13">
        <v>9.77</v>
      </c>
      <c r="V13">
        <f t="shared" si="5"/>
        <v>0.97699999999999998</v>
      </c>
      <c r="Z13" t="s">
        <v>117</v>
      </c>
      <c r="AA13">
        <f xml:space="preserve"> SQRT(AA12)</f>
        <v>9.8040807830209159E-2</v>
      </c>
      <c r="AB13">
        <f xml:space="preserve"> AA13 * (1/2) * AB12/AA12</f>
        <v>1.1400567989296344E-3</v>
      </c>
    </row>
    <row r="14" spans="1:31" x14ac:dyDescent="0.3">
      <c r="A14">
        <v>9.3699999999999992</v>
      </c>
      <c r="B14">
        <f t="shared" si="0"/>
        <v>0.93699999999999994</v>
      </c>
      <c r="E14">
        <v>9.2859999999999996</v>
      </c>
      <c r="F14">
        <f t="shared" si="1"/>
        <v>0.92859999999999998</v>
      </c>
      <c r="I14">
        <v>9.5370000000000008</v>
      </c>
      <c r="J14">
        <f t="shared" si="2"/>
        <v>0.9537000000000001</v>
      </c>
      <c r="M14">
        <v>9.4429999999999996</v>
      </c>
      <c r="N14">
        <f t="shared" si="3"/>
        <v>0.94429999999999992</v>
      </c>
      <c r="Q14">
        <v>9.6029999999999998</v>
      </c>
      <c r="R14">
        <f t="shared" si="4"/>
        <v>0.96029999999999993</v>
      </c>
      <c r="U14">
        <v>9.7780000000000005</v>
      </c>
      <c r="V14">
        <f t="shared" si="5"/>
        <v>0.9778</v>
      </c>
    </row>
    <row r="15" spans="1:31" x14ac:dyDescent="0.3">
      <c r="A15">
        <v>9.4440000000000008</v>
      </c>
      <c r="B15">
        <f t="shared" si="0"/>
        <v>0.94440000000000013</v>
      </c>
      <c r="E15">
        <v>9.2609999999999992</v>
      </c>
      <c r="F15">
        <f t="shared" si="1"/>
        <v>0.92609999999999992</v>
      </c>
      <c r="I15">
        <v>9.4849999999999994</v>
      </c>
      <c r="J15">
        <f t="shared" si="2"/>
        <v>0.9484999999999999</v>
      </c>
      <c r="M15">
        <v>9.4429999999999996</v>
      </c>
      <c r="N15">
        <f t="shared" si="3"/>
        <v>0.94429999999999992</v>
      </c>
      <c r="Q15">
        <v>9.6029999999999998</v>
      </c>
      <c r="R15">
        <f t="shared" si="4"/>
        <v>0.96029999999999993</v>
      </c>
      <c r="U15">
        <v>9.8130000000000006</v>
      </c>
      <c r="V15">
        <f t="shared" si="5"/>
        <v>0.98130000000000006</v>
      </c>
    </row>
    <row r="16" spans="1:31" x14ac:dyDescent="0.3">
      <c r="A16">
        <v>9.3859999999999992</v>
      </c>
      <c r="B16">
        <f t="shared" si="0"/>
        <v>0.93859999999999988</v>
      </c>
      <c r="E16">
        <v>9.3019999999999996</v>
      </c>
      <c r="F16">
        <f t="shared" si="1"/>
        <v>0.93019999999999992</v>
      </c>
      <c r="I16">
        <v>9.51</v>
      </c>
      <c r="J16">
        <f t="shared" si="2"/>
        <v>0.95099999999999996</v>
      </c>
      <c r="M16">
        <v>9.4450000000000003</v>
      </c>
      <c r="N16">
        <f t="shared" si="3"/>
        <v>0.94450000000000001</v>
      </c>
      <c r="Q16">
        <v>9.6560000000000006</v>
      </c>
      <c r="R16">
        <f t="shared" si="4"/>
        <v>0.96560000000000001</v>
      </c>
      <c r="U16">
        <v>9.7870000000000008</v>
      </c>
      <c r="V16">
        <f t="shared" si="5"/>
        <v>0.97870000000000013</v>
      </c>
    </row>
    <row r="17" spans="1:22" x14ac:dyDescent="0.3">
      <c r="A17">
        <v>9.4179999999999993</v>
      </c>
      <c r="B17">
        <f t="shared" si="0"/>
        <v>0.94179999999999997</v>
      </c>
      <c r="E17">
        <v>9.3179999999999996</v>
      </c>
      <c r="F17">
        <f t="shared" si="1"/>
        <v>0.93179999999999996</v>
      </c>
      <c r="I17">
        <v>9.5679999999999996</v>
      </c>
      <c r="J17">
        <f t="shared" si="2"/>
        <v>0.95679999999999998</v>
      </c>
      <c r="M17">
        <v>9.4130000000000003</v>
      </c>
      <c r="N17">
        <f t="shared" si="3"/>
        <v>0.94130000000000003</v>
      </c>
      <c r="Q17">
        <v>9.6950000000000003</v>
      </c>
      <c r="R17">
        <f t="shared" si="4"/>
        <v>0.96950000000000003</v>
      </c>
      <c r="U17">
        <v>9.6850000000000005</v>
      </c>
      <c r="V17">
        <f t="shared" si="5"/>
        <v>0.96850000000000003</v>
      </c>
    </row>
    <row r="18" spans="1:22" x14ac:dyDescent="0.3">
      <c r="A18">
        <v>9.4969999999999999</v>
      </c>
      <c r="B18">
        <f t="shared" si="0"/>
        <v>0.94969999999999999</v>
      </c>
      <c r="E18">
        <v>9.3030000000000008</v>
      </c>
      <c r="F18">
        <f t="shared" si="1"/>
        <v>0.93030000000000013</v>
      </c>
      <c r="I18">
        <v>9.4949999999999992</v>
      </c>
      <c r="J18">
        <f t="shared" si="2"/>
        <v>0.9494999999999999</v>
      </c>
      <c r="M18">
        <v>9.4689999999999994</v>
      </c>
      <c r="N18">
        <f t="shared" si="3"/>
        <v>0.94689999999999996</v>
      </c>
      <c r="Q18">
        <v>9.6969999999999992</v>
      </c>
      <c r="R18">
        <f t="shared" si="4"/>
        <v>0.9696999999999999</v>
      </c>
      <c r="U18">
        <v>9.8550000000000004</v>
      </c>
      <c r="V18">
        <f t="shared" si="5"/>
        <v>0.98550000000000004</v>
      </c>
    </row>
    <row r="19" spans="1:22" x14ac:dyDescent="0.3">
      <c r="A19">
        <v>9.4359999999999999</v>
      </c>
      <c r="B19">
        <f t="shared" si="0"/>
        <v>0.94359999999999999</v>
      </c>
      <c r="E19">
        <v>9.2590000000000003</v>
      </c>
      <c r="F19">
        <f t="shared" si="1"/>
        <v>0.92590000000000006</v>
      </c>
      <c r="I19">
        <v>9.5530000000000008</v>
      </c>
      <c r="J19">
        <f t="shared" si="2"/>
        <v>0.95530000000000004</v>
      </c>
      <c r="M19">
        <v>9.4610000000000003</v>
      </c>
      <c r="N19">
        <f t="shared" si="3"/>
        <v>0.94610000000000005</v>
      </c>
      <c r="Q19">
        <v>9.6430000000000007</v>
      </c>
      <c r="R19">
        <f t="shared" si="4"/>
        <v>0.96430000000000005</v>
      </c>
      <c r="U19">
        <v>9.7789999999999999</v>
      </c>
      <c r="V19">
        <f t="shared" si="5"/>
        <v>0.97789999999999999</v>
      </c>
    </row>
    <row r="20" spans="1:22" x14ac:dyDescent="0.3">
      <c r="A20">
        <v>9.4090000000000007</v>
      </c>
      <c r="B20">
        <f t="shared" si="0"/>
        <v>0.94090000000000007</v>
      </c>
      <c r="E20">
        <v>9.2609999999999992</v>
      </c>
      <c r="F20">
        <f t="shared" si="1"/>
        <v>0.92609999999999992</v>
      </c>
      <c r="I20">
        <v>9.5190000000000001</v>
      </c>
      <c r="J20">
        <f t="shared" si="2"/>
        <v>0.95189999999999997</v>
      </c>
      <c r="M20">
        <v>9.5250000000000004</v>
      </c>
      <c r="N20">
        <f t="shared" si="3"/>
        <v>0.95250000000000001</v>
      </c>
      <c r="Q20">
        <v>9.6460000000000008</v>
      </c>
      <c r="R20">
        <f t="shared" si="4"/>
        <v>0.96460000000000012</v>
      </c>
      <c r="U20">
        <v>9.8469999999999995</v>
      </c>
      <c r="V20">
        <f t="shared" si="5"/>
        <v>0.98469999999999991</v>
      </c>
    </row>
    <row r="21" spans="1:22" x14ac:dyDescent="0.3">
      <c r="A21">
        <v>9.4350000000000005</v>
      </c>
      <c r="B21">
        <f t="shared" si="0"/>
        <v>0.94350000000000001</v>
      </c>
      <c r="E21">
        <v>9.2690000000000001</v>
      </c>
      <c r="F21">
        <f t="shared" si="1"/>
        <v>0.92690000000000006</v>
      </c>
      <c r="I21">
        <v>9.5510000000000002</v>
      </c>
      <c r="J21">
        <f t="shared" si="2"/>
        <v>0.95510000000000006</v>
      </c>
      <c r="M21">
        <v>9.4629999999999992</v>
      </c>
      <c r="N21">
        <f t="shared" si="3"/>
        <v>0.94629999999999992</v>
      </c>
      <c r="Q21">
        <v>9.6479999999999997</v>
      </c>
      <c r="R21">
        <f t="shared" si="4"/>
        <v>0.96479999999999999</v>
      </c>
      <c r="U21">
        <v>9.7959999999999994</v>
      </c>
      <c r="V21">
        <f t="shared" si="5"/>
        <v>0.97959999999999992</v>
      </c>
    </row>
    <row r="22" spans="1:22" x14ac:dyDescent="0.3">
      <c r="A22">
        <v>9.4440000000000008</v>
      </c>
      <c r="B22">
        <f t="shared" si="0"/>
        <v>0.94440000000000013</v>
      </c>
      <c r="E22">
        <v>9.2759999999999998</v>
      </c>
      <c r="F22">
        <f t="shared" si="1"/>
        <v>0.92759999999999998</v>
      </c>
      <c r="I22">
        <v>9.4610000000000003</v>
      </c>
      <c r="J22">
        <f t="shared" si="2"/>
        <v>0.94610000000000005</v>
      </c>
      <c r="M22">
        <v>9.41</v>
      </c>
      <c r="N22">
        <f t="shared" si="3"/>
        <v>0.94100000000000006</v>
      </c>
      <c r="Q22">
        <v>9.6630000000000003</v>
      </c>
      <c r="R22">
        <f t="shared" si="4"/>
        <v>0.96630000000000005</v>
      </c>
      <c r="U22">
        <v>9.7379999999999995</v>
      </c>
      <c r="V22">
        <f t="shared" si="5"/>
        <v>0.9738</v>
      </c>
    </row>
    <row r="23" spans="1:22" x14ac:dyDescent="0.3">
      <c r="A23">
        <v>9.4190000000000005</v>
      </c>
      <c r="B23">
        <f t="shared" si="0"/>
        <v>0.94190000000000007</v>
      </c>
      <c r="E23">
        <v>9.3089999999999993</v>
      </c>
      <c r="F23">
        <f t="shared" si="1"/>
        <v>0.93089999999999995</v>
      </c>
      <c r="I23">
        <v>9.5779999999999994</v>
      </c>
      <c r="J23">
        <f t="shared" si="2"/>
        <v>0.95779999999999998</v>
      </c>
      <c r="M23">
        <v>9.4440000000000008</v>
      </c>
      <c r="N23">
        <f t="shared" si="3"/>
        <v>0.94440000000000013</v>
      </c>
      <c r="Q23">
        <v>9.6449999999999996</v>
      </c>
      <c r="R23">
        <f t="shared" si="4"/>
        <v>0.96449999999999991</v>
      </c>
      <c r="U23">
        <v>9.7789999999999999</v>
      </c>
      <c r="V23">
        <f t="shared" si="5"/>
        <v>0.97789999999999999</v>
      </c>
    </row>
    <row r="24" spans="1:22" x14ac:dyDescent="0.3">
      <c r="A24">
        <v>9.4789999999999992</v>
      </c>
      <c r="B24">
        <f t="shared" si="0"/>
        <v>0.94789999999999996</v>
      </c>
      <c r="E24">
        <v>9.2859999999999996</v>
      </c>
      <c r="F24">
        <f t="shared" si="1"/>
        <v>0.92859999999999998</v>
      </c>
      <c r="I24">
        <v>9.4779999999999998</v>
      </c>
      <c r="J24">
        <f t="shared" si="2"/>
        <v>0.94779999999999998</v>
      </c>
      <c r="M24">
        <v>9.4610000000000003</v>
      </c>
      <c r="N24">
        <f t="shared" si="3"/>
        <v>0.94610000000000005</v>
      </c>
      <c r="Q24">
        <v>9.7379999999999995</v>
      </c>
      <c r="R24">
        <f t="shared" si="4"/>
        <v>0.9738</v>
      </c>
      <c r="U24">
        <v>9.7349999999999994</v>
      </c>
      <c r="V24">
        <f t="shared" si="5"/>
        <v>0.97349999999999992</v>
      </c>
    </row>
    <row r="25" spans="1:22" x14ac:dyDescent="0.3">
      <c r="A25">
        <v>9.42</v>
      </c>
      <c r="B25">
        <f t="shared" si="0"/>
        <v>0.94199999999999995</v>
      </c>
      <c r="E25">
        <v>9.3179999999999996</v>
      </c>
      <c r="F25">
        <f t="shared" si="1"/>
        <v>0.93179999999999996</v>
      </c>
      <c r="I25">
        <v>9.5510000000000002</v>
      </c>
      <c r="J25">
        <f t="shared" si="2"/>
        <v>0.95510000000000006</v>
      </c>
      <c r="M25">
        <v>9.4540000000000006</v>
      </c>
      <c r="N25">
        <f t="shared" si="3"/>
        <v>0.94540000000000002</v>
      </c>
      <c r="Q25">
        <v>9.6890000000000001</v>
      </c>
      <c r="R25">
        <f t="shared" si="4"/>
        <v>0.96889999999999998</v>
      </c>
      <c r="U25">
        <v>9.8450000000000006</v>
      </c>
      <c r="V25">
        <f t="shared" si="5"/>
        <v>0.98450000000000004</v>
      </c>
    </row>
    <row r="26" spans="1:22" x14ac:dyDescent="0.3">
      <c r="A26">
        <v>9.3979999999999997</v>
      </c>
      <c r="B26">
        <f t="shared" si="0"/>
        <v>0.93979999999999997</v>
      </c>
      <c r="E26">
        <v>9.3119999999999994</v>
      </c>
      <c r="F26">
        <f t="shared" si="1"/>
        <v>0.93119999999999992</v>
      </c>
      <c r="I26">
        <v>9.5429999999999993</v>
      </c>
      <c r="J26">
        <f t="shared" si="2"/>
        <v>0.95429999999999993</v>
      </c>
      <c r="M26">
        <v>9.4030000000000005</v>
      </c>
      <c r="N26">
        <f t="shared" si="3"/>
        <v>0.94030000000000002</v>
      </c>
      <c r="Q26">
        <v>9.6620000000000008</v>
      </c>
      <c r="R26">
        <f t="shared" si="4"/>
        <v>0.96620000000000006</v>
      </c>
      <c r="U26">
        <v>9.77</v>
      </c>
      <c r="V26">
        <f t="shared" si="5"/>
        <v>0.97699999999999998</v>
      </c>
    </row>
    <row r="27" spans="1:22" x14ac:dyDescent="0.3">
      <c r="A27">
        <v>9.4090000000000007</v>
      </c>
      <c r="B27">
        <f t="shared" si="0"/>
        <v>0.94090000000000007</v>
      </c>
      <c r="E27">
        <v>9.3030000000000008</v>
      </c>
      <c r="F27">
        <f t="shared" si="1"/>
        <v>0.93030000000000013</v>
      </c>
      <c r="I27">
        <v>9.5519999999999996</v>
      </c>
      <c r="J27">
        <f t="shared" si="2"/>
        <v>0.95519999999999994</v>
      </c>
      <c r="M27">
        <v>9.42</v>
      </c>
      <c r="N27">
        <f t="shared" si="3"/>
        <v>0.94199999999999995</v>
      </c>
      <c r="Q27">
        <v>9.6950000000000003</v>
      </c>
      <c r="R27">
        <f t="shared" si="4"/>
        <v>0.96950000000000003</v>
      </c>
      <c r="U27">
        <v>9.7789999999999999</v>
      </c>
      <c r="V27">
        <f t="shared" si="5"/>
        <v>0.97789999999999999</v>
      </c>
    </row>
    <row r="28" spans="1:22" x14ac:dyDescent="0.3">
      <c r="A28">
        <v>9.4380000000000006</v>
      </c>
      <c r="B28">
        <f t="shared" si="0"/>
        <v>0.94380000000000008</v>
      </c>
      <c r="E28">
        <v>9.2680000000000007</v>
      </c>
      <c r="F28">
        <f t="shared" si="1"/>
        <v>0.92680000000000007</v>
      </c>
      <c r="I28">
        <v>9.4849999999999994</v>
      </c>
      <c r="J28">
        <f t="shared" si="2"/>
        <v>0.9484999999999999</v>
      </c>
      <c r="M28">
        <v>9.4350000000000005</v>
      </c>
      <c r="N28">
        <f t="shared" si="3"/>
        <v>0.94350000000000001</v>
      </c>
      <c r="Q28">
        <v>9.6539999999999999</v>
      </c>
      <c r="R28">
        <f t="shared" si="4"/>
        <v>0.96540000000000004</v>
      </c>
      <c r="U28">
        <v>9.8130000000000006</v>
      </c>
      <c r="V28">
        <f t="shared" si="5"/>
        <v>0.98130000000000006</v>
      </c>
    </row>
    <row r="29" spans="1:22" x14ac:dyDescent="0.3">
      <c r="A29">
        <v>9.43</v>
      </c>
      <c r="B29">
        <f t="shared" si="0"/>
        <v>0.94299999999999995</v>
      </c>
      <c r="E29">
        <v>9.2620000000000005</v>
      </c>
      <c r="F29">
        <f t="shared" si="1"/>
        <v>0.92620000000000002</v>
      </c>
      <c r="I29">
        <v>9.4689999999999994</v>
      </c>
      <c r="J29">
        <f t="shared" si="2"/>
        <v>0.94689999999999996</v>
      </c>
      <c r="M29">
        <v>9.4369999999999994</v>
      </c>
      <c r="N29">
        <f t="shared" si="3"/>
        <v>0.94369999999999998</v>
      </c>
      <c r="Q29">
        <v>9.6790000000000003</v>
      </c>
      <c r="R29">
        <f t="shared" si="4"/>
        <v>0.96789999999999998</v>
      </c>
      <c r="U29">
        <v>9.7690000000000001</v>
      </c>
      <c r="V29">
        <f t="shared" si="5"/>
        <v>0.97689999999999999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1rodItself</vt:lpstr>
      <vt:lpstr>2rodWweights</vt:lpstr>
      <vt:lpstr>3nonsymmetrical</vt:lpstr>
      <vt:lpstr>4BesselPendulum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alejandrosalazar</dc:creator>
  <cp:lastModifiedBy>alejandrosalazar</cp:lastModifiedBy>
  <dcterms:created xsi:type="dcterms:W3CDTF">2020-05-12T22:55:26Z</dcterms:created>
  <dcterms:modified xsi:type="dcterms:W3CDTF">2020-06-24T20:32:33Z</dcterms:modified>
</cp:coreProperties>
</file>