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salazar\Desktop\Work\ualberta\Phys 294 Fall 2020\06 Molecular velocity\"/>
    </mc:Choice>
  </mc:AlternateContent>
  <xr:revisionPtr revIDLastSave="0" documentId="13_ncr:1_{0C9AE3ED-A9E2-4BF2-A007-D130A004BF84}" xr6:coauthVersionLast="45" xr6:coauthVersionMax="45" xr10:uidLastSave="{00000000-0000-0000-0000-000000000000}"/>
  <bookViews>
    <workbookView xWindow="1236" yWindow="96" windowWidth="20892" windowHeight="12132" xr2:uid="{E55449F8-A6D1-4D4B-BA58-1787E4C03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E4" i="1" l="1"/>
  <c r="E5" i="1"/>
  <c r="E6" i="1"/>
  <c r="E7" i="1"/>
  <c r="E8" i="1"/>
  <c r="E9" i="1"/>
  <c r="E10" i="1"/>
  <c r="E11" i="1"/>
  <c r="E12" i="1"/>
  <c r="E1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C31" i="1"/>
  <c r="L41" i="1"/>
  <c r="L42" i="1"/>
  <c r="L43" i="1"/>
  <c r="L44" i="1"/>
  <c r="L45" i="1"/>
  <c r="L46" i="1"/>
  <c r="L47" i="1"/>
  <c r="L48" i="1"/>
  <c r="L49" i="1"/>
  <c r="L50" i="1"/>
  <c r="L40" i="1"/>
  <c r="I41" i="1"/>
  <c r="I42" i="1"/>
  <c r="I43" i="1"/>
  <c r="I44" i="1"/>
  <c r="I45" i="1"/>
  <c r="I46" i="1"/>
  <c r="I47" i="1"/>
  <c r="I48" i="1"/>
  <c r="I49" i="1"/>
  <c r="I50" i="1"/>
  <c r="I40" i="1"/>
  <c r="G46" i="1"/>
  <c r="G47" i="1"/>
  <c r="G48" i="1"/>
  <c r="G49" i="1"/>
  <c r="G50" i="1"/>
  <c r="G41" i="1"/>
  <c r="G42" i="1"/>
  <c r="G43" i="1"/>
  <c r="G44" i="1"/>
  <c r="G45" i="1"/>
  <c r="G40" i="1"/>
  <c r="G33" i="1" l="1"/>
  <c r="L4" i="1"/>
  <c r="M4" i="1" s="1"/>
  <c r="K42" i="1" s="1"/>
  <c r="M42" i="1" s="1"/>
  <c r="L19" i="1"/>
  <c r="M19" i="1" s="1"/>
  <c r="L20" i="1"/>
  <c r="M20" i="1" s="1"/>
  <c r="M2" i="1"/>
  <c r="K40" i="1" s="1"/>
  <c r="M40" i="1" s="1"/>
  <c r="E2" i="1"/>
  <c r="L8" i="1"/>
  <c r="M8" i="1" s="1"/>
  <c r="K46" i="1" s="1"/>
  <c r="M46" i="1" s="1"/>
  <c r="Q42" i="1" l="1"/>
  <c r="N42" i="1"/>
  <c r="N41" i="1"/>
  <c r="Q41" i="1"/>
  <c r="Q44" i="1"/>
  <c r="N44" i="1"/>
  <c r="Q46" i="1"/>
  <c r="N46" i="1"/>
  <c r="N40" i="1"/>
  <c r="Q40" i="1"/>
  <c r="L16" i="1"/>
  <c r="M16" i="1" s="1"/>
  <c r="L3" i="1"/>
  <c r="M3" i="1" s="1"/>
  <c r="K41" i="1" s="1"/>
  <c r="M41" i="1" s="1"/>
  <c r="L18" i="1"/>
  <c r="M18" i="1" s="1"/>
  <c r="L10" i="1"/>
  <c r="M10" i="1" s="1"/>
  <c r="K48" i="1" s="1"/>
  <c r="M48" i="1" s="1"/>
  <c r="H57" i="1" s="1"/>
  <c r="L15" i="1"/>
  <c r="M15" i="1" s="1"/>
  <c r="L23" i="1"/>
  <c r="M23" i="1" s="1"/>
  <c r="H24" i="1" s="1"/>
  <c r="L5" i="1"/>
  <c r="M5" i="1" s="1"/>
  <c r="K43" i="1" s="1"/>
  <c r="M43" i="1" s="1"/>
  <c r="Q43" i="1" s="1"/>
  <c r="L14" i="1"/>
  <c r="M14" i="1" s="1"/>
  <c r="L22" i="1"/>
  <c r="M22" i="1" s="1"/>
  <c r="L13" i="1"/>
  <c r="M13" i="1" s="1"/>
  <c r="G28" i="1" s="1"/>
  <c r="L7" i="1"/>
  <c r="M7" i="1" s="1"/>
  <c r="K45" i="1" s="1"/>
  <c r="M45" i="1" s="1"/>
  <c r="Q45" i="1" s="1"/>
  <c r="L6" i="1"/>
  <c r="M6" i="1" s="1"/>
  <c r="K44" i="1" s="1"/>
  <c r="M44" i="1" s="1"/>
  <c r="L21" i="1"/>
  <c r="M21" i="1" s="1"/>
  <c r="L11" i="1"/>
  <c r="M11" i="1" s="1"/>
  <c r="K49" i="1" s="1"/>
  <c r="M49" i="1" s="1"/>
  <c r="Q49" i="1" s="1"/>
  <c r="L12" i="1"/>
  <c r="M12" i="1" s="1"/>
  <c r="K50" i="1" s="1"/>
  <c r="M50" i="1" s="1"/>
  <c r="Q50" i="1" s="1"/>
  <c r="L9" i="1"/>
  <c r="M9" i="1" s="1"/>
  <c r="K47" i="1" s="1"/>
  <c r="M47" i="1" s="1"/>
  <c r="Q47" i="1" s="1"/>
  <c r="L17" i="1"/>
  <c r="M17" i="1" s="1"/>
  <c r="H14" i="1"/>
  <c r="H16" i="1"/>
  <c r="H17" i="1"/>
  <c r="H18" i="1"/>
  <c r="H19" i="1"/>
  <c r="H20" i="1"/>
  <c r="H21" i="1"/>
  <c r="H22" i="1"/>
  <c r="H23" i="1"/>
  <c r="H15" i="1"/>
  <c r="H13" i="1"/>
  <c r="H12" i="1"/>
  <c r="C29" i="1"/>
  <c r="N45" i="1" l="1"/>
  <c r="E15" i="1"/>
  <c r="E23" i="1"/>
  <c r="E17" i="1"/>
  <c r="F17" i="1" s="1"/>
  <c r="E19" i="1"/>
  <c r="F19" i="1" s="1"/>
  <c r="E21" i="1"/>
  <c r="F21" i="1" s="1"/>
  <c r="E16" i="1"/>
  <c r="E14" i="1"/>
  <c r="E24" i="1" s="1"/>
  <c r="E18" i="1"/>
  <c r="E20" i="1"/>
  <c r="F20" i="1" s="1"/>
  <c r="E22" i="1"/>
  <c r="N49" i="1"/>
  <c r="N47" i="1"/>
  <c r="N50" i="1"/>
  <c r="N43" i="1"/>
  <c r="Q48" i="1"/>
  <c r="H54" i="1" s="1"/>
  <c r="N48" i="1"/>
  <c r="F15" i="1"/>
  <c r="F22" i="1"/>
  <c r="F23" i="1"/>
  <c r="F16" i="1"/>
  <c r="D3" i="1"/>
  <c r="E3" i="1" s="1"/>
  <c r="F18" i="1"/>
  <c r="F13" i="1"/>
  <c r="H50" i="1" s="1"/>
  <c r="H53" i="1" l="1"/>
  <c r="J50" i="1"/>
  <c r="O50" i="1"/>
  <c r="P50" i="1"/>
  <c r="K53" i="1"/>
  <c r="L54" i="1" s="1"/>
  <c r="G27" i="1" s="1"/>
  <c r="F14" i="1"/>
  <c r="L55" i="1" l="1"/>
  <c r="H3" i="1"/>
  <c r="F33" i="1" s="1"/>
  <c r="F34" i="1" s="1"/>
  <c r="G34" i="1" s="1"/>
  <c r="H4" i="1"/>
  <c r="H5" i="1"/>
  <c r="H6" i="1"/>
  <c r="H7" i="1"/>
  <c r="H8" i="1"/>
  <c r="H9" i="1"/>
  <c r="H10" i="1"/>
  <c r="H11" i="1"/>
  <c r="H2" i="1"/>
  <c r="F4" i="1"/>
  <c r="H41" i="1" s="1"/>
  <c r="F5" i="1"/>
  <c r="H42" i="1" s="1"/>
  <c r="F6" i="1"/>
  <c r="H43" i="1" s="1"/>
  <c r="F7" i="1"/>
  <c r="H44" i="1" s="1"/>
  <c r="F8" i="1"/>
  <c r="H45" i="1" s="1"/>
  <c r="F9" i="1"/>
  <c r="H46" i="1" s="1"/>
  <c r="F10" i="1"/>
  <c r="H47" i="1" s="1"/>
  <c r="F11" i="1"/>
  <c r="H48" i="1" s="1"/>
  <c r="F12" i="1"/>
  <c r="H49" i="1" s="1"/>
  <c r="F3" i="1"/>
  <c r="H40" i="1" s="1"/>
  <c r="J44" i="1" l="1"/>
  <c r="O44" i="1"/>
  <c r="P44" i="1"/>
  <c r="J48" i="1"/>
  <c r="P48" i="1"/>
  <c r="O48" i="1"/>
  <c r="J45" i="1"/>
  <c r="O45" i="1"/>
  <c r="P45" i="1"/>
  <c r="J42" i="1"/>
  <c r="O42" i="1"/>
  <c r="P42" i="1"/>
  <c r="J41" i="1"/>
  <c r="O41" i="1"/>
  <c r="P41" i="1"/>
  <c r="J47" i="1"/>
  <c r="P47" i="1"/>
  <c r="O47" i="1"/>
  <c r="J43" i="1"/>
  <c r="P43" i="1"/>
  <c r="O43" i="1"/>
  <c r="J49" i="1"/>
  <c r="O49" i="1"/>
  <c r="P49" i="1"/>
  <c r="J46" i="1"/>
  <c r="O46" i="1"/>
  <c r="P46" i="1"/>
  <c r="J40" i="1"/>
  <c r="P40" i="1"/>
  <c r="O40" i="1"/>
  <c r="F2" i="1"/>
  <c r="H55" i="1" l="1"/>
  <c r="H56" i="1"/>
  <c r="K54" i="1" s="1"/>
  <c r="F27" i="1" s="1"/>
  <c r="F24" i="1"/>
  <c r="F28" i="1" s="1"/>
  <c r="K55" i="1" l="1"/>
  <c r="F29" i="1"/>
  <c r="G29" i="1" s="1"/>
</calcChain>
</file>

<file path=xl/sharedStrings.xml><?xml version="1.0" encoding="utf-8"?>
<sst xmlns="http://schemas.openxmlformats.org/spreadsheetml/2006/main" count="57" uniqueCount="55">
  <si>
    <t>time [s]</t>
  </si>
  <si>
    <t>mass no cap [g]</t>
  </si>
  <si>
    <t>mass cap [g]</t>
  </si>
  <si>
    <t>mass with cap [g]</t>
  </si>
  <si>
    <t>g [m/s^2]</t>
  </si>
  <si>
    <t>Maxwell distribution prediction</t>
  </si>
  <si>
    <t>temp [K]</t>
  </si>
  <si>
    <t>temp [C]</t>
  </si>
  <si>
    <t>R [J/(mol K)]</t>
  </si>
  <si>
    <t>mass net (dish and isopropyl) [g]</t>
  </si>
  <si>
    <t>mass net (dish and isopropyl) [kg]</t>
  </si>
  <si>
    <t xml:space="preserve"> </t>
  </si>
  <si>
    <t>mass correction [g]</t>
  </si>
  <si>
    <t>cap alone</t>
  </si>
  <si>
    <t>cap with tare</t>
  </si>
  <si>
    <t>average</t>
  </si>
  <si>
    <t>unc time [s]</t>
  </si>
  <si>
    <t>unc cap alone</t>
  </si>
  <si>
    <t>unc cap with tare</t>
  </si>
  <si>
    <t>unc mass correction [kg]</t>
  </si>
  <si>
    <t>unc mass [kg]</t>
  </si>
  <si>
    <t>unc mass net [kg]</t>
  </si>
  <si>
    <t>unc temp [K]</t>
  </si>
  <si>
    <t>dmu/dt, unc</t>
  </si>
  <si>
    <t>sigmaMass, unc</t>
  </si>
  <si>
    <t>unc average</t>
  </si>
  <si>
    <t>v, unc</t>
  </si>
  <si>
    <t>unc average [kg]</t>
  </si>
  <si>
    <t>T [K], unc</t>
  </si>
  <si>
    <t>x</t>
  </si>
  <si>
    <t>y</t>
  </si>
  <si>
    <t>x^2</t>
  </si>
  <si>
    <t>xy</t>
  </si>
  <si>
    <t>y error</t>
  </si>
  <si>
    <t>x error</t>
  </si>
  <si>
    <t>weight</t>
  </si>
  <si>
    <t>wx</t>
  </si>
  <si>
    <t>wy</t>
  </si>
  <si>
    <t>wxy</t>
  </si>
  <si>
    <t>wx^2</t>
  </si>
  <si>
    <t>* I manipulated the uncertainties expecting some disturbance in the reading of the mass from the scale as the lid was taken off or put on the Petri dish.</t>
  </si>
  <si>
    <t>N</t>
  </si>
  <si>
    <t>Value</t>
  </si>
  <si>
    <t>Unc</t>
  </si>
  <si>
    <t>sum(wx)</t>
  </si>
  <si>
    <t>Delta</t>
  </si>
  <si>
    <t>sum(wx^2)</t>
  </si>
  <si>
    <t>Slope</t>
  </si>
  <si>
    <t>sum(wy)</t>
  </si>
  <si>
    <t>Intercept</t>
  </si>
  <si>
    <t>sum(wxy)</t>
  </si>
  <si>
    <t>sum(w)</t>
  </si>
  <si>
    <t>isopropyl alcohol molar mass [kg/mol], unc</t>
  </si>
  <si>
    <t>Weighted linear fit (Taylor)</t>
  </si>
  <si>
    <t>* I ignored the mass reading of the line 20. It is obvious why.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</si>
</sst>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495844269466319E-2"/>
                  <c:y val="-0.44668452901720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Sheet1!$J$2:$J$13</c:f>
                <c:numCache>
                  <c:formatCode>General</c:formatCode>
                  <c:ptCount val="12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</c:numCache>
              </c:numRef>
            </c:plus>
            <c:minus>
              <c:numRef>
                <c:f>Sheet1!$J$2:$J$23</c:f>
                <c:numCache>
                  <c:formatCode>General</c:formatCode>
                  <c:ptCount val="22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Sheet1!$M$2:$M$14</c:f>
                <c:numCache>
                  <c:formatCode>General</c:formatCode>
                  <c:ptCount val="13"/>
                  <c:pt idx="0">
                    <c:v>3.0000000000000001E-6</c:v>
                  </c:pt>
                  <c:pt idx="1">
                    <c:v>3.0000037499976566E-6</c:v>
                  </c:pt>
                  <c:pt idx="2">
                    <c:v>2.0000031249975586E-6</c:v>
                  </c:pt>
                  <c:pt idx="3">
                    <c:v>2.0000031249975586E-6</c:v>
                  </c:pt>
                  <c:pt idx="4">
                    <c:v>2.0000031249975586E-6</c:v>
                  </c:pt>
                  <c:pt idx="5">
                    <c:v>2.0000031249975586E-6</c:v>
                  </c:pt>
                  <c:pt idx="6">
                    <c:v>2.0000031249975586E-6</c:v>
                  </c:pt>
                  <c:pt idx="7">
                    <c:v>2.0000031249975586E-6</c:v>
                  </c:pt>
                  <c:pt idx="8">
                    <c:v>2.0000031249975586E-6</c:v>
                  </c:pt>
                  <c:pt idx="9">
                    <c:v>2.0000031249975586E-6</c:v>
                  </c:pt>
                  <c:pt idx="10">
                    <c:v>2.0000031249975586E-6</c:v>
                  </c:pt>
                  <c:pt idx="11">
                    <c:v>2.0000031249975586E-6</c:v>
                  </c:pt>
                  <c:pt idx="12">
                    <c:v>3.67423767603567E-6</c:v>
                  </c:pt>
                </c:numCache>
              </c:numRef>
            </c:plus>
            <c:minus>
              <c:numRef>
                <c:f>Sheet1!$M$2:$M$14</c:f>
                <c:numCache>
                  <c:formatCode>General</c:formatCode>
                  <c:ptCount val="13"/>
                  <c:pt idx="0">
                    <c:v>3.0000000000000001E-6</c:v>
                  </c:pt>
                  <c:pt idx="1">
                    <c:v>3.0000037499976566E-6</c:v>
                  </c:pt>
                  <c:pt idx="2">
                    <c:v>2.0000031249975586E-6</c:v>
                  </c:pt>
                  <c:pt idx="3">
                    <c:v>2.0000031249975586E-6</c:v>
                  </c:pt>
                  <c:pt idx="4">
                    <c:v>2.0000031249975586E-6</c:v>
                  </c:pt>
                  <c:pt idx="5">
                    <c:v>2.0000031249975586E-6</c:v>
                  </c:pt>
                  <c:pt idx="6">
                    <c:v>2.0000031249975586E-6</c:v>
                  </c:pt>
                  <c:pt idx="7">
                    <c:v>2.0000031249975586E-6</c:v>
                  </c:pt>
                  <c:pt idx="8">
                    <c:v>2.0000031249975586E-6</c:v>
                  </c:pt>
                  <c:pt idx="9">
                    <c:v>2.0000031249975586E-6</c:v>
                  </c:pt>
                  <c:pt idx="10">
                    <c:v>2.0000031249975586E-6</c:v>
                  </c:pt>
                  <c:pt idx="11">
                    <c:v>2.0000031249975586E-6</c:v>
                  </c:pt>
                  <c:pt idx="12">
                    <c:v>3.67423767603567E-6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Sheet1!$A$3:$A$13</c:f>
              <c:numCache>
                <c:formatCode>General</c:formatCode>
                <c:ptCount val="11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5.4885000000000003E-3</c:v>
                </c:pt>
                <c:pt idx="1">
                  <c:v>5.4495000000000004E-3</c:v>
                </c:pt>
                <c:pt idx="2">
                  <c:v>5.4085000000000001E-3</c:v>
                </c:pt>
                <c:pt idx="3">
                  <c:v>5.3665000000000006E-3</c:v>
                </c:pt>
                <c:pt idx="4">
                  <c:v>5.3315000000000003E-3</c:v>
                </c:pt>
                <c:pt idx="5">
                  <c:v>5.2925000000000003E-3</c:v>
                </c:pt>
                <c:pt idx="6">
                  <c:v>5.2585000000000002E-3</c:v>
                </c:pt>
                <c:pt idx="7">
                  <c:v>5.2245E-3</c:v>
                </c:pt>
                <c:pt idx="8">
                  <c:v>5.1835000000000006E-3</c:v>
                </c:pt>
                <c:pt idx="9">
                  <c:v>5.1525E-3</c:v>
                </c:pt>
                <c:pt idx="10">
                  <c:v>5.1234999999999996E-3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D-4BA5-8ABF-CD84DF890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86144"/>
        <c:axId val="653189504"/>
      </c:scatterChart>
      <c:valAx>
        <c:axId val="6593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9504"/>
        <c:crosses val="autoZero"/>
        <c:crossBetween val="midCat"/>
      </c:valAx>
      <c:valAx>
        <c:axId val="6531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(Sheet1!$A$14:$A$19,Sheet1!$A$21:$A$23)</c:f>
              <c:numCache>
                <c:formatCode>General</c:formatCode>
                <c:ptCount val="9"/>
                <c:pt idx="0">
                  <c:v>660</c:v>
                </c:pt>
                <c:pt idx="1">
                  <c:v>720</c:v>
                </c:pt>
                <c:pt idx="2">
                  <c:v>780</c:v>
                </c:pt>
                <c:pt idx="3">
                  <c:v>840</c:v>
                </c:pt>
                <c:pt idx="4">
                  <c:v>900</c:v>
                </c:pt>
                <c:pt idx="5">
                  <c:v>960</c:v>
                </c:pt>
                <c:pt idx="6">
                  <c:v>1080</c:v>
                </c:pt>
                <c:pt idx="7">
                  <c:v>1140</c:v>
                </c:pt>
                <c:pt idx="8">
                  <c:v>1200</c:v>
                </c:pt>
              </c:numCache>
            </c:numRef>
          </c:xVal>
          <c:yVal>
            <c:numRef>
              <c:f>(Sheet1!$F$14:$F$19,Sheet1!$F$21:$F$23)</c:f>
              <c:numCache>
                <c:formatCode>General</c:formatCode>
                <c:ptCount val="9"/>
                <c:pt idx="0">
                  <c:v>5.1209999999999997E-3</c:v>
                </c:pt>
                <c:pt idx="1">
                  <c:v>5.1179999999999993E-3</c:v>
                </c:pt>
                <c:pt idx="2">
                  <c:v>5.1164999999999995E-3</c:v>
                </c:pt>
                <c:pt idx="3">
                  <c:v>5.1149999999999998E-3</c:v>
                </c:pt>
                <c:pt idx="4">
                  <c:v>5.1130000000000004E-3</c:v>
                </c:pt>
                <c:pt idx="5">
                  <c:v>5.1119999999999994E-3</c:v>
                </c:pt>
                <c:pt idx="6">
                  <c:v>5.1090000000000007E-3</c:v>
                </c:pt>
                <c:pt idx="7">
                  <c:v>5.1060000000000012E-3</c:v>
                </c:pt>
                <c:pt idx="8">
                  <c:v>5.104E-3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4-404C-930D-C0302B333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56640"/>
        <c:axId val="599156968"/>
      </c:scatterChart>
      <c:valAx>
        <c:axId val="5991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56968"/>
        <c:crosses val="autoZero"/>
        <c:crossBetween val="midCat"/>
      </c:valAx>
      <c:valAx>
        <c:axId val="5991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</a:t>
                </a:r>
                <a:r>
                  <a:rPr lang="en-CA" baseline="0"/>
                  <a:t>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35</xdr:row>
      <xdr:rowOff>160020</xdr:rowOff>
    </xdr:from>
    <xdr:to>
      <xdr:col>5</xdr:col>
      <xdr:colOff>369570</xdr:colOff>
      <xdr:row>52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51188-C7EC-42A3-BD25-A685D8077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354330</xdr:colOff>
      <xdr:row>54</xdr:row>
      <xdr:rowOff>0</xdr:rowOff>
    </xdr:from>
    <xdr:to>
      <xdr:col>4</xdr:col>
      <xdr:colOff>933450</xdr:colOff>
      <xdr:row>69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C1D28-C654-4C09-B3CE-E09AE4A8C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7E84-8CCB-4CE4-AA9E-0292B262941F}">
  <dimension ref="A1:Q57"/>
  <sheetViews>
    <sheetView tabSelected="1" topLeftCell="A25" workbookViewId="0">
      <selection activeCell="F29" sqref="F29"/>
    </sheetView>
  </sheetViews>
  <sheetFormatPr defaultRowHeight="14.4" x14ac:dyDescent="0.3"/>
  <cols>
    <col min="1" max="1" width="11.109375" bestFit="1" customWidth="1"/>
    <col min="2" max="2" width="15.109375" bestFit="1" customWidth="1"/>
    <col min="3" max="3" width="15.21875" bestFit="1" customWidth="1"/>
    <col min="4" max="4" width="16.77734375" bestFit="1" customWidth="1"/>
    <col min="5" max="5" width="15.109375" customWidth="1"/>
    <col min="6" max="6" width="13.5546875" customWidth="1"/>
    <col min="7" max="9" width="12" bestFit="1" customWidth="1"/>
    <col min="12" max="12" width="18.21875" customWidth="1"/>
    <col min="13" max="16" width="12" bestFit="1" customWidth="1"/>
  </cols>
  <sheetData>
    <row r="1" spans="1:14" x14ac:dyDescent="0.3">
      <c r="A1" t="s">
        <v>0</v>
      </c>
      <c r="B1" t="s">
        <v>1</v>
      </c>
      <c r="C1" t="s">
        <v>3</v>
      </c>
      <c r="D1" t="s">
        <v>12</v>
      </c>
      <c r="E1" t="s">
        <v>9</v>
      </c>
      <c r="F1" t="s">
        <v>10</v>
      </c>
      <c r="G1" t="s">
        <v>7</v>
      </c>
      <c r="H1" t="s">
        <v>6</v>
      </c>
      <c r="J1" t="s">
        <v>16</v>
      </c>
      <c r="K1" t="s">
        <v>20</v>
      </c>
      <c r="L1" t="s">
        <v>19</v>
      </c>
      <c r="M1" t="s">
        <v>21</v>
      </c>
      <c r="N1" t="s">
        <v>22</v>
      </c>
    </row>
    <row r="2" spans="1:14" x14ac:dyDescent="0.3">
      <c r="A2">
        <v>0</v>
      </c>
      <c r="B2">
        <v>5.5039999999999996</v>
      </c>
      <c r="C2">
        <v>11.282999999999999</v>
      </c>
      <c r="D2">
        <v>0</v>
      </c>
      <c r="E2">
        <f>B2</f>
        <v>5.5039999999999996</v>
      </c>
      <c r="F2">
        <f>E2/1000</f>
        <v>5.5039999999999993E-3</v>
      </c>
      <c r="G2">
        <v>23.1</v>
      </c>
      <c r="H2">
        <f t="shared" ref="H2:H15" si="0" xml:space="preserve"> 273 + G2</f>
        <v>296.10000000000002</v>
      </c>
      <c r="J2">
        <v>2</v>
      </c>
      <c r="K2">
        <f>0.003/1000</f>
        <v>3.0000000000000001E-6</v>
      </c>
      <c r="L2">
        <v>0</v>
      </c>
      <c r="M2">
        <f>K2</f>
        <v>3.0000000000000001E-6</v>
      </c>
      <c r="N2">
        <v>0.1</v>
      </c>
    </row>
    <row r="3" spans="1:14" x14ac:dyDescent="0.3">
      <c r="A3">
        <v>60</v>
      </c>
      <c r="B3">
        <v>5.492</v>
      </c>
      <c r="C3">
        <v>11.279</v>
      </c>
      <c r="D3">
        <f>C3-B3-C29</f>
        <v>3.4999999999998366E-3</v>
      </c>
      <c r="E3">
        <f>B3-D3</f>
        <v>5.4885000000000002</v>
      </c>
      <c r="F3">
        <f t="shared" ref="F3:F12" si="1">E3/1000</f>
        <v>5.4885000000000003E-3</v>
      </c>
      <c r="G3">
        <v>23.1</v>
      </c>
      <c r="H3">
        <f t="shared" si="0"/>
        <v>296.10000000000002</v>
      </c>
      <c r="J3">
        <v>2</v>
      </c>
      <c r="K3">
        <f>0.003/1000</f>
        <v>3.0000000000000001E-6</v>
      </c>
      <c r="L3">
        <f>SQRT(K3^2 + K3^2 + $C$31^2)/1000</f>
        <v>4.7434164902525693E-9</v>
      </c>
      <c r="M3">
        <f>SQRT(K3^2 +L3^2)</f>
        <v>3.0000037499976566E-6</v>
      </c>
      <c r="N3">
        <v>0.1</v>
      </c>
    </row>
    <row r="4" spans="1:14" x14ac:dyDescent="0.3">
      <c r="A4">
        <v>120</v>
      </c>
      <c r="B4">
        <v>5.4530000000000003</v>
      </c>
      <c r="D4">
        <v>3.4999999999998366E-3</v>
      </c>
      <c r="E4">
        <f t="shared" ref="E4:E13" si="2">B4-D4</f>
        <v>5.4495000000000005</v>
      </c>
      <c r="F4">
        <f t="shared" si="1"/>
        <v>5.4495000000000004E-3</v>
      </c>
      <c r="G4">
        <v>23.1</v>
      </c>
      <c r="H4">
        <f t="shared" si="0"/>
        <v>296.10000000000002</v>
      </c>
      <c r="J4">
        <v>2</v>
      </c>
      <c r="K4">
        <f>0.002/1000</f>
        <v>1.9999999999999999E-6</v>
      </c>
      <c r="L4">
        <f>SQRT(K4^2 + K4^2 + $C$31^2)/1000</f>
        <v>3.535533905932738E-9</v>
      </c>
      <c r="M4">
        <f t="shared" ref="M4:M13" si="3">SQRT(K4^2 +L4^2)</f>
        <v>2.0000031249975586E-6</v>
      </c>
      <c r="N4">
        <v>0.1</v>
      </c>
    </row>
    <row r="5" spans="1:14" x14ac:dyDescent="0.3">
      <c r="A5">
        <v>180</v>
      </c>
      <c r="B5">
        <v>5.4119999999999999</v>
      </c>
      <c r="D5">
        <v>3.4999999999998366E-3</v>
      </c>
      <c r="E5">
        <f t="shared" si="2"/>
        <v>5.4085000000000001</v>
      </c>
      <c r="F5">
        <f t="shared" si="1"/>
        <v>5.4085000000000001E-3</v>
      </c>
      <c r="G5">
        <v>23.1</v>
      </c>
      <c r="H5">
        <f t="shared" si="0"/>
        <v>296.10000000000002</v>
      </c>
      <c r="J5">
        <v>2</v>
      </c>
      <c r="K5">
        <f t="shared" ref="K5:K13" si="4">0.002/1000</f>
        <v>1.9999999999999999E-6</v>
      </c>
      <c r="L5">
        <f>SQRT(K5^2 + K5^2 + $C$31^2)/1000</f>
        <v>3.535533905932738E-9</v>
      </c>
      <c r="M5">
        <f t="shared" si="3"/>
        <v>2.0000031249975586E-6</v>
      </c>
      <c r="N5">
        <v>0.1</v>
      </c>
    </row>
    <row r="6" spans="1:14" x14ac:dyDescent="0.3">
      <c r="A6">
        <v>240</v>
      </c>
      <c r="B6">
        <v>5.37</v>
      </c>
      <c r="D6">
        <v>3.4999999999998366E-3</v>
      </c>
      <c r="E6">
        <f t="shared" si="2"/>
        <v>5.3665000000000003</v>
      </c>
      <c r="F6">
        <f t="shared" si="1"/>
        <v>5.3665000000000006E-3</v>
      </c>
      <c r="G6">
        <v>23.1</v>
      </c>
      <c r="H6">
        <f t="shared" si="0"/>
        <v>296.10000000000002</v>
      </c>
      <c r="J6">
        <v>2</v>
      </c>
      <c r="K6">
        <f t="shared" si="4"/>
        <v>1.9999999999999999E-6</v>
      </c>
      <c r="L6">
        <f>SQRT(K6^2 + K6^2 + $C$31^2)/1000</f>
        <v>3.535533905932738E-9</v>
      </c>
      <c r="M6">
        <f t="shared" si="3"/>
        <v>2.0000031249975586E-6</v>
      </c>
      <c r="N6">
        <v>0.1</v>
      </c>
    </row>
    <row r="7" spans="1:14" x14ac:dyDescent="0.3">
      <c r="A7">
        <v>300</v>
      </c>
      <c r="B7">
        <v>5.335</v>
      </c>
      <c r="D7">
        <v>3.4999999999998366E-3</v>
      </c>
      <c r="E7">
        <f t="shared" si="2"/>
        <v>5.3315000000000001</v>
      </c>
      <c r="F7">
        <f t="shared" si="1"/>
        <v>5.3315000000000003E-3</v>
      </c>
      <c r="G7">
        <v>23.1</v>
      </c>
      <c r="H7">
        <f t="shared" si="0"/>
        <v>296.10000000000002</v>
      </c>
      <c r="J7">
        <v>2</v>
      </c>
      <c r="K7">
        <f t="shared" si="4"/>
        <v>1.9999999999999999E-6</v>
      </c>
      <c r="L7">
        <f>SQRT(K7^2 + K7^2 + $C$31^2)/1000</f>
        <v>3.535533905932738E-9</v>
      </c>
      <c r="M7">
        <f t="shared" si="3"/>
        <v>2.0000031249975586E-6</v>
      </c>
      <c r="N7">
        <v>0.1</v>
      </c>
    </row>
    <row r="8" spans="1:14" x14ac:dyDescent="0.3">
      <c r="A8">
        <v>360</v>
      </c>
      <c r="B8">
        <v>5.2960000000000003</v>
      </c>
      <c r="D8">
        <v>3.4999999999998366E-3</v>
      </c>
      <c r="E8">
        <f t="shared" si="2"/>
        <v>5.2925000000000004</v>
      </c>
      <c r="F8">
        <f t="shared" si="1"/>
        <v>5.2925000000000003E-3</v>
      </c>
      <c r="G8">
        <v>23.1</v>
      </c>
      <c r="H8">
        <f t="shared" si="0"/>
        <v>296.10000000000002</v>
      </c>
      <c r="J8">
        <v>2</v>
      </c>
      <c r="K8">
        <f t="shared" si="4"/>
        <v>1.9999999999999999E-6</v>
      </c>
      <c r="L8">
        <f>SQRT(K8^2 + K8^2 + $C$31^2)/1000</f>
        <v>3.535533905932738E-9</v>
      </c>
      <c r="M8">
        <f t="shared" si="3"/>
        <v>2.0000031249975586E-6</v>
      </c>
      <c r="N8">
        <v>0.1</v>
      </c>
    </row>
    <row r="9" spans="1:14" x14ac:dyDescent="0.3">
      <c r="A9">
        <v>420</v>
      </c>
      <c r="B9">
        <v>5.2619999999999996</v>
      </c>
      <c r="D9">
        <v>3.4999999999998366E-3</v>
      </c>
      <c r="E9">
        <f t="shared" si="2"/>
        <v>5.2584999999999997</v>
      </c>
      <c r="F9">
        <f t="shared" si="1"/>
        <v>5.2585000000000002E-3</v>
      </c>
      <c r="G9">
        <v>23.1</v>
      </c>
      <c r="H9">
        <f t="shared" si="0"/>
        <v>296.10000000000002</v>
      </c>
      <c r="J9">
        <v>2</v>
      </c>
      <c r="K9">
        <f t="shared" si="4"/>
        <v>1.9999999999999999E-6</v>
      </c>
      <c r="L9">
        <f>SQRT(K9^2 + K9^2 + $C$31^2)/1000</f>
        <v>3.535533905932738E-9</v>
      </c>
      <c r="M9">
        <f t="shared" si="3"/>
        <v>2.0000031249975586E-6</v>
      </c>
      <c r="N9">
        <v>0.1</v>
      </c>
    </row>
    <row r="10" spans="1:14" x14ac:dyDescent="0.3">
      <c r="A10">
        <v>480</v>
      </c>
      <c r="B10">
        <v>5.2279999999999998</v>
      </c>
      <c r="D10">
        <v>3.4999999999998366E-3</v>
      </c>
      <c r="E10">
        <f t="shared" si="2"/>
        <v>5.2244999999999999</v>
      </c>
      <c r="F10">
        <f t="shared" si="1"/>
        <v>5.2245E-3</v>
      </c>
      <c r="G10">
        <v>23.1</v>
      </c>
      <c r="H10">
        <f t="shared" si="0"/>
        <v>296.10000000000002</v>
      </c>
      <c r="J10">
        <v>2</v>
      </c>
      <c r="K10">
        <f t="shared" si="4"/>
        <v>1.9999999999999999E-6</v>
      </c>
      <c r="L10">
        <f>SQRT(K10^2 + K10^2 + $C$31^2)/1000</f>
        <v>3.535533905932738E-9</v>
      </c>
      <c r="M10">
        <f t="shared" si="3"/>
        <v>2.0000031249975586E-6</v>
      </c>
      <c r="N10">
        <v>0.1</v>
      </c>
    </row>
    <row r="11" spans="1:14" x14ac:dyDescent="0.3">
      <c r="A11">
        <v>540</v>
      </c>
      <c r="B11">
        <v>5.1870000000000003</v>
      </c>
      <c r="D11">
        <v>3.4999999999998366E-3</v>
      </c>
      <c r="E11">
        <f t="shared" si="2"/>
        <v>5.1835000000000004</v>
      </c>
      <c r="F11">
        <f t="shared" si="1"/>
        <v>5.1835000000000006E-3</v>
      </c>
      <c r="G11">
        <v>23.1</v>
      </c>
      <c r="H11">
        <f t="shared" si="0"/>
        <v>296.10000000000002</v>
      </c>
      <c r="J11">
        <v>2</v>
      </c>
      <c r="K11">
        <f t="shared" si="4"/>
        <v>1.9999999999999999E-6</v>
      </c>
      <c r="L11">
        <f>SQRT(K11^2 + K11^2 + $C$31^2)/1000</f>
        <v>3.535533905932738E-9</v>
      </c>
      <c r="M11">
        <f t="shared" si="3"/>
        <v>2.0000031249975586E-6</v>
      </c>
      <c r="N11">
        <v>0.1</v>
      </c>
    </row>
    <row r="12" spans="1:14" x14ac:dyDescent="0.3">
      <c r="A12">
        <v>600</v>
      </c>
      <c r="B12">
        <v>5.1559999999999997</v>
      </c>
      <c r="D12">
        <v>3.4999999999998366E-3</v>
      </c>
      <c r="E12">
        <f t="shared" si="2"/>
        <v>5.1524999999999999</v>
      </c>
      <c r="F12">
        <f t="shared" si="1"/>
        <v>5.1525E-3</v>
      </c>
      <c r="G12">
        <v>23.1</v>
      </c>
      <c r="H12">
        <f t="shared" si="0"/>
        <v>296.10000000000002</v>
      </c>
      <c r="J12">
        <v>2</v>
      </c>
      <c r="K12">
        <f t="shared" si="4"/>
        <v>1.9999999999999999E-6</v>
      </c>
      <c r="L12">
        <f>SQRT(K12^2 + K12^2 + $C$31^2)/1000</f>
        <v>3.535533905932738E-9</v>
      </c>
      <c r="M12">
        <f t="shared" si="3"/>
        <v>2.0000031249975586E-6</v>
      </c>
      <c r="N12">
        <v>0.1</v>
      </c>
    </row>
    <row r="13" spans="1:14" x14ac:dyDescent="0.3">
      <c r="A13">
        <v>660</v>
      </c>
      <c r="B13">
        <v>5.1269999999999998</v>
      </c>
      <c r="D13">
        <v>3.4999999999998366E-3</v>
      </c>
      <c r="E13">
        <f t="shared" si="2"/>
        <v>5.1234999999999999</v>
      </c>
      <c r="F13">
        <f>E13/1000</f>
        <v>5.1234999999999996E-3</v>
      </c>
      <c r="G13">
        <v>23.1</v>
      </c>
      <c r="H13">
        <f t="shared" si="0"/>
        <v>296.10000000000002</v>
      </c>
      <c r="J13">
        <v>2</v>
      </c>
      <c r="K13">
        <f t="shared" si="4"/>
        <v>1.9999999999999999E-6</v>
      </c>
      <c r="L13">
        <f>SQRT(K13^2 + K13^2 + $C$31^2)/1000</f>
        <v>3.535533905932738E-9</v>
      </c>
      <c r="M13">
        <f t="shared" si="3"/>
        <v>2.0000031249975586E-6</v>
      </c>
      <c r="N13">
        <v>0.1</v>
      </c>
    </row>
    <row r="14" spans="1:14" x14ac:dyDescent="0.3">
      <c r="A14">
        <v>660</v>
      </c>
      <c r="C14">
        <v>10.907999999999999</v>
      </c>
      <c r="D14">
        <v>3.4999999999998366E-3</v>
      </c>
      <c r="E14" s="1">
        <f>C14-$C$29-D14</f>
        <v>5.1209999999999996</v>
      </c>
      <c r="F14" s="2">
        <f t="shared" ref="F14:F22" si="5">E14/1000</f>
        <v>5.1209999999999997E-3</v>
      </c>
      <c r="G14">
        <v>23.1</v>
      </c>
      <c r="H14">
        <f t="shared" si="0"/>
        <v>296.10000000000002</v>
      </c>
      <c r="J14">
        <v>2</v>
      </c>
      <c r="K14">
        <f>0.003/1000</f>
        <v>3.0000000000000001E-6</v>
      </c>
      <c r="L14">
        <f>SQRT(K14^2 + K14^2 + $C$31^2)/1000</f>
        <v>4.7434164902525693E-9</v>
      </c>
      <c r="M14">
        <f>SQRT(K14^2 + L14^2 + $C$31^2)</f>
        <v>3.67423767603567E-6</v>
      </c>
      <c r="N14">
        <v>0.1</v>
      </c>
    </row>
    <row r="15" spans="1:14" x14ac:dyDescent="0.3">
      <c r="A15">
        <v>720</v>
      </c>
      <c r="C15" s="1">
        <v>10.904999999999999</v>
      </c>
      <c r="D15">
        <v>3.4999999999998366E-3</v>
      </c>
      <c r="E15" s="1">
        <f>C15-$C$29-D15</f>
        <v>5.1179999999999994</v>
      </c>
      <c r="F15" s="2">
        <f t="shared" si="5"/>
        <v>5.1179999999999993E-3</v>
      </c>
      <c r="G15">
        <v>23.1</v>
      </c>
      <c r="H15">
        <f t="shared" si="0"/>
        <v>296.10000000000002</v>
      </c>
      <c r="J15">
        <v>2</v>
      </c>
      <c r="K15">
        <f t="shared" ref="K15:K23" si="6">0.002/1000</f>
        <v>1.9999999999999999E-6</v>
      </c>
      <c r="L15">
        <f>SQRT(K15^2 + K15^2 + $C$31^2)/1000</f>
        <v>3.535533905932738E-9</v>
      </c>
      <c r="M15">
        <f>SQRT(K15^2 + L15^2 + $C$31^2)</f>
        <v>2.9154780911541766E-6</v>
      </c>
      <c r="N15">
        <v>0.1</v>
      </c>
    </row>
    <row r="16" spans="1:14" x14ac:dyDescent="0.3">
      <c r="A16">
        <v>780</v>
      </c>
      <c r="C16" s="1">
        <v>10.903499999999999</v>
      </c>
      <c r="D16">
        <v>3.4999999999998366E-3</v>
      </c>
      <c r="E16" s="1">
        <f>C16-$C$29-D16</f>
        <v>5.1164999999999994</v>
      </c>
      <c r="F16" s="2">
        <f t="shared" si="5"/>
        <v>5.1164999999999995E-3</v>
      </c>
      <c r="G16">
        <v>23.1</v>
      </c>
      <c r="H16">
        <f t="shared" ref="H16:H23" si="7" xml:space="preserve"> 273 + G16</f>
        <v>296.10000000000002</v>
      </c>
      <c r="J16">
        <v>2</v>
      </c>
      <c r="K16">
        <f t="shared" si="6"/>
        <v>1.9999999999999999E-6</v>
      </c>
      <c r="L16">
        <f>SQRT(K16^2 + K16^2 + $C$31^2)/1000</f>
        <v>3.535533905932738E-9</v>
      </c>
      <c r="M16">
        <f>SQRT(K16^2 + L16^2 + $C$31^2)</f>
        <v>2.9154780911541766E-6</v>
      </c>
      <c r="N16">
        <v>0.1</v>
      </c>
    </row>
    <row r="17" spans="1:14" x14ac:dyDescent="0.3">
      <c r="A17">
        <v>840</v>
      </c>
      <c r="C17" s="2">
        <v>10.901999999999999</v>
      </c>
      <c r="D17">
        <v>3.4999999999998366E-3</v>
      </c>
      <c r="E17" s="1">
        <f>C17-$C$29-D17</f>
        <v>5.1149999999999993</v>
      </c>
      <c r="F17" s="2">
        <f t="shared" si="5"/>
        <v>5.1149999999999998E-3</v>
      </c>
      <c r="G17">
        <v>23.1</v>
      </c>
      <c r="H17">
        <f t="shared" si="7"/>
        <v>296.10000000000002</v>
      </c>
      <c r="J17">
        <v>2</v>
      </c>
      <c r="K17">
        <f t="shared" si="6"/>
        <v>1.9999999999999999E-6</v>
      </c>
      <c r="L17">
        <f>SQRT(K17^2 + K17^2 + $C$31^2)/1000</f>
        <v>3.535533905932738E-9</v>
      </c>
      <c r="M17">
        <f>SQRT(K17^2 + L17^2 + $C$31^2)</f>
        <v>2.9154780911541766E-6</v>
      </c>
      <c r="N17">
        <v>0.1</v>
      </c>
    </row>
    <row r="18" spans="1:14" x14ac:dyDescent="0.3">
      <c r="A18">
        <v>900</v>
      </c>
      <c r="C18" s="2">
        <v>10.9</v>
      </c>
      <c r="D18">
        <v>3.4999999999998366E-3</v>
      </c>
      <c r="E18" s="1">
        <f>C18-$C$29-D18</f>
        <v>5.1130000000000004</v>
      </c>
      <c r="F18" s="2">
        <f t="shared" si="5"/>
        <v>5.1130000000000004E-3</v>
      </c>
      <c r="G18">
        <v>23.1</v>
      </c>
      <c r="H18">
        <f t="shared" si="7"/>
        <v>296.10000000000002</v>
      </c>
      <c r="J18">
        <v>2</v>
      </c>
      <c r="K18">
        <f t="shared" si="6"/>
        <v>1.9999999999999999E-6</v>
      </c>
      <c r="L18">
        <f>SQRT(K18^2 + K18^2 + $C$31^2)/1000</f>
        <v>3.535533905932738E-9</v>
      </c>
      <c r="M18">
        <f>SQRT(K18^2 + L18^2 + $C$31^2)</f>
        <v>2.9154780911541766E-6</v>
      </c>
      <c r="N18">
        <v>0.1</v>
      </c>
    </row>
    <row r="19" spans="1:14" x14ac:dyDescent="0.3">
      <c r="A19">
        <v>960</v>
      </c>
      <c r="C19" s="2">
        <v>10.898999999999999</v>
      </c>
      <c r="D19">
        <v>3.4999999999998366E-3</v>
      </c>
      <c r="E19" s="1">
        <f>C19-$C$29-D19</f>
        <v>5.1119999999999992</v>
      </c>
      <c r="F19" s="2">
        <f t="shared" si="5"/>
        <v>5.1119999999999994E-3</v>
      </c>
      <c r="G19">
        <v>23.1</v>
      </c>
      <c r="H19">
        <f t="shared" si="7"/>
        <v>296.10000000000002</v>
      </c>
      <c r="J19">
        <v>2</v>
      </c>
      <c r="K19">
        <f t="shared" si="6"/>
        <v>1.9999999999999999E-6</v>
      </c>
      <c r="L19">
        <f>SQRT(K19^2 + K19^2 + $C$31^2)/1000</f>
        <v>3.535533905932738E-9</v>
      </c>
      <c r="M19">
        <f>SQRT(K19^2 + L19^2 + $C$31^2)</f>
        <v>2.9154780911541766E-6</v>
      </c>
      <c r="N19">
        <v>0.1</v>
      </c>
    </row>
    <row r="20" spans="1:14" x14ac:dyDescent="0.3">
      <c r="A20">
        <v>1020</v>
      </c>
      <c r="C20" s="2">
        <v>10.891999999999999</v>
      </c>
      <c r="D20">
        <v>3.4999999999998366E-3</v>
      </c>
      <c r="E20" s="1">
        <f>C20-$C$29-D20</f>
        <v>5.1049999999999995</v>
      </c>
      <c r="F20" s="2">
        <f t="shared" si="5"/>
        <v>5.1049999999999993E-3</v>
      </c>
      <c r="G20">
        <v>23.2</v>
      </c>
      <c r="H20">
        <f t="shared" si="7"/>
        <v>296.2</v>
      </c>
      <c r="J20">
        <v>2</v>
      </c>
      <c r="K20">
        <f t="shared" si="6"/>
        <v>1.9999999999999999E-6</v>
      </c>
      <c r="L20">
        <f>SQRT(K20^2 + K20^2 + $C$31^2)/1000</f>
        <v>3.535533905932738E-9</v>
      </c>
      <c r="M20">
        <f>SQRT(K20^2 + L20^2 + $C$31^2)</f>
        <v>2.9154780911541766E-6</v>
      </c>
      <c r="N20">
        <v>0.1</v>
      </c>
    </row>
    <row r="21" spans="1:14" x14ac:dyDescent="0.3">
      <c r="A21">
        <v>1080</v>
      </c>
      <c r="C21" s="2">
        <v>10.896000000000001</v>
      </c>
      <c r="D21">
        <v>3.4999999999998366E-3</v>
      </c>
      <c r="E21" s="1">
        <f>C21-$C$29-D21</f>
        <v>5.1090000000000009</v>
      </c>
      <c r="F21" s="2">
        <f t="shared" si="5"/>
        <v>5.1090000000000007E-3</v>
      </c>
      <c r="G21">
        <v>23.2</v>
      </c>
      <c r="H21">
        <f t="shared" si="7"/>
        <v>296.2</v>
      </c>
      <c r="J21">
        <v>2</v>
      </c>
      <c r="K21">
        <f t="shared" si="6"/>
        <v>1.9999999999999999E-6</v>
      </c>
      <c r="L21">
        <f>SQRT(K21^2 + K21^2 + $C$31^2)/1000</f>
        <v>3.535533905932738E-9</v>
      </c>
      <c r="M21">
        <f>SQRT(K21^2 + L21^2 + $C$31^2)</f>
        <v>2.9154780911541766E-6</v>
      </c>
      <c r="N21">
        <v>0.1</v>
      </c>
    </row>
    <row r="22" spans="1:14" x14ac:dyDescent="0.3">
      <c r="A22">
        <v>1140</v>
      </c>
      <c r="C22" s="2">
        <v>10.893000000000001</v>
      </c>
      <c r="D22">
        <v>3.4999999999998366E-3</v>
      </c>
      <c r="E22" s="1">
        <f>C22-$C$29-D22</f>
        <v>5.1060000000000008</v>
      </c>
      <c r="F22" s="2">
        <f t="shared" si="5"/>
        <v>5.1060000000000012E-3</v>
      </c>
      <c r="G22">
        <v>23.2</v>
      </c>
      <c r="H22">
        <f t="shared" si="7"/>
        <v>296.2</v>
      </c>
      <c r="J22">
        <v>2</v>
      </c>
      <c r="K22">
        <f t="shared" si="6"/>
        <v>1.9999999999999999E-6</v>
      </c>
      <c r="L22">
        <f>SQRT(K22^2 + K22^2 + $C$31^2)/1000</f>
        <v>3.535533905932738E-9</v>
      </c>
      <c r="M22">
        <f>SQRT(K22^2 + L22^2 + $C$31^2)</f>
        <v>2.9154780911541766E-6</v>
      </c>
      <c r="N22">
        <v>0.1</v>
      </c>
    </row>
    <row r="23" spans="1:14" x14ac:dyDescent="0.3">
      <c r="A23">
        <v>1200</v>
      </c>
      <c r="C23" s="2">
        <v>10.891</v>
      </c>
      <c r="D23">
        <v>3.4999999999998366E-3</v>
      </c>
      <c r="E23" s="1">
        <f>C23-$C$29-D23</f>
        <v>5.1040000000000001</v>
      </c>
      <c r="F23" s="2">
        <f>E23/1000</f>
        <v>5.104E-3</v>
      </c>
      <c r="G23">
        <v>23.2</v>
      </c>
      <c r="H23">
        <f t="shared" si="7"/>
        <v>296.2</v>
      </c>
      <c r="J23">
        <v>2</v>
      </c>
      <c r="K23">
        <f t="shared" si="6"/>
        <v>1.9999999999999999E-6</v>
      </c>
      <c r="L23">
        <f>SQRT(K23^2 + K23^2 + $C$31^2)/1000</f>
        <v>3.535533905932738E-9</v>
      </c>
      <c r="M23">
        <f>SQRT(K23^2 + L23^2 + $C$31^2)</f>
        <v>2.9154780911541766E-6</v>
      </c>
      <c r="N23">
        <v>0.1</v>
      </c>
    </row>
    <row r="24" spans="1:14" x14ac:dyDescent="0.3">
      <c r="D24" t="s">
        <v>15</v>
      </c>
      <c r="E24" s="2">
        <f>AVERAGE(E14:E19, E21:E23)</f>
        <v>5.1127222222222217</v>
      </c>
      <c r="F24" s="2">
        <f>E24/1000</f>
        <v>5.1127222222222216E-3</v>
      </c>
      <c r="G24" t="s">
        <v>25</v>
      </c>
      <c r="H24">
        <f>M23 * SQRT(9) / 9</f>
        <v>9.7182603038472547E-7</v>
      </c>
    </row>
    <row r="25" spans="1:14" x14ac:dyDescent="0.3">
      <c r="E25" t="s">
        <v>54</v>
      </c>
      <c r="L25" t="s">
        <v>40</v>
      </c>
    </row>
    <row r="27" spans="1:14" x14ac:dyDescent="0.3">
      <c r="A27" t="s">
        <v>2</v>
      </c>
      <c r="E27" t="s">
        <v>23</v>
      </c>
      <c r="F27">
        <f>-K54</f>
        <v>6.0686174877519599E-7</v>
      </c>
      <c r="G27">
        <f>L54</f>
        <v>3.6220349771966249E-9</v>
      </c>
      <c r="J27" t="s">
        <v>11</v>
      </c>
    </row>
    <row r="28" spans="1:14" x14ac:dyDescent="0.3">
      <c r="A28" t="s">
        <v>13</v>
      </c>
      <c r="B28" t="s">
        <v>14</v>
      </c>
      <c r="C28" t="s">
        <v>15</v>
      </c>
      <c r="E28" t="s">
        <v>24</v>
      </c>
      <c r="F28">
        <f>F13-F24</f>
        <v>1.0777777777777955E-5</v>
      </c>
      <c r="G28">
        <f xml:space="preserve"> SQRT(M13^2 + H24^2)</f>
        <v>2.2236138004008997E-6</v>
      </c>
    </row>
    <row r="29" spans="1:14" x14ac:dyDescent="0.3">
      <c r="A29">
        <v>5.7830000000000004</v>
      </c>
      <c r="B29">
        <v>5.7839999999999998</v>
      </c>
      <c r="C29">
        <f>AVERAGE(A29:B29)</f>
        <v>5.7835000000000001</v>
      </c>
      <c r="E29" t="s">
        <v>26</v>
      </c>
      <c r="F29">
        <f xml:space="preserve"> (2 * F28 * A33)/F27</f>
        <v>348.3294000907581</v>
      </c>
      <c r="G29">
        <f>F29*SQRT((G28/F28)^2+(G27/F27)^2)</f>
        <v>71.895534845832273</v>
      </c>
    </row>
    <row r="30" spans="1:14" x14ac:dyDescent="0.3">
      <c r="A30" t="s">
        <v>17</v>
      </c>
      <c r="B30" t="s">
        <v>18</v>
      </c>
      <c r="C30" t="s">
        <v>27</v>
      </c>
      <c r="E30" t="s">
        <v>5</v>
      </c>
    </row>
    <row r="31" spans="1:14" x14ac:dyDescent="0.3">
      <c r="A31">
        <v>3.0000000000000001E-3</v>
      </c>
      <c r="B31">
        <v>3.0000000000000001E-3</v>
      </c>
      <c r="C31">
        <f>B31*SQRT(2)/(2*1000)</f>
        <v>2.1213203435596428E-6</v>
      </c>
      <c r="E31" t="s">
        <v>52</v>
      </c>
      <c r="F31">
        <f>60.1/1000</f>
        <v>6.0100000000000001E-2</v>
      </c>
      <c r="G31">
        <v>5.0000000000000001E-4</v>
      </c>
    </row>
    <row r="32" spans="1:14" x14ac:dyDescent="0.3">
      <c r="A32" t="s">
        <v>4</v>
      </c>
      <c r="E32" t="s">
        <v>8</v>
      </c>
      <c r="F32">
        <v>8.3144626180000003</v>
      </c>
    </row>
    <row r="33" spans="1:17" x14ac:dyDescent="0.3">
      <c r="A33">
        <v>9.8066499999999994</v>
      </c>
      <c r="E33" t="s">
        <v>28</v>
      </c>
      <c r="F33">
        <f>AVERAGE(H3:H23)</f>
        <v>296.11904761904759</v>
      </c>
      <c r="G33">
        <f xml:space="preserve"> N2 * SQRT(21)/21</f>
        <v>2.1821789023599238E-2</v>
      </c>
    </row>
    <row r="34" spans="1:17" x14ac:dyDescent="0.3">
      <c r="E34" t="s">
        <v>26</v>
      </c>
      <c r="F34">
        <f>(4 / SQRT(2 * PI())) * SQRT((F32 * F33) / F31)</f>
        <v>322.98554457657019</v>
      </c>
      <c r="G34">
        <f>F34*SQRT((G33/F33)^2 + (G31/F31)^2)</f>
        <v>2.6871731722403216</v>
      </c>
    </row>
    <row r="37" spans="1:17" x14ac:dyDescent="0.3">
      <c r="G37" t="s">
        <v>53</v>
      </c>
    </row>
    <row r="39" spans="1:17" x14ac:dyDescent="0.3">
      <c r="G39" t="s">
        <v>29</v>
      </c>
      <c r="H39" t="s">
        <v>30</v>
      </c>
      <c r="I39" t="s">
        <v>31</v>
      </c>
      <c r="J39" t="s">
        <v>32</v>
      </c>
      <c r="K39" t="s">
        <v>33</v>
      </c>
      <c r="L39" t="s">
        <v>34</v>
      </c>
      <c r="M39" t="s">
        <v>35</v>
      </c>
      <c r="N39" t="s">
        <v>36</v>
      </c>
      <c r="O39" t="s">
        <v>37</v>
      </c>
      <c r="P39" t="s">
        <v>38</v>
      </c>
      <c r="Q39" t="s">
        <v>39</v>
      </c>
    </row>
    <row r="40" spans="1:17" x14ac:dyDescent="0.3">
      <c r="G40">
        <f>A3</f>
        <v>60</v>
      </c>
      <c r="H40">
        <f>F3</f>
        <v>5.4885000000000003E-3</v>
      </c>
      <c r="I40">
        <f>G40^2</f>
        <v>3600</v>
      </c>
      <c r="J40">
        <f>G40*H40</f>
        <v>0.32930999999999999</v>
      </c>
      <c r="K40">
        <f>M2</f>
        <v>3.0000000000000001E-6</v>
      </c>
      <c r="L40">
        <f>J2</f>
        <v>2</v>
      </c>
      <c r="M40">
        <f>1/K40^2</f>
        <v>111111111111.1111</v>
      </c>
      <c r="N40">
        <f>M40*G40</f>
        <v>6666666666666.666</v>
      </c>
      <c r="O40">
        <f>M40*H40</f>
        <v>609833333.33333325</v>
      </c>
      <c r="P40">
        <f>M40*G40*H40</f>
        <v>36590000000</v>
      </c>
      <c r="Q40">
        <f>M40*I40</f>
        <v>399999999999999.94</v>
      </c>
    </row>
    <row r="41" spans="1:17" x14ac:dyDescent="0.3">
      <c r="G41">
        <f t="shared" ref="G41:G50" si="8">A4</f>
        <v>120</v>
      </c>
      <c r="H41">
        <f t="shared" ref="H41:H50" si="9">F4</f>
        <v>5.4495000000000004E-3</v>
      </c>
      <c r="I41">
        <f t="shared" ref="I41:I50" si="10">G41^2</f>
        <v>14400</v>
      </c>
      <c r="J41">
        <f t="shared" ref="J41:J50" si="11">G41*H41</f>
        <v>0.65394000000000008</v>
      </c>
      <c r="K41">
        <f t="shared" ref="K41:K50" si="12">M3</f>
        <v>3.0000037499976566E-6</v>
      </c>
      <c r="L41">
        <f t="shared" ref="L41:L50" si="13">J3</f>
        <v>2</v>
      </c>
      <c r="M41">
        <f t="shared" ref="M41:M50" si="14">1/K41^2</f>
        <v>111110833334.02776</v>
      </c>
      <c r="N41">
        <f t="shared" ref="N41:N50" si="15">M41*G41</f>
        <v>13333300000083.33</v>
      </c>
      <c r="O41">
        <f t="shared" ref="O41:O50" si="16">M41*H41</f>
        <v>605498486.2537843</v>
      </c>
      <c r="P41">
        <f t="shared" ref="P41:P50" si="17">M41*G41*H41</f>
        <v>72659818350.454117</v>
      </c>
      <c r="Q41">
        <f t="shared" ref="Q41:Q50" si="18">M41*I41</f>
        <v>1599996000009999.8</v>
      </c>
    </row>
    <row r="42" spans="1:17" x14ac:dyDescent="0.3">
      <c r="G42">
        <f t="shared" si="8"/>
        <v>180</v>
      </c>
      <c r="H42">
        <f t="shared" si="9"/>
        <v>5.4085000000000001E-3</v>
      </c>
      <c r="I42">
        <f t="shared" si="10"/>
        <v>32400</v>
      </c>
      <c r="J42">
        <f t="shared" si="11"/>
        <v>0.97353000000000001</v>
      </c>
      <c r="K42">
        <f t="shared" si="12"/>
        <v>2.0000031249975586E-6</v>
      </c>
      <c r="L42">
        <f t="shared" si="13"/>
        <v>2</v>
      </c>
      <c r="M42">
        <f t="shared" si="14"/>
        <v>249999218752.44141</v>
      </c>
      <c r="N42">
        <f t="shared" si="15"/>
        <v>44999859375439.453</v>
      </c>
      <c r="O42">
        <f t="shared" si="16"/>
        <v>1352120774.6225793</v>
      </c>
      <c r="P42">
        <f t="shared" si="17"/>
        <v>243381739432.0643</v>
      </c>
      <c r="Q42">
        <f t="shared" si="18"/>
        <v>8099974687579102</v>
      </c>
    </row>
    <row r="43" spans="1:17" x14ac:dyDescent="0.3">
      <c r="G43">
        <f t="shared" si="8"/>
        <v>240</v>
      </c>
      <c r="H43">
        <f t="shared" si="9"/>
        <v>5.3665000000000006E-3</v>
      </c>
      <c r="I43">
        <f t="shared" si="10"/>
        <v>57600</v>
      </c>
      <c r="J43">
        <f t="shared" si="11"/>
        <v>1.2879600000000002</v>
      </c>
      <c r="K43">
        <f t="shared" si="12"/>
        <v>2.0000031249975586E-6</v>
      </c>
      <c r="L43">
        <f t="shared" si="13"/>
        <v>2</v>
      </c>
      <c r="M43">
        <f t="shared" si="14"/>
        <v>249999218752.44141</v>
      </c>
      <c r="N43">
        <f t="shared" si="15"/>
        <v>59999812500585.938</v>
      </c>
      <c r="O43">
        <f t="shared" si="16"/>
        <v>1341620807.4349771</v>
      </c>
      <c r="P43">
        <f t="shared" si="17"/>
        <v>321988993784.39447</v>
      </c>
      <c r="Q43">
        <f t="shared" si="18"/>
        <v>1.4399955000140624E+16</v>
      </c>
    </row>
    <row r="44" spans="1:17" x14ac:dyDescent="0.3">
      <c r="G44">
        <f t="shared" si="8"/>
        <v>300</v>
      </c>
      <c r="H44">
        <f t="shared" si="9"/>
        <v>5.3315000000000003E-3</v>
      </c>
      <c r="I44">
        <f t="shared" si="10"/>
        <v>90000</v>
      </c>
      <c r="J44">
        <f t="shared" si="11"/>
        <v>1.59945</v>
      </c>
      <c r="K44">
        <f t="shared" si="12"/>
        <v>2.0000031249975586E-6</v>
      </c>
      <c r="L44">
        <f t="shared" si="13"/>
        <v>2</v>
      </c>
      <c r="M44">
        <f t="shared" si="14"/>
        <v>249999218752.44141</v>
      </c>
      <c r="N44">
        <f t="shared" si="15"/>
        <v>74999765625732.422</v>
      </c>
      <c r="O44">
        <f t="shared" si="16"/>
        <v>1332870834.7786415</v>
      </c>
      <c r="P44">
        <f t="shared" si="17"/>
        <v>399861250433.59241</v>
      </c>
      <c r="Q44">
        <f t="shared" si="18"/>
        <v>2.2499929687719728E+16</v>
      </c>
    </row>
    <row r="45" spans="1:17" x14ac:dyDescent="0.3">
      <c r="G45">
        <f t="shared" si="8"/>
        <v>360</v>
      </c>
      <c r="H45">
        <f t="shared" si="9"/>
        <v>5.2925000000000003E-3</v>
      </c>
      <c r="I45">
        <f t="shared" si="10"/>
        <v>129600</v>
      </c>
      <c r="J45">
        <f t="shared" si="11"/>
        <v>1.9053000000000002</v>
      </c>
      <c r="K45">
        <f t="shared" si="12"/>
        <v>2.0000031249975586E-6</v>
      </c>
      <c r="L45">
        <f t="shared" si="13"/>
        <v>2</v>
      </c>
      <c r="M45">
        <f t="shared" si="14"/>
        <v>249999218752.44141</v>
      </c>
      <c r="N45">
        <f t="shared" si="15"/>
        <v>89999718750878.906</v>
      </c>
      <c r="O45">
        <f t="shared" si="16"/>
        <v>1323120865.2472963</v>
      </c>
      <c r="P45">
        <f t="shared" si="17"/>
        <v>476323511489.02661</v>
      </c>
      <c r="Q45">
        <f t="shared" si="18"/>
        <v>3.2399898750316408E+16</v>
      </c>
    </row>
    <row r="46" spans="1:17" x14ac:dyDescent="0.3">
      <c r="G46">
        <f t="shared" si="8"/>
        <v>420</v>
      </c>
      <c r="H46">
        <f t="shared" si="9"/>
        <v>5.2585000000000002E-3</v>
      </c>
      <c r="I46">
        <f t="shared" si="10"/>
        <v>176400</v>
      </c>
      <c r="J46">
        <f t="shared" si="11"/>
        <v>2.2085699999999999</v>
      </c>
      <c r="K46">
        <f t="shared" si="12"/>
        <v>2.0000031249975586E-6</v>
      </c>
      <c r="L46">
        <f t="shared" si="13"/>
        <v>2</v>
      </c>
      <c r="M46">
        <f t="shared" si="14"/>
        <v>249999218752.44141</v>
      </c>
      <c r="N46">
        <f t="shared" si="15"/>
        <v>104999671876025.39</v>
      </c>
      <c r="O46">
        <f t="shared" si="16"/>
        <v>1314620891.8097131</v>
      </c>
      <c r="P46">
        <f t="shared" si="17"/>
        <v>552140774560.07959</v>
      </c>
      <c r="Q46">
        <f t="shared" si="18"/>
        <v>4.4099862187930664E+16</v>
      </c>
    </row>
    <row r="47" spans="1:17" x14ac:dyDescent="0.3">
      <c r="G47">
        <f t="shared" si="8"/>
        <v>480</v>
      </c>
      <c r="H47">
        <f t="shared" si="9"/>
        <v>5.2245E-3</v>
      </c>
      <c r="I47">
        <f t="shared" si="10"/>
        <v>230400</v>
      </c>
      <c r="J47">
        <f t="shared" si="11"/>
        <v>2.5077600000000002</v>
      </c>
      <c r="K47">
        <f t="shared" si="12"/>
        <v>2.0000031249975586E-6</v>
      </c>
      <c r="L47">
        <f t="shared" si="13"/>
        <v>2</v>
      </c>
      <c r="M47">
        <f t="shared" si="14"/>
        <v>249999218752.44141</v>
      </c>
      <c r="N47">
        <f t="shared" si="15"/>
        <v>119999625001171.88</v>
      </c>
      <c r="O47">
        <f t="shared" si="16"/>
        <v>1306120918.3721302</v>
      </c>
      <c r="P47">
        <f t="shared" si="17"/>
        <v>626938040818.62244</v>
      </c>
      <c r="Q47">
        <f t="shared" si="18"/>
        <v>5.7599820000562496E+16</v>
      </c>
    </row>
    <row r="48" spans="1:17" x14ac:dyDescent="0.3">
      <c r="G48">
        <f t="shared" si="8"/>
        <v>540</v>
      </c>
      <c r="H48">
        <f t="shared" si="9"/>
        <v>5.1835000000000006E-3</v>
      </c>
      <c r="I48">
        <f t="shared" si="10"/>
        <v>291600</v>
      </c>
      <c r="J48">
        <f t="shared" si="11"/>
        <v>2.7990900000000005</v>
      </c>
      <c r="K48">
        <f t="shared" si="12"/>
        <v>2.0000031249975586E-6</v>
      </c>
      <c r="L48">
        <f t="shared" si="13"/>
        <v>2</v>
      </c>
      <c r="M48">
        <f t="shared" si="14"/>
        <v>249999218752.44141</v>
      </c>
      <c r="N48">
        <f t="shared" si="15"/>
        <v>134999578126318.36</v>
      </c>
      <c r="O48">
        <f t="shared" si="16"/>
        <v>1295870950.4032803</v>
      </c>
      <c r="P48">
        <f t="shared" si="17"/>
        <v>699770313217.77124</v>
      </c>
      <c r="Q48">
        <f t="shared" si="18"/>
        <v>7.289977218821192E+16</v>
      </c>
    </row>
    <row r="49" spans="7:17" x14ac:dyDescent="0.3">
      <c r="G49">
        <f t="shared" si="8"/>
        <v>600</v>
      </c>
      <c r="H49">
        <f t="shared" si="9"/>
        <v>5.1525E-3</v>
      </c>
      <c r="I49">
        <f t="shared" si="10"/>
        <v>360000</v>
      </c>
      <c r="J49">
        <f t="shared" si="11"/>
        <v>3.0914999999999999</v>
      </c>
      <c r="K49">
        <f t="shared" si="12"/>
        <v>2.0000031249975586E-6</v>
      </c>
      <c r="L49">
        <f t="shared" si="13"/>
        <v>2</v>
      </c>
      <c r="M49">
        <f t="shared" si="14"/>
        <v>249999218752.44141</v>
      </c>
      <c r="N49">
        <f t="shared" si="15"/>
        <v>149999531251464.84</v>
      </c>
      <c r="O49">
        <f t="shared" si="16"/>
        <v>1288120974.6219544</v>
      </c>
      <c r="P49">
        <f t="shared" si="17"/>
        <v>772872584773.17261</v>
      </c>
      <c r="Q49">
        <f t="shared" si="18"/>
        <v>8.9999718750878912E+16</v>
      </c>
    </row>
    <row r="50" spans="7:17" x14ac:dyDescent="0.3">
      <c r="G50">
        <f t="shared" si="8"/>
        <v>660</v>
      </c>
      <c r="H50">
        <f t="shared" si="9"/>
        <v>5.1234999999999996E-3</v>
      </c>
      <c r="I50">
        <f t="shared" si="10"/>
        <v>435600</v>
      </c>
      <c r="J50">
        <f t="shared" si="11"/>
        <v>3.3815099999999996</v>
      </c>
      <c r="K50">
        <f t="shared" si="12"/>
        <v>2.0000031249975586E-6</v>
      </c>
      <c r="L50">
        <f t="shared" si="13"/>
        <v>2</v>
      </c>
      <c r="M50">
        <f t="shared" si="14"/>
        <v>249999218752.44141</v>
      </c>
      <c r="N50">
        <f t="shared" si="15"/>
        <v>164999484376611.31</v>
      </c>
      <c r="O50">
        <f t="shared" si="16"/>
        <v>1280870997.2781334</v>
      </c>
      <c r="P50">
        <f t="shared" si="17"/>
        <v>845374858203.56799</v>
      </c>
      <c r="Q50">
        <f t="shared" si="18"/>
        <v>1.0889965968856347E+17</v>
      </c>
    </row>
    <row r="52" spans="7:17" x14ac:dyDescent="0.3">
      <c r="G52" t="s">
        <v>41</v>
      </c>
      <c r="H52">
        <v>11</v>
      </c>
      <c r="K52" t="s">
        <v>42</v>
      </c>
      <c r="L52" t="s">
        <v>43</v>
      </c>
    </row>
    <row r="53" spans="7:17" x14ac:dyDescent="0.3">
      <c r="G53" t="s">
        <v>44</v>
      </c>
      <c r="H53">
        <f>SUM(N40:N50)</f>
        <v>964997013550978.5</v>
      </c>
      <c r="J53" t="s">
        <v>45</v>
      </c>
      <c r="K53">
        <f>H57*H54 - H53^2</f>
        <v>1.8844340465044714E+29</v>
      </c>
    </row>
    <row r="54" spans="7:17" x14ac:dyDescent="0.3">
      <c r="G54" t="s">
        <v>46</v>
      </c>
      <c r="H54">
        <f>SUM(Q40:Q50)</f>
        <v>4.5289858694191328E+17</v>
      </c>
      <c r="J54" t="s">
        <v>47</v>
      </c>
      <c r="K54">
        <f>(H57*H56 - H53*H55)/K53</f>
        <v>-6.0686174877519599E-7</v>
      </c>
      <c r="L54">
        <f>SQRT(H57/K53)</f>
        <v>3.6220349771966249E-9</v>
      </c>
    </row>
    <row r="55" spans="7:17" x14ac:dyDescent="0.3">
      <c r="G55" t="s">
        <v>48</v>
      </c>
      <c r="H55">
        <f>SUM(O40:O50)</f>
        <v>13050669834.155823</v>
      </c>
      <c r="J55" t="s">
        <v>49</v>
      </c>
      <c r="K55">
        <f>(H54*H55 - H53*H56)/K53</f>
        <v>5.5158188458693524E-3</v>
      </c>
      <c r="L55">
        <f>SQRT(H54/K53)</f>
        <v>1.5502795269733885E-6</v>
      </c>
    </row>
    <row r="56" spans="7:17" x14ac:dyDescent="0.3">
      <c r="G56" t="s">
        <v>50</v>
      </c>
      <c r="H56">
        <f>SUM(P40:P50)</f>
        <v>5047901885062.7461</v>
      </c>
    </row>
    <row r="57" spans="7:17" x14ac:dyDescent="0.3">
      <c r="G57" t="s">
        <v>51</v>
      </c>
      <c r="H57">
        <f>SUM(M40:M50)</f>
        <v>2472214913217.1113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alejandrosalazar</dc:creator>
  <cp:lastModifiedBy>alejandrosalazar</cp:lastModifiedBy>
  <dcterms:created xsi:type="dcterms:W3CDTF">2020-07-15T05:58:32Z</dcterms:created>
  <dcterms:modified xsi:type="dcterms:W3CDTF">2020-08-04T07:39:56Z</dcterms:modified>
</cp:coreProperties>
</file>