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Work\ualberta\Phys 294 Fall 2020\05 Spectrometer and Rydberg's constant\"/>
    </mc:Choice>
  </mc:AlternateContent>
  <xr:revisionPtr revIDLastSave="0" documentId="13_ncr:1_{83E515D4-0E7D-45B4-9235-8D1A32395029}" xr6:coauthVersionLast="45" xr6:coauthVersionMax="45" xr10:uidLastSave="{00000000-0000-0000-0000-000000000000}"/>
  <bookViews>
    <workbookView xWindow="324" yWindow="24" windowWidth="20844" windowHeight="12132" xr2:uid="{2637374A-B047-4896-B59B-D3F92D36028D}"/>
  </bookViews>
  <sheets>
    <sheet name="Hydro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33" i="1"/>
  <c r="G3" i="1"/>
  <c r="G4" i="1"/>
  <c r="G2" i="1"/>
  <c r="I27" i="1"/>
  <c r="H27" i="1"/>
  <c r="I26" i="1"/>
  <c r="H26" i="1"/>
  <c r="I25" i="1"/>
  <c r="H25" i="1"/>
  <c r="F3" i="1"/>
  <c r="F4" i="1"/>
  <c r="F2" i="1"/>
  <c r="E2" i="1" s="1"/>
  <c r="B3" i="1"/>
  <c r="B4" i="1"/>
  <c r="B2" i="1"/>
  <c r="H11" i="1" s="1"/>
  <c r="J11" i="1" s="1"/>
  <c r="B28" i="1"/>
  <c r="B30" i="1"/>
  <c r="C32" i="1"/>
  <c r="C28" i="1" s="1"/>
  <c r="B32" i="1"/>
  <c r="C27" i="1"/>
  <c r="B27" i="1"/>
  <c r="B29" i="1"/>
  <c r="E3" i="1"/>
  <c r="E4" i="1"/>
  <c r="I12" i="1"/>
  <c r="I13" i="1"/>
  <c r="I11" i="1"/>
  <c r="H12" i="1"/>
  <c r="J12" i="1" s="1"/>
  <c r="H13" i="1"/>
  <c r="J13" i="1" s="1"/>
  <c r="G12" i="1"/>
  <c r="G13" i="1"/>
  <c r="G11" i="1"/>
  <c r="C4" i="1" l="1"/>
  <c r="K12" i="1"/>
  <c r="M12" i="1" s="1"/>
  <c r="K13" i="1"/>
  <c r="M13" i="1" s="1"/>
  <c r="K11" i="1"/>
  <c r="M11" i="1" s="1"/>
  <c r="C3" i="1"/>
  <c r="C2" i="1"/>
  <c r="H21" i="1" l="1"/>
  <c r="P11" i="1"/>
  <c r="Q11" i="1"/>
  <c r="O11" i="1"/>
  <c r="N11" i="1"/>
  <c r="Q13" i="1"/>
  <c r="O13" i="1"/>
  <c r="N13" i="1"/>
  <c r="P13" i="1"/>
  <c r="P12" i="1"/>
  <c r="N12" i="1"/>
  <c r="O12" i="1"/>
  <c r="Q12" i="1"/>
  <c r="H17" i="1" l="1"/>
  <c r="H19" i="1"/>
  <c r="H18" i="1"/>
  <c r="H20" i="1"/>
  <c r="K17" i="1" l="1"/>
  <c r="L18" i="1" s="1"/>
  <c r="I23" i="1" s="1"/>
  <c r="C35" i="1" s="1"/>
  <c r="K18" i="1" l="1"/>
  <c r="H23" i="1" s="1"/>
  <c r="B35" i="1" s="1"/>
  <c r="K19" i="1"/>
  <c r="L19" i="1"/>
</calcChain>
</file>

<file path=xl/sharedStrings.xml><?xml version="1.0" encoding="utf-8"?>
<sst xmlns="http://schemas.openxmlformats.org/spreadsheetml/2006/main" count="49" uniqueCount="46">
  <si>
    <t>(1/2^2 - 1/n^2)</t>
  </si>
  <si>
    <t>1/wavelength [m]</t>
  </si>
  <si>
    <t>wavelength [nm]</t>
  </si>
  <si>
    <t>unc 1/wavelength [m]</t>
  </si>
  <si>
    <t>unc wavelength [m]</t>
  </si>
  <si>
    <t>Weighted fit</t>
  </si>
  <si>
    <t>x</t>
  </si>
  <si>
    <t>y</t>
  </si>
  <si>
    <t>x^2</t>
  </si>
  <si>
    <t>xy</t>
  </si>
  <si>
    <t>y error</t>
  </si>
  <si>
    <t>x error</t>
  </si>
  <si>
    <t>weight</t>
  </si>
  <si>
    <t>wx</t>
  </si>
  <si>
    <t>wy</t>
  </si>
  <si>
    <t>wxy</t>
  </si>
  <si>
    <t>wx^2</t>
  </si>
  <si>
    <t>N</t>
  </si>
  <si>
    <t>Value</t>
  </si>
  <si>
    <t>Unc</t>
  </si>
  <si>
    <t>sum(wx)</t>
  </si>
  <si>
    <t>Delta</t>
  </si>
  <si>
    <t>sum(wx^2)</t>
  </si>
  <si>
    <t>Slope</t>
  </si>
  <si>
    <t>sum(wy)</t>
  </si>
  <si>
    <t>Intercept</t>
  </si>
  <si>
    <t>sum(wxy)</t>
  </si>
  <si>
    <t>sum(w)</t>
  </si>
  <si>
    <t>Rydberg constant, unc</t>
  </si>
  <si>
    <t>unc wavelength [nm]</t>
  </si>
  <si>
    <t>m, unc</t>
  </si>
  <si>
    <t>k, unc</t>
  </si>
  <si>
    <t>e, unc</t>
  </si>
  <si>
    <t>h, unc</t>
  </si>
  <si>
    <t>c, unc</t>
  </si>
  <si>
    <t>R, unc</t>
  </si>
  <si>
    <t>epsilon0, unc</t>
  </si>
  <si>
    <t>exact</t>
  </si>
  <si>
    <t>NIST value</t>
  </si>
  <si>
    <t>h c R, unc [eV]</t>
  </si>
  <si>
    <t>h c R, unc [J]</t>
  </si>
  <si>
    <t>R, unc [J]</t>
  </si>
  <si>
    <t>C = hbar, unc</t>
  </si>
  <si>
    <t>hbar, unc</t>
  </si>
  <si>
    <t>NIST:</t>
  </si>
  <si>
    <t>Experimental: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</si>
</sst>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2545931758530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Hydrogen!$G$2:$G$5</c:f>
                <c:numCache>
                  <c:formatCode>General</c:formatCode>
                  <c:ptCount val="4"/>
                  <c:pt idx="0">
                    <c:v>21626.297577854668</c:v>
                  </c:pt>
                  <c:pt idx="1">
                    <c:v>39999.999999999985</c:v>
                  </c:pt>
                  <c:pt idx="2">
                    <c:v>49382.716049382703</c:v>
                  </c:pt>
                </c:numCache>
              </c:numRef>
            </c:plus>
            <c:minus>
              <c:numRef>
                <c:f>Hydrogen!$G$2:$G$5</c:f>
                <c:numCache>
                  <c:formatCode>General</c:formatCode>
                  <c:ptCount val="4"/>
                  <c:pt idx="0">
                    <c:v>21626.297577854668</c:v>
                  </c:pt>
                  <c:pt idx="1">
                    <c:v>39999.999999999985</c:v>
                  </c:pt>
                  <c:pt idx="2">
                    <c:v>49382.716049382703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Hydrogen!$C$2:$C$5</c:f>
              <c:numCache>
                <c:formatCode>General</c:formatCode>
                <c:ptCount val="4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</c:numCache>
            </c:numRef>
          </c:xVal>
          <c:yVal>
            <c:numRef>
              <c:f>Hydrogen!$B$2:$B$5</c:f>
              <c:numCache>
                <c:formatCode>General</c:formatCode>
                <c:ptCount val="4"/>
                <c:pt idx="0">
                  <c:v>1470588.2352941176</c:v>
                </c:pt>
                <c:pt idx="1">
                  <c:v>1999999.9999999998</c:v>
                </c:pt>
                <c:pt idx="2">
                  <c:v>2222222.222222222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44EF-B3E5-741357D0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5408"/>
        <c:axId val="475770816"/>
      </c:scatterChart>
      <c:valAx>
        <c:axId val="4757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0816"/>
        <c:crosses val="autoZero"/>
        <c:crossBetween val="midCat"/>
      </c:valAx>
      <c:valAx>
        <c:axId val="475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407670</xdr:colOff>
      <xdr:row>6</xdr:row>
      <xdr:rowOff>144780</xdr:rowOff>
    </xdr:from>
    <xdr:to>
      <xdr:col>5</xdr:col>
      <xdr:colOff>354330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B64FF-3B8C-45ED-8C0C-F74289B5D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40B1-F2FA-4F0B-94A8-C6A1C82682BB}">
  <dimension ref="A1:Q35"/>
  <sheetViews>
    <sheetView tabSelected="1" workbookViewId="0">
      <selection activeCell="F27" sqref="F27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13.33203125" bestFit="1" customWidth="1"/>
    <col min="5" max="5" width="13.77734375" bestFit="1" customWidth="1"/>
    <col min="6" max="6" width="19" bestFit="1" customWidth="1"/>
    <col min="7" max="7" width="19.109375" bestFit="1" customWidth="1"/>
    <col min="8" max="9" width="12" bestFit="1" customWidth="1"/>
    <col min="13" max="14" width="12" bestFit="1" customWidth="1"/>
    <col min="16" max="17" width="12" bestFit="1" customWidth="1"/>
  </cols>
  <sheetData>
    <row r="1" spans="1:17" x14ac:dyDescent="0.3">
      <c r="A1" t="s">
        <v>2</v>
      </c>
      <c r="B1" t="s">
        <v>1</v>
      </c>
      <c r="C1" t="s">
        <v>0</v>
      </c>
      <c r="E1" t="s">
        <v>29</v>
      </c>
      <c r="F1" t="s">
        <v>4</v>
      </c>
      <c r="G1" t="s">
        <v>3</v>
      </c>
    </row>
    <row r="2" spans="1:17" x14ac:dyDescent="0.3">
      <c r="A2">
        <v>680</v>
      </c>
      <c r="B2">
        <f xml:space="preserve"> (A2 * 10^(-9))^-1</f>
        <v>1470588.2352941176</v>
      </c>
      <c r="C2">
        <f>(1/2^2 - 1/3^2)</f>
        <v>0.1388888888888889</v>
      </c>
      <c r="E2">
        <f>F2*10000000000</f>
        <v>100</v>
      </c>
      <c r="F2">
        <f>10 * 10^(-9)</f>
        <v>1E-8</v>
      </c>
      <c r="G2">
        <f xml:space="preserve"> 1 * B2 * F2/B2^-1</f>
        <v>21626.297577854668</v>
      </c>
    </row>
    <row r="3" spans="1:17" x14ac:dyDescent="0.3">
      <c r="A3">
        <v>500</v>
      </c>
      <c r="B3">
        <f t="shared" ref="B3:B4" si="0" xml:space="preserve"> (A3 * 10^(-9))^-1</f>
        <v>1999999.9999999998</v>
      </c>
      <c r="C3">
        <f>(1/2^2 - 1/4^2)</f>
        <v>0.1875</v>
      </c>
      <c r="E3">
        <f t="shared" ref="E3:E5" si="1">F3*10000000000</f>
        <v>100</v>
      </c>
      <c r="F3">
        <f t="shared" ref="F3:F4" si="2">10 * 10^(-9)</f>
        <v>1E-8</v>
      </c>
      <c r="G3">
        <f t="shared" ref="G3:G4" si="3" xml:space="preserve"> 1 * B3 * F3/B3^-1</f>
        <v>39999.999999999985</v>
      </c>
    </row>
    <row r="4" spans="1:17" x14ac:dyDescent="0.3">
      <c r="A4">
        <v>450</v>
      </c>
      <c r="B4">
        <f t="shared" si="0"/>
        <v>2222222.222222222</v>
      </c>
      <c r="C4">
        <f>(1/2^2 - 1/5^2)</f>
        <v>0.21</v>
      </c>
      <c r="E4">
        <f t="shared" si="1"/>
        <v>100</v>
      </c>
      <c r="F4">
        <f t="shared" si="2"/>
        <v>1E-8</v>
      </c>
      <c r="G4">
        <f t="shared" si="3"/>
        <v>49382.716049382703</v>
      </c>
    </row>
    <row r="8" spans="1:17" x14ac:dyDescent="0.3">
      <c r="G8" t="s">
        <v>5</v>
      </c>
    </row>
    <row r="10" spans="1:17" x14ac:dyDescent="0.3"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</row>
    <row r="11" spans="1:17" x14ac:dyDescent="0.3">
      <c r="G11">
        <f>C2</f>
        <v>0.1388888888888889</v>
      </c>
      <c r="H11">
        <f>B2</f>
        <v>1470588.2352941176</v>
      </c>
      <c r="I11">
        <f>G11^2</f>
        <v>1.9290123456790126E-2</v>
      </c>
      <c r="J11">
        <f>G11*H11</f>
        <v>204248.36601307191</v>
      </c>
      <c r="K11">
        <f>G2</f>
        <v>21626.297577854668</v>
      </c>
      <c r="L11">
        <v>0</v>
      </c>
      <c r="M11">
        <f>1/K11^2</f>
        <v>2.1381376000000007E-9</v>
      </c>
      <c r="N11">
        <f>M11*G11</f>
        <v>2.9696355555555569E-10</v>
      </c>
      <c r="O11">
        <f>M11*H11</f>
        <v>3.1443200000000008E-3</v>
      </c>
      <c r="P11">
        <f>M11*G11*H11</f>
        <v>4.3671111111111131E-4</v>
      </c>
      <c r="Q11">
        <f>M11*I11</f>
        <v>4.124493827160496E-11</v>
      </c>
    </row>
    <row r="12" spans="1:17" x14ac:dyDescent="0.3">
      <c r="G12">
        <f t="shared" ref="G12:G16" si="4">C3</f>
        <v>0.1875</v>
      </c>
      <c r="H12">
        <f t="shared" ref="H12:H14" si="5">B3</f>
        <v>1999999.9999999998</v>
      </c>
      <c r="I12">
        <f t="shared" ref="I12:I14" si="6">G12^2</f>
        <v>3.515625E-2</v>
      </c>
      <c r="J12">
        <f t="shared" ref="J12:J14" si="7">G12*H12</f>
        <v>374999.99999999994</v>
      </c>
      <c r="K12">
        <f>G3</f>
        <v>39999.999999999985</v>
      </c>
      <c r="L12">
        <v>0</v>
      </c>
      <c r="M12">
        <f t="shared" ref="M12:M14" si="8">1/K12^2</f>
        <v>6.2500000000000043E-10</v>
      </c>
      <c r="N12">
        <f>M12*G12</f>
        <v>1.1718750000000007E-10</v>
      </c>
      <c r="O12">
        <f t="shared" ref="O12:O14" si="9">M12*H12</f>
        <v>1.2500000000000007E-3</v>
      </c>
      <c r="P12">
        <f t="shared" ref="P12:P14" si="10">M12*G12*H12</f>
        <v>2.343750000000001E-4</v>
      </c>
      <c r="Q12">
        <f t="shared" ref="Q12:Q14" si="11">M12*I12</f>
        <v>2.1972656250000016E-11</v>
      </c>
    </row>
    <row r="13" spans="1:17" x14ac:dyDescent="0.3">
      <c r="G13">
        <f t="shared" si="4"/>
        <v>0.21</v>
      </c>
      <c r="H13">
        <f t="shared" si="5"/>
        <v>2222222.222222222</v>
      </c>
      <c r="I13">
        <f t="shared" si="6"/>
        <v>4.4099999999999993E-2</v>
      </c>
      <c r="J13">
        <f t="shared" si="7"/>
        <v>466666.66666666663</v>
      </c>
      <c r="K13">
        <f>G4</f>
        <v>49382.716049382703</v>
      </c>
      <c r="L13">
        <v>0</v>
      </c>
      <c r="M13">
        <f t="shared" si="8"/>
        <v>4.1006250000000021E-10</v>
      </c>
      <c r="N13">
        <f>M13*G13</f>
        <v>8.611312500000004E-11</v>
      </c>
      <c r="O13">
        <f t="shared" si="9"/>
        <v>9.1125000000000038E-4</v>
      </c>
      <c r="P13">
        <f t="shared" si="10"/>
        <v>1.9136250000000008E-4</v>
      </c>
      <c r="Q13">
        <f t="shared" si="11"/>
        <v>1.8083756250000006E-11</v>
      </c>
    </row>
    <row r="16" spans="1:17" x14ac:dyDescent="0.3">
      <c r="G16" t="s">
        <v>17</v>
      </c>
      <c r="H16">
        <v>4</v>
      </c>
      <c r="K16" t="s">
        <v>18</v>
      </c>
      <c r="L16" t="s">
        <v>19</v>
      </c>
    </row>
    <row r="17" spans="1:12" x14ac:dyDescent="0.3">
      <c r="G17" t="s">
        <v>20</v>
      </c>
      <c r="H17">
        <f>SUM(N11:N13)</f>
        <v>5.002641805555558E-10</v>
      </c>
      <c r="J17" t="s">
        <v>21</v>
      </c>
      <c r="K17">
        <f>H21*H18 - H17^2</f>
        <v>7.7212040516704287E-21</v>
      </c>
    </row>
    <row r="18" spans="1:12" x14ac:dyDescent="0.3">
      <c r="G18" t="s">
        <v>22</v>
      </c>
      <c r="H18">
        <f>SUM(Q11:Q13)</f>
        <v>8.1301350771604994E-11</v>
      </c>
      <c r="J18" t="s">
        <v>23</v>
      </c>
      <c r="K18">
        <f>(H21*H20 - H17*H19)/K17</f>
        <v>10689445.58907803</v>
      </c>
      <c r="L18">
        <f>SQRT(H21/K17)</f>
        <v>641071.12320476072</v>
      </c>
    </row>
    <row r="19" spans="1:12" x14ac:dyDescent="0.3">
      <c r="G19" t="s">
        <v>24</v>
      </c>
      <c r="H19">
        <f>SUM(O11:O13)</f>
        <v>5.3055700000000025E-3</v>
      </c>
      <c r="J19" t="s">
        <v>25</v>
      </c>
      <c r="K19">
        <f>(H18*H19 - H17*H20)/K17</f>
        <v>-13228.519125956213</v>
      </c>
      <c r="L19">
        <f>SQRT(H18/K17)</f>
        <v>102613.94056587889</v>
      </c>
    </row>
    <row r="20" spans="1:12" x14ac:dyDescent="0.3">
      <c r="G20" t="s">
        <v>26</v>
      </c>
      <c r="H20">
        <f>SUM(P11:P13)</f>
        <v>8.6244861111111151E-4</v>
      </c>
    </row>
    <row r="21" spans="1:12" x14ac:dyDescent="0.3">
      <c r="G21" t="s">
        <v>27</v>
      </c>
      <c r="H21">
        <f>SUM(M11:M13)</f>
        <v>3.1732001000000014E-9</v>
      </c>
    </row>
    <row r="23" spans="1:12" x14ac:dyDescent="0.3">
      <c r="G23" t="s">
        <v>28</v>
      </c>
      <c r="H23">
        <f>K18</f>
        <v>10689445.58907803</v>
      </c>
      <c r="I23">
        <f>L18</f>
        <v>641071.12320476072</v>
      </c>
    </row>
    <row r="24" spans="1:12" x14ac:dyDescent="0.3">
      <c r="G24" t="s">
        <v>38</v>
      </c>
    </row>
    <row r="25" spans="1:12" x14ac:dyDescent="0.3">
      <c r="A25" t="s">
        <v>42</v>
      </c>
      <c r="B25">
        <f xml:space="preserve"> SQRT((B27*B28^2*B29^4)/(2*B30*B31*B35))</f>
        <v>1.0685029778785384E-34</v>
      </c>
      <c r="C25">
        <f>B25*SQRT((C27/B27)^2 + (C28/B28)^2 + (C35/B35)^2)</f>
        <v>6.4080629670458578E-36</v>
      </c>
      <c r="G25" t="s">
        <v>39</v>
      </c>
      <c r="H25">
        <f>13.605693122994</f>
        <v>13.605693122993999</v>
      </c>
      <c r="I25">
        <f xml:space="preserve"> 1.9 * 10^(-12) * H25</f>
        <v>2.5850816933688597E-11</v>
      </c>
    </row>
    <row r="26" spans="1:12" x14ac:dyDescent="0.3">
      <c r="A26" t="s">
        <v>44</v>
      </c>
      <c r="G26" t="s">
        <v>40</v>
      </c>
      <c r="H26">
        <f>H25*1.60218*10^(-19)</f>
        <v>2.1798769407798524E-18</v>
      </c>
      <c r="I26">
        <f>I25 * 1.60218*10^(-19)</f>
        <v>4.1417661874817194E-30</v>
      </c>
    </row>
    <row r="27" spans="1:12" x14ac:dyDescent="0.3">
      <c r="A27" t="s">
        <v>30</v>
      </c>
      <c r="B27">
        <f>9.1093837015*10^(-31)</f>
        <v>9.1093837015000008E-31</v>
      </c>
      <c r="C27">
        <f>3*10^(-10) * B27</f>
        <v>2.7328151104500002E-40</v>
      </c>
      <c r="G27" t="s">
        <v>41</v>
      </c>
      <c r="H27">
        <f>H26/(B30*B31)</f>
        <v>10973754.622784169</v>
      </c>
      <c r="I27">
        <f>I26/(B30*B31)</f>
        <v>2.0850133783289922E-5</v>
      </c>
    </row>
    <row r="28" spans="1:12" x14ac:dyDescent="0.3">
      <c r="A28" t="s">
        <v>31</v>
      </c>
      <c r="B28">
        <f>1/(4 * PI() * B32)</f>
        <v>8987551792.2611732</v>
      </c>
      <c r="C28">
        <f xml:space="preserve"> 1 * B32^-1 * C32/B32 * (1/(4 * PI()))</f>
        <v>1.3481327688391762</v>
      </c>
    </row>
    <row r="29" spans="1:12" x14ac:dyDescent="0.3">
      <c r="A29" t="s">
        <v>32</v>
      </c>
      <c r="B29">
        <f>1.602176634*10^(-19)</f>
        <v>1.6021766340000001E-19</v>
      </c>
      <c r="C29" t="s">
        <v>37</v>
      </c>
    </row>
    <row r="30" spans="1:12" x14ac:dyDescent="0.3">
      <c r="A30" t="s">
        <v>33</v>
      </c>
      <c r="B30">
        <f>6.62607015*10^(-34)</f>
        <v>6.6260701500000015E-34</v>
      </c>
      <c r="C30" t="s">
        <v>37</v>
      </c>
    </row>
    <row r="31" spans="1:12" x14ac:dyDescent="0.3">
      <c r="A31" t="s">
        <v>34</v>
      </c>
      <c r="B31">
        <v>299792458</v>
      </c>
      <c r="C31" t="s">
        <v>37</v>
      </c>
    </row>
    <row r="32" spans="1:12" x14ac:dyDescent="0.3">
      <c r="A32" t="s">
        <v>36</v>
      </c>
      <c r="B32">
        <f>8.8541878128*10^(-12)</f>
        <v>8.854187812799999E-12</v>
      </c>
      <c r="C32">
        <f>1.5 * 10^(-10) * B32</f>
        <v>1.3281281719199998E-21</v>
      </c>
    </row>
    <row r="33" spans="1:3" x14ac:dyDescent="0.3">
      <c r="A33" t="s">
        <v>43</v>
      </c>
      <c r="B33">
        <f>B30/(2*PI())</f>
        <v>1.0545718176461567E-34</v>
      </c>
      <c r="C33" t="s">
        <v>37</v>
      </c>
    </row>
    <row r="34" spans="1:3" x14ac:dyDescent="0.3">
      <c r="A34" t="s">
        <v>45</v>
      </c>
    </row>
    <row r="35" spans="1:3" x14ac:dyDescent="0.3">
      <c r="A35" t="s">
        <v>35</v>
      </c>
      <c r="B35">
        <f>H23</f>
        <v>10689445.58907803</v>
      </c>
      <c r="C35">
        <f>I23</f>
        <v>641071.12320476072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2020-08-05T00:04:49Z</dcterms:created>
  <dcterms:modified xsi:type="dcterms:W3CDTF">2020-08-05T02:37:36Z</dcterms:modified>
</cp:coreProperties>
</file>