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3920"/>
  </bookViews>
  <sheets>
    <sheet name="Priyansh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<sst xmlns="http://schemas.openxmlformats.org/spreadsheetml/2006/main" count="116" uniqueCount="82">
  <si>
    <t>No</t>
  </si>
  <si>
    <t>Particulars</t>
  </si>
  <si>
    <t>Purchase Price</t>
  </si>
  <si>
    <t>Qty</t>
  </si>
  <si>
    <t>Investment</t>
  </si>
  <si>
    <t>Portfolio (%)</t>
  </si>
  <si>
    <t>NSE/BSE</t>
  </si>
  <si>
    <t>CMP</t>
  </si>
  <si>
    <t>Present value</t>
  </si>
  <si>
    <t>Gain/Loss</t>
  </si>
  <si>
    <t>Gain/Loss
(%)</t>
  </si>
  <si>
    <t>Market Cap</t>
  </si>
  <si>
    <t>P/E (TTM)</t>
  </si>
  <si>
    <t>Latest Earnings</t>
  </si>
  <si>
    <t>Revenue (TTM)</t>
  </si>
  <si>
    <t>EBITDA
(TTM)</t>
  </si>
  <si>
    <t>EBITDA (%)</t>
  </si>
  <si>
    <t>PAT</t>
  </si>
  <si>
    <t>PAT (%)</t>
  </si>
  <si>
    <t>CFO (March 24)</t>
  </si>
  <si>
    <t>CFO 
(5 years)</t>
  </si>
  <si>
    <t>Free Cash Flow
(5 years)</t>
  </si>
  <si>
    <t>Debt to Equity</t>
  </si>
  <si>
    <t>Book Value</t>
  </si>
  <si>
    <t>Revenue</t>
  </si>
  <si>
    <t>EBITDA</t>
  </si>
  <si>
    <t>Profit</t>
  </si>
  <si>
    <t>Market
Cap</t>
  </si>
  <si>
    <t>Price to Sales</t>
  </si>
  <si>
    <t>CFO to EBITDA</t>
  </si>
  <si>
    <t>CFO to PAT</t>
  </si>
  <si>
    <t>Price to book</t>
  </si>
  <si>
    <t>Stage-2</t>
  </si>
  <si>
    <t>Sale price</t>
  </si>
  <si>
    <t>Abhishek</t>
  </si>
  <si>
    <t>Financial Sector</t>
  </si>
  <si>
    <t>HDFC Bank</t>
  </si>
  <si>
    <t>HDFCBANK</t>
  </si>
  <si>
    <t>Yes</t>
  </si>
  <si>
    <t>Bajaj Finance</t>
  </si>
  <si>
    <t>BAJFINANCE</t>
  </si>
  <si>
    <t>Exit</t>
  </si>
  <si>
    <t>ICICI Bank</t>
  </si>
  <si>
    <t>Bajaj Housing</t>
  </si>
  <si>
    <t>NA</t>
  </si>
  <si>
    <t>Savani Financials</t>
  </si>
  <si>
    <t>Tech Sector</t>
  </si>
  <si>
    <t>Affle India</t>
  </si>
  <si>
    <t>AFFLE</t>
  </si>
  <si>
    <t>LTI Mindtree</t>
  </si>
  <si>
    <t>LTIM</t>
  </si>
  <si>
    <t>KPIT Tech</t>
  </si>
  <si>
    <t>Must exit</t>
  </si>
  <si>
    <t>Tata Tech</t>
  </si>
  <si>
    <t>BLS E-Services</t>
  </si>
  <si>
    <t xml:space="preserve">Tanla </t>
  </si>
  <si>
    <t xml:space="preserve">Consumer </t>
  </si>
  <si>
    <t>Dmart</t>
  </si>
  <si>
    <t>DMART</t>
  </si>
  <si>
    <t>Must Exit</t>
  </si>
  <si>
    <t>Tata Consumer</t>
  </si>
  <si>
    <t>Pidilite</t>
  </si>
  <si>
    <t>Power</t>
  </si>
  <si>
    <t>Tata Power</t>
  </si>
  <si>
    <t>KPI Green</t>
  </si>
  <si>
    <t>Suzlon</t>
  </si>
  <si>
    <t>Gensol</t>
  </si>
  <si>
    <t>Pipe Sector</t>
  </si>
  <si>
    <t>Hariom Pipes</t>
  </si>
  <si>
    <t>Astral</t>
  </si>
  <si>
    <t>ASTRAL</t>
  </si>
  <si>
    <t>Polycab</t>
  </si>
  <si>
    <t>Others</t>
  </si>
  <si>
    <t>Clean Science</t>
  </si>
  <si>
    <t>Deepak Nitrite</t>
  </si>
  <si>
    <t>Fine Organic</t>
  </si>
  <si>
    <t>Gravita</t>
  </si>
  <si>
    <t>SBI Life</t>
  </si>
  <si>
    <t>Sold Price</t>
  </si>
  <si>
    <t>Infy</t>
  </si>
  <si>
    <t>Happeist Mind</t>
  </si>
  <si>
    <t>Easemytrip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</si>
</sst>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"/>
  </numFmts>
  <fonts count="32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rgb="FF000000"/>
      <name val="Arial"/>
      <charset val="134"/>
    </font>
    <font>
      <b/>
      <sz val="11"/>
      <color rgb="FF000000"/>
      <name val="Arial"/>
      <charset val="134"/>
    </font>
    <font>
      <sz val="11"/>
      <color rgb="FF000000"/>
      <name val="&quot;Aptos Narrow&quot;"/>
      <charset val="134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color theme="1"/>
      <name val="__fkGroteskNeue_598ab8"/>
      <charset val="134"/>
    </font>
    <font>
      <sz val="11"/>
      <color rgb="FF000000"/>
      <name val="Calibri"/>
      <charset val="134"/>
    </font>
    <font>
      <b/>
      <sz val="10"/>
      <color rgb="FF434343"/>
      <name val="Roboto"/>
      <charset val="134"/>
    </font>
    <font>
      <sz val="10"/>
      <color rgb="FF434343"/>
      <name val="Roboto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1F3F4"/>
        <bgColor rgb="FFF1F3F4"/>
      </patternFill>
    </fill>
    <fill>
      <patternFill patternType="solid">
        <fgColor rgb="FF94DCF8"/>
        <bgColor rgb="FF94DCF8"/>
      </patternFill>
    </fill>
    <fill>
      <patternFill patternType="solid">
        <fgColor rgb="FFFF0000"/>
        <bgColor rgb="FFFF0000"/>
      </patternFill>
    </fill>
    <fill>
      <patternFill patternType="solid">
        <fgColor rgb="FFF8F9FA"/>
        <bgColor rgb="FFF8F9F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D9EAD3"/>
      </right>
      <top style="thin">
        <color rgb="FFD9EAD3"/>
      </top>
      <bottom style="thin">
        <color rgb="FFD9EAD3"/>
      </bottom>
      <diagonal/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1F3F4"/>
      </right>
      <top style="double">
        <color rgb="FF284E3F"/>
      </top>
      <bottom style="thin">
        <color rgb="FF284E3F"/>
      </bottom>
      <diagonal/>
    </border>
    <border>
      <left style="thin">
        <color rgb="FFF1F3F4"/>
      </left>
      <right style="thin">
        <color rgb="FFF1F3F4"/>
      </right>
      <top style="double">
        <color rgb="FF284E3F"/>
      </top>
      <bottom style="thin">
        <color rgb="FF284E3F"/>
      </bottom>
      <diagonal/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  <diagonal/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  <diagonal/>
    </border>
    <border>
      <left style="thin">
        <color rgb="FFEA9999"/>
      </left>
      <right style="thin">
        <color rgb="FFEA9999"/>
      </right>
      <top style="thin">
        <color rgb="FFEA9999"/>
      </top>
      <bottom style="thin">
        <color rgb="FFEA9999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D9EAD3"/>
      </left>
      <right style="thin">
        <color rgb="FF284E3F"/>
      </right>
      <top style="thin">
        <color rgb="FFD9EAD3"/>
      </top>
      <bottom style="thin">
        <color rgb="FFD9EAD3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EA9999"/>
      </left>
      <right style="thin">
        <color rgb="FF284E3F"/>
      </right>
      <top style="thin">
        <color rgb="FFEA9999"/>
      </top>
      <bottom style="thin">
        <color rgb="FFEA9999"/>
      </bottom>
      <diagonal/>
    </border>
    <border>
      <left style="thin">
        <color rgb="FFFF0000"/>
      </left>
      <right style="thin">
        <color rgb="FF284E3F"/>
      </right>
      <top style="thin">
        <color rgb="FFFF0000"/>
      </top>
      <bottom style="thin">
        <color rgb="FFFF0000"/>
      </bottom>
      <diagonal/>
    </border>
    <border>
      <left style="thin">
        <color rgb="FFF1F3F4"/>
      </left>
      <right style="thin">
        <color rgb="FF284E3F"/>
      </right>
      <top style="double">
        <color rgb="FF284E3F"/>
      </top>
      <bottom style="thin">
        <color rgb="FF284E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2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25" applyNumberFormat="0" applyAlignment="0" applyProtection="0">
      <alignment vertical="center"/>
    </xf>
    <xf numFmtId="0" fontId="22" fillId="10" borderId="26" applyNumberFormat="0" applyAlignment="0" applyProtection="0">
      <alignment vertical="center"/>
    </xf>
    <xf numFmtId="0" fontId="23" fillId="10" borderId="25" applyNumberFormat="0" applyAlignment="0" applyProtection="0">
      <alignment vertical="center"/>
    </xf>
    <xf numFmtId="0" fontId="24" fillId="11" borderId="27" applyNumberFormat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</cellStyleXfs>
  <cellXfs count="14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3" borderId="8" xfId="0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6" fillId="2" borderId="3" xfId="0" applyFont="1" applyFill="1" applyBorder="1"/>
    <xf numFmtId="0" fontId="7" fillId="2" borderId="4" xfId="0" applyFont="1" applyFill="1" applyBorder="1"/>
    <xf numFmtId="0" fontId="6" fillId="2" borderId="4" xfId="0" applyFont="1" applyFill="1" applyBorder="1"/>
    <xf numFmtId="0" fontId="3" fillId="2" borderId="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0" fontId="3" fillId="6" borderId="0" xfId="0" applyFont="1" applyFill="1" applyAlignment="1">
      <alignment horizontal="left"/>
    </xf>
    <xf numFmtId="0" fontId="3" fillId="6" borderId="0" xfId="0" applyFont="1" applyFill="1" applyAlignment="1">
      <alignment horizontal="center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9" fontId="1" fillId="2" borderId="4" xfId="0" applyNumberFormat="1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1" fontId="2" fillId="2" borderId="4" xfId="0" applyNumberFormat="1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9" fontId="2" fillId="0" borderId="6" xfId="0" applyNumberFormat="1" applyFont="1" applyBorder="1" applyAlignment="1">
      <alignment vertical="center"/>
    </xf>
    <xf numFmtId="0" fontId="8" fillId="0" borderId="6" xfId="0" applyFont="1" applyBorder="1" applyAlignment="1">
      <alignment vertical="center"/>
    </xf>
    <xf numFmtId="1" fontId="2" fillId="0" borderId="6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9" fontId="2" fillId="0" borderId="8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" fontId="2" fillId="0" borderId="8" xfId="0" applyNumberFormat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0" fillId="2" borderId="4" xfId="0" applyFont="1" applyFill="1" applyBorder="1" applyAlignment="1">
      <alignment horizontal="right" vertical="center"/>
    </xf>
    <xf numFmtId="9" fontId="10" fillId="2" borderId="4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vertical="center"/>
    </xf>
    <xf numFmtId="1" fontId="11" fillId="2" borderId="4" xfId="0" applyNumberFormat="1" applyFont="1" applyFill="1" applyBorder="1" applyAlignment="1">
      <alignment horizontal="right" vertical="center"/>
    </xf>
    <xf numFmtId="0" fontId="9" fillId="2" borderId="4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1" fontId="2" fillId="0" borderId="0" xfId="0" applyNumberFormat="1" applyFont="1"/>
    <xf numFmtId="0" fontId="2" fillId="6" borderId="0" xfId="0" applyFont="1" applyFill="1"/>
    <xf numFmtId="9" fontId="2" fillId="6" borderId="0" xfId="0" applyNumberFormat="1" applyFont="1" applyFill="1"/>
    <xf numFmtId="0" fontId="8" fillId="6" borderId="0" xfId="0" applyFont="1" applyFill="1"/>
    <xf numFmtId="1" fontId="2" fillId="6" borderId="0" xfId="0" applyNumberFormat="1" applyFont="1" applyFill="1"/>
    <xf numFmtId="0" fontId="9" fillId="6" borderId="0" xfId="0" applyFont="1" applyFill="1"/>
    <xf numFmtId="0" fontId="2" fillId="0" borderId="2" xfId="0" applyFont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vertical="center"/>
    </xf>
    <xf numFmtId="1" fontId="2" fillId="2" borderId="4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10" fontId="2" fillId="0" borderId="6" xfId="0" applyNumberFormat="1" applyFont="1" applyBorder="1" applyAlignment="1">
      <alignment vertical="center"/>
    </xf>
    <xf numFmtId="1" fontId="2" fillId="0" borderId="6" xfId="0" applyNumberFormat="1" applyFont="1" applyBorder="1" applyAlignment="1">
      <alignment horizontal="center" vertical="center"/>
    </xf>
    <xf numFmtId="10" fontId="2" fillId="0" borderId="8" xfId="0" applyNumberFormat="1" applyFont="1" applyBorder="1" applyAlignment="1">
      <alignment vertical="center"/>
    </xf>
    <xf numFmtId="1" fontId="2" fillId="0" borderId="8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0" fontId="10" fillId="2" borderId="4" xfId="0" applyNumberFormat="1" applyFont="1" applyFill="1" applyBorder="1" applyAlignment="1">
      <alignment vertical="center"/>
    </xf>
    <xf numFmtId="1" fontId="11" fillId="2" borderId="4" xfId="0" applyNumberFormat="1" applyFont="1" applyFill="1" applyBorder="1" applyAlignment="1">
      <alignment horizontal="center" vertical="center"/>
    </xf>
    <xf numFmtId="9" fontId="2" fillId="4" borderId="10" xfId="0" applyNumberFormat="1" applyFont="1" applyFill="1" applyBorder="1" applyAlignment="1">
      <alignment vertical="center"/>
    </xf>
    <xf numFmtId="10" fontId="2" fillId="0" borderId="0" xfId="0" applyNumberFormat="1" applyFont="1"/>
    <xf numFmtId="10" fontId="2" fillId="6" borderId="0" xfId="0" applyNumberFormat="1" applyFont="1" applyFill="1"/>
    <xf numFmtId="1" fontId="2" fillId="6" borderId="0" xfId="0" applyNumberFormat="1" applyFont="1" applyFill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3" fontId="9" fillId="2" borderId="4" xfId="0" applyNumberFormat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3" fontId="9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3" fontId="11" fillId="7" borderId="6" xfId="0" applyNumberFormat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3" fontId="6" fillId="2" borderId="4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3" fontId="9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9" fontId="9" fillId="2" borderId="4" xfId="0" applyNumberFormat="1" applyFont="1" applyFill="1" applyBorder="1" applyAlignment="1">
      <alignment horizontal="center"/>
    </xf>
    <xf numFmtId="9" fontId="9" fillId="0" borderId="6" xfId="0" applyNumberFormat="1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9" fontId="9" fillId="0" borderId="8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 vertical="center"/>
    </xf>
    <xf numFmtId="9" fontId="6" fillId="2" borderId="4" xfId="0" applyNumberFormat="1" applyFont="1" applyFill="1" applyBorder="1" applyAlignment="1">
      <alignment horizontal="center"/>
    </xf>
    <xf numFmtId="9" fontId="9" fillId="0" borderId="14" xfId="0" applyNumberFormat="1" applyFont="1" applyBorder="1" applyAlignment="1">
      <alignment horizontal="center"/>
    </xf>
    <xf numFmtId="9" fontId="9" fillId="6" borderId="0" xfId="0" applyNumberFormat="1" applyFont="1" applyFill="1" applyAlignment="1">
      <alignment horizontal="center"/>
    </xf>
    <xf numFmtId="4" fontId="2" fillId="0" borderId="2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/>
    </xf>
    <xf numFmtId="4" fontId="2" fillId="4" borderId="10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10" fontId="9" fillId="2" borderId="4" xfId="0" applyNumberFormat="1" applyFont="1" applyFill="1" applyBorder="1" applyAlignment="1">
      <alignment horizontal="center"/>
    </xf>
    <xf numFmtId="10" fontId="9" fillId="0" borderId="6" xfId="0" applyNumberFormat="1" applyFont="1" applyBorder="1" applyAlignment="1">
      <alignment horizontal="center"/>
    </xf>
    <xf numFmtId="10" fontId="9" fillId="0" borderId="8" xfId="0" applyNumberFormat="1" applyFont="1" applyBorder="1" applyAlignment="1">
      <alignment horizontal="center"/>
    </xf>
    <xf numFmtId="10" fontId="6" fillId="2" borderId="4" xfId="0" applyNumberFormat="1" applyFont="1" applyFill="1" applyBorder="1" applyAlignment="1">
      <alignment horizontal="center"/>
    </xf>
    <xf numFmtId="10" fontId="9" fillId="6" borderId="0" xfId="0" applyNumberFormat="1" applyFont="1" applyFill="1" applyAlignment="1">
      <alignment horizontal="center"/>
    </xf>
    <xf numFmtId="2" fontId="2" fillId="2" borderId="4" xfId="0" applyNumberFormat="1" applyFont="1" applyFill="1" applyBorder="1" applyAlignment="1">
      <alignment horizontal="center" vertical="center"/>
    </xf>
    <xf numFmtId="9" fontId="2" fillId="2" borderId="4" xfId="0" applyNumberFormat="1" applyFont="1" applyFill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9" fontId="2" fillId="0" borderId="13" xfId="0" applyNumberFormat="1" applyFont="1" applyBorder="1" applyAlignment="1">
      <alignment horizontal="center" vertical="center"/>
    </xf>
    <xf numFmtId="9" fontId="2" fillId="0" borderId="12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176" fontId="2" fillId="6" borderId="14" xfId="0" applyNumberFormat="1" applyFont="1" applyFill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2" fontId="6" fillId="2" borderId="4" xfId="0" applyNumberFormat="1" applyFont="1" applyFill="1" applyBorder="1" applyAlignment="1">
      <alignment horizontal="center" vertical="center"/>
    </xf>
    <xf numFmtId="9" fontId="6" fillId="2" borderId="4" xfId="0" applyNumberFormat="1" applyFont="1" applyFill="1" applyBorder="1" applyAlignment="1">
      <alignment horizontal="center" vertical="center"/>
    </xf>
    <xf numFmtId="176" fontId="6" fillId="2" borderId="15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2" fontId="2" fillId="6" borderId="0" xfId="0" applyNumberFormat="1" applyFont="1" applyFill="1" applyAlignment="1">
      <alignment horizontal="center"/>
    </xf>
    <xf numFmtId="9" fontId="2" fillId="6" borderId="0" xfId="0" applyNumberFormat="1" applyFont="1" applyFill="1" applyAlignment="1">
      <alignment horizontal="center"/>
    </xf>
    <xf numFmtId="176" fontId="2" fillId="6" borderId="0" xfId="0" applyNumberFormat="1" applyFont="1" applyFill="1" applyAlignment="1">
      <alignment horizontal="center"/>
    </xf>
    <xf numFmtId="0" fontId="2" fillId="0" borderId="16" xfId="0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1F3F4"/>
          <bgColor rgb="FFF1F3F4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Priyanshu-style" pivot="0" count="4" xr9:uid="{5A4D0A5A-389C-38D3-616C-82688D48DA04}">
      <tableStyleElement type="headerRow" dxfId="7"/>
      <tableStyleElement type="total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Investment" displayName="Investment" ref="A1:AI34" totalsRowCount="1">
  <tableColumns count="35">
    <tableColumn id="1" name="No"/>
    <tableColumn id="2" name="Particulars"/>
    <tableColumn id="3" name="Purchase Price"/>
    <tableColumn id="4" name="Qty"/>
    <tableColumn id="5" name="Investment" totalsRowFunction="custom">
      <totalsRowFormula>E28+E24+E19+E15+E8+E2</totalsRowFormula>
    </tableColumn>
    <tableColumn id="6" name="Portfolio (%)" totalsRowFunction="custom">
      <totalsRowFormula>E34/$E$34</totalsRowFormula>
    </tableColumn>
    <tableColumn id="7" name="NSE/BSE"/>
    <tableColumn id="8" name="CMP"/>
    <tableColumn id="9" name="Present value" totalsRowFunction="custom">
      <totalsRowFormula>I28+I24+I19+I15+I8+I2</totalsRowFormula>
    </tableColumn>
    <tableColumn id="10" name="Gain/Loss" totalsRowFunction="custom">
      <totalsRowFormula>J28+J24+J19+J15+J8+J2</totalsRowFormula>
    </tableColumn>
    <tableColumn id="11" name="Gain/Loss&#10;(%)" totalsRowFunction="custom">
      <totalsRowFormula>J34/E34</totalsRowFormula>
    </tableColumn>
    <tableColumn id="12" name="Market Cap"/>
    <tableColumn id="13" name="P/E (TTM)"/>
    <tableColumn id="14" name="Latest Earnings"/>
    <tableColumn id="15" name="Revenue (TTM)"/>
    <tableColumn id="16" name="EBITDA&#10;(TTM)"/>
    <tableColumn id="17" name="EBITDA (%)"/>
    <tableColumn id="18" name="PAT"/>
    <tableColumn id="19" name="PAT (%)"/>
    <tableColumn id="20" name="CFO (March 24)"/>
    <tableColumn id="21" name="CFO &#10;(5 years)"/>
    <tableColumn id="22" name="Free Cash Flow&#10;(5 years)"/>
    <tableColumn id="23" name="Debt to Equity"/>
    <tableColumn id="24" name="Book Value"/>
    <tableColumn id="25" name="Revenue"/>
    <tableColumn id="26" name="EBITDA"/>
    <tableColumn id="27" name="Profit"/>
    <tableColumn id="28" name="Market&#10;Cap"/>
    <tableColumn id="29" name="Price to Sales"/>
    <tableColumn id="30" name="CFO to EBITDA"/>
    <tableColumn id="31" name="CFO to PAT"/>
    <tableColumn id="32" name="Price to book"/>
    <tableColumn id="33" name="Stage-2"/>
    <tableColumn id="34" name="Sale price"/>
    <tableColumn id="35" name="Abhishek"/>
  </tableColumns>
  <tableStyleInfo name="Priyanshu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I969"/>
  <sheetViews>
    <sheetView tabSelected="1" workbookViewId="0">
      <pane xSplit="2" ySplit="1" topLeftCell="C3" activePane="bottomRight" state="frozen"/>
      <selection/>
      <selection pane="topRight"/>
      <selection pane="bottomLeft"/>
      <selection pane="bottomRight" activeCell="A1" sqref="$A1:$XFD1"/>
    </sheetView>
  </sheetViews>
  <sheetFormatPr defaultColWidth="12.6339285714286" defaultRowHeight="15.75" customHeight="1"/>
  <cols>
    <col min="1" max="1" width="4.26785714285714" customWidth="1"/>
    <col min="2" max="2" width="37.6339285714286" customWidth="1"/>
    <col min="3" max="3" width="15.7232142857143" customWidth="1"/>
    <col min="4" max="4" width="11.2678571428571" customWidth="1"/>
    <col min="5" max="5" width="17" customWidth="1"/>
    <col min="6" max="6" width="16.0892857142857" customWidth="1"/>
    <col min="7" max="7" width="12.6339285714286" customWidth="1"/>
    <col min="8" max="8" width="12.3660714285714" customWidth="1"/>
    <col min="9" max="9" width="12.4553571428571" customWidth="1"/>
    <col min="10" max="10" width="11.2678571428571" customWidth="1"/>
    <col min="11" max="11" width="16.3660714285714" customWidth="1"/>
    <col min="12" max="12" width="15" customWidth="1"/>
    <col min="13" max="13" width="10.6339285714286" customWidth="1"/>
    <col min="14" max="14" width="12.4553571428571" customWidth="1"/>
    <col min="15" max="15" width="15" customWidth="1"/>
    <col min="16" max="16" width="11.7232142857143" customWidth="1"/>
    <col min="17" max="17" width="11.4553571428571" customWidth="1"/>
    <col min="18" max="18" width="13.0892857142857" customWidth="1"/>
    <col min="19" max="19" width="10" customWidth="1"/>
    <col min="20" max="20" width="12.3660714285714" customWidth="1"/>
    <col min="21" max="21" width="13.0892857142857" customWidth="1"/>
    <col min="22" max="22" width="15.6339285714286" customWidth="1"/>
    <col min="23" max="23" width="10" customWidth="1"/>
    <col min="24" max="24" width="14" customWidth="1"/>
    <col min="25" max="25" width="12.2678571428571" customWidth="1"/>
    <col min="26" max="26" width="12.4553571428571" customWidth="1"/>
    <col min="27" max="27" width="11.9107142857143" customWidth="1"/>
    <col min="28" max="28" width="10.9107142857143" customWidth="1"/>
    <col min="29" max="29" width="13.7232142857143" customWidth="1"/>
    <col min="30" max="30" width="15" customWidth="1"/>
    <col min="31" max="32" width="13.4553571428571" customWidth="1"/>
  </cols>
  <sheetData>
    <row r="1" customHeight="1" spans="1:3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7" t="s">
        <v>5</v>
      </c>
      <c r="G1" s="28" t="s">
        <v>6</v>
      </c>
      <c r="H1" s="4" t="s">
        <v>7</v>
      </c>
      <c r="I1" s="3" t="s">
        <v>8</v>
      </c>
      <c r="J1" s="4" t="s">
        <v>9</v>
      </c>
      <c r="K1" s="55" t="s">
        <v>10</v>
      </c>
      <c r="L1" s="55" t="s">
        <v>11</v>
      </c>
      <c r="M1" s="55" t="s">
        <v>12</v>
      </c>
      <c r="N1" s="55" t="s">
        <v>13</v>
      </c>
      <c r="O1" s="55" t="s">
        <v>14</v>
      </c>
      <c r="P1" s="55" t="s">
        <v>15</v>
      </c>
      <c r="Q1" s="55" t="s">
        <v>16</v>
      </c>
      <c r="R1" s="55" t="s">
        <v>17</v>
      </c>
      <c r="S1" s="55" t="s">
        <v>18</v>
      </c>
      <c r="T1" s="55" t="s">
        <v>19</v>
      </c>
      <c r="U1" s="55" t="s">
        <v>20</v>
      </c>
      <c r="V1" s="55" t="s">
        <v>21</v>
      </c>
      <c r="W1" s="55" t="s">
        <v>22</v>
      </c>
      <c r="X1" s="96" t="s">
        <v>23</v>
      </c>
      <c r="Y1" s="55" t="s">
        <v>24</v>
      </c>
      <c r="Z1" s="55" t="s">
        <v>25</v>
      </c>
      <c r="AA1" s="55" t="s">
        <v>26</v>
      </c>
      <c r="AB1" s="55" t="s">
        <v>27</v>
      </c>
      <c r="AC1" s="55" t="s">
        <v>28</v>
      </c>
      <c r="AD1" s="55" t="s">
        <v>29</v>
      </c>
      <c r="AE1" s="55" t="s">
        <v>30</v>
      </c>
      <c r="AF1" s="55" t="s">
        <v>31</v>
      </c>
      <c r="AG1" s="55" t="s">
        <v>32</v>
      </c>
      <c r="AH1" s="4" t="s">
        <v>33</v>
      </c>
      <c r="AI1" s="125" t="s">
        <v>34</v>
      </c>
    </row>
    <row r="2" customHeight="1" spans="1:35">
      <c r="A2" s="5"/>
      <c r="B2" s="6" t="s">
        <v>35</v>
      </c>
      <c r="C2" s="7"/>
      <c r="D2" s="7"/>
      <c r="E2" s="29">
        <f t="shared" ref="E2:F2" si="0">SUM(E3:E7)</f>
        <v>328450</v>
      </c>
      <c r="F2" s="30">
        <f t="shared" si="0"/>
        <v>0.212856272601195</v>
      </c>
      <c r="G2" s="31"/>
      <c r="H2" s="32"/>
      <c r="I2" s="29">
        <f t="shared" ref="I2:J2" si="1">SUM(I3:I7)</f>
        <v>386328.7</v>
      </c>
      <c r="J2" s="29">
        <f t="shared" si="1"/>
        <v>57878.7</v>
      </c>
      <c r="K2" s="56">
        <f t="shared" ref="K2:K34" si="2">J2/E2</f>
        <v>0.176217689145989</v>
      </c>
      <c r="L2" s="57"/>
      <c r="M2" s="70"/>
      <c r="N2" s="70"/>
      <c r="O2" s="71"/>
      <c r="P2" s="72"/>
      <c r="Q2" s="88"/>
      <c r="R2" s="71"/>
      <c r="S2" s="88"/>
      <c r="T2" s="72"/>
      <c r="U2" s="72"/>
      <c r="V2" s="72"/>
      <c r="W2" s="72"/>
      <c r="X2" s="71"/>
      <c r="Y2" s="100"/>
      <c r="Z2" s="100"/>
      <c r="AA2" s="100"/>
      <c r="AB2" s="88"/>
      <c r="AC2" s="105"/>
      <c r="AD2" s="106"/>
      <c r="AE2" s="106"/>
      <c r="AF2" s="107"/>
      <c r="AG2" s="126"/>
      <c r="AH2" s="126"/>
      <c r="AI2" s="127"/>
    </row>
    <row r="3" customHeight="1" spans="1:35">
      <c r="A3" s="8">
        <v>1</v>
      </c>
      <c r="B3" s="9" t="s">
        <v>36</v>
      </c>
      <c r="C3" s="10">
        <v>1490</v>
      </c>
      <c r="D3" s="10">
        <v>50</v>
      </c>
      <c r="E3" s="33">
        <f t="shared" ref="E3:E7" si="3">C3*D3</f>
        <v>74500</v>
      </c>
      <c r="F3" s="34">
        <f t="shared" ref="F3:F7" si="4">E3/$E$34</f>
        <v>0.0482806890205177</v>
      </c>
      <c r="G3" s="35" t="s">
        <v>37</v>
      </c>
      <c r="H3" s="36">
        <f>IFERROR(__xludf.DUMMYFUNCTION("GOOGLEFINANCE(""HDFCBANK"")"),1700.15)</f>
        <v>1700.15</v>
      </c>
      <c r="I3" s="33">
        <f t="shared" ref="I3:I7" si="5">H3*D3</f>
        <v>85007.5</v>
      </c>
      <c r="J3" s="58">
        <f t="shared" ref="J3:J7" si="6">I3-E3</f>
        <v>10507.5</v>
      </c>
      <c r="K3" s="59">
        <f t="shared" si="2"/>
        <v>0.141040268456376</v>
      </c>
      <c r="L3" s="60">
        <f>IFERROR(__xludf.DUMMYFUNCTION("GOOGLEFINANCE(""HDFCBANK"",""marketcap"")/10^7"),1300795.8620238)</f>
        <v>1300795.8620238</v>
      </c>
      <c r="M3" s="73">
        <f>IFERROR(__xludf.DUMMYFUNCTION("GOOGLEFINANCE(""HDFCBANK"",""PE"")"),18.69)</f>
        <v>18.69</v>
      </c>
      <c r="N3" s="73">
        <f>IFERROR(__xludf.DUMMYFUNCTION("GOOGLEFINANCE(""HDFCBANK"",""EPS"")"),91.02)</f>
        <v>91.02</v>
      </c>
      <c r="O3" s="74">
        <v>321990</v>
      </c>
      <c r="P3" s="75">
        <v>106757</v>
      </c>
      <c r="Q3" s="89">
        <v>0.33</v>
      </c>
      <c r="R3" s="74">
        <v>69181</v>
      </c>
      <c r="S3" s="89">
        <v>0.21</v>
      </c>
      <c r="T3" s="90">
        <v>-3983</v>
      </c>
      <c r="U3" s="75">
        <v>85155</v>
      </c>
      <c r="V3" s="75"/>
      <c r="W3" s="75">
        <v>7</v>
      </c>
      <c r="X3" s="74">
        <v>692.74</v>
      </c>
      <c r="Y3" s="101">
        <v>0.3019</v>
      </c>
      <c r="Z3" s="101">
        <v>0.5023</v>
      </c>
      <c r="AA3" s="101">
        <v>0.2625</v>
      </c>
      <c r="AB3" s="89">
        <v>0.1</v>
      </c>
      <c r="AC3" s="108">
        <f t="shared" ref="AC3:AC7" si="7">L3/O3</f>
        <v>4.03986416355725</v>
      </c>
      <c r="AD3" s="109">
        <f t="shared" ref="AD3:AD7" si="8">P3/T3</f>
        <v>-26.8031634446397</v>
      </c>
      <c r="AE3" s="110">
        <f t="shared" ref="AE3:AE7" si="9">R3/T3</f>
        <v>-17.3690685413005</v>
      </c>
      <c r="AF3" s="111">
        <f t="shared" ref="AF3:AF7" si="10">H3/X3</f>
        <v>2.45423968588504</v>
      </c>
      <c r="AG3" s="73" t="s">
        <v>38</v>
      </c>
      <c r="AH3" s="73"/>
      <c r="AI3" s="128"/>
    </row>
    <row r="4" customHeight="1" spans="1:35">
      <c r="A4" s="11">
        <v>2</v>
      </c>
      <c r="B4" s="12" t="s">
        <v>39</v>
      </c>
      <c r="C4" s="13">
        <v>6466</v>
      </c>
      <c r="D4" s="13">
        <v>15</v>
      </c>
      <c r="E4" s="37">
        <f t="shared" si="3"/>
        <v>96990</v>
      </c>
      <c r="F4" s="38">
        <f t="shared" si="4"/>
        <v>0.0628556245382552</v>
      </c>
      <c r="G4" s="39" t="s">
        <v>40</v>
      </c>
      <c r="H4" s="40">
        <f>IFERROR(__xludf.DUMMYFUNCTION("GOOGLEFINANCE(""BAJFINANCE"")"),8419.6)</f>
        <v>8419.6</v>
      </c>
      <c r="I4" s="37">
        <f t="shared" si="5"/>
        <v>126294</v>
      </c>
      <c r="J4" s="58">
        <f t="shared" si="6"/>
        <v>29304</v>
      </c>
      <c r="K4" s="61">
        <f t="shared" si="2"/>
        <v>0.302134240643365</v>
      </c>
      <c r="L4" s="62">
        <f>IFERROR(__xludf.DUMMYFUNCTION("GOOGLEFINANCE(""BAJFINANCE"",""marketcap"")/10^7"),521012.5074)</f>
        <v>521012.5074</v>
      </c>
      <c r="M4" s="76">
        <f>IFERROR(__xludf.DUMMYFUNCTION("GOOGLEFINANCE(""BAJFINANCE"",""PE"")"),32.63)</f>
        <v>32.63</v>
      </c>
      <c r="N4" s="76">
        <f>IFERROR(__xludf.DUMMYFUNCTION("GOOGLEFINANCE(""BAJFINANCE"",""EPS"")"),257.8)</f>
        <v>257.8</v>
      </c>
      <c r="O4" s="77">
        <v>62279</v>
      </c>
      <c r="P4" s="78">
        <v>43336</v>
      </c>
      <c r="Q4" s="91">
        <v>0.7</v>
      </c>
      <c r="R4" s="77">
        <v>15375</v>
      </c>
      <c r="S4" s="91">
        <v>0.25</v>
      </c>
      <c r="T4" s="78">
        <v>82415</v>
      </c>
      <c r="U4" s="78">
        <v>201273</v>
      </c>
      <c r="V4" s="78"/>
      <c r="W4" s="78">
        <v>4</v>
      </c>
      <c r="X4" s="77">
        <v>1252.78</v>
      </c>
      <c r="Y4" s="102">
        <v>0.2726</v>
      </c>
      <c r="Z4" s="102">
        <v>0.6823</v>
      </c>
      <c r="AA4" s="102">
        <v>0.4842</v>
      </c>
      <c r="AB4" s="91">
        <v>0.13</v>
      </c>
      <c r="AC4" s="112">
        <f t="shared" si="7"/>
        <v>8.3657815218613</v>
      </c>
      <c r="AD4" s="109">
        <f t="shared" si="8"/>
        <v>0.525826609233756</v>
      </c>
      <c r="AE4" s="110">
        <f t="shared" si="9"/>
        <v>0.18655584541649</v>
      </c>
      <c r="AF4" s="113">
        <f t="shared" si="10"/>
        <v>6.72073308960871</v>
      </c>
      <c r="AG4" s="129" t="s">
        <v>0</v>
      </c>
      <c r="AH4" s="130"/>
      <c r="AI4" s="131" t="s">
        <v>41</v>
      </c>
    </row>
    <row r="5" customHeight="1" spans="1:35">
      <c r="A5" s="8">
        <v>3</v>
      </c>
      <c r="B5" s="9" t="s">
        <v>42</v>
      </c>
      <c r="C5" s="10">
        <v>780</v>
      </c>
      <c r="D5" s="10">
        <v>84</v>
      </c>
      <c r="E5" s="33">
        <f t="shared" si="3"/>
        <v>65520</v>
      </c>
      <c r="F5" s="34">
        <f t="shared" si="4"/>
        <v>0.0424610838204606</v>
      </c>
      <c r="G5" s="35">
        <v>532174</v>
      </c>
      <c r="H5" s="36">
        <f>IFERROR(__xludf.DUMMYFUNCTION("GOOGLEFINANCE(""532174"")"),1215.5)</f>
        <v>1215.5</v>
      </c>
      <c r="I5" s="33">
        <f t="shared" si="5"/>
        <v>102102</v>
      </c>
      <c r="J5" s="58">
        <f t="shared" si="6"/>
        <v>36582</v>
      </c>
      <c r="K5" s="59">
        <f t="shared" si="2"/>
        <v>0.558333333333333</v>
      </c>
      <c r="L5" s="60">
        <f>IFERROR(__xludf.DUMMYFUNCTION("GOOGLEFINANCE(""532174"",""marketcap"")/10^7"),859583.5620095)</f>
        <v>859583.5620095</v>
      </c>
      <c r="M5" s="73">
        <f>IFERROR(__xludf.DUMMYFUNCTION("GOOGLEFINANCE(""532174"",""PE"")"),17.68)</f>
        <v>17.68</v>
      </c>
      <c r="N5" s="73">
        <f>IFERROR(__xludf.DUMMYFUNCTION("GOOGLEFINANCE(""532174"",""EPS"")"),68.72)</f>
        <v>68.72</v>
      </c>
      <c r="O5" s="74">
        <v>174379</v>
      </c>
      <c r="P5" s="75">
        <v>57238</v>
      </c>
      <c r="Q5" s="89">
        <v>0.33</v>
      </c>
      <c r="R5" s="74">
        <v>47368</v>
      </c>
      <c r="S5" s="89">
        <v>0.27</v>
      </c>
      <c r="T5" s="75">
        <v>13765</v>
      </c>
      <c r="U5" s="75">
        <v>4332</v>
      </c>
      <c r="V5" s="75"/>
      <c r="W5" s="75">
        <v>6</v>
      </c>
      <c r="X5" s="74">
        <v>365.79</v>
      </c>
      <c r="Y5" s="101">
        <v>0.214</v>
      </c>
      <c r="Z5" s="101">
        <v>0.2866</v>
      </c>
      <c r="AA5" s="101">
        <v>0.3402</v>
      </c>
      <c r="AB5" s="89">
        <v>0.24</v>
      </c>
      <c r="AC5" s="108">
        <f t="shared" si="7"/>
        <v>4.92939839091576</v>
      </c>
      <c r="AD5" s="114">
        <f t="shared" si="8"/>
        <v>4.15822738830367</v>
      </c>
      <c r="AE5" s="114">
        <f t="shared" si="9"/>
        <v>3.4411914275336</v>
      </c>
      <c r="AF5" s="113">
        <f t="shared" si="10"/>
        <v>3.32294485907214</v>
      </c>
      <c r="AG5" s="132" t="s">
        <v>38</v>
      </c>
      <c r="AH5" s="132"/>
      <c r="AI5" s="133"/>
    </row>
    <row r="6" customHeight="1" spans="1:35">
      <c r="A6" s="11">
        <v>4</v>
      </c>
      <c r="B6" s="14" t="s">
        <v>43</v>
      </c>
      <c r="C6" s="13">
        <v>130</v>
      </c>
      <c r="D6" s="13">
        <v>504</v>
      </c>
      <c r="E6" s="37">
        <f t="shared" si="3"/>
        <v>65520</v>
      </c>
      <c r="F6" s="38">
        <f t="shared" si="4"/>
        <v>0.0424610838204606</v>
      </c>
      <c r="G6" s="41">
        <v>544252</v>
      </c>
      <c r="H6" s="40">
        <f>IFERROR(__xludf.DUMMYFUNCTION("GOOGLEFINANCE(""544252"")"),112.85)</f>
        <v>112.85</v>
      </c>
      <c r="I6" s="37">
        <f t="shared" si="5"/>
        <v>56876.4</v>
      </c>
      <c r="J6" s="63">
        <f t="shared" si="6"/>
        <v>-8643.60000000001</v>
      </c>
      <c r="K6" s="61">
        <f t="shared" si="2"/>
        <v>-0.131923076923077</v>
      </c>
      <c r="L6" s="62">
        <f>IFERROR(__xludf.DUMMYFUNCTION("GOOGLEFINANCE(""543940"",""marketcap"")/10^7"),138017.2788706)</f>
        <v>138017.2788706</v>
      </c>
      <c r="M6" s="79">
        <f>IFERROR(__xludf.DUMMYFUNCTION("GOOGLEFINANCE(""543940"",""PE"")"),85.72)</f>
        <v>85.72</v>
      </c>
      <c r="N6" s="76">
        <f>IFERROR(__xludf.DUMMYFUNCTION("GOOGLEFINANCE(""543940"",""EPS"")"),2.53)</f>
        <v>2.53</v>
      </c>
      <c r="O6" s="77">
        <v>8527</v>
      </c>
      <c r="P6" s="78">
        <v>7783</v>
      </c>
      <c r="Q6" s="91">
        <v>0.91</v>
      </c>
      <c r="R6" s="77">
        <v>1861</v>
      </c>
      <c r="S6" s="91">
        <v>0.22</v>
      </c>
      <c r="T6" s="78">
        <v>15125</v>
      </c>
      <c r="U6" s="78">
        <v>46789</v>
      </c>
      <c r="V6" s="78"/>
      <c r="W6" s="78">
        <v>6</v>
      </c>
      <c r="X6" s="77">
        <v>18.23</v>
      </c>
      <c r="Y6" s="102">
        <v>0.3416</v>
      </c>
      <c r="Z6" s="102">
        <v>0.879</v>
      </c>
      <c r="AA6" s="102">
        <v>0.5632</v>
      </c>
      <c r="AB6" s="78"/>
      <c r="AC6" s="112">
        <f t="shared" si="7"/>
        <v>16.1859128498417</v>
      </c>
      <c r="AD6" s="109">
        <f t="shared" si="8"/>
        <v>0.514578512396694</v>
      </c>
      <c r="AE6" s="110">
        <f t="shared" si="9"/>
        <v>0.12304132231405</v>
      </c>
      <c r="AF6" s="115">
        <f t="shared" si="10"/>
        <v>6.19034558420186</v>
      </c>
      <c r="AG6" s="76" t="s">
        <v>44</v>
      </c>
      <c r="AH6" s="76"/>
      <c r="AI6" s="134"/>
    </row>
    <row r="7" ht="16.8" spans="1:35">
      <c r="A7" s="8">
        <v>5</v>
      </c>
      <c r="B7" s="15" t="s">
        <v>45</v>
      </c>
      <c r="C7" s="10">
        <v>24</v>
      </c>
      <c r="D7" s="10">
        <v>1080</v>
      </c>
      <c r="E7" s="33">
        <f t="shared" si="3"/>
        <v>25920</v>
      </c>
      <c r="F7" s="34">
        <f t="shared" si="4"/>
        <v>0.0167977914015009</v>
      </c>
      <c r="G7" s="42">
        <v>511577</v>
      </c>
      <c r="H7" s="36">
        <f>IFERROR(__xludf.DUMMYFUNCTION("GOOGLEFINANCE(""511577"")"),14.86)</f>
        <v>14.86</v>
      </c>
      <c r="I7" s="33">
        <f t="shared" si="5"/>
        <v>16048.8</v>
      </c>
      <c r="J7" s="63">
        <f t="shared" si="6"/>
        <v>-9871.2</v>
      </c>
      <c r="K7" s="59">
        <f t="shared" si="2"/>
        <v>-0.380833333333333</v>
      </c>
      <c r="L7" s="60" t="str">
        <f>IFERROR(__xludf.DUMMYFUNCTION("GOOGLEFINANCE(""511577"",""marketcap"")/10^7"),"#N/A")</f>
        <v>#N/A</v>
      </c>
      <c r="M7" s="73" t="str">
        <f>IFERROR(__xludf.DUMMYFUNCTION("GOOGLEFINANCE(""511577"",""PE"")"),"#N/A")</f>
        <v>#N/A</v>
      </c>
      <c r="N7" s="73" t="str">
        <f>IFERROR(__xludf.DUMMYFUNCTION("GOOGLEFINANCE(""511577"",""EPS"")"),"#N/A")</f>
        <v>#N/A</v>
      </c>
      <c r="O7" s="80"/>
      <c r="P7" s="73"/>
      <c r="Q7" s="73"/>
      <c r="R7" s="92"/>
      <c r="S7" s="73"/>
      <c r="T7" s="73"/>
      <c r="U7" s="73"/>
      <c r="V7" s="73"/>
      <c r="W7" s="73"/>
      <c r="X7" s="92"/>
      <c r="Y7" s="73"/>
      <c r="Z7" s="73"/>
      <c r="AA7" s="73"/>
      <c r="AB7" s="73"/>
      <c r="AC7" s="108" t="e">
        <f t="shared" si="7"/>
        <v>#VALUE!</v>
      </c>
      <c r="AD7" s="114" t="e">
        <f t="shared" si="8"/>
        <v>#DIV/0!</v>
      </c>
      <c r="AE7" s="114" t="e">
        <f t="shared" si="9"/>
        <v>#DIV/0!</v>
      </c>
      <c r="AF7" s="111" t="e">
        <f t="shared" si="10"/>
        <v>#DIV/0!</v>
      </c>
      <c r="AG7" s="73" t="s">
        <v>44</v>
      </c>
      <c r="AH7" s="73"/>
      <c r="AI7" s="128"/>
    </row>
    <row r="8" customHeight="1" spans="1:35">
      <c r="A8" s="5"/>
      <c r="B8" s="6" t="s">
        <v>46</v>
      </c>
      <c r="C8" s="7"/>
      <c r="D8" s="7"/>
      <c r="E8" s="29">
        <f t="shared" ref="E8:F8" si="11">SUM(E9:E14)</f>
        <v>337820</v>
      </c>
      <c r="F8" s="30">
        <f t="shared" si="11"/>
        <v>0.218928622347802</v>
      </c>
      <c r="G8" s="31"/>
      <c r="H8" s="32"/>
      <c r="I8" s="29">
        <f t="shared" ref="I8:J8" si="12">SUM(I9:I14)</f>
        <v>319697.3</v>
      </c>
      <c r="J8" s="29">
        <f t="shared" si="12"/>
        <v>-18122.7</v>
      </c>
      <c r="K8" s="56">
        <f t="shared" si="2"/>
        <v>-0.0536460245100941</v>
      </c>
      <c r="L8" s="57"/>
      <c r="M8" s="70"/>
      <c r="N8" s="70"/>
      <c r="O8" s="71"/>
      <c r="P8" s="72"/>
      <c r="Q8" s="88"/>
      <c r="R8" s="71"/>
      <c r="S8" s="88"/>
      <c r="T8" s="72"/>
      <c r="U8" s="72"/>
      <c r="V8" s="72"/>
      <c r="W8" s="72"/>
      <c r="X8" s="71"/>
      <c r="Y8" s="100"/>
      <c r="Z8" s="100"/>
      <c r="AA8" s="100"/>
      <c r="AB8" s="88"/>
      <c r="AC8" s="105"/>
      <c r="AD8" s="106"/>
      <c r="AE8" s="106"/>
      <c r="AF8" s="107"/>
      <c r="AG8" s="126"/>
      <c r="AH8" s="126"/>
      <c r="AI8" s="127"/>
    </row>
    <row r="9" customHeight="1" spans="1:35">
      <c r="A9" s="8">
        <v>1</v>
      </c>
      <c r="B9" s="9" t="s">
        <v>47</v>
      </c>
      <c r="C9" s="10">
        <v>1151</v>
      </c>
      <c r="D9" s="10">
        <v>50</v>
      </c>
      <c r="E9" s="33">
        <f t="shared" ref="E9:E14" si="13">C9*D9</f>
        <v>57550</v>
      </c>
      <c r="F9" s="34">
        <f t="shared" ref="F9:F14" si="14">E9/$E$34</f>
        <v>0.0372960221896751</v>
      </c>
      <c r="G9" s="35" t="s">
        <v>48</v>
      </c>
      <c r="H9" s="36">
        <f>IFERROR(__xludf.DUMMYFUNCTION("GOOGLEFINANCE(""AFFLE"")"),1459.6)</f>
        <v>1459.6</v>
      </c>
      <c r="I9" s="33">
        <f t="shared" ref="I9:I14" si="15">H9*D9</f>
        <v>72980</v>
      </c>
      <c r="J9" s="58">
        <f t="shared" ref="J9:J14" si="16">I9-E9</f>
        <v>15430</v>
      </c>
      <c r="K9" s="59">
        <f t="shared" si="2"/>
        <v>0.268114682884448</v>
      </c>
      <c r="L9" s="60">
        <f>IFERROR(__xludf.DUMMYFUNCTION("GOOGLEFINANCE(""AFFLE"",""marketcap"")/10^7"),20489.4849612)</f>
        <v>20489.4849612</v>
      </c>
      <c r="M9" s="73">
        <f>IFERROR(__xludf.DUMMYFUNCTION("GOOGLEFINANCE(""AFFLE"",""PE"")"),55.53)</f>
        <v>55.53</v>
      </c>
      <c r="N9" s="73">
        <f>IFERROR(__xludf.DUMMYFUNCTION("GOOGLEFINANCE(""AFFLE"",""EPS"")"),26.11)</f>
        <v>26.11</v>
      </c>
      <c r="O9" s="74">
        <v>2067</v>
      </c>
      <c r="P9" s="75">
        <v>412</v>
      </c>
      <c r="Q9" s="89">
        <v>0.2</v>
      </c>
      <c r="R9" s="74">
        <v>343</v>
      </c>
      <c r="S9" s="89">
        <v>0.17</v>
      </c>
      <c r="T9" s="75">
        <v>262</v>
      </c>
      <c r="U9" s="75">
        <v>902</v>
      </c>
      <c r="V9" s="97">
        <v>-281</v>
      </c>
      <c r="W9" s="75">
        <v>0</v>
      </c>
      <c r="X9" s="74">
        <v>183</v>
      </c>
      <c r="Y9" s="101">
        <v>0.5278</v>
      </c>
      <c r="Z9" s="101">
        <v>0.1975</v>
      </c>
      <c r="AA9" s="101">
        <v>0.3016</v>
      </c>
      <c r="AB9" s="89">
        <v>0.02</v>
      </c>
      <c r="AC9" s="108">
        <f t="shared" ref="AC9:AC14" si="17">L9/O9</f>
        <v>9.91266809927431</v>
      </c>
      <c r="AD9" s="114">
        <f t="shared" ref="AD9:AD14" si="18">P9/T9</f>
        <v>1.57251908396947</v>
      </c>
      <c r="AE9" s="114">
        <f t="shared" ref="AE9:AE14" si="19">R9/T9</f>
        <v>1.30916030534351</v>
      </c>
      <c r="AF9" s="111">
        <f t="shared" ref="AF9:AF14" si="20">H9/X9</f>
        <v>7.97595628415301</v>
      </c>
      <c r="AG9" s="73" t="s">
        <v>38</v>
      </c>
      <c r="AH9" s="73"/>
      <c r="AI9" s="128"/>
    </row>
    <row r="10" customHeight="1" spans="1:35">
      <c r="A10" s="11">
        <v>2</v>
      </c>
      <c r="B10" s="12" t="s">
        <v>49</v>
      </c>
      <c r="C10" s="13">
        <v>4775</v>
      </c>
      <c r="D10" s="13">
        <v>16</v>
      </c>
      <c r="E10" s="37">
        <f t="shared" si="13"/>
        <v>76400</v>
      </c>
      <c r="F10" s="38">
        <f t="shared" si="14"/>
        <v>0.0495120086062758</v>
      </c>
      <c r="G10" s="39" t="s">
        <v>50</v>
      </c>
      <c r="H10" s="40">
        <f>IFERROR(__xludf.DUMMYFUNCTION("GOOGLEFINANCE(""LTIM"")"),4793.8)</f>
        <v>4793.8</v>
      </c>
      <c r="I10" s="37">
        <f t="shared" si="15"/>
        <v>76700.8</v>
      </c>
      <c r="J10" s="58">
        <f t="shared" si="16"/>
        <v>300.800000000003</v>
      </c>
      <c r="K10" s="61">
        <f t="shared" si="2"/>
        <v>0.00393717277486915</v>
      </c>
      <c r="L10" s="62">
        <f>IFERROR(__xludf.DUMMYFUNCTION("GOOGLEFINANCE(""LTIM"",""marketcap"")/10^7"),173004)</f>
        <v>173004</v>
      </c>
      <c r="M10" s="76">
        <f>IFERROR(__xludf.DUMMYFUNCTION("GOOGLEFINANCE(""LTIM"",""PE"")"),34.69)</f>
        <v>34.69</v>
      </c>
      <c r="N10" s="76">
        <f>IFERROR(__xludf.DUMMYFUNCTION("GOOGLEFINANCE(""LTIM"",""EPS"")"),145.92)</f>
        <v>145.92</v>
      </c>
      <c r="O10" s="77">
        <v>36485</v>
      </c>
      <c r="P10" s="78">
        <v>6426</v>
      </c>
      <c r="Q10" s="91">
        <v>0.18</v>
      </c>
      <c r="R10" s="77">
        <v>4654</v>
      </c>
      <c r="S10" s="91">
        <v>0.13</v>
      </c>
      <c r="T10" s="78">
        <v>5670</v>
      </c>
      <c r="U10" s="78">
        <v>16058</v>
      </c>
      <c r="V10" s="78">
        <v>11468</v>
      </c>
      <c r="W10" s="78">
        <v>0</v>
      </c>
      <c r="X10" s="77">
        <v>676</v>
      </c>
      <c r="Y10" s="102">
        <v>0.4213</v>
      </c>
      <c r="Z10" s="102">
        <v>0.1872</v>
      </c>
      <c r="AA10" s="102">
        <v>0.3326</v>
      </c>
      <c r="AB10" s="91">
        <v>0.27</v>
      </c>
      <c r="AC10" s="112">
        <f t="shared" si="17"/>
        <v>4.74178429491572</v>
      </c>
      <c r="AD10" s="116">
        <f t="shared" si="18"/>
        <v>1.13333333333333</v>
      </c>
      <c r="AE10" s="116">
        <f t="shared" si="19"/>
        <v>0.820811287477954</v>
      </c>
      <c r="AF10" s="115">
        <f t="shared" si="20"/>
        <v>7.0914201183432</v>
      </c>
      <c r="AG10" s="135" t="s">
        <v>0</v>
      </c>
      <c r="AH10" s="76"/>
      <c r="AI10" s="134"/>
    </row>
    <row r="11" customHeight="1" spans="1:35">
      <c r="A11" s="8">
        <v>3</v>
      </c>
      <c r="B11" s="9" t="s">
        <v>51</v>
      </c>
      <c r="C11" s="10">
        <v>672</v>
      </c>
      <c r="D11" s="10">
        <v>61</v>
      </c>
      <c r="E11" s="33">
        <f t="shared" si="13"/>
        <v>40992</v>
      </c>
      <c r="F11" s="34">
        <f t="shared" si="14"/>
        <v>0.0265653960312626</v>
      </c>
      <c r="G11" s="35">
        <v>542651</v>
      </c>
      <c r="H11" s="36">
        <f>IFERROR(__xludf.DUMMYFUNCTION("GOOGLEFINANCE(""542651"")"),1293.1)</f>
        <v>1293.1</v>
      </c>
      <c r="I11" s="33">
        <f t="shared" si="15"/>
        <v>78879.1</v>
      </c>
      <c r="J11" s="58">
        <f t="shared" si="16"/>
        <v>37887.1</v>
      </c>
      <c r="K11" s="59">
        <f t="shared" si="2"/>
        <v>0.924255952380952</v>
      </c>
      <c r="L11" s="60">
        <f>IFERROR(__xludf.DUMMYFUNCTION("GOOGLEFINANCE(""542651"",""marketcap"")/10^7"),35073.415155)</f>
        <v>35073.415155</v>
      </c>
      <c r="M11" s="73">
        <f>IFERROR(__xludf.DUMMYFUNCTION("GOOGLEFINANCE(""542651"",""PE"")"),46.57)</f>
        <v>46.57</v>
      </c>
      <c r="N11" s="73">
        <f>IFERROR(__xludf.DUMMYFUNCTION("GOOGLEFINANCE(""542651"",""EPS"")"),27.77)</f>
        <v>27.77</v>
      </c>
      <c r="O11" s="74">
        <v>5411</v>
      </c>
      <c r="P11" s="75">
        <v>1116</v>
      </c>
      <c r="Q11" s="89">
        <v>0.21</v>
      </c>
      <c r="R11" s="74">
        <v>728</v>
      </c>
      <c r="S11" s="89">
        <v>0.13</v>
      </c>
      <c r="T11" s="75">
        <v>1002</v>
      </c>
      <c r="U11" s="75">
        <v>2956</v>
      </c>
      <c r="V11" s="75">
        <v>1402</v>
      </c>
      <c r="W11" s="75">
        <v>0</v>
      </c>
      <c r="X11" s="74">
        <v>78</v>
      </c>
      <c r="Y11" s="101">
        <v>0.3376</v>
      </c>
      <c r="Z11" s="101">
        <v>0.1945</v>
      </c>
      <c r="AA11" s="101">
        <v>0.5964</v>
      </c>
      <c r="AB11" s="89">
        <v>1.03</v>
      </c>
      <c r="AC11" s="108">
        <f t="shared" si="17"/>
        <v>6.48187306505267</v>
      </c>
      <c r="AD11" s="114">
        <f t="shared" si="18"/>
        <v>1.11377245508982</v>
      </c>
      <c r="AE11" s="114">
        <f t="shared" si="19"/>
        <v>0.726546906187625</v>
      </c>
      <c r="AF11" s="117">
        <f t="shared" si="20"/>
        <v>16.5782051282051</v>
      </c>
      <c r="AG11" s="135" t="s">
        <v>0</v>
      </c>
      <c r="AH11" s="73"/>
      <c r="AI11" s="136" t="s">
        <v>52</v>
      </c>
    </row>
    <row r="12" customHeight="1" spans="1:35">
      <c r="A12" s="11">
        <v>4</v>
      </c>
      <c r="B12" s="16" t="s">
        <v>53</v>
      </c>
      <c r="C12" s="13">
        <v>1072</v>
      </c>
      <c r="D12" s="13">
        <v>63</v>
      </c>
      <c r="E12" s="37">
        <f t="shared" si="13"/>
        <v>67536</v>
      </c>
      <c r="F12" s="38">
        <f t="shared" si="14"/>
        <v>0.043767578707244</v>
      </c>
      <c r="G12" s="41">
        <v>544028</v>
      </c>
      <c r="H12" s="40">
        <f>IFERROR(__xludf.DUMMYFUNCTION("GOOGLEFINANCE(""544028"")"),662)</f>
        <v>662</v>
      </c>
      <c r="I12" s="37">
        <f t="shared" si="15"/>
        <v>41706</v>
      </c>
      <c r="J12" s="63">
        <f t="shared" si="16"/>
        <v>-25830</v>
      </c>
      <c r="K12" s="61">
        <f t="shared" si="2"/>
        <v>-0.382462686567164</v>
      </c>
      <c r="L12" s="62">
        <f>IFERROR(__xludf.DUMMYFUNCTION("GOOGLEFINANCE(""544028"",""marketcap"")/10^7"),26879.5938195)</f>
        <v>26879.5938195</v>
      </c>
      <c r="M12" s="76">
        <f>IFERROR(__xludf.DUMMYFUNCTION("GOOGLEFINANCE(""544028"",""PE"")"),41.68)</f>
        <v>41.68</v>
      </c>
      <c r="N12" s="76">
        <f>IFERROR(__xludf.DUMMYFUNCTION("GOOGLEFINANCE(""544028"",""EPS"")"),15.88)</f>
        <v>15.88</v>
      </c>
      <c r="O12" s="77">
        <v>5156</v>
      </c>
      <c r="P12" s="78">
        <v>943</v>
      </c>
      <c r="Q12" s="91">
        <v>0.18</v>
      </c>
      <c r="R12" s="77">
        <v>647</v>
      </c>
      <c r="S12" s="91">
        <v>0.13</v>
      </c>
      <c r="T12" s="78">
        <v>294</v>
      </c>
      <c r="U12" s="78">
        <v>2037</v>
      </c>
      <c r="V12" s="78">
        <v>1731</v>
      </c>
      <c r="W12" s="78">
        <v>0</v>
      </c>
      <c r="X12" s="77">
        <v>79</v>
      </c>
      <c r="Y12" s="102">
        <v>0.2905</v>
      </c>
      <c r="Z12" s="102">
        <v>0.1844</v>
      </c>
      <c r="AA12" s="102">
        <v>0.4162</v>
      </c>
      <c r="AB12" s="76"/>
      <c r="AC12" s="112">
        <f t="shared" si="17"/>
        <v>5.21326489904965</v>
      </c>
      <c r="AD12" s="116">
        <f t="shared" si="18"/>
        <v>3.20748299319728</v>
      </c>
      <c r="AE12" s="116">
        <f t="shared" si="19"/>
        <v>2.20068027210884</v>
      </c>
      <c r="AF12" s="115">
        <f t="shared" si="20"/>
        <v>8.37974683544304</v>
      </c>
      <c r="AG12" s="135" t="s">
        <v>0</v>
      </c>
      <c r="AH12" s="76"/>
      <c r="AI12" s="136" t="s">
        <v>52</v>
      </c>
    </row>
    <row r="13" customHeight="1" spans="1:35">
      <c r="A13" s="8">
        <v>5</v>
      </c>
      <c r="B13" s="15" t="s">
        <v>54</v>
      </c>
      <c r="C13" s="10">
        <v>232</v>
      </c>
      <c r="D13" s="10">
        <v>191</v>
      </c>
      <c r="E13" s="33">
        <f t="shared" si="13"/>
        <v>44312</v>
      </c>
      <c r="F13" s="34">
        <f t="shared" si="14"/>
        <v>0.02871696499164</v>
      </c>
      <c r="G13" s="42">
        <v>544107</v>
      </c>
      <c r="H13" s="36">
        <f>IFERROR(__xludf.DUMMYFUNCTION("GOOGLEFINANCE(""544107"")"),152.9)</f>
        <v>152.9</v>
      </c>
      <c r="I13" s="33">
        <f t="shared" si="15"/>
        <v>29203.9</v>
      </c>
      <c r="J13" s="63">
        <f t="shared" si="16"/>
        <v>-15108.1</v>
      </c>
      <c r="K13" s="59">
        <f t="shared" si="2"/>
        <v>-0.340948275862069</v>
      </c>
      <c r="L13" s="60">
        <f>IFERROR(__xludf.DUMMYFUNCTION("GOOGLEFINANCE(""544107"",""marketcap"")/10^7"),1388.6507127)</f>
        <v>1388.6507127</v>
      </c>
      <c r="M13" s="73">
        <f>IFERROR(__xludf.DUMMYFUNCTION("GOOGLEFINANCE(""544107"",""PE"")"),26.3)</f>
        <v>26.3</v>
      </c>
      <c r="N13" s="73">
        <f>IFERROR(__xludf.DUMMYFUNCTION("GOOGLEFINANCE(""544107"",""EPS"")"),5.8)</f>
        <v>5.8</v>
      </c>
      <c r="O13" s="74">
        <v>298</v>
      </c>
      <c r="P13" s="75">
        <v>46</v>
      </c>
      <c r="Q13" s="89">
        <v>0.16</v>
      </c>
      <c r="R13" s="74">
        <v>44</v>
      </c>
      <c r="S13" s="89">
        <v>0.15</v>
      </c>
      <c r="T13" s="75">
        <v>20</v>
      </c>
      <c r="U13" s="75">
        <v>77</v>
      </c>
      <c r="V13" s="97">
        <v>-16</v>
      </c>
      <c r="W13" s="75">
        <v>0</v>
      </c>
      <c r="X13" s="74">
        <v>55</v>
      </c>
      <c r="Y13" s="101">
        <v>0.6721</v>
      </c>
      <c r="Z13" s="101">
        <v>0.1279</v>
      </c>
      <c r="AA13" s="101">
        <v>1.1522</v>
      </c>
      <c r="AB13" s="73"/>
      <c r="AC13" s="108">
        <f t="shared" si="17"/>
        <v>4.6599017204698</v>
      </c>
      <c r="AD13" s="114">
        <f t="shared" si="18"/>
        <v>2.3</v>
      </c>
      <c r="AE13" s="114">
        <f t="shared" si="19"/>
        <v>2.2</v>
      </c>
      <c r="AF13" s="111">
        <f t="shared" si="20"/>
        <v>2.78</v>
      </c>
      <c r="AG13" s="73" t="s">
        <v>38</v>
      </c>
      <c r="AH13" s="73"/>
      <c r="AI13" s="128"/>
    </row>
    <row r="14" customHeight="1" spans="1:35">
      <c r="A14" s="11">
        <v>6</v>
      </c>
      <c r="B14" s="17" t="s">
        <v>55</v>
      </c>
      <c r="C14" s="13">
        <v>1134</v>
      </c>
      <c r="D14" s="13">
        <v>45</v>
      </c>
      <c r="E14" s="37">
        <f t="shared" si="13"/>
        <v>51030</v>
      </c>
      <c r="F14" s="38">
        <f t="shared" si="14"/>
        <v>0.0330706518217049</v>
      </c>
      <c r="G14" s="41">
        <v>532790</v>
      </c>
      <c r="H14" s="40">
        <f>IFERROR(__xludf.DUMMYFUNCTION("GOOGLEFINANCE(""532790"")"),449.5)</f>
        <v>449.5</v>
      </c>
      <c r="I14" s="37">
        <f t="shared" si="15"/>
        <v>20227.5</v>
      </c>
      <c r="J14" s="63">
        <f t="shared" si="16"/>
        <v>-30802.5</v>
      </c>
      <c r="K14" s="61">
        <f t="shared" si="2"/>
        <v>-0.603615520282187</v>
      </c>
      <c r="L14" s="62">
        <f>IFERROR(__xludf.DUMMYFUNCTION("GOOGLEFINANCE(""532790"",""marketcap"")/10^7"),6041.6242596)</f>
        <v>6041.6242596</v>
      </c>
      <c r="M14" s="76">
        <f>IFERROR(__xludf.DUMMYFUNCTION("GOOGLEFINANCE(""532790"",""PE"")"),11.64)</f>
        <v>11.64</v>
      </c>
      <c r="N14" s="76">
        <f>IFERROR(__xludf.DUMMYFUNCTION("GOOGLEFINANCE(""543664"",""EPS"")"),39.48)</f>
        <v>39.48</v>
      </c>
      <c r="O14" s="77">
        <v>4011</v>
      </c>
      <c r="P14" s="78">
        <v>717</v>
      </c>
      <c r="Q14" s="91">
        <v>0.18</v>
      </c>
      <c r="R14" s="77">
        <v>542</v>
      </c>
      <c r="S14" s="91">
        <v>0.14</v>
      </c>
      <c r="T14" s="78">
        <v>590</v>
      </c>
      <c r="U14" s="78">
        <v>2124</v>
      </c>
      <c r="V14" s="78">
        <v>1675</v>
      </c>
      <c r="W14" s="78">
        <v>0</v>
      </c>
      <c r="X14" s="77">
        <v>144</v>
      </c>
      <c r="Y14" s="102">
        <v>0.1882</v>
      </c>
      <c r="Z14" s="102">
        <v>0.1933</v>
      </c>
      <c r="AA14" s="102">
        <v>0.1547</v>
      </c>
      <c r="AB14" s="91">
        <v>0</v>
      </c>
      <c r="AC14" s="112">
        <f t="shared" si="17"/>
        <v>1.50626383934181</v>
      </c>
      <c r="AD14" s="116">
        <f t="shared" si="18"/>
        <v>1.21525423728814</v>
      </c>
      <c r="AE14" s="116">
        <f t="shared" si="19"/>
        <v>0.91864406779661</v>
      </c>
      <c r="AF14" s="115">
        <f t="shared" si="20"/>
        <v>3.12152777777778</v>
      </c>
      <c r="AG14" s="135" t="s">
        <v>0</v>
      </c>
      <c r="AH14" s="76"/>
      <c r="AI14" s="134"/>
    </row>
    <row r="15" ht="16.8" spans="1:35">
      <c r="A15" s="18"/>
      <c r="B15" s="19" t="s">
        <v>56</v>
      </c>
      <c r="C15" s="20"/>
      <c r="D15" s="20"/>
      <c r="E15" s="43">
        <f t="shared" ref="E15:F15" si="21">SUM(E16:E18)</f>
        <v>263565</v>
      </c>
      <c r="F15" s="44">
        <f t="shared" si="21"/>
        <v>0.170806708747554</v>
      </c>
      <c r="G15" s="45"/>
      <c r="H15" s="46"/>
      <c r="I15" s="43">
        <f t="shared" ref="I15:J15" si="22">SUM(I16:I18)</f>
        <v>277958.7</v>
      </c>
      <c r="J15" s="43">
        <f t="shared" si="22"/>
        <v>14393.7</v>
      </c>
      <c r="K15" s="64">
        <f t="shared" si="2"/>
        <v>0.0546115758920949</v>
      </c>
      <c r="L15" s="65"/>
      <c r="M15" s="81"/>
      <c r="N15" s="81"/>
      <c r="O15" s="82"/>
      <c r="P15" s="83"/>
      <c r="Q15" s="93"/>
      <c r="R15" s="82"/>
      <c r="S15" s="93"/>
      <c r="T15" s="83"/>
      <c r="U15" s="83"/>
      <c r="V15" s="83"/>
      <c r="W15" s="83"/>
      <c r="X15" s="82"/>
      <c r="Y15" s="103"/>
      <c r="Z15" s="103"/>
      <c r="AA15" s="103"/>
      <c r="AB15" s="93"/>
      <c r="AC15" s="118"/>
      <c r="AD15" s="119"/>
      <c r="AE15" s="119"/>
      <c r="AF15" s="120"/>
      <c r="AG15" s="137"/>
      <c r="AH15" s="137"/>
      <c r="AI15" s="138"/>
    </row>
    <row r="16" customHeight="1" spans="1:35">
      <c r="A16" s="11">
        <v>1</v>
      </c>
      <c r="B16" s="12" t="s">
        <v>57</v>
      </c>
      <c r="C16" s="13">
        <v>3777</v>
      </c>
      <c r="D16" s="13">
        <v>27</v>
      </c>
      <c r="E16" s="37">
        <f t="shared" ref="E16:E18" si="23">C16*D16</f>
        <v>101979</v>
      </c>
      <c r="F16" s="38">
        <f t="shared" ref="F16:F18" si="24">E16/$E$34</f>
        <v>0.0660888105452802</v>
      </c>
      <c r="G16" s="39" t="s">
        <v>58</v>
      </c>
      <c r="H16" s="40">
        <f>IFERROR(__xludf.DUMMYFUNCTION("GOOGLEFINANCE(""DMART"")"),3451.1)</f>
        <v>3451.1</v>
      </c>
      <c r="I16" s="37">
        <f t="shared" ref="I16:I18" si="25">H16*D16</f>
        <v>93179.7</v>
      </c>
      <c r="J16" s="63">
        <f t="shared" ref="J16:J18" si="26">I16-E16</f>
        <v>-8799.3</v>
      </c>
      <c r="K16" s="61">
        <f t="shared" si="2"/>
        <v>-0.0862854117024093</v>
      </c>
      <c r="L16" s="62">
        <f>IFERROR(__xludf.DUMMYFUNCTION("GOOGLEFINANCE(""DMART"",""marketcap"")/10^7"),224584.226625)</f>
        <v>224584.226625</v>
      </c>
      <c r="M16" s="79">
        <f>IFERROR(__xludf.DUMMYFUNCTION("GOOGLEFINANCE(""DMART"",""PE"")"),82.63)</f>
        <v>82.63</v>
      </c>
      <c r="N16" s="76">
        <f>IFERROR(__xludf.DUMMYFUNCTION("GOOGLEFINANCE(""DMART"",""EPS"")"),41.75)</f>
        <v>41.75</v>
      </c>
      <c r="O16" s="77">
        <v>54813</v>
      </c>
      <c r="P16" s="78">
        <v>4379</v>
      </c>
      <c r="Q16" s="94">
        <v>0.08</v>
      </c>
      <c r="R16" s="77">
        <v>2687</v>
      </c>
      <c r="S16" s="91">
        <v>0.05</v>
      </c>
      <c r="T16" s="78">
        <v>2746</v>
      </c>
      <c r="U16" s="78">
        <v>9404</v>
      </c>
      <c r="V16" s="97">
        <v>-169</v>
      </c>
      <c r="W16" s="78">
        <v>0</v>
      </c>
      <c r="X16" s="77">
        <v>288</v>
      </c>
      <c r="Y16" s="102">
        <v>0.2813</v>
      </c>
      <c r="Z16" s="102">
        <v>0.0822</v>
      </c>
      <c r="AA16" s="102">
        <v>0.3213</v>
      </c>
      <c r="AB16" s="91">
        <v>0.17</v>
      </c>
      <c r="AC16" s="121">
        <f t="shared" ref="AC16:AC18" si="27">L16/O16</f>
        <v>4.09728032811559</v>
      </c>
      <c r="AD16" s="116">
        <f t="shared" ref="AD16:AD18" si="28">P16/T16</f>
        <v>1.59468317552804</v>
      </c>
      <c r="AE16" s="116">
        <f t="shared" ref="AE16:AE18" si="29">R16/T16</f>
        <v>0.978514202476329</v>
      </c>
      <c r="AF16" s="113">
        <f t="shared" ref="AF16:AF18" si="30">H16/X16</f>
        <v>11.9829861111111</v>
      </c>
      <c r="AG16" s="129" t="s">
        <v>0</v>
      </c>
      <c r="AH16" s="76"/>
      <c r="AI16" s="136" t="s">
        <v>59</v>
      </c>
    </row>
    <row r="17" customHeight="1" spans="1:35">
      <c r="A17" s="8">
        <v>2</v>
      </c>
      <c r="B17" s="9" t="s">
        <v>60</v>
      </c>
      <c r="C17" s="10">
        <v>845</v>
      </c>
      <c r="D17" s="10">
        <v>90</v>
      </c>
      <c r="E17" s="33">
        <f t="shared" si="23"/>
        <v>76050</v>
      </c>
      <c r="F17" s="34">
        <f t="shared" si="24"/>
        <v>0.0492851865773204</v>
      </c>
      <c r="G17" s="42">
        <v>532540</v>
      </c>
      <c r="H17" s="36">
        <f>IFERROR(__xludf.DUMMYFUNCTION("GOOGLEFINANCE(""500800"")"),961.1)</f>
        <v>961.1</v>
      </c>
      <c r="I17" s="33">
        <f t="shared" si="25"/>
        <v>86499</v>
      </c>
      <c r="J17" s="58">
        <f t="shared" si="26"/>
        <v>10449</v>
      </c>
      <c r="K17" s="59">
        <f t="shared" si="2"/>
        <v>0.137396449704142</v>
      </c>
      <c r="L17" s="60">
        <f>IFERROR(__xludf.DUMMYFUNCTION("GOOGLEFINANCE(""532540"",""marketcap"")/10^7"),1297066.0813985)</f>
        <v>1297066.0813985</v>
      </c>
      <c r="M17" s="73">
        <f>IFERROR(__xludf.DUMMYFUNCTION("GOOGLEFINANCE(""532540"",""PE"")"),26.56)</f>
        <v>26.56</v>
      </c>
      <c r="N17" s="73">
        <f>IFERROR(__xludf.DUMMYFUNCTION("GOOGLEFINANCE(""532540"",""EPS"")"),134.77)</f>
        <v>134.77</v>
      </c>
      <c r="O17" s="74">
        <v>248692</v>
      </c>
      <c r="P17" s="75">
        <v>66945</v>
      </c>
      <c r="Q17" s="89">
        <v>0.27</v>
      </c>
      <c r="R17" s="74">
        <v>47441</v>
      </c>
      <c r="S17" s="89">
        <v>0.19</v>
      </c>
      <c r="T17" s="75">
        <v>44338</v>
      </c>
      <c r="U17" s="75">
        <v>197423</v>
      </c>
      <c r="V17" s="75">
        <v>189508</v>
      </c>
      <c r="W17" s="75">
        <v>0</v>
      </c>
      <c r="X17" s="74">
        <v>249</v>
      </c>
      <c r="Y17" s="101">
        <v>0.1363</v>
      </c>
      <c r="Z17" s="101">
        <v>0.2684</v>
      </c>
      <c r="AA17" s="101">
        <v>0.1228</v>
      </c>
      <c r="AB17" s="89">
        <v>0.06</v>
      </c>
      <c r="AC17" s="121">
        <f t="shared" si="27"/>
        <v>5.2155520941506</v>
      </c>
      <c r="AD17" s="114">
        <f t="shared" si="28"/>
        <v>1.50987865938924</v>
      </c>
      <c r="AE17" s="114">
        <f t="shared" si="29"/>
        <v>1.06998511434887</v>
      </c>
      <c r="AF17" s="113">
        <f t="shared" si="30"/>
        <v>3.85983935742972</v>
      </c>
      <c r="AG17" s="129" t="s">
        <v>0</v>
      </c>
      <c r="AH17" s="132"/>
      <c r="AI17" s="133"/>
    </row>
    <row r="18" customHeight="1" spans="1:35">
      <c r="A18" s="11">
        <v>3</v>
      </c>
      <c r="B18" s="12" t="s">
        <v>61</v>
      </c>
      <c r="C18" s="13">
        <v>2376</v>
      </c>
      <c r="D18" s="13">
        <v>36</v>
      </c>
      <c r="E18" s="37">
        <f t="shared" si="23"/>
        <v>85536</v>
      </c>
      <c r="F18" s="38">
        <f t="shared" si="24"/>
        <v>0.055432711624953</v>
      </c>
      <c r="G18" s="39">
        <v>500331</v>
      </c>
      <c r="H18" s="40">
        <f>IFERROR(__xludf.DUMMYFUNCTION("GOOGLEFINANCE(""500331"")"),2730)</f>
        <v>2730</v>
      </c>
      <c r="I18" s="37">
        <f t="shared" si="25"/>
        <v>98280</v>
      </c>
      <c r="J18" s="58">
        <f t="shared" si="26"/>
        <v>12744</v>
      </c>
      <c r="K18" s="61">
        <f t="shared" si="2"/>
        <v>0.148989898989899</v>
      </c>
      <c r="L18" s="62">
        <f>IFERROR(__xludf.DUMMYFUNCTION("GOOGLEFINANCE(""500331"",""marketcap"")/10^7"),138857.7849868)</f>
        <v>138857.7849868</v>
      </c>
      <c r="M18" s="79">
        <f>IFERROR(__xludf.DUMMYFUNCTION("GOOGLEFINANCE(""500331"",""PE"")"),71.13)</f>
        <v>71.13</v>
      </c>
      <c r="N18" s="76">
        <f>IFERROR(__xludf.DUMMYFUNCTION("GOOGLEFINANCE(""500331"",""EPS"")"),38.36)</f>
        <v>38.36</v>
      </c>
      <c r="O18" s="77">
        <v>12662</v>
      </c>
      <c r="P18" s="78">
        <v>2897</v>
      </c>
      <c r="Q18" s="91">
        <v>0.23</v>
      </c>
      <c r="R18" s="77">
        <v>1913</v>
      </c>
      <c r="S18" s="91">
        <v>0.15</v>
      </c>
      <c r="T18" s="78">
        <v>2724</v>
      </c>
      <c r="U18" s="78">
        <v>7909</v>
      </c>
      <c r="V18" s="78">
        <v>4000</v>
      </c>
      <c r="W18" s="78">
        <v>0</v>
      </c>
      <c r="X18" s="77">
        <v>165</v>
      </c>
      <c r="Y18" s="102">
        <v>0.193</v>
      </c>
      <c r="Z18" s="102">
        <v>0.1921</v>
      </c>
      <c r="AA18" s="102">
        <v>0.152</v>
      </c>
      <c r="AB18" s="91">
        <v>0.19</v>
      </c>
      <c r="AC18" s="121">
        <f t="shared" si="27"/>
        <v>10.9664969978518</v>
      </c>
      <c r="AD18" s="116">
        <f t="shared" si="28"/>
        <v>1.06350954478708</v>
      </c>
      <c r="AE18" s="116">
        <f t="shared" si="29"/>
        <v>0.702276064610866</v>
      </c>
      <c r="AF18" s="113">
        <f t="shared" si="30"/>
        <v>16.5454545454545</v>
      </c>
      <c r="AG18" s="129" t="s">
        <v>0</v>
      </c>
      <c r="AH18" s="139"/>
      <c r="AI18" s="140" t="s">
        <v>52</v>
      </c>
    </row>
    <row r="19" ht="16.8" spans="1:35">
      <c r="A19" s="18"/>
      <c r="B19" s="19" t="s">
        <v>62</v>
      </c>
      <c r="C19" s="20"/>
      <c r="D19" s="20"/>
      <c r="E19" s="43">
        <f t="shared" ref="E19:F19" si="31">SUM(E20:E23)</f>
        <v>158860</v>
      </c>
      <c r="F19" s="44">
        <f t="shared" si="31"/>
        <v>0.10295127862818</v>
      </c>
      <c r="G19" s="45"/>
      <c r="H19" s="46"/>
      <c r="I19" s="43">
        <f t="shared" ref="I19:J19" si="32">SUM(I20:I23)</f>
        <v>138974</v>
      </c>
      <c r="J19" s="43">
        <f t="shared" si="32"/>
        <v>-19886</v>
      </c>
      <c r="K19" s="64">
        <f t="shared" si="2"/>
        <v>-0.125179403248143</v>
      </c>
      <c r="L19" s="65"/>
      <c r="M19" s="81"/>
      <c r="N19" s="81"/>
      <c r="O19" s="82"/>
      <c r="P19" s="83"/>
      <c r="Q19" s="93"/>
      <c r="R19" s="82"/>
      <c r="S19" s="93"/>
      <c r="T19" s="83"/>
      <c r="U19" s="83"/>
      <c r="V19" s="83"/>
      <c r="W19" s="83"/>
      <c r="X19" s="82"/>
      <c r="Y19" s="103"/>
      <c r="Z19" s="103"/>
      <c r="AA19" s="103"/>
      <c r="AB19" s="93"/>
      <c r="AC19" s="118"/>
      <c r="AD19" s="119"/>
      <c r="AE19" s="119"/>
      <c r="AF19" s="120"/>
      <c r="AG19" s="137"/>
      <c r="AH19" s="137"/>
      <c r="AI19" s="138"/>
    </row>
    <row r="20" customHeight="1" spans="1:35">
      <c r="A20" s="11">
        <v>1</v>
      </c>
      <c r="B20" s="12" t="s">
        <v>63</v>
      </c>
      <c r="C20" s="13">
        <v>224</v>
      </c>
      <c r="D20" s="13">
        <v>225</v>
      </c>
      <c r="E20" s="37">
        <f t="shared" ref="E20:E23" si="33">C20*D20</f>
        <v>50400</v>
      </c>
      <c r="F20" s="38">
        <f t="shared" ref="F20:F23" si="34">E20/$E$34</f>
        <v>0.0326623721695851</v>
      </c>
      <c r="G20" s="39">
        <v>500400</v>
      </c>
      <c r="H20" s="40">
        <f>IFERROR(__xludf.DUMMYFUNCTION("GOOGLEFINANCE(""500400"")"),351)</f>
        <v>351</v>
      </c>
      <c r="I20" s="37">
        <f t="shared" ref="I20:I23" si="35">H20*D20</f>
        <v>78975</v>
      </c>
      <c r="J20" s="58">
        <f t="shared" ref="J20:J23" si="36">I20-E20</f>
        <v>28575</v>
      </c>
      <c r="K20" s="61">
        <f t="shared" si="2"/>
        <v>0.566964285714286</v>
      </c>
      <c r="L20" s="62">
        <f>IFERROR(__xludf.DUMMYFUNCTION("GOOGLEFINANCE(""500400"",""marketcap"")/10^7"),112140.4612005)</f>
        <v>112140.4612005</v>
      </c>
      <c r="M20" s="76">
        <f>IFERROR(__xludf.DUMMYFUNCTION("GOOGLEFINANCE(""500400"",""PE"")"),29.36)</f>
        <v>29.36</v>
      </c>
      <c r="N20" s="76">
        <f>IFERROR(__xludf.DUMMYFUNCTION("GOOGLEFINANCE(""500400"",""EPS"")"),11.94)</f>
        <v>11.94</v>
      </c>
      <c r="O20" s="77">
        <v>63489</v>
      </c>
      <c r="P20" s="78">
        <v>11057</v>
      </c>
      <c r="Q20" s="91">
        <v>0.17</v>
      </c>
      <c r="R20" s="77">
        <v>3746</v>
      </c>
      <c r="S20" s="91">
        <v>0.06</v>
      </c>
      <c r="T20" s="78">
        <v>12596</v>
      </c>
      <c r="U20" s="78">
        <v>42175</v>
      </c>
      <c r="V20" s="78">
        <v>10285</v>
      </c>
      <c r="W20" s="78">
        <v>2</v>
      </c>
      <c r="X20" s="77">
        <v>101</v>
      </c>
      <c r="Y20" s="102">
        <v>0.234</v>
      </c>
      <c r="Z20" s="102">
        <v>0.16</v>
      </c>
      <c r="AA20" s="102">
        <v>0.4856</v>
      </c>
      <c r="AB20" s="91">
        <v>0.56</v>
      </c>
      <c r="AC20" s="112">
        <f t="shared" ref="AC20:AC23" si="37">L20/O20</f>
        <v>1.76629748776166</v>
      </c>
      <c r="AD20" s="116">
        <f t="shared" ref="AD20:AD23" si="38">P20/T20</f>
        <v>0.877818355033344</v>
      </c>
      <c r="AE20" s="110">
        <f t="shared" ref="AE20:AE23" si="39">R20/T20</f>
        <v>0.297395998729755</v>
      </c>
      <c r="AF20" s="115">
        <f t="shared" ref="AF20:AF23" si="40">H20/X20</f>
        <v>3.47524752475248</v>
      </c>
      <c r="AG20" s="129" t="s">
        <v>0</v>
      </c>
      <c r="AH20" s="76"/>
      <c r="AI20" s="134"/>
    </row>
    <row r="21" customHeight="1" spans="1:35">
      <c r="A21" s="8">
        <v>2</v>
      </c>
      <c r="B21" s="15" t="s">
        <v>64</v>
      </c>
      <c r="C21" s="10">
        <v>875</v>
      </c>
      <c r="D21" s="10">
        <v>50</v>
      </c>
      <c r="E21" s="33">
        <f t="shared" si="33"/>
        <v>43750</v>
      </c>
      <c r="F21" s="34">
        <f t="shared" si="34"/>
        <v>0.0283527536194315</v>
      </c>
      <c r="G21" s="42">
        <v>542323</v>
      </c>
      <c r="H21" s="36">
        <f>IFERROR(__xludf.DUMMYFUNCTION("GOOGLEFINANCE(""542323"")"),402.4)</f>
        <v>402.4</v>
      </c>
      <c r="I21" s="33">
        <f t="shared" si="35"/>
        <v>20120</v>
      </c>
      <c r="J21" s="63">
        <f t="shared" si="36"/>
        <v>-23630</v>
      </c>
      <c r="K21" s="59">
        <f t="shared" si="2"/>
        <v>-0.540114285714286</v>
      </c>
      <c r="L21" s="60">
        <f>IFERROR(__xludf.DUMMYFUNCTION("GOOGLEFINANCE(""542323"",""marketcap"")/10^7"),7915.00212)</f>
        <v>7915.00212</v>
      </c>
      <c r="M21" s="73">
        <f>IFERROR(__xludf.DUMMYFUNCTION("GOOGLEFINANCE(""542323"",""PE"")"),29.26)</f>
        <v>29.26</v>
      </c>
      <c r="N21" s="73">
        <f>IFERROR(__xludf.DUMMYFUNCTION("GOOGLEFINANCE(""542323"",""EPS"")"),13.75)</f>
        <v>13.75</v>
      </c>
      <c r="O21" s="74">
        <v>1327</v>
      </c>
      <c r="P21" s="75">
        <v>462</v>
      </c>
      <c r="Q21" s="89">
        <v>0.35</v>
      </c>
      <c r="R21" s="74">
        <v>230</v>
      </c>
      <c r="S21" s="89">
        <v>0.17</v>
      </c>
      <c r="T21" s="90">
        <v>-57</v>
      </c>
      <c r="U21" s="75">
        <v>217</v>
      </c>
      <c r="V21" s="97">
        <v>-761</v>
      </c>
      <c r="W21" s="75">
        <v>1</v>
      </c>
      <c r="X21" s="74">
        <v>73</v>
      </c>
      <c r="Y21" s="101">
        <v>1.1552</v>
      </c>
      <c r="Z21" s="101">
        <v>0.3447</v>
      </c>
      <c r="AA21" s="101">
        <v>0.9465</v>
      </c>
      <c r="AB21" s="89">
        <v>3.7</v>
      </c>
      <c r="AC21" s="121">
        <f t="shared" si="37"/>
        <v>5.96458336096458</v>
      </c>
      <c r="AD21" s="109">
        <f t="shared" si="38"/>
        <v>-8.10526315789474</v>
      </c>
      <c r="AE21" s="110">
        <f t="shared" si="39"/>
        <v>-4.03508771929825</v>
      </c>
      <c r="AF21" s="113">
        <f t="shared" si="40"/>
        <v>5.51232876712329</v>
      </c>
      <c r="AG21" s="129" t="s">
        <v>0</v>
      </c>
      <c r="AH21" s="132"/>
      <c r="AI21" s="140" t="s">
        <v>52</v>
      </c>
    </row>
    <row r="22" customHeight="1" spans="1:35">
      <c r="A22" s="11">
        <v>3</v>
      </c>
      <c r="B22" s="12" t="s">
        <v>65</v>
      </c>
      <c r="C22" s="13">
        <v>44</v>
      </c>
      <c r="D22" s="13">
        <v>450</v>
      </c>
      <c r="E22" s="37">
        <f t="shared" si="33"/>
        <v>19800</v>
      </c>
      <c r="F22" s="38">
        <f t="shared" si="34"/>
        <v>0.0128316462094799</v>
      </c>
      <c r="G22" s="37">
        <v>532667</v>
      </c>
      <c r="H22" s="40">
        <f>IFERROR(__xludf.DUMMYFUNCTION("GOOGLEFINANCE(""532667"")"),51.36)</f>
        <v>51.36</v>
      </c>
      <c r="I22" s="37">
        <f t="shared" si="35"/>
        <v>23112</v>
      </c>
      <c r="J22" s="58">
        <f t="shared" si="36"/>
        <v>3312</v>
      </c>
      <c r="K22" s="61">
        <f t="shared" si="2"/>
        <v>0.167272727272727</v>
      </c>
      <c r="L22" s="62">
        <f>IFERROR(__xludf.DUMMYFUNCTION("GOOGLEFINANCE(""532667"",""marketcap"")/10^7"),70108.8661131)</f>
        <v>70108.8661131</v>
      </c>
      <c r="M22" s="79">
        <f>IFERROR(__xludf.DUMMYFUNCTION("GOOGLEFINANCE(""532667"",""PE"")"),61.25)</f>
        <v>61.25</v>
      </c>
      <c r="N22" s="76">
        <f>IFERROR(__xludf.DUMMYFUNCTION("GOOGLEFINANCE(""532667"",""EPS"")"),0.84)</f>
        <v>0.84</v>
      </c>
      <c r="O22" s="77">
        <v>7882</v>
      </c>
      <c r="P22" s="78">
        <v>1269</v>
      </c>
      <c r="Q22" s="91">
        <v>0.16</v>
      </c>
      <c r="R22" s="77">
        <v>960</v>
      </c>
      <c r="S22" s="91">
        <v>0.12</v>
      </c>
      <c r="T22" s="78">
        <v>80</v>
      </c>
      <c r="U22" s="78">
        <v>1474</v>
      </c>
      <c r="V22" s="78">
        <v>2316</v>
      </c>
      <c r="W22" s="78">
        <v>0</v>
      </c>
      <c r="X22" s="77">
        <v>3</v>
      </c>
      <c r="Y22" s="102">
        <v>0.2496</v>
      </c>
      <c r="Z22" s="102">
        <v>0.1452</v>
      </c>
      <c r="AA22" s="102">
        <v>0.8507</v>
      </c>
      <c r="AB22" s="91">
        <v>1.24</v>
      </c>
      <c r="AC22" s="121">
        <f t="shared" si="37"/>
        <v>8.89480666240802</v>
      </c>
      <c r="AD22" s="116">
        <f t="shared" si="38"/>
        <v>15.8625</v>
      </c>
      <c r="AE22" s="116">
        <f t="shared" si="39"/>
        <v>12</v>
      </c>
      <c r="AF22" s="113">
        <f t="shared" si="40"/>
        <v>17.12</v>
      </c>
      <c r="AG22" s="129" t="s">
        <v>0</v>
      </c>
      <c r="AH22" s="139"/>
      <c r="AI22" s="140" t="s">
        <v>52</v>
      </c>
    </row>
    <row r="23" customHeight="1" spans="1:35">
      <c r="A23" s="8">
        <v>4</v>
      </c>
      <c r="B23" s="14" t="s">
        <v>66</v>
      </c>
      <c r="C23" s="10">
        <v>998</v>
      </c>
      <c r="D23" s="10">
        <v>45</v>
      </c>
      <c r="E23" s="33">
        <f t="shared" si="33"/>
        <v>44910</v>
      </c>
      <c r="F23" s="34">
        <f t="shared" si="34"/>
        <v>0.0291045066296839</v>
      </c>
      <c r="G23" s="42">
        <v>542851</v>
      </c>
      <c r="H23" s="36">
        <f>IFERROR(__xludf.DUMMYFUNCTION("GOOGLEFINANCE(""542851"")"),372.6)</f>
        <v>372.6</v>
      </c>
      <c r="I23" s="33">
        <f t="shared" si="35"/>
        <v>16767</v>
      </c>
      <c r="J23" s="63">
        <f t="shared" si="36"/>
        <v>-28143</v>
      </c>
      <c r="K23" s="59">
        <f t="shared" si="2"/>
        <v>-0.626653306613226</v>
      </c>
      <c r="L23" s="60">
        <f>IFERROR(__xludf.DUMMYFUNCTION("GOOGLEFINANCE(""BORORENEW"",""marketcap"")/10^7"),6985.38265)</f>
        <v>6985.38265</v>
      </c>
      <c r="M23" s="73">
        <f>IFERROR(__xludf.DUMMYFUNCTION("GOOGLEFINANCE(""BORORENEW"",""PE"")"),39.51)</f>
        <v>39.51</v>
      </c>
      <c r="N23" s="73">
        <f>IFERROR(__xludf.DUMMYFUNCTION("GOOGLEFINANCE(""BORORENEW"",""EPS"")"),5.57)</f>
        <v>5.57</v>
      </c>
      <c r="O23" s="74">
        <v>1328</v>
      </c>
      <c r="P23" s="75">
        <v>323</v>
      </c>
      <c r="Q23" s="89">
        <v>0.24</v>
      </c>
      <c r="R23" s="74">
        <v>98</v>
      </c>
      <c r="S23" s="89">
        <v>0.07</v>
      </c>
      <c r="T23" s="90">
        <v>-98</v>
      </c>
      <c r="U23" s="90">
        <v>-42</v>
      </c>
      <c r="V23" s="97">
        <v>-845</v>
      </c>
      <c r="W23" s="75">
        <v>5</v>
      </c>
      <c r="X23" s="74">
        <v>87</v>
      </c>
      <c r="Y23" s="101">
        <v>1.4692</v>
      </c>
      <c r="Z23" s="101">
        <v>0.215</v>
      </c>
      <c r="AA23" s="101">
        <v>1.6528</v>
      </c>
      <c r="AB23" s="89">
        <v>2.78</v>
      </c>
      <c r="AC23" s="121">
        <f t="shared" si="37"/>
        <v>5.26007729668675</v>
      </c>
      <c r="AD23" s="109">
        <f t="shared" si="38"/>
        <v>-3.29591836734694</v>
      </c>
      <c r="AE23" s="110">
        <f t="shared" si="39"/>
        <v>-1</v>
      </c>
      <c r="AF23" s="111">
        <f t="shared" si="40"/>
        <v>4.28275862068966</v>
      </c>
      <c r="AG23" s="135" t="s">
        <v>0</v>
      </c>
      <c r="AH23" s="132"/>
      <c r="AI23" s="140" t="s">
        <v>52</v>
      </c>
    </row>
    <row r="24" ht="16.8" spans="1:35">
      <c r="A24" s="18"/>
      <c r="B24" s="19" t="s">
        <v>67</v>
      </c>
      <c r="C24" s="20"/>
      <c r="D24" s="20"/>
      <c r="E24" s="43">
        <f t="shared" ref="E24:F24" si="41">SUM(E25:E27)</f>
        <v>198656</v>
      </c>
      <c r="F24" s="44">
        <f t="shared" si="41"/>
        <v>0.128741591383355</v>
      </c>
      <c r="G24" s="45"/>
      <c r="H24" s="46"/>
      <c r="I24" s="43">
        <f t="shared" ref="I24:J24" si="42">SUM(I25:I27)</f>
        <v>235130.6</v>
      </c>
      <c r="J24" s="43">
        <f t="shared" si="42"/>
        <v>36474.6</v>
      </c>
      <c r="K24" s="64">
        <f t="shared" si="2"/>
        <v>0.183606837951031</v>
      </c>
      <c r="L24" s="65"/>
      <c r="M24" s="81"/>
      <c r="N24" s="81"/>
      <c r="O24" s="82"/>
      <c r="P24" s="83"/>
      <c r="Q24" s="93"/>
      <c r="R24" s="82"/>
      <c r="S24" s="93"/>
      <c r="T24" s="83"/>
      <c r="U24" s="83"/>
      <c r="V24" s="83"/>
      <c r="W24" s="83"/>
      <c r="X24" s="82"/>
      <c r="Y24" s="103"/>
      <c r="Z24" s="103"/>
      <c r="AA24" s="103"/>
      <c r="AB24" s="93"/>
      <c r="AC24" s="118"/>
      <c r="AD24" s="119"/>
      <c r="AE24" s="119"/>
      <c r="AF24" s="120"/>
      <c r="AG24" s="141"/>
      <c r="AH24" s="141"/>
      <c r="AI24" s="142"/>
    </row>
    <row r="25" customHeight="1" spans="1:35">
      <c r="A25" s="8">
        <v>1</v>
      </c>
      <c r="B25" s="15" t="s">
        <v>68</v>
      </c>
      <c r="C25" s="10">
        <v>580</v>
      </c>
      <c r="D25" s="10">
        <v>60</v>
      </c>
      <c r="E25" s="33">
        <f t="shared" ref="E25:E27" si="43">C25*D25</f>
        <v>34800</v>
      </c>
      <c r="F25" s="34">
        <f t="shared" ref="F25:F27" si="44">E25/$E$34</f>
        <v>0.0225525903075707</v>
      </c>
      <c r="G25" s="42">
        <v>543517</v>
      </c>
      <c r="H25" s="36">
        <f>IFERROR(__xludf.DUMMYFUNCTION("GOOGLEFINANCE(""543517"")"),355.75)</f>
        <v>355.75</v>
      </c>
      <c r="I25" s="33">
        <f t="shared" ref="I25:I27" si="45">H25*D25</f>
        <v>21345</v>
      </c>
      <c r="J25" s="63">
        <f t="shared" ref="J25:J27" si="46">I25-E25</f>
        <v>-13455</v>
      </c>
      <c r="K25" s="59">
        <f t="shared" si="2"/>
        <v>-0.386637931034483</v>
      </c>
      <c r="L25" s="60">
        <f>IFERROR(__xludf.DUMMYFUNCTION("GOOGLEFINANCE(""543517"",""marketcap"")/10^7"),1094.6937015)</f>
        <v>1094.6937015</v>
      </c>
      <c r="M25" s="73">
        <f>IFERROR(__xludf.DUMMYFUNCTION("GOOGLEFINANCE(""543517"", ""PE"")"),17.98)</f>
        <v>17.98</v>
      </c>
      <c r="N25" s="73">
        <f>IFERROR(__xludf.DUMMYFUNCTION("GOOGLEFINANCE(""543517"", ""EPS"")"),19.78)</f>
        <v>19.78</v>
      </c>
      <c r="O25" s="74">
        <v>1268</v>
      </c>
      <c r="P25" s="75">
        <v>162</v>
      </c>
      <c r="Q25" s="89">
        <v>0.13</v>
      </c>
      <c r="R25" s="74">
        <v>60</v>
      </c>
      <c r="S25" s="89">
        <v>0.05</v>
      </c>
      <c r="T25" s="75">
        <v>5</v>
      </c>
      <c r="U25" s="90">
        <v>-81</v>
      </c>
      <c r="V25" s="97">
        <v>-417</v>
      </c>
      <c r="W25" s="75">
        <v>1</v>
      </c>
      <c r="X25" s="74">
        <v>164</v>
      </c>
      <c r="Y25" s="101">
        <v>0.6556</v>
      </c>
      <c r="Z25" s="101">
        <v>0.1242</v>
      </c>
      <c r="AA25" s="101">
        <v>0.5542</v>
      </c>
      <c r="AB25" s="73"/>
      <c r="AC25" s="108">
        <f t="shared" ref="AC25:AC27" si="47">L25/O25</f>
        <v>0.863323108438486</v>
      </c>
      <c r="AD25" s="114">
        <f t="shared" ref="AD25:AD27" si="48">P25/T25</f>
        <v>32.4</v>
      </c>
      <c r="AE25" s="114">
        <f t="shared" ref="AE25:AE27" si="49">R25/T25</f>
        <v>12</v>
      </c>
      <c r="AF25" s="111">
        <f t="shared" ref="AF25:AF27" si="50">H25/X25</f>
        <v>2.16920731707317</v>
      </c>
      <c r="AG25" s="135" t="s">
        <v>0</v>
      </c>
      <c r="AH25" s="132"/>
      <c r="AI25" s="140" t="s">
        <v>52</v>
      </c>
    </row>
    <row r="26" ht="16.8" spans="1:35">
      <c r="A26" s="11">
        <v>2</v>
      </c>
      <c r="B26" s="12" t="s">
        <v>69</v>
      </c>
      <c r="C26" s="13">
        <v>1517</v>
      </c>
      <c r="D26" s="13">
        <v>56</v>
      </c>
      <c r="E26" s="37">
        <f t="shared" si="43"/>
        <v>84952</v>
      </c>
      <c r="F26" s="38">
        <f t="shared" si="44"/>
        <v>0.0550542428680673</v>
      </c>
      <c r="G26" s="41" t="s">
        <v>70</v>
      </c>
      <c r="H26" s="40">
        <f>IFERROR(__xludf.DUMMYFUNCTION("GOOGLEFINANCE(""ASTRAL"")"),1317.6)</f>
        <v>1317.6</v>
      </c>
      <c r="I26" s="37">
        <f t="shared" si="45"/>
        <v>73785.6</v>
      </c>
      <c r="J26" s="63">
        <f t="shared" si="46"/>
        <v>-11166.4</v>
      </c>
      <c r="K26" s="61">
        <f t="shared" si="2"/>
        <v>-0.131443638760712</v>
      </c>
      <c r="L26" s="62">
        <f>IFERROR(__xludf.DUMMYFUNCTION("GOOGLEFINANCE(""ASTRAL"",""marketcap"")/10^7"),35397.9931073)</f>
        <v>35397.9931073</v>
      </c>
      <c r="M26" s="79">
        <f>IFERROR(__xludf.DUMMYFUNCTION("GOOGLEFINANCE(""ASTRAL"",""PE"")"),67.13)</f>
        <v>67.13</v>
      </c>
      <c r="N26" s="76">
        <f>IFERROR(__xludf.DUMMYFUNCTION("GOOGLEFINANCE(""ASTRAL"",""EPS"")"),19.59)</f>
        <v>19.59</v>
      </c>
      <c r="O26" s="77">
        <v>5749</v>
      </c>
      <c r="P26" s="78">
        <v>921</v>
      </c>
      <c r="Q26" s="91">
        <v>0.16</v>
      </c>
      <c r="R26" s="77">
        <v>526</v>
      </c>
      <c r="S26" s="91">
        <v>0.09</v>
      </c>
      <c r="T26" s="78">
        <v>823</v>
      </c>
      <c r="U26" s="78">
        <v>2993</v>
      </c>
      <c r="V26" s="78">
        <v>1729</v>
      </c>
      <c r="W26" s="78">
        <v>0</v>
      </c>
      <c r="X26" s="77">
        <v>119</v>
      </c>
      <c r="Y26" s="102">
        <v>0.211</v>
      </c>
      <c r="Z26" s="102">
        <v>0.1637</v>
      </c>
      <c r="AA26" s="102">
        <v>0.1053</v>
      </c>
      <c r="AB26" s="91">
        <v>0.18</v>
      </c>
      <c r="AC26" s="121">
        <f t="shared" si="47"/>
        <v>6.1572435392764</v>
      </c>
      <c r="AD26" s="116">
        <f t="shared" si="48"/>
        <v>1.11907654921021</v>
      </c>
      <c r="AE26" s="116">
        <f t="shared" si="49"/>
        <v>0.639125151883354</v>
      </c>
      <c r="AF26" s="113">
        <f t="shared" si="50"/>
        <v>11.072268907563</v>
      </c>
      <c r="AG26" s="135" t="s">
        <v>0</v>
      </c>
      <c r="AH26" s="139"/>
      <c r="AI26" s="143"/>
    </row>
    <row r="27" ht="16.8" spans="1:35">
      <c r="A27" s="8">
        <v>3</v>
      </c>
      <c r="B27" s="9" t="s">
        <v>71</v>
      </c>
      <c r="C27" s="10">
        <v>2818</v>
      </c>
      <c r="D27" s="10">
        <v>28</v>
      </c>
      <c r="E27" s="33">
        <f t="shared" si="43"/>
        <v>78904</v>
      </c>
      <c r="F27" s="34">
        <f t="shared" si="44"/>
        <v>0.0511347582077171</v>
      </c>
      <c r="G27" s="42">
        <v>542652</v>
      </c>
      <c r="H27" s="36">
        <f>IFERROR(__xludf.DUMMYFUNCTION("GOOGLEFINANCE(""542652"")"),5000)</f>
        <v>5000</v>
      </c>
      <c r="I27" s="33">
        <f t="shared" si="45"/>
        <v>140000</v>
      </c>
      <c r="J27" s="58">
        <f t="shared" si="46"/>
        <v>61096</v>
      </c>
      <c r="K27" s="59">
        <f t="shared" si="2"/>
        <v>0.77430801987225</v>
      </c>
      <c r="L27" s="60">
        <f>IFERROR(__xludf.DUMMYFUNCTION("GOOGLEFINANCE(""542652"",""marketcap"")/10^7"),75253.0712829)</f>
        <v>75253.0712829</v>
      </c>
      <c r="M27" s="73">
        <f>IFERROR(__xludf.DUMMYFUNCTION("GOOGLEFINANCE(""542652"",""PE"")"),40.91)</f>
        <v>40.91</v>
      </c>
      <c r="N27" s="73">
        <f>IFERROR(__xludf.DUMMYFUNCTION("GOOGLEFINANCE(""542652"",""EPS"")"),121.97)</f>
        <v>121.97</v>
      </c>
      <c r="O27" s="74">
        <v>20129</v>
      </c>
      <c r="P27" s="75">
        <v>2546</v>
      </c>
      <c r="Q27" s="89">
        <v>0.13</v>
      </c>
      <c r="R27" s="74">
        <v>1795</v>
      </c>
      <c r="S27" s="89">
        <v>0.09</v>
      </c>
      <c r="T27" s="75">
        <v>1296</v>
      </c>
      <c r="U27" s="75">
        <v>4732</v>
      </c>
      <c r="V27" s="75">
        <v>3285</v>
      </c>
      <c r="W27" s="75">
        <v>0</v>
      </c>
      <c r="X27" s="74">
        <v>546</v>
      </c>
      <c r="Y27" s="101">
        <v>0.2707</v>
      </c>
      <c r="Z27" s="101">
        <v>0.1262</v>
      </c>
      <c r="AA27" s="101">
        <v>0.2646</v>
      </c>
      <c r="AB27" s="89">
        <v>0.55</v>
      </c>
      <c r="AC27" s="108">
        <f t="shared" si="47"/>
        <v>3.73853998126583</v>
      </c>
      <c r="AD27" s="114">
        <f t="shared" si="48"/>
        <v>1.96450617283951</v>
      </c>
      <c r="AE27" s="114">
        <f t="shared" si="49"/>
        <v>1.38503086419753</v>
      </c>
      <c r="AF27" s="113">
        <f t="shared" si="50"/>
        <v>9.15750915750916</v>
      </c>
      <c r="AG27" s="132" t="s">
        <v>38</v>
      </c>
      <c r="AH27" s="132"/>
      <c r="AI27" s="133"/>
    </row>
    <row r="28" ht="16.8" spans="1:35">
      <c r="A28" s="5"/>
      <c r="B28" s="6" t="s">
        <v>72</v>
      </c>
      <c r="C28" s="21"/>
      <c r="D28" s="21"/>
      <c r="E28" s="29">
        <f t="shared" ref="E28:F28" si="51">SUM(E29:E33)</f>
        <v>255709</v>
      </c>
      <c r="F28" s="30">
        <f t="shared" si="51"/>
        <v>0.165715526291913</v>
      </c>
      <c r="G28" s="47"/>
      <c r="H28" s="32"/>
      <c r="I28" s="29">
        <f t="shared" ref="I28:J28" si="52">SUM(I29:I33)</f>
        <v>233320.35</v>
      </c>
      <c r="J28" s="29">
        <f t="shared" si="52"/>
        <v>-22388.65</v>
      </c>
      <c r="K28" s="56">
        <f t="shared" si="2"/>
        <v>-0.0875551896882785</v>
      </c>
      <c r="L28" s="57"/>
      <c r="M28" s="70"/>
      <c r="N28" s="70"/>
      <c r="O28" s="71"/>
      <c r="P28" s="72"/>
      <c r="Q28" s="88"/>
      <c r="R28" s="71"/>
      <c r="S28" s="88"/>
      <c r="T28" s="72"/>
      <c r="U28" s="72"/>
      <c r="V28" s="72"/>
      <c r="W28" s="72"/>
      <c r="X28" s="71"/>
      <c r="Y28" s="100"/>
      <c r="Z28" s="100"/>
      <c r="AA28" s="100"/>
      <c r="AB28" s="88"/>
      <c r="AC28" s="105"/>
      <c r="AD28" s="106"/>
      <c r="AE28" s="106"/>
      <c r="AF28" s="107"/>
      <c r="AG28" s="126"/>
      <c r="AH28" s="126"/>
      <c r="AI28" s="127"/>
    </row>
    <row r="29" ht="16.8" spans="1:35">
      <c r="A29" s="8">
        <v>1</v>
      </c>
      <c r="B29" s="15" t="s">
        <v>73</v>
      </c>
      <c r="C29" s="10">
        <v>1610</v>
      </c>
      <c r="D29" s="10">
        <v>32</v>
      </c>
      <c r="E29" s="33">
        <f t="shared" ref="E29:E33" si="53">C29*D29</f>
        <v>51520</v>
      </c>
      <c r="F29" s="34">
        <f t="shared" ref="F29:F34" si="54">E29/$E$34</f>
        <v>0.0333882026622426</v>
      </c>
      <c r="G29" s="42">
        <v>543318</v>
      </c>
      <c r="H29" s="36">
        <f>IFERROR(__xludf.DUMMYFUNCTION("GOOGLEFINANCE(""543318"")"),1237.45)</f>
        <v>1237.45</v>
      </c>
      <c r="I29" s="33">
        <f t="shared" ref="I29:I33" si="55">H29*D29</f>
        <v>39598.4</v>
      </c>
      <c r="J29" s="63">
        <f t="shared" ref="J29:J33" si="56">I29-E29</f>
        <v>-11921.6</v>
      </c>
      <c r="K29" s="59">
        <f t="shared" si="2"/>
        <v>-0.23139751552795</v>
      </c>
      <c r="L29" s="60">
        <f>IFERROR(__xludf.DUMMYFUNCTION("GOOGLEFINANCE(""543318"",""marketcap"")/10^7"),13158.0899442)</f>
        <v>13158.0899442</v>
      </c>
      <c r="M29" s="73">
        <f>IFERROR(__xludf.DUMMYFUNCTION("GOOGLEFINANCE(""543318"",""PE"")"),50.37)</f>
        <v>50.37</v>
      </c>
      <c r="N29" s="73">
        <f>IFERROR(__xludf.DUMMYFUNCTION("GOOGLEFINANCE(""543318"",""EPS"")"),24.52)</f>
        <v>24.52</v>
      </c>
      <c r="O29" s="74">
        <v>884</v>
      </c>
      <c r="P29" s="75">
        <v>365</v>
      </c>
      <c r="Q29" s="89">
        <v>0.41</v>
      </c>
      <c r="R29" s="74">
        <v>258</v>
      </c>
      <c r="S29" s="89">
        <v>0.29</v>
      </c>
      <c r="T29" s="75">
        <v>237</v>
      </c>
      <c r="U29" s="75">
        <v>997</v>
      </c>
      <c r="V29" s="75">
        <v>434</v>
      </c>
      <c r="W29" s="75">
        <v>0</v>
      </c>
      <c r="X29" s="74">
        <v>113</v>
      </c>
      <c r="Y29" s="101">
        <v>0.1559</v>
      </c>
      <c r="Z29" s="101">
        <v>0.4291</v>
      </c>
      <c r="AA29" s="101">
        <v>0.0715</v>
      </c>
      <c r="AB29" s="73"/>
      <c r="AC29" s="121">
        <f t="shared" ref="AC29:AC33" si="57">L29/O29</f>
        <v>14.884717131448</v>
      </c>
      <c r="AD29" s="114">
        <f t="shared" ref="AD29:AD33" si="58">P29/T29</f>
        <v>1.54008438818565</v>
      </c>
      <c r="AE29" s="114">
        <f t="shared" ref="AE29:AE33" si="59">R29/T29</f>
        <v>1.08860759493671</v>
      </c>
      <c r="AF29" s="113">
        <f t="shared" ref="AF29:AF33" si="60">H29/X29</f>
        <v>10.9508849557522</v>
      </c>
      <c r="AG29" s="129" t="s">
        <v>0</v>
      </c>
      <c r="AH29" s="132"/>
      <c r="AI29" s="140" t="s">
        <v>52</v>
      </c>
    </row>
    <row r="30" ht="16.8" spans="1:35">
      <c r="A30" s="11">
        <v>2</v>
      </c>
      <c r="B30" s="14" t="s">
        <v>74</v>
      </c>
      <c r="C30" s="13">
        <v>2248</v>
      </c>
      <c r="D30" s="13">
        <v>27</v>
      </c>
      <c r="E30" s="37">
        <f t="shared" si="53"/>
        <v>60696</v>
      </c>
      <c r="F30" s="38">
        <f t="shared" si="54"/>
        <v>0.0393348281985146</v>
      </c>
      <c r="G30" s="41">
        <v>506401</v>
      </c>
      <c r="H30" s="40">
        <f>IFERROR(__xludf.DUMMYFUNCTION("GOOGLEFINANCE(""506401"")"),1927.9)</f>
        <v>1927.9</v>
      </c>
      <c r="I30" s="37">
        <f t="shared" si="55"/>
        <v>52053.3</v>
      </c>
      <c r="J30" s="63">
        <f t="shared" si="56"/>
        <v>-8642.7</v>
      </c>
      <c r="K30" s="61">
        <f t="shared" si="2"/>
        <v>-0.142393238434164</v>
      </c>
      <c r="L30" s="62">
        <f>IFERROR(__xludf.DUMMYFUNCTION("GOOGLEFINANCE(""524200"",""marketcap"")/10^7"),16138.14228)</f>
        <v>16138.14228</v>
      </c>
      <c r="M30" s="76">
        <f>IFERROR(__xludf.DUMMYFUNCTION("GOOGLEFINANCE(""524200"",""PE"")"),41.86)</f>
        <v>41.86</v>
      </c>
      <c r="N30" s="76">
        <f>IFERROR(__xludf.DUMMYFUNCTION("GOOGLEFINANCE(""524200"",""EPS"")"),37.26)</f>
        <v>37.26</v>
      </c>
      <c r="O30" s="77">
        <v>8334</v>
      </c>
      <c r="P30" s="78">
        <v>1212</v>
      </c>
      <c r="Q30" s="91">
        <v>0.15</v>
      </c>
      <c r="R30" s="77">
        <v>853</v>
      </c>
      <c r="S30" s="91">
        <v>0.1</v>
      </c>
      <c r="T30" s="78">
        <v>878</v>
      </c>
      <c r="U30" s="78">
        <v>4118</v>
      </c>
      <c r="V30" s="78">
        <v>2802</v>
      </c>
      <c r="W30" s="78">
        <v>0</v>
      </c>
      <c r="X30" s="77">
        <v>352</v>
      </c>
      <c r="Y30" s="102">
        <v>0.2078</v>
      </c>
      <c r="Z30" s="102">
        <v>0.1793</v>
      </c>
      <c r="AA30" s="102">
        <v>0.0149</v>
      </c>
      <c r="AB30" s="91">
        <v>0.09</v>
      </c>
      <c r="AC30" s="112">
        <f t="shared" si="57"/>
        <v>1.93642215982721</v>
      </c>
      <c r="AD30" s="116">
        <f t="shared" si="58"/>
        <v>1.38041002277904</v>
      </c>
      <c r="AE30" s="116">
        <f t="shared" si="59"/>
        <v>0.971526195899772</v>
      </c>
      <c r="AF30" s="115">
        <f t="shared" si="60"/>
        <v>5.47698863636364</v>
      </c>
      <c r="AG30" s="135" t="s">
        <v>0</v>
      </c>
      <c r="AH30" s="76"/>
      <c r="AI30" s="134"/>
    </row>
    <row r="31" ht="16.8" spans="1:35">
      <c r="A31" s="8">
        <v>3</v>
      </c>
      <c r="B31" s="14" t="s">
        <v>75</v>
      </c>
      <c r="C31" s="10">
        <v>4284</v>
      </c>
      <c r="D31" s="10">
        <v>16</v>
      </c>
      <c r="E31" s="33">
        <f t="shared" si="53"/>
        <v>68544</v>
      </c>
      <c r="F31" s="34">
        <f t="shared" si="54"/>
        <v>0.0444208261506358</v>
      </c>
      <c r="G31" s="42">
        <v>541557</v>
      </c>
      <c r="H31" s="36">
        <f>IFERROR(__xludf.DUMMYFUNCTION("GOOGLEFINANCE(""541557"")"),3743)</f>
        <v>3743</v>
      </c>
      <c r="I31" s="33">
        <f t="shared" si="55"/>
        <v>59888</v>
      </c>
      <c r="J31" s="63">
        <f t="shared" si="56"/>
        <v>-8656</v>
      </c>
      <c r="K31" s="59">
        <f t="shared" si="2"/>
        <v>-0.126283846872082</v>
      </c>
      <c r="L31" s="60">
        <f>IFERROR(__xludf.DUMMYFUNCTION("GOOGLEFINANCE(""524200"",""marketcap"")/10^7"),16138.14228)</f>
        <v>16138.14228</v>
      </c>
      <c r="M31" s="73">
        <f>IFERROR(__xludf.DUMMYFUNCTION("GOOGLEFINANCE(""524200"",""PE"")"),41.86)</f>
        <v>41.86</v>
      </c>
      <c r="N31" s="73">
        <f>IFERROR(__xludf.DUMMYFUNCTION("GOOGLEFINANCE(""524200"",""EPS"")"),37.26)</f>
        <v>37.26</v>
      </c>
      <c r="O31" s="74">
        <v>2051</v>
      </c>
      <c r="P31" s="75">
        <v>489</v>
      </c>
      <c r="Q31" s="89">
        <v>0.24</v>
      </c>
      <c r="R31" s="74">
        <v>386</v>
      </c>
      <c r="S31" s="89">
        <v>0.19</v>
      </c>
      <c r="T31" s="75">
        <v>606</v>
      </c>
      <c r="U31" s="75">
        <v>1466</v>
      </c>
      <c r="V31" s="75">
        <v>1388</v>
      </c>
      <c r="W31" s="75">
        <v>0</v>
      </c>
      <c r="X31" s="74">
        <v>606</v>
      </c>
      <c r="Y31" s="101">
        <v>0.2028</v>
      </c>
      <c r="Z31" s="101">
        <v>0.2355</v>
      </c>
      <c r="AA31" s="101">
        <v>0.4733</v>
      </c>
      <c r="AB31" s="89">
        <v>0.21</v>
      </c>
      <c r="AC31" s="121">
        <f t="shared" si="57"/>
        <v>7.86842627011214</v>
      </c>
      <c r="AD31" s="114">
        <f t="shared" si="58"/>
        <v>0.806930693069307</v>
      </c>
      <c r="AE31" s="114">
        <f t="shared" si="59"/>
        <v>0.636963696369637</v>
      </c>
      <c r="AF31" s="111">
        <f t="shared" si="60"/>
        <v>6.17656765676568</v>
      </c>
      <c r="AG31" s="135" t="s">
        <v>0</v>
      </c>
      <c r="AH31" s="73"/>
      <c r="AI31" s="128"/>
    </row>
    <row r="32" ht="16.8" spans="1:35">
      <c r="A32" s="11">
        <v>4</v>
      </c>
      <c r="B32" s="14" t="s">
        <v>76</v>
      </c>
      <c r="C32" s="13">
        <v>2037</v>
      </c>
      <c r="D32" s="13">
        <v>8</v>
      </c>
      <c r="E32" s="37">
        <f t="shared" si="53"/>
        <v>16296</v>
      </c>
      <c r="F32" s="38">
        <f t="shared" si="54"/>
        <v>0.0105608336681659</v>
      </c>
      <c r="G32" s="41">
        <v>533282</v>
      </c>
      <c r="H32" s="40">
        <f>IFERROR(__xludf.DUMMYFUNCTION("GOOGLEFINANCE(""533282"")"),1614.2)</f>
        <v>1614.2</v>
      </c>
      <c r="I32" s="37">
        <f t="shared" si="55"/>
        <v>12913.6</v>
      </c>
      <c r="J32" s="63">
        <f t="shared" si="56"/>
        <v>-3382.4</v>
      </c>
      <c r="K32" s="61">
        <f t="shared" si="2"/>
        <v>-0.207560137457045</v>
      </c>
      <c r="L32" s="62">
        <f>IFERROR(__xludf.DUMMYFUNCTION("GOOGLEFINANCE(""524200"",""marketcap"")/10^7"),16138.14228)</f>
        <v>16138.14228</v>
      </c>
      <c r="M32" s="76">
        <f>IFERROR(__xludf.DUMMYFUNCTION("GOOGLEFINANCE(""524200"",""PE"")"),41.86)</f>
        <v>41.86</v>
      </c>
      <c r="N32" s="76">
        <f>IFERROR(__xludf.DUMMYFUNCTION("GOOGLEFINANCE(""524200"",""EPS"")"),37.26)</f>
        <v>37.26</v>
      </c>
      <c r="O32" s="78">
        <v>3456</v>
      </c>
      <c r="P32" s="78">
        <v>304</v>
      </c>
      <c r="Q32" s="94">
        <v>0.09</v>
      </c>
      <c r="R32" s="77">
        <v>269</v>
      </c>
      <c r="S32" s="91">
        <v>0.08</v>
      </c>
      <c r="T32" s="78">
        <v>42</v>
      </c>
      <c r="U32" s="78">
        <v>362</v>
      </c>
      <c r="V32" s="78">
        <v>154</v>
      </c>
      <c r="W32" s="78">
        <v>1</v>
      </c>
      <c r="X32" s="77">
        <v>121</v>
      </c>
      <c r="Y32" s="102">
        <v>0.3088</v>
      </c>
      <c r="Z32" s="102">
        <v>0.0871</v>
      </c>
      <c r="AA32" s="102">
        <v>0.6581</v>
      </c>
      <c r="AB32" s="91">
        <v>1.23</v>
      </c>
      <c r="AC32" s="121">
        <f t="shared" si="57"/>
        <v>4.66960135416667</v>
      </c>
      <c r="AD32" s="116">
        <f t="shared" si="58"/>
        <v>7.23809523809524</v>
      </c>
      <c r="AE32" s="116">
        <f t="shared" si="59"/>
        <v>6.40476190476191</v>
      </c>
      <c r="AF32" s="115">
        <f t="shared" si="60"/>
        <v>13.3404958677686</v>
      </c>
      <c r="AG32" s="135" t="s">
        <v>0</v>
      </c>
      <c r="AH32" s="76"/>
      <c r="AI32" s="134"/>
    </row>
    <row r="33" ht="17.55" spans="1:35">
      <c r="A33" s="8">
        <v>5</v>
      </c>
      <c r="B33" s="9" t="s">
        <v>77</v>
      </c>
      <c r="C33" s="10">
        <v>1197</v>
      </c>
      <c r="D33" s="10">
        <v>49</v>
      </c>
      <c r="E33" s="33">
        <f t="shared" si="53"/>
        <v>58653</v>
      </c>
      <c r="F33" s="34">
        <f t="shared" si="54"/>
        <v>0.0380108356123547</v>
      </c>
      <c r="G33" s="42">
        <v>540719</v>
      </c>
      <c r="H33" s="36">
        <f>IFERROR(__xludf.DUMMYFUNCTION("GOOGLEFINANCE(""540719"")"),1405.45)</f>
        <v>1405.45</v>
      </c>
      <c r="I33" s="33">
        <f t="shared" si="55"/>
        <v>68867.05</v>
      </c>
      <c r="J33" s="58">
        <f t="shared" si="56"/>
        <v>10214.05</v>
      </c>
      <c r="K33" s="59">
        <f t="shared" si="2"/>
        <v>0.174143692564745</v>
      </c>
      <c r="L33" s="60">
        <f>IFERROR(__xludf.DUMMYFUNCTION("GOOGLEFINANCE(""540768"",""marketcap"")/10^7"),1824.9982828)</f>
        <v>1824.9982828</v>
      </c>
      <c r="M33" s="73" t="str">
        <f>IFERROR(__xludf.DUMMYFUNCTION("GOOGLEFINANCE(""540768"",""PE"")"),"#N/A")</f>
        <v>#N/A</v>
      </c>
      <c r="N33" s="73">
        <f>IFERROR(__xludf.DUMMYFUNCTION("GOOGLEFINANCE(""540768"",""EPS"")"),-5.82)</f>
        <v>-5.82</v>
      </c>
      <c r="O33" s="74">
        <v>150243</v>
      </c>
      <c r="P33" s="75">
        <v>763</v>
      </c>
      <c r="Q33" s="94">
        <v>0.01</v>
      </c>
      <c r="R33" s="74">
        <v>2181</v>
      </c>
      <c r="S33" s="94">
        <v>0.01</v>
      </c>
      <c r="T33" s="75">
        <v>29122</v>
      </c>
      <c r="U33" s="75">
        <v>122806</v>
      </c>
      <c r="V33" s="75">
        <v>122197</v>
      </c>
      <c r="W33" s="75">
        <v>0</v>
      </c>
      <c r="X33" s="74">
        <v>149</v>
      </c>
      <c r="Y33" s="101">
        <v>0.1724</v>
      </c>
      <c r="Z33" s="101">
        <v>0.0037</v>
      </c>
      <c r="AA33" s="101">
        <v>0.0916</v>
      </c>
      <c r="AB33" s="89">
        <v>0.19</v>
      </c>
      <c r="AC33" s="108">
        <f t="shared" si="57"/>
        <v>0.0121469771157392</v>
      </c>
      <c r="AD33" s="109">
        <f t="shared" si="58"/>
        <v>0.0262001236178834</v>
      </c>
      <c r="AE33" s="110">
        <f t="shared" si="59"/>
        <v>0.0748918343520363</v>
      </c>
      <c r="AF33" s="113">
        <f t="shared" si="60"/>
        <v>9.43255033557047</v>
      </c>
      <c r="AG33" s="129" t="s">
        <v>0</v>
      </c>
      <c r="AH33" s="132"/>
      <c r="AI33" s="140" t="s">
        <v>52</v>
      </c>
    </row>
    <row r="34" ht="17.55" spans="1:35">
      <c r="A34" s="22"/>
      <c r="B34" s="23"/>
      <c r="C34" s="24"/>
      <c r="D34" s="24"/>
      <c r="E34" s="48">
        <f>E28+E24+E19+E15+E8+E2</f>
        <v>1543060</v>
      </c>
      <c r="F34" s="48">
        <f t="shared" si="54"/>
        <v>1</v>
      </c>
      <c r="G34" s="48"/>
      <c r="H34" s="48"/>
      <c r="I34" s="48">
        <f t="shared" ref="I34:J34" si="61">I28+I24+I19+I15+I8+I2</f>
        <v>1591409.65</v>
      </c>
      <c r="J34" s="48">
        <f t="shared" si="61"/>
        <v>48349.65</v>
      </c>
      <c r="K34" s="66">
        <f t="shared" si="2"/>
        <v>0.0313336163208171</v>
      </c>
      <c r="L34" s="48"/>
      <c r="M34" s="48"/>
      <c r="N34" s="48"/>
      <c r="O34" s="84"/>
      <c r="P34" s="84"/>
      <c r="Q34" s="84"/>
      <c r="R34" s="84"/>
      <c r="S34" s="84"/>
      <c r="T34" s="84"/>
      <c r="U34" s="84"/>
      <c r="V34" s="84"/>
      <c r="W34" s="84"/>
      <c r="X34" s="98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144"/>
    </row>
    <row r="35" ht="14.4" spans="8:24">
      <c r="H35" s="49"/>
      <c r="J35" s="67"/>
      <c r="X35" s="99"/>
    </row>
    <row r="36" ht="14.4" spans="8:33">
      <c r="H36" s="49"/>
      <c r="X36" s="99"/>
      <c r="AG36" s="145" t="s">
        <v>78</v>
      </c>
    </row>
    <row r="37" ht="16.8" spans="1:35">
      <c r="A37" s="25">
        <v>7</v>
      </c>
      <c r="B37" s="25" t="s">
        <v>79</v>
      </c>
      <c r="C37" s="26">
        <v>1647</v>
      </c>
      <c r="D37" s="26">
        <v>36</v>
      </c>
      <c r="E37" s="50">
        <f t="shared" ref="E37:E39" si="62">C37*D37</f>
        <v>59292</v>
      </c>
      <c r="F37" s="51">
        <f t="shared" ref="F37:F39" si="63">E37/$E$34</f>
        <v>0.0384249478309333</v>
      </c>
      <c r="G37" s="52">
        <v>500209</v>
      </c>
      <c r="H37" s="53">
        <f>IFERROR(__xludf.DUMMYFUNCTION("GOOGLEFINANCE(""500209"")"),1725.3)</f>
        <v>1725.3</v>
      </c>
      <c r="I37" s="50">
        <f t="shared" ref="I37:I39" si="64">H37*D37</f>
        <v>62110.8</v>
      </c>
      <c r="J37" s="50">
        <f t="shared" ref="J37:J39" si="65">I37-E37</f>
        <v>2818.8</v>
      </c>
      <c r="K37" s="68">
        <f t="shared" ref="K37:K39" si="66">J37/E37</f>
        <v>0.0475409836065573</v>
      </c>
      <c r="L37" s="69">
        <f>IFERROR(__xludf.DUMMYFUNCTION("GOOGLEFINANCE(""500209"",""marketcap"")/10^7"),713971.5159649)</f>
        <v>713971.5159649</v>
      </c>
      <c r="M37" s="85">
        <f>IFERROR(__xludf.DUMMYFUNCTION("GOOGLEFINANCE(""500209"",""PE"")"),25.86)</f>
        <v>25.86</v>
      </c>
      <c r="N37" s="85">
        <f>IFERROR(__xludf.DUMMYFUNCTION("GOOGLEFINANCE(""500209"",""EPS"")"),66.63)</f>
        <v>66.63</v>
      </c>
      <c r="O37" s="86">
        <v>157045</v>
      </c>
      <c r="P37" s="87">
        <v>37167</v>
      </c>
      <c r="Q37" s="95">
        <v>0.24</v>
      </c>
      <c r="R37" s="86">
        <v>26949</v>
      </c>
      <c r="S37" s="95">
        <v>0.17</v>
      </c>
      <c r="T37" s="87">
        <v>25210</v>
      </c>
      <c r="U37" s="87">
        <v>111789</v>
      </c>
      <c r="V37" s="87">
        <v>100972</v>
      </c>
      <c r="W37" s="87">
        <v>0</v>
      </c>
      <c r="X37" s="86">
        <v>212</v>
      </c>
      <c r="Y37" s="104">
        <v>0.1522</v>
      </c>
      <c r="Z37" s="104">
        <v>0.2441</v>
      </c>
      <c r="AA37" s="104">
        <v>0.1067</v>
      </c>
      <c r="AB37" s="95">
        <v>0.02</v>
      </c>
      <c r="AC37" s="122">
        <f t="shared" ref="AC37:AC39" si="67">L37/O37</f>
        <v>4.54628619799994</v>
      </c>
      <c r="AD37" s="123">
        <f t="shared" ref="AD37:AD39" si="68">P37/T37</f>
        <v>1.47429591431971</v>
      </c>
      <c r="AE37" s="123">
        <f t="shared" ref="AE37:AE39" si="69">R37/T37</f>
        <v>1.06898056326854</v>
      </c>
      <c r="AF37" s="124">
        <f t="shared" ref="AF37:AF39" si="70">H37/X37</f>
        <v>8.13820754716981</v>
      </c>
      <c r="AG37" s="85">
        <v>1920</v>
      </c>
      <c r="AH37" s="85">
        <f t="shared" ref="AH37:AH39" si="71">(H37-AG37)*D37</f>
        <v>-7009.2</v>
      </c>
      <c r="AI37" s="85"/>
    </row>
    <row r="38" ht="16.8" spans="1:35">
      <c r="A38" s="25">
        <v>10</v>
      </c>
      <c r="B38" s="25" t="s">
        <v>80</v>
      </c>
      <c r="C38" s="26">
        <v>1103</v>
      </c>
      <c r="D38" s="26">
        <v>45</v>
      </c>
      <c r="E38" s="50">
        <f t="shared" si="62"/>
        <v>49635</v>
      </c>
      <c r="F38" s="51">
        <f t="shared" si="63"/>
        <v>0.0321666040205825</v>
      </c>
      <c r="G38" s="54">
        <v>543237</v>
      </c>
      <c r="H38" s="53">
        <f>IFERROR(__xludf.DUMMYFUNCTION("GOOGLEFINANCE(""543227"")"),701.65)</f>
        <v>701.65</v>
      </c>
      <c r="I38" s="50">
        <f t="shared" si="64"/>
        <v>31574.25</v>
      </c>
      <c r="J38" s="50">
        <f t="shared" si="65"/>
        <v>-18060.75</v>
      </c>
      <c r="K38" s="68">
        <f t="shared" si="66"/>
        <v>-0.363871260199456</v>
      </c>
      <c r="L38" s="69">
        <f>IFERROR(__xludf.DUMMYFUNCTION("GOOGLEFINANCE(""543227"",""marketcap"")/10^7"),10517.7128164)</f>
        <v>10517.7128164</v>
      </c>
      <c r="M38" s="85">
        <f>IFERROR(__xludf.DUMMYFUNCTION("GOOGLEFINANCE(""543227"",""PE"")"),47.41)</f>
        <v>47.41</v>
      </c>
      <c r="N38" s="85">
        <f>IFERROR(__xludf.DUMMYFUNCTION("GOOGLEFINANCE(""543227"",""EPS"")"),14.8)</f>
        <v>14.8</v>
      </c>
      <c r="O38" s="86">
        <v>1493</v>
      </c>
      <c r="P38" s="87">
        <v>256</v>
      </c>
      <c r="Q38" s="95">
        <v>0.17</v>
      </c>
      <c r="R38" s="86">
        <v>216</v>
      </c>
      <c r="S38" s="95">
        <v>0.14</v>
      </c>
      <c r="T38" s="87">
        <v>189</v>
      </c>
      <c r="U38" s="87">
        <v>783</v>
      </c>
      <c r="V38" s="87">
        <v>641</v>
      </c>
      <c r="W38" s="87">
        <v>0</v>
      </c>
      <c r="X38" s="86">
        <v>99</v>
      </c>
      <c r="Y38" s="104">
        <v>0.2462</v>
      </c>
      <c r="Z38" s="104">
        <v>0.2228</v>
      </c>
      <c r="AA38" s="104">
        <v>0.1492</v>
      </c>
      <c r="AB38" s="95">
        <v>0.13</v>
      </c>
      <c r="AC38" s="122">
        <f t="shared" si="67"/>
        <v>7.04468373503014</v>
      </c>
      <c r="AD38" s="123">
        <f t="shared" si="68"/>
        <v>1.35449735449735</v>
      </c>
      <c r="AE38" s="123">
        <f t="shared" si="69"/>
        <v>1.14285714285714</v>
      </c>
      <c r="AF38" s="124">
        <f t="shared" si="70"/>
        <v>7.08737373737374</v>
      </c>
      <c r="AG38" s="85">
        <v>716</v>
      </c>
      <c r="AH38" s="85">
        <f t="shared" si="71"/>
        <v>-645.750000000001</v>
      </c>
      <c r="AI38" s="85" t="s">
        <v>59</v>
      </c>
    </row>
    <row r="39" ht="16.8" spans="1:35">
      <c r="A39" s="25">
        <v>5</v>
      </c>
      <c r="B39" s="25" t="s">
        <v>81</v>
      </c>
      <c r="C39" s="26">
        <v>20</v>
      </c>
      <c r="D39" s="26">
        <v>1332</v>
      </c>
      <c r="E39" s="50">
        <f t="shared" si="62"/>
        <v>26640</v>
      </c>
      <c r="F39" s="51">
        <f t="shared" si="63"/>
        <v>0.0172643967182093</v>
      </c>
      <c r="G39" s="54">
        <v>543272</v>
      </c>
      <c r="H39" s="53">
        <f>IFERROR(__xludf.DUMMYFUNCTION("GOOGLEFINANCE(""543272"")"),11.51)</f>
        <v>11.51</v>
      </c>
      <c r="I39" s="50">
        <f t="shared" si="64"/>
        <v>15331.32</v>
      </c>
      <c r="J39" s="50">
        <f t="shared" si="65"/>
        <v>-11308.68</v>
      </c>
      <c r="K39" s="68">
        <f t="shared" si="66"/>
        <v>-0.4245</v>
      </c>
      <c r="L39" s="69">
        <f>IFERROR(__xludf.DUMMYFUNCTION("GOOGLEFINANCE(""524200"",""marketcap"")/10^7"),16138.14228)</f>
        <v>16138.14228</v>
      </c>
      <c r="M39" s="85">
        <f>IFERROR(__xludf.DUMMYFUNCTION("GOOGLEFINANCE(""524200"",""PE"")"),41.86)</f>
        <v>41.86</v>
      </c>
      <c r="N39" s="85">
        <f>IFERROR(__xludf.DUMMYFUNCTION("GOOGLEFINANCE(""524200"",""EPS"")"),37.26)</f>
        <v>37.26</v>
      </c>
      <c r="O39" s="86">
        <v>468</v>
      </c>
      <c r="P39" s="87">
        <v>194</v>
      </c>
      <c r="Q39" s="95">
        <v>0.42</v>
      </c>
      <c r="R39" s="86">
        <v>104</v>
      </c>
      <c r="S39" s="95">
        <v>0.22</v>
      </c>
      <c r="T39" s="87">
        <v>114</v>
      </c>
      <c r="U39" s="87">
        <v>161</v>
      </c>
      <c r="V39" s="87">
        <v>165</v>
      </c>
      <c r="W39" s="87">
        <v>0</v>
      </c>
      <c r="X39" s="86">
        <v>2</v>
      </c>
      <c r="Y39" s="104">
        <v>0.515</v>
      </c>
      <c r="Z39" s="104">
        <v>0.4698</v>
      </c>
      <c r="AA39" s="104">
        <v>0.2415</v>
      </c>
      <c r="AB39" s="95">
        <v>0.5</v>
      </c>
      <c r="AC39" s="122">
        <f t="shared" si="67"/>
        <v>34.48321</v>
      </c>
      <c r="AD39" s="123">
        <f t="shared" si="68"/>
        <v>1.70175438596491</v>
      </c>
      <c r="AE39" s="123">
        <f t="shared" si="69"/>
        <v>0.912280701754386</v>
      </c>
      <c r="AF39" s="124">
        <f t="shared" si="70"/>
        <v>5.755</v>
      </c>
      <c r="AG39" s="85">
        <v>15.5</v>
      </c>
      <c r="AH39" s="85">
        <f t="shared" si="71"/>
        <v>-5314.68</v>
      </c>
      <c r="AI39" s="85" t="s">
        <v>52</v>
      </c>
    </row>
    <row r="40" ht="14.4" spans="8:34">
      <c r="H40" s="49"/>
      <c r="X40" s="99"/>
      <c r="AH40" s="146">
        <f>SUM(AH37:AH39)</f>
        <v>-12969.63</v>
      </c>
    </row>
    <row r="41" ht="14.4" spans="8:24">
      <c r="H41" s="49"/>
      <c r="X41" s="99"/>
    </row>
    <row r="42" ht="14.4" spans="8:24">
      <c r="H42" s="49"/>
      <c r="X42" s="99"/>
    </row>
    <row r="43" ht="14.4" spans="8:24">
      <c r="H43" s="49"/>
      <c r="X43" s="99"/>
    </row>
    <row r="44" ht="14.4" spans="8:24">
      <c r="H44" s="49"/>
      <c r="X44" s="99"/>
    </row>
    <row r="45" ht="14.4" spans="8:24">
      <c r="H45" s="49"/>
      <c r="X45" s="99"/>
    </row>
    <row r="46" ht="14.4" spans="8:24">
      <c r="H46" s="49"/>
      <c r="X46" s="99"/>
    </row>
    <row r="47" ht="14.4" spans="8:24">
      <c r="H47" s="49"/>
      <c r="X47" s="99"/>
    </row>
    <row r="48" ht="14.4" spans="8:24">
      <c r="H48" s="49"/>
      <c r="X48" s="99"/>
    </row>
    <row r="49" ht="14.4" spans="8:24">
      <c r="H49" s="49"/>
      <c r="X49" s="99"/>
    </row>
    <row r="50" ht="14.4" spans="8:24">
      <c r="H50" s="49"/>
      <c r="X50" s="99"/>
    </row>
    <row r="51" ht="14.4" spans="8:24">
      <c r="H51" s="49"/>
      <c r="X51" s="99"/>
    </row>
    <row r="52" ht="14.4" spans="8:24">
      <c r="H52" s="49"/>
      <c r="X52" s="99"/>
    </row>
    <row r="53" ht="14.4" spans="8:24">
      <c r="H53" s="49"/>
      <c r="X53" s="99"/>
    </row>
    <row r="54" ht="14.4" spans="8:24">
      <c r="H54" s="49"/>
      <c r="X54" s="99"/>
    </row>
    <row r="55" ht="14.4" spans="8:24">
      <c r="H55" s="49"/>
      <c r="X55" s="99"/>
    </row>
    <row r="56" ht="14.4" spans="8:24">
      <c r="H56" s="49"/>
      <c r="X56" s="99"/>
    </row>
    <row r="57" ht="14.4" spans="8:24">
      <c r="H57" s="49"/>
      <c r="X57" s="99"/>
    </row>
    <row r="58" ht="14.4" spans="8:24">
      <c r="H58" s="49"/>
      <c r="X58" s="99"/>
    </row>
    <row r="59" ht="14.4" spans="8:24">
      <c r="H59" s="49"/>
      <c r="X59" s="99"/>
    </row>
    <row r="60" ht="14.4" spans="8:24">
      <c r="H60" s="49"/>
      <c r="X60" s="99"/>
    </row>
    <row r="61" ht="14.4" spans="8:24">
      <c r="H61" s="49"/>
      <c r="X61" s="99"/>
    </row>
    <row r="62" ht="14.4" spans="8:24">
      <c r="H62" s="49"/>
      <c r="X62" s="99"/>
    </row>
    <row r="63" ht="14.4" spans="8:24">
      <c r="H63" s="49"/>
      <c r="X63" s="99"/>
    </row>
    <row r="64" ht="14.4" spans="8:24">
      <c r="H64" s="49"/>
      <c r="X64" s="99"/>
    </row>
    <row r="65" ht="14.4" spans="8:24">
      <c r="H65" s="49"/>
      <c r="X65" s="99"/>
    </row>
    <row r="66" ht="14.4" spans="8:24">
      <c r="H66" s="49"/>
      <c r="X66" s="99"/>
    </row>
    <row r="67" ht="14.4" spans="8:24">
      <c r="H67" s="49"/>
      <c r="X67" s="99"/>
    </row>
    <row r="68" ht="14.4" spans="8:24">
      <c r="H68" s="49"/>
      <c r="X68" s="99"/>
    </row>
    <row r="69" ht="14.4" spans="8:24">
      <c r="H69" s="49"/>
      <c r="X69" s="99"/>
    </row>
    <row r="70" ht="14.4" spans="8:24">
      <c r="H70" s="49"/>
      <c r="X70" s="99"/>
    </row>
    <row r="71" ht="14.4" spans="8:24">
      <c r="H71" s="49"/>
      <c r="X71" s="99"/>
    </row>
    <row r="72" ht="14.4" spans="8:24">
      <c r="H72" s="49"/>
      <c r="X72" s="99"/>
    </row>
    <row r="73" ht="14.4" spans="8:24">
      <c r="H73" s="49"/>
      <c r="X73" s="99"/>
    </row>
    <row r="74" ht="14.4" spans="8:24">
      <c r="H74" s="49"/>
      <c r="X74" s="99"/>
    </row>
    <row r="75" ht="14.4" spans="8:24">
      <c r="H75" s="49"/>
      <c r="X75" s="99"/>
    </row>
    <row r="76" ht="14.4" spans="8:24">
      <c r="H76" s="49"/>
      <c r="X76" s="99"/>
    </row>
    <row r="77" ht="14.4" spans="8:24">
      <c r="H77" s="49"/>
      <c r="X77" s="99"/>
    </row>
    <row r="78" ht="14.4" spans="8:24">
      <c r="H78" s="49"/>
      <c r="X78" s="99"/>
    </row>
    <row r="79" ht="14.4" spans="8:24">
      <c r="H79" s="49"/>
      <c r="X79" s="99"/>
    </row>
    <row r="80" ht="14.4" spans="8:24">
      <c r="H80" s="49"/>
      <c r="X80" s="99"/>
    </row>
    <row r="81" ht="14.4" spans="8:24">
      <c r="H81" s="49"/>
      <c r="X81" s="99"/>
    </row>
    <row r="82" ht="14.4" spans="8:24">
      <c r="H82" s="49"/>
      <c r="X82" s="99"/>
    </row>
    <row r="83" ht="14.4" spans="8:24">
      <c r="H83" s="49"/>
      <c r="X83" s="99"/>
    </row>
    <row r="84" ht="14.4" spans="8:24">
      <c r="H84" s="49"/>
      <c r="X84" s="99"/>
    </row>
    <row r="85" ht="14.4" spans="8:24">
      <c r="H85" s="49"/>
      <c r="X85" s="99"/>
    </row>
    <row r="86" ht="14.4" spans="8:24">
      <c r="H86" s="49"/>
      <c r="X86" s="99"/>
    </row>
    <row r="87" ht="14.4" spans="8:24">
      <c r="H87" s="49"/>
      <c r="X87" s="99"/>
    </row>
    <row r="88" ht="14.4" spans="8:24">
      <c r="H88" s="49"/>
      <c r="X88" s="99"/>
    </row>
    <row r="89" ht="14.4" spans="8:24">
      <c r="H89" s="49"/>
      <c r="X89" s="99"/>
    </row>
    <row r="90" ht="14.4" spans="8:24">
      <c r="H90" s="49"/>
      <c r="X90" s="99"/>
    </row>
    <row r="91" ht="14.4" spans="8:24">
      <c r="H91" s="49"/>
      <c r="X91" s="99"/>
    </row>
    <row r="92" ht="14.4" spans="8:24">
      <c r="H92" s="49"/>
      <c r="X92" s="99"/>
    </row>
    <row r="93" ht="14.4" spans="8:24">
      <c r="H93" s="49"/>
      <c r="X93" s="99"/>
    </row>
    <row r="94" ht="14.4" spans="8:24">
      <c r="H94" s="49"/>
      <c r="X94" s="99"/>
    </row>
    <row r="95" ht="14.4" spans="8:24">
      <c r="H95" s="49"/>
      <c r="X95" s="99"/>
    </row>
    <row r="96" ht="14.4" spans="8:24">
      <c r="H96" s="49"/>
      <c r="X96" s="99"/>
    </row>
    <row r="97" ht="14.4" spans="8:24">
      <c r="H97" s="49"/>
      <c r="X97" s="99"/>
    </row>
    <row r="98" ht="14.4" spans="8:24">
      <c r="H98" s="49"/>
      <c r="X98" s="99"/>
    </row>
    <row r="99" ht="14.4" spans="8:24">
      <c r="H99" s="49"/>
      <c r="X99" s="99"/>
    </row>
    <row r="100" ht="14.4" spans="8:24">
      <c r="H100" s="49"/>
      <c r="X100" s="99"/>
    </row>
    <row r="101" ht="14.4" spans="8:24">
      <c r="H101" s="49"/>
      <c r="X101" s="99"/>
    </row>
    <row r="102" ht="14.4" spans="8:24">
      <c r="H102" s="49"/>
      <c r="X102" s="99"/>
    </row>
    <row r="103" ht="14.4" spans="8:24">
      <c r="H103" s="49"/>
      <c r="X103" s="99"/>
    </row>
    <row r="104" ht="14.4" spans="8:24">
      <c r="H104" s="49"/>
      <c r="X104" s="99"/>
    </row>
    <row r="105" ht="14.4" spans="8:24">
      <c r="H105" s="49"/>
      <c r="X105" s="99"/>
    </row>
    <row r="106" ht="14.4" spans="8:24">
      <c r="H106" s="49"/>
      <c r="X106" s="99"/>
    </row>
    <row r="107" ht="14.4" spans="8:24">
      <c r="H107" s="49"/>
      <c r="X107" s="99"/>
    </row>
    <row r="108" ht="14.4" spans="8:24">
      <c r="H108" s="49"/>
      <c r="X108" s="99"/>
    </row>
    <row r="109" ht="14.4" spans="8:24">
      <c r="H109" s="49"/>
      <c r="X109" s="99"/>
    </row>
    <row r="110" ht="14.4" spans="8:24">
      <c r="H110" s="49"/>
      <c r="X110" s="99"/>
    </row>
    <row r="111" ht="14.4" spans="8:24">
      <c r="H111" s="49"/>
      <c r="X111" s="99"/>
    </row>
    <row r="112" ht="14.4" spans="8:24">
      <c r="H112" s="49"/>
      <c r="X112" s="99"/>
    </row>
    <row r="113" ht="14.4" spans="8:24">
      <c r="H113" s="49"/>
      <c r="X113" s="99"/>
    </row>
    <row r="114" ht="14.4" spans="8:24">
      <c r="H114" s="49"/>
      <c r="X114" s="99"/>
    </row>
    <row r="115" ht="14.4" spans="8:24">
      <c r="H115" s="49"/>
      <c r="X115" s="99"/>
    </row>
    <row r="116" ht="14.4" spans="8:24">
      <c r="H116" s="49"/>
      <c r="X116" s="99"/>
    </row>
    <row r="117" ht="14.4" spans="8:24">
      <c r="H117" s="49"/>
      <c r="X117" s="99"/>
    </row>
    <row r="118" ht="14.4" spans="8:24">
      <c r="H118" s="49"/>
      <c r="X118" s="99"/>
    </row>
    <row r="119" ht="14.4" spans="8:24">
      <c r="H119" s="49"/>
      <c r="X119" s="99"/>
    </row>
    <row r="120" ht="14.4" spans="8:24">
      <c r="H120" s="49"/>
      <c r="X120" s="99"/>
    </row>
    <row r="121" ht="14.4" spans="8:24">
      <c r="H121" s="49"/>
      <c r="X121" s="99"/>
    </row>
    <row r="122" ht="14.4" spans="8:24">
      <c r="H122" s="49"/>
      <c r="X122" s="99"/>
    </row>
    <row r="123" ht="14.4" spans="8:24">
      <c r="H123" s="49"/>
      <c r="X123" s="99"/>
    </row>
    <row r="124" ht="14.4" spans="8:24">
      <c r="H124" s="49"/>
      <c r="X124" s="99"/>
    </row>
    <row r="125" ht="14.4" spans="8:24">
      <c r="H125" s="49"/>
      <c r="X125" s="99"/>
    </row>
    <row r="126" ht="14.4" spans="8:24">
      <c r="H126" s="49"/>
      <c r="X126" s="99"/>
    </row>
    <row r="127" ht="14.4" spans="8:24">
      <c r="H127" s="49"/>
      <c r="X127" s="99"/>
    </row>
    <row r="128" ht="14.4" spans="8:24">
      <c r="H128" s="49"/>
      <c r="X128" s="99"/>
    </row>
    <row r="129" ht="14.4" spans="8:24">
      <c r="H129" s="49"/>
      <c r="X129" s="99"/>
    </row>
    <row r="130" ht="14.4" spans="8:24">
      <c r="H130" s="49"/>
      <c r="X130" s="99"/>
    </row>
    <row r="131" ht="14.4" spans="8:24">
      <c r="H131" s="49"/>
      <c r="X131" s="99"/>
    </row>
    <row r="132" ht="14.4" spans="8:24">
      <c r="H132" s="49"/>
      <c r="X132" s="99"/>
    </row>
    <row r="133" ht="14.4" spans="8:24">
      <c r="H133" s="49"/>
      <c r="X133" s="99"/>
    </row>
    <row r="134" ht="14.4" spans="8:24">
      <c r="H134" s="49"/>
      <c r="X134" s="99"/>
    </row>
    <row r="135" ht="14.4" spans="8:24">
      <c r="H135" s="49"/>
      <c r="X135" s="99"/>
    </row>
    <row r="136" ht="14.4" spans="8:24">
      <c r="H136" s="49"/>
      <c r="X136" s="99"/>
    </row>
    <row r="137" ht="14.4" spans="8:24">
      <c r="H137" s="49"/>
      <c r="X137" s="99"/>
    </row>
    <row r="138" ht="14.4" spans="8:24">
      <c r="H138" s="49"/>
      <c r="X138" s="99"/>
    </row>
    <row r="139" ht="14.4" spans="8:24">
      <c r="H139" s="49"/>
      <c r="X139" s="99"/>
    </row>
    <row r="140" ht="14.4" spans="8:24">
      <c r="H140" s="49"/>
      <c r="X140" s="99"/>
    </row>
    <row r="141" ht="14.4" spans="8:24">
      <c r="H141" s="49"/>
      <c r="X141" s="99"/>
    </row>
    <row r="142" ht="14.4" spans="8:24">
      <c r="H142" s="49"/>
      <c r="X142" s="99"/>
    </row>
    <row r="143" ht="14.4" spans="8:24">
      <c r="H143" s="49"/>
      <c r="X143" s="99"/>
    </row>
    <row r="144" ht="14.4" spans="8:24">
      <c r="H144" s="49"/>
      <c r="X144" s="99"/>
    </row>
    <row r="145" ht="14.4" spans="8:24">
      <c r="H145" s="49"/>
      <c r="X145" s="99"/>
    </row>
    <row r="146" ht="14.4" spans="8:24">
      <c r="H146" s="49"/>
      <c r="X146" s="99"/>
    </row>
    <row r="147" ht="14.4" spans="8:24">
      <c r="H147" s="49"/>
      <c r="X147" s="99"/>
    </row>
    <row r="148" ht="14.4" spans="8:24">
      <c r="H148" s="49"/>
      <c r="X148" s="99"/>
    </row>
    <row r="149" ht="14.4" spans="8:24">
      <c r="H149" s="49"/>
      <c r="X149" s="99"/>
    </row>
    <row r="150" ht="14.4" spans="8:24">
      <c r="H150" s="49"/>
      <c r="X150" s="99"/>
    </row>
    <row r="151" ht="14.4" spans="8:24">
      <c r="H151" s="49"/>
      <c r="X151" s="99"/>
    </row>
    <row r="152" ht="14.4" spans="8:24">
      <c r="H152" s="49"/>
      <c r="X152" s="99"/>
    </row>
    <row r="153" ht="14.4" spans="8:24">
      <c r="H153" s="49"/>
      <c r="X153" s="99"/>
    </row>
    <row r="154" ht="14.4" spans="8:24">
      <c r="H154" s="49"/>
      <c r="X154" s="99"/>
    </row>
    <row r="155" ht="14.4" spans="8:24">
      <c r="H155" s="49"/>
      <c r="X155" s="99"/>
    </row>
    <row r="156" ht="14.4" spans="8:24">
      <c r="H156" s="49"/>
      <c r="X156" s="99"/>
    </row>
    <row r="157" ht="14.4" spans="8:24">
      <c r="H157" s="49"/>
      <c r="X157" s="99"/>
    </row>
    <row r="158" ht="14.4" spans="8:24">
      <c r="H158" s="49"/>
      <c r="X158" s="99"/>
    </row>
    <row r="159" ht="14.4" spans="8:24">
      <c r="H159" s="49"/>
      <c r="X159" s="99"/>
    </row>
    <row r="160" ht="14.4" spans="8:24">
      <c r="H160" s="49"/>
      <c r="X160" s="99"/>
    </row>
    <row r="161" ht="14.4" spans="8:24">
      <c r="H161" s="49"/>
      <c r="X161" s="99"/>
    </row>
    <row r="162" ht="14.4" spans="8:24">
      <c r="H162" s="49"/>
      <c r="X162" s="99"/>
    </row>
    <row r="163" ht="14.4" spans="8:24">
      <c r="H163" s="49"/>
      <c r="X163" s="99"/>
    </row>
    <row r="164" ht="14.4" spans="8:24">
      <c r="H164" s="49"/>
      <c r="X164" s="99"/>
    </row>
    <row r="165" ht="14.4" spans="8:24">
      <c r="H165" s="49"/>
      <c r="X165" s="99"/>
    </row>
    <row r="166" ht="14.4" spans="8:24">
      <c r="H166" s="49"/>
      <c r="X166" s="99"/>
    </row>
    <row r="167" ht="14.4" spans="8:24">
      <c r="H167" s="49"/>
      <c r="X167" s="99"/>
    </row>
    <row r="168" ht="14.4" spans="8:24">
      <c r="H168" s="49"/>
      <c r="X168" s="99"/>
    </row>
    <row r="169" ht="14.4" spans="8:24">
      <c r="H169" s="49"/>
      <c r="X169" s="99"/>
    </row>
    <row r="170" ht="14.4" spans="8:24">
      <c r="H170" s="49"/>
      <c r="X170" s="99"/>
    </row>
    <row r="171" ht="14.4" spans="8:24">
      <c r="H171" s="49"/>
      <c r="X171" s="99"/>
    </row>
    <row r="172" ht="14.4" spans="8:24">
      <c r="H172" s="49"/>
      <c r="X172" s="99"/>
    </row>
    <row r="173" ht="14.4" spans="8:24">
      <c r="H173" s="49"/>
      <c r="X173" s="99"/>
    </row>
    <row r="174" ht="14.4" spans="8:24">
      <c r="H174" s="49"/>
      <c r="X174" s="99"/>
    </row>
    <row r="175" ht="14.4" spans="8:24">
      <c r="H175" s="49"/>
      <c r="X175" s="99"/>
    </row>
    <row r="176" ht="14.4" spans="8:24">
      <c r="H176" s="49"/>
      <c r="X176" s="99"/>
    </row>
    <row r="177" ht="14.4" spans="8:24">
      <c r="H177" s="49"/>
      <c r="X177" s="99"/>
    </row>
    <row r="178" ht="14.4" spans="8:24">
      <c r="H178" s="49"/>
      <c r="X178" s="99"/>
    </row>
    <row r="179" ht="14.4" spans="8:24">
      <c r="H179" s="49"/>
      <c r="X179" s="99"/>
    </row>
    <row r="180" ht="14.4" spans="8:24">
      <c r="H180" s="49"/>
      <c r="X180" s="99"/>
    </row>
    <row r="181" ht="14.4" spans="8:24">
      <c r="H181" s="49"/>
      <c r="X181" s="99"/>
    </row>
    <row r="182" ht="14.4" spans="8:24">
      <c r="H182" s="49"/>
      <c r="X182" s="99"/>
    </row>
    <row r="183" ht="14.4" spans="8:24">
      <c r="H183" s="49"/>
      <c r="X183" s="99"/>
    </row>
    <row r="184" ht="14.4" spans="8:24">
      <c r="H184" s="49"/>
      <c r="X184" s="99"/>
    </row>
    <row r="185" ht="14.4" spans="8:24">
      <c r="H185" s="49"/>
      <c r="X185" s="99"/>
    </row>
    <row r="186" ht="14.4" spans="8:24">
      <c r="H186" s="49"/>
      <c r="X186" s="99"/>
    </row>
    <row r="187" ht="14.4" spans="8:24">
      <c r="H187" s="49"/>
      <c r="X187" s="99"/>
    </row>
    <row r="188" ht="14.4" spans="8:24">
      <c r="H188" s="49"/>
      <c r="X188" s="99"/>
    </row>
    <row r="189" ht="14.4" spans="8:24">
      <c r="H189" s="49"/>
      <c r="X189" s="99"/>
    </row>
    <row r="190" ht="14.4" spans="8:24">
      <c r="H190" s="49"/>
      <c r="X190" s="99"/>
    </row>
    <row r="191" ht="14.4" spans="8:24">
      <c r="H191" s="49"/>
      <c r="X191" s="99"/>
    </row>
    <row r="192" ht="14.4" spans="8:24">
      <c r="H192" s="49"/>
      <c r="X192" s="99"/>
    </row>
    <row r="193" ht="14.4" spans="8:24">
      <c r="H193" s="49"/>
      <c r="X193" s="99"/>
    </row>
    <row r="194" ht="14.4" spans="8:24">
      <c r="H194" s="49"/>
      <c r="X194" s="99"/>
    </row>
    <row r="195" ht="14.4" spans="8:24">
      <c r="H195" s="49"/>
      <c r="X195" s="99"/>
    </row>
    <row r="196" ht="14.4" spans="8:24">
      <c r="H196" s="49"/>
      <c r="X196" s="99"/>
    </row>
    <row r="197" ht="14.4" spans="8:24">
      <c r="H197" s="49"/>
      <c r="X197" s="99"/>
    </row>
    <row r="198" ht="14.4" spans="8:24">
      <c r="H198" s="49"/>
      <c r="X198" s="99"/>
    </row>
    <row r="199" ht="14.4" spans="8:24">
      <c r="H199" s="49"/>
      <c r="X199" s="99"/>
    </row>
    <row r="200" ht="14.4" spans="8:24">
      <c r="H200" s="49"/>
      <c r="X200" s="99"/>
    </row>
    <row r="201" ht="14.4" spans="8:24">
      <c r="H201" s="49"/>
      <c r="X201" s="99"/>
    </row>
    <row r="202" ht="14.4" spans="8:24">
      <c r="H202" s="49"/>
      <c r="X202" s="99"/>
    </row>
    <row r="203" ht="14.4" spans="8:24">
      <c r="H203" s="49"/>
      <c r="X203" s="99"/>
    </row>
    <row r="204" ht="14.4" spans="8:24">
      <c r="H204" s="49"/>
      <c r="X204" s="99"/>
    </row>
    <row r="205" ht="14.4" spans="8:24">
      <c r="H205" s="49"/>
      <c r="X205" s="99"/>
    </row>
    <row r="206" ht="14.4" spans="8:24">
      <c r="H206" s="49"/>
      <c r="X206" s="99"/>
    </row>
    <row r="207" ht="14.4" spans="8:24">
      <c r="H207" s="49"/>
      <c r="X207" s="99"/>
    </row>
    <row r="208" ht="14.4" spans="8:24">
      <c r="H208" s="49"/>
      <c r="X208" s="99"/>
    </row>
    <row r="209" ht="14.4" spans="8:24">
      <c r="H209" s="49"/>
      <c r="X209" s="99"/>
    </row>
    <row r="210" ht="14.4" spans="8:24">
      <c r="H210" s="49"/>
      <c r="X210" s="99"/>
    </row>
    <row r="211" ht="14.4" spans="8:24">
      <c r="H211" s="49"/>
      <c r="X211" s="99"/>
    </row>
    <row r="212" ht="14.4" spans="8:24">
      <c r="H212" s="49"/>
      <c r="X212" s="99"/>
    </row>
    <row r="213" ht="14.4" spans="8:24">
      <c r="H213" s="49"/>
      <c r="X213" s="99"/>
    </row>
    <row r="214" ht="14.4" spans="8:24">
      <c r="H214" s="49"/>
      <c r="X214" s="99"/>
    </row>
    <row r="215" ht="14.4" spans="8:24">
      <c r="H215" s="49"/>
      <c r="X215" s="99"/>
    </row>
    <row r="216" ht="14.4" spans="8:24">
      <c r="H216" s="49"/>
      <c r="X216" s="99"/>
    </row>
    <row r="217" ht="14.4" spans="8:24">
      <c r="H217" s="49"/>
      <c r="X217" s="99"/>
    </row>
    <row r="218" ht="14.4" spans="8:24">
      <c r="H218" s="49"/>
      <c r="X218" s="99"/>
    </row>
    <row r="219" ht="14.4" spans="8:24">
      <c r="H219" s="49"/>
      <c r="X219" s="99"/>
    </row>
    <row r="220" ht="14.4" spans="8:24">
      <c r="H220" s="49"/>
      <c r="X220" s="99"/>
    </row>
    <row r="221" ht="14.4" spans="8:24">
      <c r="H221" s="49"/>
      <c r="X221" s="99"/>
    </row>
    <row r="222" ht="14.4" spans="8:24">
      <c r="H222" s="49"/>
      <c r="X222" s="99"/>
    </row>
    <row r="223" ht="14.4" spans="8:24">
      <c r="H223" s="49"/>
      <c r="X223" s="99"/>
    </row>
    <row r="224" ht="14.4" spans="8:24">
      <c r="H224" s="49"/>
      <c r="X224" s="99"/>
    </row>
    <row r="225" ht="14.4" spans="8:24">
      <c r="H225" s="49"/>
      <c r="X225" s="99"/>
    </row>
    <row r="226" ht="14.4" spans="8:24">
      <c r="H226" s="49"/>
      <c r="X226" s="99"/>
    </row>
    <row r="227" ht="14.4" spans="8:24">
      <c r="H227" s="49"/>
      <c r="X227" s="99"/>
    </row>
    <row r="228" ht="14.4" spans="8:24">
      <c r="H228" s="49"/>
      <c r="X228" s="99"/>
    </row>
    <row r="229" ht="14.4" spans="8:24">
      <c r="H229" s="49"/>
      <c r="X229" s="99"/>
    </row>
    <row r="230" ht="14.4" spans="8:24">
      <c r="H230" s="49"/>
      <c r="X230" s="99"/>
    </row>
    <row r="231" ht="14.4" spans="8:24">
      <c r="H231" s="49"/>
      <c r="X231" s="99"/>
    </row>
    <row r="232" ht="14.4" spans="8:24">
      <c r="H232" s="49"/>
      <c r="X232" s="99"/>
    </row>
    <row r="233" ht="14.4" spans="8:24">
      <c r="H233" s="49"/>
      <c r="X233" s="99"/>
    </row>
    <row r="234" ht="14.4" spans="8:24">
      <c r="H234" s="49"/>
      <c r="X234" s="99"/>
    </row>
    <row r="235" ht="14.4" spans="8:24">
      <c r="H235" s="49"/>
      <c r="X235" s="99"/>
    </row>
    <row r="236" ht="14.4" spans="8:24">
      <c r="H236" s="49"/>
      <c r="X236" s="99"/>
    </row>
    <row r="237" ht="14.4" spans="8:24">
      <c r="H237" s="49"/>
      <c r="X237" s="99"/>
    </row>
    <row r="238" ht="14.4" spans="8:24">
      <c r="H238" s="49"/>
      <c r="X238" s="99"/>
    </row>
    <row r="239" ht="14.4" spans="8:24">
      <c r="H239" s="49"/>
      <c r="X239" s="99"/>
    </row>
    <row r="240" ht="14.4" spans="8:24">
      <c r="H240" s="49"/>
      <c r="X240" s="99"/>
    </row>
    <row r="241" ht="14.4" spans="8:24">
      <c r="H241" s="49"/>
      <c r="X241" s="99"/>
    </row>
    <row r="242" ht="14.4" spans="8:24">
      <c r="H242" s="49"/>
      <c r="X242" s="99"/>
    </row>
    <row r="243" ht="14.4" spans="8:24">
      <c r="H243" s="49"/>
      <c r="X243" s="99"/>
    </row>
    <row r="244" ht="14.4" spans="8:24">
      <c r="H244" s="49"/>
      <c r="X244" s="99"/>
    </row>
    <row r="245" ht="14.4" spans="8:24">
      <c r="H245" s="49"/>
      <c r="X245" s="99"/>
    </row>
    <row r="246" ht="14.4" spans="8:24">
      <c r="H246" s="49"/>
      <c r="X246" s="99"/>
    </row>
    <row r="247" ht="14.4" spans="8:24">
      <c r="H247" s="49"/>
      <c r="X247" s="99"/>
    </row>
    <row r="248" ht="14.4" spans="8:24">
      <c r="H248" s="49"/>
      <c r="X248" s="99"/>
    </row>
    <row r="249" ht="14.4" spans="8:24">
      <c r="H249" s="49"/>
      <c r="X249" s="99"/>
    </row>
    <row r="250" ht="14.4" spans="8:24">
      <c r="H250" s="49"/>
      <c r="X250" s="99"/>
    </row>
    <row r="251" ht="14.4" spans="8:24">
      <c r="H251" s="49"/>
      <c r="X251" s="99"/>
    </row>
    <row r="252" ht="14.4" spans="8:24">
      <c r="H252" s="49"/>
      <c r="X252" s="99"/>
    </row>
    <row r="253" ht="14.4" spans="8:24">
      <c r="H253" s="49"/>
      <c r="X253" s="99"/>
    </row>
    <row r="254" ht="14.4" spans="8:24">
      <c r="H254" s="49"/>
      <c r="X254" s="99"/>
    </row>
    <row r="255" ht="14.4" spans="8:24">
      <c r="H255" s="49"/>
      <c r="X255" s="99"/>
    </row>
    <row r="256" ht="14.4" spans="8:24">
      <c r="H256" s="49"/>
      <c r="X256" s="99"/>
    </row>
    <row r="257" ht="14.4" spans="8:24">
      <c r="H257" s="49"/>
      <c r="X257" s="99"/>
    </row>
    <row r="258" ht="14.4" spans="8:24">
      <c r="H258" s="49"/>
      <c r="X258" s="99"/>
    </row>
    <row r="259" ht="14.4" spans="8:24">
      <c r="H259" s="49"/>
      <c r="X259" s="99"/>
    </row>
    <row r="260" ht="14.4" spans="8:24">
      <c r="H260" s="49"/>
      <c r="X260" s="99"/>
    </row>
    <row r="261" ht="14.4" spans="8:24">
      <c r="H261" s="49"/>
      <c r="X261" s="99"/>
    </row>
    <row r="262" ht="14.4" spans="8:24">
      <c r="H262" s="49"/>
      <c r="X262" s="99"/>
    </row>
    <row r="263" ht="14.4" spans="8:24">
      <c r="H263" s="49"/>
      <c r="X263" s="99"/>
    </row>
    <row r="264" ht="14.4" spans="8:24">
      <c r="H264" s="49"/>
      <c r="X264" s="99"/>
    </row>
    <row r="265" ht="14.4" spans="8:24">
      <c r="H265" s="49"/>
      <c r="X265" s="99"/>
    </row>
    <row r="266" ht="14.4" spans="8:24">
      <c r="H266" s="49"/>
      <c r="X266" s="99"/>
    </row>
    <row r="267" ht="14.4" spans="8:24">
      <c r="H267" s="49"/>
      <c r="X267" s="99"/>
    </row>
    <row r="268" ht="14.4" spans="8:24">
      <c r="H268" s="49"/>
      <c r="X268" s="99"/>
    </row>
    <row r="269" ht="14.4" spans="8:24">
      <c r="H269" s="49"/>
      <c r="X269" s="99"/>
    </row>
    <row r="270" ht="14.4" spans="8:24">
      <c r="H270" s="49"/>
      <c r="X270" s="99"/>
    </row>
    <row r="271" ht="14.4" spans="8:24">
      <c r="H271" s="49"/>
      <c r="X271" s="99"/>
    </row>
    <row r="272" ht="14.4" spans="8:24">
      <c r="H272" s="49"/>
      <c r="X272" s="99"/>
    </row>
    <row r="273" ht="14.4" spans="8:24">
      <c r="H273" s="49"/>
      <c r="X273" s="99"/>
    </row>
    <row r="274" ht="14.4" spans="8:24">
      <c r="H274" s="49"/>
      <c r="X274" s="99"/>
    </row>
    <row r="275" ht="14.4" spans="8:24">
      <c r="H275" s="49"/>
      <c r="X275" s="99"/>
    </row>
    <row r="276" ht="14.4" spans="8:24">
      <c r="H276" s="49"/>
      <c r="X276" s="99"/>
    </row>
    <row r="277" ht="14.4" spans="8:24">
      <c r="H277" s="49"/>
      <c r="X277" s="99"/>
    </row>
    <row r="278" ht="14.4" spans="8:24">
      <c r="H278" s="49"/>
      <c r="X278" s="99"/>
    </row>
    <row r="279" ht="14.4" spans="8:24">
      <c r="H279" s="49"/>
      <c r="X279" s="99"/>
    </row>
    <row r="280" ht="14.4" spans="8:24">
      <c r="H280" s="49"/>
      <c r="X280" s="99"/>
    </row>
    <row r="281" ht="14.4" spans="8:24">
      <c r="H281" s="49"/>
      <c r="X281" s="99"/>
    </row>
    <row r="282" ht="14.4" spans="8:24">
      <c r="H282" s="49"/>
      <c r="X282" s="99"/>
    </row>
    <row r="283" ht="14.4" spans="8:24">
      <c r="H283" s="49"/>
      <c r="X283" s="99"/>
    </row>
    <row r="284" ht="14.4" spans="8:24">
      <c r="H284" s="49"/>
      <c r="X284" s="99"/>
    </row>
    <row r="285" ht="14.4" spans="8:24">
      <c r="H285" s="49"/>
      <c r="X285" s="99"/>
    </row>
    <row r="286" ht="14.4" spans="8:24">
      <c r="H286" s="49"/>
      <c r="X286" s="99"/>
    </row>
    <row r="287" ht="14.4" spans="8:24">
      <c r="H287" s="49"/>
      <c r="X287" s="99"/>
    </row>
    <row r="288" ht="14.4" spans="8:24">
      <c r="H288" s="49"/>
      <c r="X288" s="99"/>
    </row>
    <row r="289" ht="14.4" spans="8:24">
      <c r="H289" s="49"/>
      <c r="X289" s="99"/>
    </row>
    <row r="290" ht="14.4" spans="8:24">
      <c r="H290" s="49"/>
      <c r="X290" s="99"/>
    </row>
    <row r="291" ht="14.4" spans="8:24">
      <c r="H291" s="49"/>
      <c r="X291" s="99"/>
    </row>
    <row r="292" ht="14.4" spans="8:24">
      <c r="H292" s="49"/>
      <c r="X292" s="99"/>
    </row>
    <row r="293" ht="14.4" spans="8:24">
      <c r="H293" s="49"/>
      <c r="X293" s="99"/>
    </row>
    <row r="294" ht="14.4" spans="8:24">
      <c r="H294" s="49"/>
      <c r="X294" s="99"/>
    </row>
    <row r="295" ht="14.4" spans="8:24">
      <c r="H295" s="49"/>
      <c r="X295" s="99"/>
    </row>
    <row r="296" ht="14.4" spans="8:24">
      <c r="H296" s="49"/>
      <c r="X296" s="99"/>
    </row>
    <row r="297" ht="14.4" spans="8:24">
      <c r="H297" s="49"/>
      <c r="X297" s="99"/>
    </row>
    <row r="298" ht="14.4" spans="8:24">
      <c r="H298" s="49"/>
      <c r="X298" s="99"/>
    </row>
    <row r="299" ht="14.4" spans="8:24">
      <c r="H299" s="49"/>
      <c r="X299" s="99"/>
    </row>
    <row r="300" ht="14.4" spans="8:24">
      <c r="H300" s="49"/>
      <c r="X300" s="99"/>
    </row>
    <row r="301" ht="14.4" spans="8:24">
      <c r="H301" s="49"/>
      <c r="X301" s="99"/>
    </row>
    <row r="302" ht="14.4" spans="8:24">
      <c r="H302" s="49"/>
      <c r="X302" s="99"/>
    </row>
    <row r="303" ht="14.4" spans="8:24">
      <c r="H303" s="49"/>
      <c r="X303" s="99"/>
    </row>
    <row r="304" ht="14.4" spans="8:24">
      <c r="H304" s="49"/>
      <c r="X304" s="99"/>
    </row>
    <row r="305" ht="14.4" spans="8:24">
      <c r="H305" s="49"/>
      <c r="X305" s="99"/>
    </row>
    <row r="306" ht="14.4" spans="8:24">
      <c r="H306" s="49"/>
      <c r="X306" s="99"/>
    </row>
    <row r="307" ht="14.4" spans="8:24">
      <c r="H307" s="49"/>
      <c r="X307" s="99"/>
    </row>
    <row r="308" ht="14.4" spans="8:24">
      <c r="H308" s="49"/>
      <c r="X308" s="99"/>
    </row>
    <row r="309" ht="14.4" spans="8:24">
      <c r="H309" s="49"/>
      <c r="X309" s="99"/>
    </row>
    <row r="310" ht="14.4" spans="8:24">
      <c r="H310" s="49"/>
      <c r="X310" s="99"/>
    </row>
    <row r="311" ht="14.4" spans="8:24">
      <c r="H311" s="49"/>
      <c r="X311" s="99"/>
    </row>
    <row r="312" ht="14.4" spans="8:24">
      <c r="H312" s="49"/>
      <c r="X312" s="99"/>
    </row>
    <row r="313" ht="14.4" spans="8:24">
      <c r="H313" s="49"/>
      <c r="X313" s="99"/>
    </row>
    <row r="314" ht="14.4" spans="8:24">
      <c r="H314" s="49"/>
      <c r="X314" s="99"/>
    </row>
    <row r="315" ht="14.4" spans="8:24">
      <c r="H315" s="49"/>
      <c r="X315" s="99"/>
    </row>
    <row r="316" ht="14.4" spans="8:24">
      <c r="H316" s="49"/>
      <c r="X316" s="99"/>
    </row>
    <row r="317" ht="14.4" spans="8:24">
      <c r="H317" s="49"/>
      <c r="X317" s="99"/>
    </row>
    <row r="318" ht="14.4" spans="8:24">
      <c r="H318" s="49"/>
      <c r="X318" s="99"/>
    </row>
    <row r="319" ht="14.4" spans="8:24">
      <c r="H319" s="49"/>
      <c r="X319" s="99"/>
    </row>
    <row r="320" ht="14.4" spans="8:24">
      <c r="H320" s="49"/>
      <c r="X320" s="99"/>
    </row>
    <row r="321" ht="14.4" spans="8:24">
      <c r="H321" s="49"/>
      <c r="X321" s="99"/>
    </row>
    <row r="322" ht="14.4" spans="8:24">
      <c r="H322" s="49"/>
      <c r="X322" s="99"/>
    </row>
    <row r="323" ht="14.4" spans="8:24">
      <c r="H323" s="49"/>
      <c r="X323" s="99"/>
    </row>
    <row r="324" ht="14.4" spans="8:24">
      <c r="H324" s="49"/>
      <c r="X324" s="99"/>
    </row>
    <row r="325" ht="14.4" spans="8:24">
      <c r="H325" s="49"/>
      <c r="X325" s="99"/>
    </row>
    <row r="326" ht="14.4" spans="8:24">
      <c r="H326" s="49"/>
      <c r="X326" s="99"/>
    </row>
    <row r="327" ht="14.4" spans="8:24">
      <c r="H327" s="49"/>
      <c r="X327" s="99"/>
    </row>
    <row r="328" ht="14.4" spans="8:24">
      <c r="H328" s="49"/>
      <c r="X328" s="99"/>
    </row>
    <row r="329" ht="14.4" spans="8:24">
      <c r="H329" s="49"/>
      <c r="X329" s="99"/>
    </row>
    <row r="330" ht="14.4" spans="8:24">
      <c r="H330" s="49"/>
      <c r="X330" s="99"/>
    </row>
    <row r="331" ht="14.4" spans="8:24">
      <c r="H331" s="49"/>
      <c r="X331" s="99"/>
    </row>
    <row r="332" ht="14.4" spans="8:24">
      <c r="H332" s="49"/>
      <c r="X332" s="99"/>
    </row>
    <row r="333" ht="14.4" spans="8:24">
      <c r="H333" s="49"/>
      <c r="X333" s="99"/>
    </row>
    <row r="334" ht="14.4" spans="8:24">
      <c r="H334" s="49"/>
      <c r="X334" s="99"/>
    </row>
    <row r="335" ht="14.4" spans="8:24">
      <c r="H335" s="49"/>
      <c r="X335" s="99"/>
    </row>
    <row r="336" ht="14.4" spans="8:24">
      <c r="H336" s="49"/>
      <c r="X336" s="99"/>
    </row>
    <row r="337" ht="14.4" spans="8:24">
      <c r="H337" s="49"/>
      <c r="X337" s="99"/>
    </row>
    <row r="338" ht="14.4" spans="8:24">
      <c r="H338" s="49"/>
      <c r="X338" s="99"/>
    </row>
    <row r="339" ht="14.4" spans="8:24">
      <c r="H339" s="49"/>
      <c r="X339" s="99"/>
    </row>
    <row r="340" ht="14.4" spans="8:24">
      <c r="H340" s="49"/>
      <c r="X340" s="99"/>
    </row>
    <row r="341" ht="14.4" spans="8:24">
      <c r="H341" s="49"/>
      <c r="X341" s="99"/>
    </row>
    <row r="342" ht="14.4" spans="8:24">
      <c r="H342" s="49"/>
      <c r="X342" s="99"/>
    </row>
    <row r="343" ht="14.4" spans="8:24">
      <c r="H343" s="49"/>
      <c r="X343" s="99"/>
    </row>
    <row r="344" ht="14.4" spans="8:24">
      <c r="H344" s="49"/>
      <c r="X344" s="99"/>
    </row>
    <row r="345" ht="14.4" spans="8:24">
      <c r="H345" s="49"/>
      <c r="X345" s="99"/>
    </row>
    <row r="346" ht="14.4" spans="8:24">
      <c r="H346" s="49"/>
      <c r="X346" s="99"/>
    </row>
    <row r="347" ht="14.4" spans="8:24">
      <c r="H347" s="49"/>
      <c r="X347" s="99"/>
    </row>
    <row r="348" ht="14.4" spans="8:24">
      <c r="H348" s="49"/>
      <c r="X348" s="99"/>
    </row>
    <row r="349" ht="14.4" spans="8:24">
      <c r="H349" s="49"/>
      <c r="X349" s="99"/>
    </row>
    <row r="350" ht="14.4" spans="8:24">
      <c r="H350" s="49"/>
      <c r="X350" s="99"/>
    </row>
    <row r="351" ht="14.4" spans="8:24">
      <c r="H351" s="49"/>
      <c r="X351" s="99"/>
    </row>
    <row r="352" ht="14.4" spans="8:24">
      <c r="H352" s="49"/>
      <c r="X352" s="99"/>
    </row>
    <row r="353" ht="14.4" spans="8:24">
      <c r="H353" s="49"/>
      <c r="X353" s="99"/>
    </row>
    <row r="354" ht="14.4" spans="8:24">
      <c r="H354" s="49"/>
      <c r="X354" s="99"/>
    </row>
    <row r="355" ht="14.4" spans="8:24">
      <c r="H355" s="49"/>
      <c r="X355" s="99"/>
    </row>
    <row r="356" ht="14.4" spans="8:24">
      <c r="H356" s="49"/>
      <c r="X356" s="99"/>
    </row>
    <row r="357" ht="14.4" spans="8:24">
      <c r="H357" s="49"/>
      <c r="X357" s="99"/>
    </row>
    <row r="358" ht="14.4" spans="8:24">
      <c r="H358" s="49"/>
      <c r="X358" s="99"/>
    </row>
    <row r="359" ht="14.4" spans="8:24">
      <c r="H359" s="49"/>
      <c r="X359" s="99"/>
    </row>
    <row r="360" ht="14.4" spans="8:24">
      <c r="H360" s="49"/>
      <c r="X360" s="99"/>
    </row>
    <row r="361" ht="14.4" spans="8:24">
      <c r="H361" s="49"/>
      <c r="X361" s="99"/>
    </row>
    <row r="362" ht="14.4" spans="8:24">
      <c r="H362" s="49"/>
      <c r="X362" s="99"/>
    </row>
    <row r="363" ht="14.4" spans="8:24">
      <c r="H363" s="49"/>
      <c r="X363" s="99"/>
    </row>
    <row r="364" ht="14.4" spans="8:24">
      <c r="H364" s="49"/>
      <c r="X364" s="99"/>
    </row>
    <row r="365" ht="14.4" spans="8:24">
      <c r="H365" s="49"/>
      <c r="X365" s="99"/>
    </row>
    <row r="366" ht="14.4" spans="8:24">
      <c r="H366" s="49"/>
      <c r="X366" s="99"/>
    </row>
    <row r="367" ht="14.4" spans="8:24">
      <c r="H367" s="49"/>
      <c r="X367" s="99"/>
    </row>
    <row r="368" ht="14.4" spans="8:24">
      <c r="H368" s="49"/>
      <c r="X368" s="99"/>
    </row>
    <row r="369" ht="14.4" spans="8:24">
      <c r="H369" s="49"/>
      <c r="X369" s="99"/>
    </row>
    <row r="370" ht="14.4" spans="8:24">
      <c r="H370" s="49"/>
      <c r="X370" s="99"/>
    </row>
    <row r="371" ht="14.4" spans="8:24">
      <c r="H371" s="49"/>
      <c r="X371" s="99"/>
    </row>
    <row r="372" ht="14.4" spans="8:24">
      <c r="H372" s="49"/>
      <c r="X372" s="99"/>
    </row>
    <row r="373" ht="14.4" spans="8:24">
      <c r="H373" s="49"/>
      <c r="X373" s="99"/>
    </row>
    <row r="374" ht="14.4" spans="8:24">
      <c r="H374" s="49"/>
      <c r="X374" s="99"/>
    </row>
    <row r="375" ht="14.4" spans="8:24">
      <c r="H375" s="49"/>
      <c r="X375" s="99"/>
    </row>
    <row r="376" ht="14.4" spans="8:24">
      <c r="H376" s="49"/>
      <c r="X376" s="99"/>
    </row>
    <row r="377" ht="14.4" spans="8:24">
      <c r="H377" s="49"/>
      <c r="X377" s="99"/>
    </row>
    <row r="378" ht="14.4" spans="8:24">
      <c r="H378" s="49"/>
      <c r="X378" s="99"/>
    </row>
    <row r="379" ht="14.4" spans="8:24">
      <c r="H379" s="49"/>
      <c r="X379" s="99"/>
    </row>
    <row r="380" ht="14.4" spans="8:24">
      <c r="H380" s="49"/>
      <c r="X380" s="99"/>
    </row>
    <row r="381" ht="14.4" spans="8:24">
      <c r="H381" s="49"/>
      <c r="X381" s="99"/>
    </row>
    <row r="382" ht="14.4" spans="8:24">
      <c r="H382" s="49"/>
      <c r="X382" s="99"/>
    </row>
    <row r="383" ht="14.4" spans="8:24">
      <c r="H383" s="49"/>
      <c r="X383" s="99"/>
    </row>
    <row r="384" ht="14.4" spans="8:24">
      <c r="H384" s="49"/>
      <c r="X384" s="99"/>
    </row>
    <row r="385" ht="14.4" spans="8:24">
      <c r="H385" s="49"/>
      <c r="X385" s="99"/>
    </row>
    <row r="386" ht="14.4" spans="8:24">
      <c r="H386" s="49"/>
      <c r="X386" s="99"/>
    </row>
    <row r="387" ht="14.4" spans="8:24">
      <c r="H387" s="49"/>
      <c r="X387" s="99"/>
    </row>
    <row r="388" ht="14.4" spans="8:24">
      <c r="H388" s="49"/>
      <c r="X388" s="99"/>
    </row>
    <row r="389" ht="14.4" spans="8:24">
      <c r="H389" s="49"/>
      <c r="X389" s="99"/>
    </row>
    <row r="390" ht="14.4" spans="8:24">
      <c r="H390" s="49"/>
      <c r="X390" s="99"/>
    </row>
    <row r="391" ht="14.4" spans="8:24">
      <c r="H391" s="49"/>
      <c r="X391" s="99"/>
    </row>
    <row r="392" ht="14.4" spans="8:24">
      <c r="H392" s="49"/>
      <c r="X392" s="99"/>
    </row>
    <row r="393" ht="14.4" spans="8:24">
      <c r="H393" s="49"/>
      <c r="X393" s="99"/>
    </row>
    <row r="394" ht="14.4" spans="8:24">
      <c r="H394" s="49"/>
      <c r="X394" s="99"/>
    </row>
    <row r="395" ht="14.4" spans="8:24">
      <c r="H395" s="49"/>
      <c r="X395" s="99"/>
    </row>
    <row r="396" ht="14.4" spans="8:24">
      <c r="H396" s="49"/>
      <c r="X396" s="99"/>
    </row>
    <row r="397" ht="14.4" spans="8:24">
      <c r="H397" s="49"/>
      <c r="X397" s="99"/>
    </row>
    <row r="398" ht="14.4" spans="8:24">
      <c r="H398" s="49"/>
      <c r="X398" s="99"/>
    </row>
    <row r="399" ht="14.4" spans="8:24">
      <c r="H399" s="49"/>
      <c r="X399" s="99"/>
    </row>
    <row r="400" ht="14.4" spans="8:24">
      <c r="H400" s="49"/>
      <c r="X400" s="99"/>
    </row>
    <row r="401" ht="14.4" spans="8:24">
      <c r="H401" s="49"/>
      <c r="X401" s="99"/>
    </row>
    <row r="402" ht="14.4" spans="8:24">
      <c r="H402" s="49"/>
      <c r="X402" s="99"/>
    </row>
    <row r="403" ht="14.4" spans="8:24">
      <c r="H403" s="49"/>
      <c r="X403" s="99"/>
    </row>
    <row r="404" ht="14.4" spans="8:24">
      <c r="H404" s="49"/>
      <c r="X404" s="99"/>
    </row>
    <row r="405" ht="14.4" spans="8:24">
      <c r="H405" s="49"/>
      <c r="X405" s="99"/>
    </row>
    <row r="406" ht="14.4" spans="8:24">
      <c r="H406" s="49"/>
      <c r="X406" s="99"/>
    </row>
    <row r="407" ht="14.4" spans="8:24">
      <c r="H407" s="49"/>
      <c r="X407" s="99"/>
    </row>
    <row r="408" ht="14.4" spans="8:24">
      <c r="H408" s="49"/>
      <c r="X408" s="99"/>
    </row>
    <row r="409" ht="14.4" spans="8:24">
      <c r="H409" s="49"/>
      <c r="X409" s="99"/>
    </row>
    <row r="410" ht="14.4" spans="8:24">
      <c r="H410" s="49"/>
      <c r="X410" s="99"/>
    </row>
    <row r="411" ht="14.4" spans="8:24">
      <c r="H411" s="49"/>
      <c r="X411" s="99"/>
    </row>
    <row r="412" ht="14.4" spans="8:24">
      <c r="H412" s="49"/>
      <c r="X412" s="99"/>
    </row>
    <row r="413" ht="14.4" spans="8:24">
      <c r="H413" s="49"/>
      <c r="X413" s="99"/>
    </row>
    <row r="414" ht="14.4" spans="8:24">
      <c r="H414" s="49"/>
      <c r="X414" s="99"/>
    </row>
    <row r="415" ht="14.4" spans="8:24">
      <c r="H415" s="49"/>
      <c r="X415" s="99"/>
    </row>
    <row r="416" ht="14.4" spans="8:24">
      <c r="H416" s="49"/>
      <c r="X416" s="99"/>
    </row>
    <row r="417" ht="14.4" spans="8:24">
      <c r="H417" s="49"/>
      <c r="X417" s="99"/>
    </row>
    <row r="418" ht="14.4" spans="8:24">
      <c r="H418" s="49"/>
      <c r="X418" s="99"/>
    </row>
    <row r="419" ht="14.4" spans="8:24">
      <c r="H419" s="49"/>
      <c r="X419" s="99"/>
    </row>
    <row r="420" ht="14.4" spans="8:24">
      <c r="H420" s="49"/>
      <c r="X420" s="99"/>
    </row>
    <row r="421" ht="14.4" spans="8:24">
      <c r="H421" s="49"/>
      <c r="X421" s="99"/>
    </row>
    <row r="422" ht="14.4" spans="8:24">
      <c r="H422" s="49"/>
      <c r="X422" s="99"/>
    </row>
    <row r="423" ht="14.4" spans="8:24">
      <c r="H423" s="49"/>
      <c r="X423" s="99"/>
    </row>
    <row r="424" ht="14.4" spans="8:24">
      <c r="H424" s="49"/>
      <c r="X424" s="99"/>
    </row>
    <row r="425" ht="14.4" spans="8:24">
      <c r="H425" s="49"/>
      <c r="X425" s="99"/>
    </row>
    <row r="426" ht="14.4" spans="8:24">
      <c r="H426" s="49"/>
      <c r="X426" s="99"/>
    </row>
    <row r="427" ht="14.4" spans="8:24">
      <c r="H427" s="49"/>
      <c r="X427" s="99"/>
    </row>
    <row r="428" ht="14.4" spans="8:24">
      <c r="H428" s="49"/>
      <c r="X428" s="99"/>
    </row>
    <row r="429" ht="14.4" spans="8:24">
      <c r="H429" s="49"/>
      <c r="X429" s="99"/>
    </row>
    <row r="430" ht="14.4" spans="8:24">
      <c r="H430" s="49"/>
      <c r="X430" s="99"/>
    </row>
    <row r="431" ht="14.4" spans="8:24">
      <c r="H431" s="49"/>
      <c r="X431" s="99"/>
    </row>
    <row r="432" ht="14.4" spans="8:24">
      <c r="H432" s="49"/>
      <c r="X432" s="99"/>
    </row>
    <row r="433" ht="14.4" spans="8:24">
      <c r="H433" s="49"/>
      <c r="X433" s="99"/>
    </row>
    <row r="434" ht="14.4" spans="8:24">
      <c r="H434" s="49"/>
      <c r="X434" s="99"/>
    </row>
    <row r="435" ht="14.4" spans="8:24">
      <c r="H435" s="49"/>
      <c r="X435" s="99"/>
    </row>
    <row r="436" ht="14.4" spans="8:24">
      <c r="H436" s="49"/>
      <c r="X436" s="99"/>
    </row>
    <row r="437" ht="14.4" spans="8:24">
      <c r="H437" s="49"/>
      <c r="X437" s="99"/>
    </row>
    <row r="438" ht="14.4" spans="8:24">
      <c r="H438" s="49"/>
      <c r="X438" s="99"/>
    </row>
    <row r="439" ht="14.4" spans="8:24">
      <c r="H439" s="49"/>
      <c r="X439" s="99"/>
    </row>
    <row r="440" ht="14.4" spans="8:24">
      <c r="H440" s="49"/>
      <c r="X440" s="99"/>
    </row>
    <row r="441" ht="14.4" spans="8:24">
      <c r="H441" s="49"/>
      <c r="X441" s="99"/>
    </row>
    <row r="442" ht="14.4" spans="8:24">
      <c r="H442" s="49"/>
      <c r="X442" s="99"/>
    </row>
    <row r="443" ht="14.4" spans="8:24">
      <c r="H443" s="49"/>
      <c r="X443" s="99"/>
    </row>
    <row r="444" ht="14.4" spans="8:24">
      <c r="H444" s="49"/>
      <c r="X444" s="99"/>
    </row>
    <row r="445" ht="14.4" spans="8:24">
      <c r="H445" s="49"/>
      <c r="X445" s="99"/>
    </row>
    <row r="446" ht="14.4" spans="8:24">
      <c r="H446" s="49"/>
      <c r="X446" s="99"/>
    </row>
    <row r="447" ht="14.4" spans="8:24">
      <c r="H447" s="49"/>
      <c r="X447" s="99"/>
    </row>
    <row r="448" ht="14.4" spans="8:24">
      <c r="H448" s="49"/>
      <c r="X448" s="99"/>
    </row>
    <row r="449" ht="14.4" spans="8:24">
      <c r="H449" s="49"/>
      <c r="X449" s="99"/>
    </row>
    <row r="450" ht="14.4" spans="8:24">
      <c r="H450" s="49"/>
      <c r="X450" s="99"/>
    </row>
    <row r="451" ht="14.4" spans="8:24">
      <c r="H451" s="49"/>
      <c r="X451" s="99"/>
    </row>
    <row r="452" ht="14.4" spans="8:24">
      <c r="H452" s="49"/>
      <c r="X452" s="99"/>
    </row>
    <row r="453" ht="14.4" spans="8:24">
      <c r="H453" s="49"/>
      <c r="X453" s="99"/>
    </row>
    <row r="454" ht="14.4" spans="8:24">
      <c r="H454" s="49"/>
      <c r="X454" s="99"/>
    </row>
    <row r="455" ht="14.4" spans="8:24">
      <c r="H455" s="49"/>
      <c r="X455" s="99"/>
    </row>
    <row r="456" ht="14.4" spans="8:24">
      <c r="H456" s="49"/>
      <c r="X456" s="99"/>
    </row>
    <row r="457" ht="14.4" spans="8:24">
      <c r="H457" s="49"/>
      <c r="X457" s="99"/>
    </row>
    <row r="458" ht="14.4" spans="8:24">
      <c r="H458" s="49"/>
      <c r="X458" s="99"/>
    </row>
    <row r="459" ht="14.4" spans="8:24">
      <c r="H459" s="49"/>
      <c r="X459" s="99"/>
    </row>
    <row r="460" ht="14.4" spans="8:24">
      <c r="H460" s="49"/>
      <c r="X460" s="99"/>
    </row>
    <row r="461" ht="14.4" spans="8:24">
      <c r="H461" s="49"/>
      <c r="X461" s="99"/>
    </row>
    <row r="462" ht="14.4" spans="8:24">
      <c r="H462" s="49"/>
      <c r="X462" s="99"/>
    </row>
    <row r="463" ht="14.4" spans="8:24">
      <c r="H463" s="49"/>
      <c r="X463" s="99"/>
    </row>
    <row r="464" ht="14.4" spans="8:24">
      <c r="H464" s="49"/>
      <c r="X464" s="99"/>
    </row>
    <row r="465" ht="14.4" spans="8:24">
      <c r="H465" s="49"/>
      <c r="X465" s="99"/>
    </row>
    <row r="466" ht="14.4" spans="8:24">
      <c r="H466" s="49"/>
      <c r="X466" s="99"/>
    </row>
    <row r="467" ht="14.4" spans="8:24">
      <c r="H467" s="49"/>
      <c r="X467" s="99"/>
    </row>
    <row r="468" ht="14.4" spans="8:24">
      <c r="H468" s="49"/>
      <c r="X468" s="99"/>
    </row>
    <row r="469" ht="14.4" spans="8:24">
      <c r="H469" s="49"/>
      <c r="X469" s="99"/>
    </row>
    <row r="470" ht="14.4" spans="8:24">
      <c r="H470" s="49"/>
      <c r="X470" s="99"/>
    </row>
    <row r="471" ht="14.4" spans="8:24">
      <c r="H471" s="49"/>
      <c r="X471" s="99"/>
    </row>
    <row r="472" ht="14.4" spans="8:24">
      <c r="H472" s="49"/>
      <c r="X472" s="99"/>
    </row>
    <row r="473" ht="14.4" spans="8:24">
      <c r="H473" s="49"/>
      <c r="X473" s="99"/>
    </row>
    <row r="474" ht="14.4" spans="8:24">
      <c r="H474" s="49"/>
      <c r="X474" s="99"/>
    </row>
    <row r="475" ht="14.4" spans="8:24">
      <c r="H475" s="49"/>
      <c r="X475" s="99"/>
    </row>
    <row r="476" ht="14.4" spans="8:24">
      <c r="H476" s="49"/>
      <c r="X476" s="99"/>
    </row>
    <row r="477" ht="14.4" spans="8:24">
      <c r="H477" s="49"/>
      <c r="X477" s="99"/>
    </row>
    <row r="478" ht="14.4" spans="8:24">
      <c r="H478" s="49"/>
      <c r="X478" s="99"/>
    </row>
    <row r="479" ht="14.4" spans="8:24">
      <c r="H479" s="49"/>
      <c r="X479" s="99"/>
    </row>
    <row r="480" ht="14.4" spans="8:24">
      <c r="H480" s="49"/>
      <c r="X480" s="99"/>
    </row>
    <row r="481" ht="14.4" spans="8:24">
      <c r="H481" s="49"/>
      <c r="X481" s="99"/>
    </row>
    <row r="482" ht="14.4" spans="8:24">
      <c r="H482" s="49"/>
      <c r="X482" s="99"/>
    </row>
    <row r="483" ht="14.4" spans="8:24">
      <c r="H483" s="49"/>
      <c r="X483" s="99"/>
    </row>
    <row r="484" ht="14.4" spans="8:24">
      <c r="H484" s="49"/>
      <c r="X484" s="99"/>
    </row>
    <row r="485" ht="14.4" spans="8:24">
      <c r="H485" s="49"/>
      <c r="X485" s="99"/>
    </row>
    <row r="486" ht="14.4" spans="8:24">
      <c r="H486" s="49"/>
      <c r="X486" s="99"/>
    </row>
    <row r="487" ht="14.4" spans="8:24">
      <c r="H487" s="49"/>
      <c r="X487" s="99"/>
    </row>
    <row r="488" ht="14.4" spans="8:24">
      <c r="H488" s="49"/>
      <c r="X488" s="99"/>
    </row>
    <row r="489" ht="14.4" spans="8:24">
      <c r="H489" s="49"/>
      <c r="X489" s="99"/>
    </row>
    <row r="490" ht="14.4" spans="8:24">
      <c r="H490" s="49"/>
      <c r="X490" s="99"/>
    </row>
    <row r="491" ht="14.4" spans="8:24">
      <c r="H491" s="49"/>
      <c r="X491" s="99"/>
    </row>
    <row r="492" ht="14.4" spans="8:24">
      <c r="H492" s="49"/>
      <c r="X492" s="99"/>
    </row>
    <row r="493" ht="14.4" spans="8:24">
      <c r="H493" s="49"/>
      <c r="X493" s="99"/>
    </row>
    <row r="494" ht="14.4" spans="8:24">
      <c r="H494" s="49"/>
      <c r="X494" s="99"/>
    </row>
    <row r="495" ht="14.4" spans="8:24">
      <c r="H495" s="49"/>
      <c r="X495" s="99"/>
    </row>
    <row r="496" ht="14.4" spans="8:24">
      <c r="H496" s="49"/>
      <c r="X496" s="99"/>
    </row>
    <row r="497" ht="14.4" spans="8:24">
      <c r="H497" s="49"/>
      <c r="X497" s="99"/>
    </row>
    <row r="498" ht="14.4" spans="8:24">
      <c r="H498" s="49"/>
      <c r="X498" s="99"/>
    </row>
    <row r="499" ht="14.4" spans="8:24">
      <c r="H499" s="49"/>
      <c r="X499" s="99"/>
    </row>
    <row r="500" ht="14.4" spans="8:24">
      <c r="H500" s="49"/>
      <c r="X500" s="99"/>
    </row>
    <row r="501" ht="14.4" spans="8:24">
      <c r="H501" s="49"/>
      <c r="X501" s="99"/>
    </row>
    <row r="502" ht="14.4" spans="8:24">
      <c r="H502" s="49"/>
      <c r="X502" s="99"/>
    </row>
    <row r="503" ht="14.4" spans="8:24">
      <c r="H503" s="49"/>
      <c r="X503" s="99"/>
    </row>
    <row r="504" ht="14.4" spans="8:24">
      <c r="H504" s="49"/>
      <c r="X504" s="99"/>
    </row>
    <row r="505" ht="14.4" spans="8:24">
      <c r="H505" s="49"/>
      <c r="X505" s="99"/>
    </row>
    <row r="506" ht="14.4" spans="8:24">
      <c r="H506" s="49"/>
      <c r="X506" s="99"/>
    </row>
    <row r="507" ht="14.4" spans="8:24">
      <c r="H507" s="49"/>
      <c r="X507" s="99"/>
    </row>
    <row r="508" ht="14.4" spans="8:24">
      <c r="H508" s="49"/>
      <c r="X508" s="99"/>
    </row>
    <row r="509" ht="14.4" spans="8:24">
      <c r="H509" s="49"/>
      <c r="X509" s="99"/>
    </row>
    <row r="510" ht="14.4" spans="8:24">
      <c r="H510" s="49"/>
      <c r="X510" s="99"/>
    </row>
    <row r="511" ht="14.4" spans="8:24">
      <c r="H511" s="49"/>
      <c r="X511" s="99"/>
    </row>
    <row r="512" ht="14.4" spans="8:24">
      <c r="H512" s="49"/>
      <c r="X512" s="99"/>
    </row>
    <row r="513" ht="14.4" spans="8:24">
      <c r="H513" s="49"/>
      <c r="X513" s="99"/>
    </row>
    <row r="514" ht="14.4" spans="8:24">
      <c r="H514" s="49"/>
      <c r="X514" s="99"/>
    </row>
    <row r="515" ht="14.4" spans="8:24">
      <c r="H515" s="49"/>
      <c r="X515" s="99"/>
    </row>
    <row r="516" ht="14.4" spans="8:24">
      <c r="H516" s="49"/>
      <c r="X516" s="99"/>
    </row>
    <row r="517" ht="14.4" spans="8:24">
      <c r="H517" s="49"/>
      <c r="X517" s="99"/>
    </row>
    <row r="518" ht="14.4" spans="8:24">
      <c r="H518" s="49"/>
      <c r="X518" s="99"/>
    </row>
    <row r="519" ht="14.4" spans="8:24">
      <c r="H519" s="49"/>
      <c r="X519" s="99"/>
    </row>
    <row r="520" ht="14.4" spans="8:24">
      <c r="H520" s="49"/>
      <c r="X520" s="99"/>
    </row>
    <row r="521" ht="14.4" spans="8:24">
      <c r="H521" s="49"/>
      <c r="X521" s="99"/>
    </row>
    <row r="522" ht="14.4" spans="8:24">
      <c r="H522" s="49"/>
      <c r="X522" s="99"/>
    </row>
    <row r="523" ht="14.4" spans="8:24">
      <c r="H523" s="49"/>
      <c r="X523" s="99"/>
    </row>
    <row r="524" ht="14.4" spans="8:24">
      <c r="H524" s="49"/>
      <c r="X524" s="99"/>
    </row>
    <row r="525" ht="14.4" spans="8:24">
      <c r="H525" s="49"/>
      <c r="X525" s="99"/>
    </row>
    <row r="526" ht="14.4" spans="8:24">
      <c r="H526" s="49"/>
      <c r="X526" s="99"/>
    </row>
    <row r="527" ht="14.4" spans="8:24">
      <c r="H527" s="49"/>
      <c r="X527" s="99"/>
    </row>
    <row r="528" ht="14.4" spans="8:24">
      <c r="H528" s="49"/>
      <c r="X528" s="99"/>
    </row>
    <row r="529" ht="14.4" spans="8:24">
      <c r="H529" s="49"/>
      <c r="X529" s="99"/>
    </row>
    <row r="530" ht="14.4" spans="8:24">
      <c r="H530" s="49"/>
      <c r="X530" s="99"/>
    </row>
    <row r="531" ht="14.4" spans="8:24">
      <c r="H531" s="49"/>
      <c r="X531" s="99"/>
    </row>
    <row r="532" ht="14.4" spans="8:24">
      <c r="H532" s="49"/>
      <c r="X532" s="99"/>
    </row>
    <row r="533" ht="14.4" spans="8:24">
      <c r="H533" s="49"/>
      <c r="X533" s="99"/>
    </row>
    <row r="534" ht="14.4" spans="8:24">
      <c r="H534" s="49"/>
      <c r="X534" s="99"/>
    </row>
    <row r="535" ht="14.4" spans="8:24">
      <c r="H535" s="49"/>
      <c r="X535" s="99"/>
    </row>
    <row r="536" ht="14.4" spans="8:24">
      <c r="H536" s="49"/>
      <c r="X536" s="99"/>
    </row>
    <row r="537" ht="14.4" spans="8:24">
      <c r="H537" s="49"/>
      <c r="X537" s="99"/>
    </row>
    <row r="538" ht="14.4" spans="8:24">
      <c r="H538" s="49"/>
      <c r="X538" s="99"/>
    </row>
    <row r="539" ht="14.4" spans="8:24">
      <c r="H539" s="49"/>
      <c r="X539" s="99"/>
    </row>
    <row r="540" ht="14.4" spans="8:24">
      <c r="H540" s="49"/>
      <c r="X540" s="99"/>
    </row>
    <row r="541" ht="14.4" spans="8:24">
      <c r="H541" s="49"/>
      <c r="X541" s="99"/>
    </row>
    <row r="542" ht="14.4" spans="8:24">
      <c r="H542" s="49"/>
      <c r="X542" s="99"/>
    </row>
    <row r="543" ht="14.4" spans="8:24">
      <c r="H543" s="49"/>
      <c r="X543" s="99"/>
    </row>
    <row r="544" ht="14.4" spans="8:24">
      <c r="H544" s="49"/>
      <c r="X544" s="99"/>
    </row>
    <row r="545" ht="14.4" spans="8:24">
      <c r="H545" s="49"/>
      <c r="X545" s="99"/>
    </row>
    <row r="546" ht="14.4" spans="8:24">
      <c r="H546" s="49"/>
      <c r="X546" s="99"/>
    </row>
    <row r="547" ht="14.4" spans="8:24">
      <c r="H547" s="49"/>
      <c r="X547" s="99"/>
    </row>
    <row r="548" ht="14.4" spans="8:24">
      <c r="H548" s="49"/>
      <c r="X548" s="99"/>
    </row>
    <row r="549" ht="14.4" spans="8:24">
      <c r="H549" s="49"/>
      <c r="X549" s="99"/>
    </row>
    <row r="550" ht="14.4" spans="8:24">
      <c r="H550" s="49"/>
      <c r="X550" s="99"/>
    </row>
    <row r="551" ht="14.4" spans="8:24">
      <c r="H551" s="49"/>
      <c r="X551" s="99"/>
    </row>
    <row r="552" ht="14.4" spans="8:24">
      <c r="H552" s="49"/>
      <c r="X552" s="99"/>
    </row>
    <row r="553" ht="14.4" spans="8:24">
      <c r="H553" s="49"/>
      <c r="X553" s="99"/>
    </row>
    <row r="554" ht="14.4" spans="8:24">
      <c r="H554" s="49"/>
      <c r="X554" s="99"/>
    </row>
    <row r="555" ht="14.4" spans="8:24">
      <c r="H555" s="49"/>
      <c r="X555" s="99"/>
    </row>
    <row r="556" ht="14.4" spans="8:24">
      <c r="H556" s="49"/>
      <c r="X556" s="99"/>
    </row>
    <row r="557" ht="14.4" spans="8:24">
      <c r="H557" s="49"/>
      <c r="X557" s="99"/>
    </row>
    <row r="558" ht="14.4" spans="8:24">
      <c r="H558" s="49"/>
      <c r="X558" s="99"/>
    </row>
    <row r="559" ht="14.4" spans="8:24">
      <c r="H559" s="49"/>
      <c r="X559" s="99"/>
    </row>
    <row r="560" ht="14.4" spans="8:24">
      <c r="H560" s="49"/>
      <c r="X560" s="99"/>
    </row>
    <row r="561" ht="14.4" spans="8:24">
      <c r="H561" s="49"/>
      <c r="X561" s="99"/>
    </row>
    <row r="562" ht="14.4" spans="8:24">
      <c r="H562" s="49"/>
      <c r="X562" s="99"/>
    </row>
    <row r="563" ht="14.4" spans="8:24">
      <c r="H563" s="49"/>
      <c r="X563" s="99"/>
    </row>
    <row r="564" ht="14.4" spans="8:24">
      <c r="H564" s="49"/>
      <c r="X564" s="99"/>
    </row>
    <row r="565" ht="14.4" spans="8:24">
      <c r="H565" s="49"/>
      <c r="X565" s="99"/>
    </row>
    <row r="566" ht="14.4" spans="8:24">
      <c r="H566" s="49"/>
      <c r="X566" s="99"/>
    </row>
    <row r="567" ht="14.4" spans="8:24">
      <c r="H567" s="49"/>
      <c r="X567" s="99"/>
    </row>
    <row r="568" ht="14.4" spans="8:24">
      <c r="H568" s="49"/>
      <c r="X568" s="99"/>
    </row>
    <row r="569" ht="14.4" spans="8:24">
      <c r="H569" s="49"/>
      <c r="X569" s="99"/>
    </row>
    <row r="570" ht="14.4" spans="8:24">
      <c r="H570" s="49"/>
      <c r="X570" s="99"/>
    </row>
    <row r="571" ht="14.4" spans="8:24">
      <c r="H571" s="49"/>
      <c r="X571" s="99"/>
    </row>
    <row r="572" ht="14.4" spans="8:24">
      <c r="H572" s="49"/>
      <c r="X572" s="99"/>
    </row>
    <row r="573" ht="14.4" spans="8:24">
      <c r="H573" s="49"/>
      <c r="X573" s="99"/>
    </row>
    <row r="574" ht="14.4" spans="8:24">
      <c r="H574" s="49"/>
      <c r="X574" s="99"/>
    </row>
    <row r="575" ht="14.4" spans="8:24">
      <c r="H575" s="49"/>
      <c r="X575" s="99"/>
    </row>
    <row r="576" ht="14.4" spans="8:24">
      <c r="H576" s="49"/>
      <c r="X576" s="99"/>
    </row>
    <row r="577" ht="14.4" spans="8:24">
      <c r="H577" s="49"/>
      <c r="X577" s="99"/>
    </row>
    <row r="578" ht="14.4" spans="8:24">
      <c r="H578" s="49"/>
      <c r="X578" s="99"/>
    </row>
    <row r="579" ht="14.4" spans="8:24">
      <c r="H579" s="49"/>
      <c r="X579" s="99"/>
    </row>
    <row r="580" ht="14.4" spans="8:24">
      <c r="H580" s="49"/>
      <c r="X580" s="99"/>
    </row>
    <row r="581" ht="14.4" spans="8:24">
      <c r="H581" s="49"/>
      <c r="X581" s="99"/>
    </row>
    <row r="582" ht="14.4" spans="8:24">
      <c r="H582" s="49"/>
      <c r="X582" s="99"/>
    </row>
    <row r="583" ht="14.4" spans="8:24">
      <c r="H583" s="49"/>
      <c r="X583" s="99"/>
    </row>
    <row r="584" ht="14.4" spans="8:24">
      <c r="H584" s="49"/>
      <c r="X584" s="99"/>
    </row>
    <row r="585" ht="14.4" spans="8:24">
      <c r="H585" s="49"/>
      <c r="X585" s="99"/>
    </row>
    <row r="586" ht="14.4" spans="8:24">
      <c r="H586" s="49"/>
      <c r="X586" s="99"/>
    </row>
    <row r="587" ht="14.4" spans="8:24">
      <c r="H587" s="49"/>
      <c r="X587" s="99"/>
    </row>
    <row r="588" ht="14.4" spans="8:24">
      <c r="H588" s="49"/>
      <c r="X588" s="99"/>
    </row>
    <row r="589" ht="14.4" spans="8:24">
      <c r="H589" s="49"/>
      <c r="X589" s="99"/>
    </row>
    <row r="590" ht="14.4" spans="8:24">
      <c r="H590" s="49"/>
      <c r="X590" s="99"/>
    </row>
    <row r="591" ht="14.4" spans="8:24">
      <c r="H591" s="49"/>
      <c r="X591" s="99"/>
    </row>
    <row r="592" ht="14.4" spans="8:24">
      <c r="H592" s="49"/>
      <c r="X592" s="99"/>
    </row>
    <row r="593" ht="14.4" spans="8:24">
      <c r="H593" s="49"/>
      <c r="X593" s="99"/>
    </row>
    <row r="594" ht="14.4" spans="8:24">
      <c r="H594" s="49"/>
      <c r="X594" s="99"/>
    </row>
    <row r="595" ht="14.4" spans="8:24">
      <c r="H595" s="49"/>
      <c r="X595" s="99"/>
    </row>
    <row r="596" ht="14.4" spans="8:24">
      <c r="H596" s="49"/>
      <c r="X596" s="99"/>
    </row>
    <row r="597" ht="14.4" spans="8:24">
      <c r="H597" s="49"/>
      <c r="X597" s="99"/>
    </row>
    <row r="598" ht="14.4" spans="8:24">
      <c r="H598" s="49"/>
      <c r="X598" s="99"/>
    </row>
    <row r="599" ht="14.4" spans="8:24">
      <c r="H599" s="49"/>
      <c r="X599" s="99"/>
    </row>
    <row r="600" ht="14.4" spans="8:24">
      <c r="H600" s="49"/>
      <c r="X600" s="99"/>
    </row>
    <row r="601" ht="14.4" spans="8:24">
      <c r="H601" s="49"/>
      <c r="X601" s="99"/>
    </row>
    <row r="602" ht="14.4" spans="8:24">
      <c r="H602" s="49"/>
      <c r="X602" s="99"/>
    </row>
    <row r="603" ht="14.4" spans="8:24">
      <c r="H603" s="49"/>
      <c r="X603" s="99"/>
    </row>
    <row r="604" ht="14.4" spans="8:24">
      <c r="H604" s="49"/>
      <c r="X604" s="99"/>
    </row>
    <row r="605" ht="14.4" spans="8:24">
      <c r="H605" s="49"/>
      <c r="X605" s="99"/>
    </row>
    <row r="606" ht="14.4" spans="8:24">
      <c r="H606" s="49"/>
      <c r="X606" s="99"/>
    </row>
    <row r="607" ht="14.4" spans="8:24">
      <c r="H607" s="49"/>
      <c r="X607" s="99"/>
    </row>
    <row r="608" ht="14.4" spans="8:24">
      <c r="H608" s="49"/>
      <c r="X608" s="99"/>
    </row>
    <row r="609" ht="14.4" spans="8:24">
      <c r="H609" s="49"/>
      <c r="X609" s="99"/>
    </row>
    <row r="610" ht="14.4" spans="8:24">
      <c r="H610" s="49"/>
      <c r="X610" s="99"/>
    </row>
    <row r="611" ht="14.4" spans="8:24">
      <c r="H611" s="49"/>
      <c r="X611" s="99"/>
    </row>
    <row r="612" ht="14.4" spans="8:24">
      <c r="H612" s="49"/>
      <c r="X612" s="99"/>
    </row>
    <row r="613" ht="14.4" spans="8:24">
      <c r="H613" s="49"/>
      <c r="X613" s="99"/>
    </row>
    <row r="614" ht="14.4" spans="8:24">
      <c r="H614" s="49"/>
      <c r="X614" s="99"/>
    </row>
    <row r="615" ht="14.4" spans="8:24">
      <c r="H615" s="49"/>
      <c r="X615" s="99"/>
    </row>
    <row r="616" ht="14.4" spans="8:24">
      <c r="H616" s="49"/>
      <c r="X616" s="99"/>
    </row>
    <row r="617" ht="14.4" spans="8:24">
      <c r="H617" s="49"/>
      <c r="X617" s="99"/>
    </row>
    <row r="618" ht="14.4" spans="8:24">
      <c r="H618" s="49"/>
      <c r="X618" s="99"/>
    </row>
    <row r="619" ht="14.4" spans="8:24">
      <c r="H619" s="49"/>
      <c r="X619" s="99"/>
    </row>
    <row r="620" ht="14.4" spans="8:24">
      <c r="H620" s="49"/>
      <c r="X620" s="99"/>
    </row>
    <row r="621" ht="14.4" spans="8:24">
      <c r="H621" s="49"/>
      <c r="X621" s="99"/>
    </row>
    <row r="622" ht="14.4" spans="8:24">
      <c r="H622" s="49"/>
      <c r="X622" s="99"/>
    </row>
    <row r="623" ht="14.4" spans="8:24">
      <c r="H623" s="49"/>
      <c r="X623" s="99"/>
    </row>
    <row r="624" ht="14.4" spans="8:24">
      <c r="H624" s="49"/>
      <c r="X624" s="99"/>
    </row>
    <row r="625" ht="14.4" spans="8:24">
      <c r="H625" s="49"/>
      <c r="X625" s="99"/>
    </row>
    <row r="626" ht="14.4" spans="8:24">
      <c r="H626" s="49"/>
      <c r="X626" s="99"/>
    </row>
    <row r="627" ht="14.4" spans="8:24">
      <c r="H627" s="49"/>
      <c r="X627" s="99"/>
    </row>
    <row r="628" ht="14.4" spans="8:24">
      <c r="H628" s="49"/>
      <c r="X628" s="99"/>
    </row>
    <row r="629" ht="14.4" spans="8:24">
      <c r="H629" s="49"/>
      <c r="X629" s="99"/>
    </row>
    <row r="630" ht="14.4" spans="8:24">
      <c r="H630" s="49"/>
      <c r="X630" s="99"/>
    </row>
    <row r="631" ht="14.4" spans="8:24">
      <c r="H631" s="49"/>
      <c r="X631" s="99"/>
    </row>
    <row r="632" ht="14.4" spans="8:24">
      <c r="H632" s="49"/>
      <c r="X632" s="99"/>
    </row>
    <row r="633" ht="14.4" spans="8:24">
      <c r="H633" s="49"/>
      <c r="X633" s="99"/>
    </row>
    <row r="634" ht="14.4" spans="8:24">
      <c r="H634" s="49"/>
      <c r="X634" s="99"/>
    </row>
    <row r="635" ht="14.4" spans="8:24">
      <c r="H635" s="49"/>
      <c r="X635" s="99"/>
    </row>
    <row r="636" ht="14.4" spans="8:24">
      <c r="H636" s="49"/>
      <c r="X636" s="99"/>
    </row>
    <row r="637" ht="14.4" spans="8:24">
      <c r="H637" s="49"/>
      <c r="X637" s="99"/>
    </row>
    <row r="638" ht="14.4" spans="8:24">
      <c r="H638" s="49"/>
      <c r="X638" s="99"/>
    </row>
    <row r="639" ht="14.4" spans="8:24">
      <c r="H639" s="49"/>
      <c r="X639" s="99"/>
    </row>
    <row r="640" ht="14.4" spans="8:24">
      <c r="H640" s="49"/>
      <c r="X640" s="99"/>
    </row>
    <row r="641" ht="14.4" spans="8:24">
      <c r="H641" s="49"/>
      <c r="X641" s="99"/>
    </row>
    <row r="642" ht="14.4" spans="8:24">
      <c r="H642" s="49"/>
      <c r="X642" s="99"/>
    </row>
    <row r="643" ht="14.4" spans="8:24">
      <c r="H643" s="49"/>
      <c r="X643" s="99"/>
    </row>
    <row r="644" ht="14.4" spans="8:24">
      <c r="H644" s="49"/>
      <c r="X644" s="99"/>
    </row>
    <row r="645" ht="14.4" spans="8:24">
      <c r="H645" s="49"/>
      <c r="X645" s="99"/>
    </row>
    <row r="646" ht="14.4" spans="8:24">
      <c r="H646" s="49"/>
      <c r="X646" s="99"/>
    </row>
    <row r="647" ht="14.4" spans="8:24">
      <c r="H647" s="49"/>
      <c r="X647" s="99"/>
    </row>
    <row r="648" ht="14.4" spans="8:24">
      <c r="H648" s="49"/>
      <c r="X648" s="99"/>
    </row>
    <row r="649" ht="14.4" spans="8:24">
      <c r="H649" s="49"/>
      <c r="X649" s="99"/>
    </row>
    <row r="650" ht="14.4" spans="8:24">
      <c r="H650" s="49"/>
      <c r="X650" s="99"/>
    </row>
    <row r="651" ht="14.4" spans="8:24">
      <c r="H651" s="49"/>
      <c r="X651" s="99"/>
    </row>
    <row r="652" ht="14.4" spans="8:24">
      <c r="H652" s="49"/>
      <c r="X652" s="99"/>
    </row>
    <row r="653" ht="14.4" spans="8:24">
      <c r="H653" s="49"/>
      <c r="X653" s="99"/>
    </row>
    <row r="654" ht="14.4" spans="8:24">
      <c r="H654" s="49"/>
      <c r="X654" s="99"/>
    </row>
    <row r="655" ht="14.4" spans="8:24">
      <c r="H655" s="49"/>
      <c r="X655" s="99"/>
    </row>
    <row r="656" ht="14.4" spans="8:24">
      <c r="H656" s="49"/>
      <c r="X656" s="99"/>
    </row>
    <row r="657" ht="14.4" spans="8:24">
      <c r="H657" s="49"/>
      <c r="X657" s="99"/>
    </row>
    <row r="658" ht="14.4" spans="8:24">
      <c r="H658" s="49"/>
      <c r="X658" s="99"/>
    </row>
    <row r="659" ht="14.4" spans="8:24">
      <c r="H659" s="49"/>
      <c r="X659" s="99"/>
    </row>
    <row r="660" ht="14.4" spans="8:24">
      <c r="H660" s="49"/>
      <c r="X660" s="99"/>
    </row>
    <row r="661" ht="14.4" spans="8:24">
      <c r="H661" s="49"/>
      <c r="X661" s="99"/>
    </row>
    <row r="662" ht="14.4" spans="8:24">
      <c r="H662" s="49"/>
      <c r="X662" s="99"/>
    </row>
    <row r="663" ht="14.4" spans="8:24">
      <c r="H663" s="49"/>
      <c r="X663" s="99"/>
    </row>
    <row r="664" ht="14.4" spans="8:24">
      <c r="H664" s="49"/>
      <c r="X664" s="99"/>
    </row>
    <row r="665" ht="14.4" spans="8:24">
      <c r="H665" s="49"/>
      <c r="X665" s="99"/>
    </row>
    <row r="666" ht="14.4" spans="8:24">
      <c r="H666" s="49"/>
      <c r="X666" s="99"/>
    </row>
    <row r="667" ht="14.4" spans="8:24">
      <c r="H667" s="49"/>
      <c r="X667" s="99"/>
    </row>
    <row r="668" ht="14.4" spans="8:24">
      <c r="H668" s="49"/>
      <c r="X668" s="99"/>
    </row>
    <row r="669" ht="14.4" spans="8:24">
      <c r="H669" s="49"/>
      <c r="X669" s="99"/>
    </row>
    <row r="670" ht="14.4" spans="8:24">
      <c r="H670" s="49"/>
      <c r="X670" s="99"/>
    </row>
    <row r="671" ht="14.4" spans="8:24">
      <c r="H671" s="49"/>
      <c r="X671" s="99"/>
    </row>
    <row r="672" ht="14.4" spans="8:24">
      <c r="H672" s="49"/>
      <c r="X672" s="99"/>
    </row>
    <row r="673" ht="14.4" spans="8:24">
      <c r="H673" s="49"/>
      <c r="X673" s="99"/>
    </row>
    <row r="674" ht="14.4" spans="8:24">
      <c r="H674" s="49"/>
      <c r="X674" s="99"/>
    </row>
    <row r="675" ht="14.4" spans="8:24">
      <c r="H675" s="49"/>
      <c r="X675" s="99"/>
    </row>
    <row r="676" ht="14.4" spans="8:24">
      <c r="H676" s="49"/>
      <c r="X676" s="99"/>
    </row>
    <row r="677" ht="14.4" spans="8:24">
      <c r="H677" s="49"/>
      <c r="X677" s="99"/>
    </row>
    <row r="678" ht="14.4" spans="8:24">
      <c r="H678" s="49"/>
      <c r="X678" s="99"/>
    </row>
    <row r="679" ht="14.4" spans="8:24">
      <c r="H679" s="49"/>
      <c r="X679" s="99"/>
    </row>
    <row r="680" ht="14.4" spans="8:24">
      <c r="H680" s="49"/>
      <c r="X680" s="99"/>
    </row>
    <row r="681" ht="14.4" spans="8:24">
      <c r="H681" s="49"/>
      <c r="X681" s="99"/>
    </row>
    <row r="682" ht="14.4" spans="8:24">
      <c r="H682" s="49"/>
      <c r="X682" s="99"/>
    </row>
    <row r="683" ht="14.4" spans="8:24">
      <c r="H683" s="49"/>
      <c r="X683" s="99"/>
    </row>
    <row r="684" ht="14.4" spans="8:24">
      <c r="H684" s="49"/>
      <c r="X684" s="99"/>
    </row>
    <row r="685" ht="14.4" spans="8:24">
      <c r="H685" s="49"/>
      <c r="X685" s="99"/>
    </row>
    <row r="686" ht="14.4" spans="8:24">
      <c r="H686" s="49"/>
      <c r="X686" s="99"/>
    </row>
    <row r="687" ht="14.4" spans="8:24">
      <c r="H687" s="49"/>
      <c r="X687" s="99"/>
    </row>
    <row r="688" ht="14.4" spans="8:24">
      <c r="H688" s="49"/>
      <c r="X688" s="99"/>
    </row>
    <row r="689" ht="14.4" spans="8:24">
      <c r="H689" s="49"/>
      <c r="X689" s="99"/>
    </row>
    <row r="690" ht="14.4" spans="8:24">
      <c r="H690" s="49"/>
      <c r="X690" s="99"/>
    </row>
    <row r="691" ht="14.4" spans="8:24">
      <c r="H691" s="49"/>
      <c r="X691" s="99"/>
    </row>
    <row r="692" ht="14.4" spans="8:24">
      <c r="H692" s="49"/>
      <c r="X692" s="99"/>
    </row>
    <row r="693" ht="14.4" spans="8:24">
      <c r="H693" s="49"/>
      <c r="X693" s="99"/>
    </row>
    <row r="694" ht="14.4" spans="8:24">
      <c r="H694" s="49"/>
      <c r="X694" s="99"/>
    </row>
    <row r="695" ht="14.4" spans="8:24">
      <c r="H695" s="49"/>
      <c r="X695" s="99"/>
    </row>
    <row r="696" ht="14.4" spans="8:24">
      <c r="H696" s="49"/>
      <c r="X696" s="99"/>
    </row>
    <row r="697" ht="14.4" spans="8:24">
      <c r="H697" s="49"/>
      <c r="X697" s="99"/>
    </row>
    <row r="698" ht="14.4" spans="8:24">
      <c r="H698" s="49"/>
      <c r="X698" s="99"/>
    </row>
    <row r="699" ht="14.4" spans="8:24">
      <c r="H699" s="49"/>
      <c r="X699" s="99"/>
    </row>
    <row r="700" ht="14.4" spans="8:24">
      <c r="H700" s="49"/>
      <c r="X700" s="99"/>
    </row>
    <row r="701" ht="14.4" spans="8:24">
      <c r="H701" s="49"/>
      <c r="X701" s="99"/>
    </row>
    <row r="702" ht="14.4" spans="8:24">
      <c r="H702" s="49"/>
      <c r="X702" s="99"/>
    </row>
    <row r="703" ht="14.4" spans="8:24">
      <c r="H703" s="49"/>
      <c r="X703" s="99"/>
    </row>
    <row r="704" ht="14.4" spans="8:24">
      <c r="H704" s="49"/>
      <c r="X704" s="99"/>
    </row>
    <row r="705" ht="14.4" spans="8:24">
      <c r="H705" s="49"/>
      <c r="X705" s="99"/>
    </row>
    <row r="706" ht="14.4" spans="8:24">
      <c r="H706" s="49"/>
      <c r="X706" s="99"/>
    </row>
    <row r="707" ht="14.4" spans="8:24">
      <c r="H707" s="49"/>
      <c r="X707" s="99"/>
    </row>
    <row r="708" ht="14.4" spans="8:24">
      <c r="H708" s="49"/>
      <c r="X708" s="99"/>
    </row>
    <row r="709" ht="14.4" spans="8:24">
      <c r="H709" s="49"/>
      <c r="X709" s="99"/>
    </row>
    <row r="710" ht="14.4" spans="8:24">
      <c r="H710" s="49"/>
      <c r="X710" s="99"/>
    </row>
    <row r="711" ht="14.4" spans="8:24">
      <c r="H711" s="49"/>
      <c r="X711" s="99"/>
    </row>
    <row r="712" ht="14.4" spans="8:24">
      <c r="H712" s="49"/>
      <c r="X712" s="99"/>
    </row>
    <row r="713" ht="14.4" spans="8:24">
      <c r="H713" s="49"/>
      <c r="X713" s="99"/>
    </row>
    <row r="714" ht="14.4" spans="8:24">
      <c r="H714" s="49"/>
      <c r="X714" s="99"/>
    </row>
    <row r="715" ht="14.4" spans="8:24">
      <c r="H715" s="49"/>
      <c r="X715" s="99"/>
    </row>
    <row r="716" ht="14.4" spans="8:24">
      <c r="H716" s="49"/>
      <c r="X716" s="99"/>
    </row>
    <row r="717" ht="14.4" spans="8:24">
      <c r="H717" s="49"/>
      <c r="X717" s="99"/>
    </row>
    <row r="718" ht="14.4" spans="8:24">
      <c r="H718" s="49"/>
      <c r="X718" s="99"/>
    </row>
    <row r="719" ht="14.4" spans="8:24">
      <c r="H719" s="49"/>
      <c r="X719" s="99"/>
    </row>
    <row r="720" ht="14.4" spans="8:24">
      <c r="H720" s="49"/>
      <c r="X720" s="99"/>
    </row>
    <row r="721" ht="14.4" spans="8:24">
      <c r="H721" s="49"/>
      <c r="X721" s="99"/>
    </row>
    <row r="722" ht="14.4" spans="8:24">
      <c r="H722" s="49"/>
      <c r="X722" s="99"/>
    </row>
    <row r="723" ht="14.4" spans="8:24">
      <c r="H723" s="49"/>
      <c r="X723" s="99"/>
    </row>
    <row r="724" ht="14.4" spans="8:24">
      <c r="H724" s="49"/>
      <c r="X724" s="99"/>
    </row>
    <row r="725" ht="14.4" spans="8:24">
      <c r="H725" s="49"/>
      <c r="X725" s="99"/>
    </row>
    <row r="726" ht="14.4" spans="8:24">
      <c r="H726" s="49"/>
      <c r="X726" s="99"/>
    </row>
    <row r="727" ht="14.4" spans="8:24">
      <c r="H727" s="49"/>
      <c r="X727" s="99"/>
    </row>
    <row r="728" ht="14.4" spans="8:24">
      <c r="H728" s="49"/>
      <c r="X728" s="99"/>
    </row>
    <row r="729" ht="14.4" spans="8:24">
      <c r="H729" s="49"/>
      <c r="X729" s="99"/>
    </row>
    <row r="730" ht="14.4" spans="8:24">
      <c r="H730" s="49"/>
      <c r="X730" s="99"/>
    </row>
    <row r="731" ht="14.4" spans="8:24">
      <c r="H731" s="49"/>
      <c r="X731" s="99"/>
    </row>
    <row r="732" ht="14.4" spans="8:24">
      <c r="H732" s="49"/>
      <c r="X732" s="99"/>
    </row>
    <row r="733" ht="14.4" spans="8:24">
      <c r="H733" s="49"/>
      <c r="X733" s="99"/>
    </row>
    <row r="734" ht="14.4" spans="8:24">
      <c r="H734" s="49"/>
      <c r="X734" s="99"/>
    </row>
    <row r="735" ht="14.4" spans="8:24">
      <c r="H735" s="49"/>
      <c r="X735" s="99"/>
    </row>
    <row r="736" ht="14.4" spans="8:24">
      <c r="H736" s="49"/>
      <c r="X736" s="99"/>
    </row>
    <row r="737" ht="14.4" spans="8:24">
      <c r="H737" s="49"/>
      <c r="X737" s="99"/>
    </row>
    <row r="738" ht="14.4" spans="8:24">
      <c r="H738" s="49"/>
      <c r="X738" s="99"/>
    </row>
    <row r="739" ht="14.4" spans="8:24">
      <c r="H739" s="49"/>
      <c r="X739" s="99"/>
    </row>
    <row r="740" ht="14.4" spans="8:24">
      <c r="H740" s="49"/>
      <c r="X740" s="99"/>
    </row>
    <row r="741" ht="14.4" spans="8:24">
      <c r="H741" s="49"/>
      <c r="X741" s="99"/>
    </row>
    <row r="742" ht="14.4" spans="8:24">
      <c r="H742" s="49"/>
      <c r="X742" s="99"/>
    </row>
    <row r="743" ht="14.4" spans="8:24">
      <c r="H743" s="49"/>
      <c r="X743" s="99"/>
    </row>
    <row r="744" ht="14.4" spans="8:24">
      <c r="H744" s="49"/>
      <c r="X744" s="99"/>
    </row>
    <row r="745" ht="14.4" spans="8:24">
      <c r="H745" s="49"/>
      <c r="X745" s="99"/>
    </row>
    <row r="746" ht="14.4" spans="8:24">
      <c r="H746" s="49"/>
      <c r="X746" s="99"/>
    </row>
    <row r="747" ht="14.4" spans="8:24">
      <c r="H747" s="49"/>
      <c r="X747" s="99"/>
    </row>
    <row r="748" ht="14.4" spans="8:24">
      <c r="H748" s="49"/>
      <c r="X748" s="99"/>
    </row>
    <row r="749" ht="14.4" spans="8:24">
      <c r="H749" s="49"/>
      <c r="X749" s="99"/>
    </row>
    <row r="750" ht="14.4" spans="8:24">
      <c r="H750" s="49"/>
      <c r="X750" s="99"/>
    </row>
    <row r="751" ht="14.4" spans="8:24">
      <c r="H751" s="49"/>
      <c r="X751" s="99"/>
    </row>
    <row r="752" ht="14.4" spans="8:24">
      <c r="H752" s="49"/>
      <c r="X752" s="99"/>
    </row>
    <row r="753" ht="14.4" spans="8:24">
      <c r="H753" s="49"/>
      <c r="X753" s="99"/>
    </row>
    <row r="754" ht="14.4" spans="8:24">
      <c r="H754" s="49"/>
      <c r="X754" s="99"/>
    </row>
    <row r="755" ht="14.4" spans="8:24">
      <c r="H755" s="49"/>
      <c r="X755" s="99"/>
    </row>
    <row r="756" ht="14.4" spans="8:24">
      <c r="H756" s="49"/>
      <c r="X756" s="99"/>
    </row>
    <row r="757" ht="14.4" spans="8:24">
      <c r="H757" s="49"/>
      <c r="X757" s="99"/>
    </row>
    <row r="758" ht="14.4" spans="8:24">
      <c r="H758" s="49"/>
      <c r="X758" s="99"/>
    </row>
    <row r="759" ht="14.4" spans="8:24">
      <c r="H759" s="49"/>
      <c r="X759" s="99"/>
    </row>
    <row r="760" ht="14.4" spans="8:24">
      <c r="H760" s="49"/>
      <c r="X760" s="99"/>
    </row>
    <row r="761" ht="14.4" spans="8:24">
      <c r="H761" s="49"/>
      <c r="X761" s="99"/>
    </row>
    <row r="762" ht="14.4" spans="8:24">
      <c r="H762" s="49"/>
      <c r="X762" s="99"/>
    </row>
    <row r="763" ht="14.4" spans="8:24">
      <c r="H763" s="49"/>
      <c r="X763" s="99"/>
    </row>
    <row r="764" ht="14.4" spans="8:24">
      <c r="H764" s="49"/>
      <c r="X764" s="99"/>
    </row>
    <row r="765" ht="14.4" spans="8:24">
      <c r="H765" s="49"/>
      <c r="X765" s="99"/>
    </row>
    <row r="766" ht="14.4" spans="8:24">
      <c r="H766" s="49"/>
      <c r="X766" s="99"/>
    </row>
    <row r="767" ht="14.4" spans="8:24">
      <c r="H767" s="49"/>
      <c r="X767" s="99"/>
    </row>
    <row r="768" ht="14.4" spans="8:24">
      <c r="H768" s="49"/>
      <c r="X768" s="99"/>
    </row>
    <row r="769" ht="14.4" spans="8:24">
      <c r="H769" s="49"/>
      <c r="X769" s="99"/>
    </row>
    <row r="770" ht="14.4" spans="8:24">
      <c r="H770" s="49"/>
      <c r="X770" s="99"/>
    </row>
    <row r="771" ht="14.4" spans="8:24">
      <c r="H771" s="49"/>
      <c r="X771" s="99"/>
    </row>
    <row r="772" ht="14.4" spans="8:24">
      <c r="H772" s="49"/>
      <c r="X772" s="99"/>
    </row>
    <row r="773" ht="14.4" spans="8:24">
      <c r="H773" s="49"/>
      <c r="X773" s="99"/>
    </row>
    <row r="774" ht="14.4" spans="8:24">
      <c r="H774" s="49"/>
      <c r="X774" s="99"/>
    </row>
    <row r="775" ht="14.4" spans="8:24">
      <c r="H775" s="49"/>
      <c r="X775" s="99"/>
    </row>
    <row r="776" ht="14.4" spans="8:24">
      <c r="H776" s="49"/>
      <c r="X776" s="99"/>
    </row>
    <row r="777" ht="14.4" spans="8:24">
      <c r="H777" s="49"/>
      <c r="X777" s="99"/>
    </row>
    <row r="778" ht="14.4" spans="8:24">
      <c r="H778" s="49"/>
      <c r="X778" s="99"/>
    </row>
    <row r="779" ht="14.4" spans="8:24">
      <c r="H779" s="49"/>
      <c r="X779" s="99"/>
    </row>
    <row r="780" ht="14.4" spans="8:24">
      <c r="H780" s="49"/>
      <c r="X780" s="99"/>
    </row>
    <row r="781" ht="14.4" spans="8:24">
      <c r="H781" s="49"/>
      <c r="X781" s="99"/>
    </row>
    <row r="782" ht="14.4" spans="8:24">
      <c r="H782" s="49"/>
      <c r="X782" s="99"/>
    </row>
    <row r="783" ht="14.4" spans="8:24">
      <c r="H783" s="49"/>
      <c r="X783" s="99"/>
    </row>
    <row r="784" ht="14.4" spans="8:24">
      <c r="H784" s="49"/>
      <c r="X784" s="99"/>
    </row>
    <row r="785" ht="14.4" spans="8:24">
      <c r="H785" s="49"/>
      <c r="X785" s="99"/>
    </row>
    <row r="786" ht="14.4" spans="8:24">
      <c r="H786" s="49"/>
      <c r="X786" s="99"/>
    </row>
    <row r="787" ht="14.4" spans="8:24">
      <c r="H787" s="49"/>
      <c r="X787" s="99"/>
    </row>
    <row r="788" ht="14.4" spans="8:24">
      <c r="H788" s="49"/>
      <c r="X788" s="99"/>
    </row>
    <row r="789" ht="14.4" spans="8:24">
      <c r="H789" s="49"/>
      <c r="X789" s="99"/>
    </row>
    <row r="790" ht="14.4" spans="8:24">
      <c r="H790" s="49"/>
      <c r="X790" s="99"/>
    </row>
    <row r="791" ht="14.4" spans="8:24">
      <c r="H791" s="49"/>
      <c r="X791" s="99"/>
    </row>
    <row r="792" ht="14.4" spans="8:24">
      <c r="H792" s="49"/>
      <c r="X792" s="99"/>
    </row>
    <row r="793" ht="14.4" spans="8:24">
      <c r="H793" s="49"/>
      <c r="X793" s="99"/>
    </row>
    <row r="794" ht="14.4" spans="8:24">
      <c r="H794" s="49"/>
      <c r="X794" s="99"/>
    </row>
    <row r="795" ht="14.4" spans="8:24">
      <c r="H795" s="49"/>
      <c r="X795" s="99"/>
    </row>
    <row r="796" ht="14.4" spans="8:24">
      <c r="H796" s="49"/>
      <c r="X796" s="99"/>
    </row>
    <row r="797" ht="14.4" spans="8:24">
      <c r="H797" s="49"/>
      <c r="X797" s="99"/>
    </row>
    <row r="798" ht="14.4" spans="8:24">
      <c r="H798" s="49"/>
      <c r="X798" s="99"/>
    </row>
    <row r="799" ht="14.4" spans="8:24">
      <c r="H799" s="49"/>
      <c r="X799" s="99"/>
    </row>
    <row r="800" ht="14.4" spans="8:24">
      <c r="H800" s="49"/>
      <c r="X800" s="99"/>
    </row>
    <row r="801" ht="14.4" spans="8:24">
      <c r="H801" s="49"/>
      <c r="X801" s="99"/>
    </row>
    <row r="802" ht="14.4" spans="8:24">
      <c r="H802" s="49"/>
      <c r="X802" s="99"/>
    </row>
    <row r="803" ht="14.4" spans="8:24">
      <c r="H803" s="49"/>
      <c r="X803" s="99"/>
    </row>
    <row r="804" ht="14.4" spans="8:24">
      <c r="H804" s="49"/>
      <c r="X804" s="99"/>
    </row>
    <row r="805" ht="14.4" spans="8:24">
      <c r="H805" s="49"/>
      <c r="X805" s="99"/>
    </row>
    <row r="806" ht="14.4" spans="8:24">
      <c r="H806" s="49"/>
      <c r="X806" s="99"/>
    </row>
    <row r="807" ht="14.4" spans="8:24">
      <c r="H807" s="49"/>
      <c r="X807" s="99"/>
    </row>
    <row r="808" ht="14.4" spans="8:24">
      <c r="H808" s="49"/>
      <c r="X808" s="99"/>
    </row>
    <row r="809" ht="14.4" spans="8:24">
      <c r="H809" s="49"/>
      <c r="X809" s="99"/>
    </row>
    <row r="810" ht="14.4" spans="8:24">
      <c r="H810" s="49"/>
      <c r="X810" s="99"/>
    </row>
    <row r="811" ht="14.4" spans="8:24">
      <c r="H811" s="49"/>
      <c r="X811" s="99"/>
    </row>
    <row r="812" ht="14.4" spans="8:24">
      <c r="H812" s="49"/>
      <c r="X812" s="99"/>
    </row>
    <row r="813" ht="14.4" spans="8:24">
      <c r="H813" s="49"/>
      <c r="X813" s="99"/>
    </row>
    <row r="814" ht="14.4" spans="8:24">
      <c r="H814" s="49"/>
      <c r="X814" s="99"/>
    </row>
    <row r="815" ht="14.4" spans="8:24">
      <c r="H815" s="49"/>
      <c r="X815" s="99"/>
    </row>
    <row r="816" ht="14.4" spans="8:24">
      <c r="H816" s="49"/>
      <c r="X816" s="99"/>
    </row>
    <row r="817" ht="14.4" spans="8:24">
      <c r="H817" s="49"/>
      <c r="X817" s="99"/>
    </row>
    <row r="818" ht="14.4" spans="8:24">
      <c r="H818" s="49"/>
      <c r="X818" s="99"/>
    </row>
    <row r="819" ht="14.4" spans="8:24">
      <c r="H819" s="49"/>
      <c r="X819" s="99"/>
    </row>
    <row r="820" ht="14.4" spans="8:24">
      <c r="H820" s="49"/>
      <c r="X820" s="99"/>
    </row>
    <row r="821" ht="14.4" spans="8:24">
      <c r="H821" s="49"/>
      <c r="X821" s="99"/>
    </row>
    <row r="822" ht="14.4" spans="8:24">
      <c r="H822" s="49"/>
      <c r="X822" s="99"/>
    </row>
    <row r="823" ht="14.4" spans="8:24">
      <c r="H823" s="49"/>
      <c r="X823" s="99"/>
    </row>
    <row r="824" ht="14.4" spans="8:24">
      <c r="H824" s="49"/>
      <c r="X824" s="99"/>
    </row>
    <row r="825" ht="14.4" spans="8:24">
      <c r="H825" s="49"/>
      <c r="X825" s="99"/>
    </row>
    <row r="826" ht="14.4" spans="8:24">
      <c r="H826" s="49"/>
      <c r="X826" s="99"/>
    </row>
    <row r="827" ht="14.4" spans="8:24">
      <c r="H827" s="49"/>
      <c r="X827" s="99"/>
    </row>
    <row r="828" ht="14.4" spans="8:24">
      <c r="H828" s="49"/>
      <c r="X828" s="99"/>
    </row>
    <row r="829" ht="14.4" spans="8:24">
      <c r="H829" s="49"/>
      <c r="X829" s="99"/>
    </row>
    <row r="830" ht="14.4" spans="8:24">
      <c r="H830" s="49"/>
      <c r="X830" s="99"/>
    </row>
    <row r="831" ht="14.4" spans="8:24">
      <c r="H831" s="49"/>
      <c r="X831" s="99"/>
    </row>
    <row r="832" ht="14.4" spans="8:24">
      <c r="H832" s="49"/>
      <c r="X832" s="99"/>
    </row>
    <row r="833" ht="14.4" spans="8:24">
      <c r="H833" s="49"/>
      <c r="X833" s="99"/>
    </row>
    <row r="834" ht="14.4" spans="8:24">
      <c r="H834" s="49"/>
      <c r="X834" s="99"/>
    </row>
    <row r="835" ht="14.4" spans="8:24">
      <c r="H835" s="49"/>
      <c r="X835" s="99"/>
    </row>
    <row r="836" ht="14.4" spans="8:24">
      <c r="H836" s="49"/>
      <c r="X836" s="99"/>
    </row>
    <row r="837" ht="14.4" spans="8:24">
      <c r="H837" s="49"/>
      <c r="X837" s="99"/>
    </row>
    <row r="838" ht="14.4" spans="8:24">
      <c r="H838" s="49"/>
      <c r="X838" s="99"/>
    </row>
    <row r="839" ht="14.4" spans="8:24">
      <c r="H839" s="49"/>
      <c r="X839" s="99"/>
    </row>
    <row r="840" ht="14.4" spans="8:24">
      <c r="H840" s="49"/>
      <c r="X840" s="99"/>
    </row>
    <row r="841" ht="14.4" spans="8:24">
      <c r="H841" s="49"/>
      <c r="X841" s="99"/>
    </row>
    <row r="842" ht="14.4" spans="8:24">
      <c r="H842" s="49"/>
      <c r="X842" s="99"/>
    </row>
    <row r="843" ht="14.4" spans="8:24">
      <c r="H843" s="49"/>
      <c r="X843" s="99"/>
    </row>
    <row r="844" ht="14.4" spans="8:24">
      <c r="H844" s="49"/>
      <c r="X844" s="99"/>
    </row>
    <row r="845" ht="14.4" spans="8:24">
      <c r="H845" s="49"/>
      <c r="X845" s="99"/>
    </row>
    <row r="846" ht="14.4" spans="8:24">
      <c r="H846" s="49"/>
      <c r="X846" s="99"/>
    </row>
    <row r="847" ht="14.4" spans="8:24">
      <c r="H847" s="49"/>
      <c r="X847" s="99"/>
    </row>
    <row r="848" ht="14.4" spans="8:24">
      <c r="H848" s="49"/>
      <c r="X848" s="99"/>
    </row>
    <row r="849" ht="14.4" spans="8:24">
      <c r="H849" s="49"/>
      <c r="X849" s="99"/>
    </row>
    <row r="850" ht="14.4" spans="8:24">
      <c r="H850" s="49"/>
      <c r="X850" s="99"/>
    </row>
    <row r="851" ht="14.4" spans="8:24">
      <c r="H851" s="49"/>
      <c r="X851" s="99"/>
    </row>
    <row r="852" ht="14.4" spans="8:24">
      <c r="H852" s="49"/>
      <c r="X852" s="99"/>
    </row>
    <row r="853" ht="14.4" spans="8:24">
      <c r="H853" s="49"/>
      <c r="X853" s="99"/>
    </row>
    <row r="854" ht="14.4" spans="8:24">
      <c r="H854" s="49"/>
      <c r="X854" s="99"/>
    </row>
    <row r="855" ht="14.4" spans="8:24">
      <c r="H855" s="49"/>
      <c r="X855" s="99"/>
    </row>
    <row r="856" ht="14.4" spans="8:24">
      <c r="H856" s="49"/>
      <c r="X856" s="99"/>
    </row>
    <row r="857" ht="14.4" spans="8:24">
      <c r="H857" s="49"/>
      <c r="X857" s="99"/>
    </row>
    <row r="858" ht="14.4" spans="8:24">
      <c r="H858" s="49"/>
      <c r="X858" s="99"/>
    </row>
    <row r="859" ht="14.4" spans="8:24">
      <c r="H859" s="49"/>
      <c r="X859" s="99"/>
    </row>
    <row r="860" ht="14.4" spans="8:24">
      <c r="H860" s="49"/>
      <c r="X860" s="99"/>
    </row>
    <row r="861" ht="14.4" spans="8:24">
      <c r="H861" s="49"/>
      <c r="X861" s="99"/>
    </row>
    <row r="862" ht="14.4" spans="8:24">
      <c r="H862" s="49"/>
      <c r="X862" s="99"/>
    </row>
    <row r="863" ht="14.4" spans="8:24">
      <c r="H863" s="49"/>
      <c r="X863" s="99"/>
    </row>
    <row r="864" ht="14.4" spans="8:24">
      <c r="H864" s="49"/>
      <c r="X864" s="99"/>
    </row>
    <row r="865" ht="14.4" spans="8:24">
      <c r="H865" s="49"/>
      <c r="X865" s="99"/>
    </row>
    <row r="866" ht="14.4" spans="8:24">
      <c r="H866" s="49"/>
      <c r="X866" s="99"/>
    </row>
    <row r="867" ht="14.4" spans="8:24">
      <c r="H867" s="49"/>
      <c r="X867" s="99"/>
    </row>
    <row r="868" ht="14.4" spans="8:24">
      <c r="H868" s="49"/>
      <c r="X868" s="99"/>
    </row>
    <row r="869" ht="14.4" spans="8:24">
      <c r="H869" s="49"/>
      <c r="X869" s="99"/>
    </row>
    <row r="870" ht="14.4" spans="8:24">
      <c r="H870" s="49"/>
      <c r="X870" s="99"/>
    </row>
    <row r="871" ht="14.4" spans="8:24">
      <c r="H871" s="49"/>
      <c r="X871" s="99"/>
    </row>
    <row r="872" ht="14.4" spans="8:24">
      <c r="H872" s="49"/>
      <c r="X872" s="99"/>
    </row>
    <row r="873" ht="14.4" spans="8:24">
      <c r="H873" s="49"/>
      <c r="X873" s="99"/>
    </row>
    <row r="874" ht="14.4" spans="8:24">
      <c r="H874" s="49"/>
      <c r="X874" s="99"/>
    </row>
    <row r="875" ht="14.4" spans="8:24">
      <c r="H875" s="49"/>
      <c r="X875" s="99"/>
    </row>
    <row r="876" ht="14.4" spans="8:24">
      <c r="H876" s="49"/>
      <c r="X876" s="99"/>
    </row>
    <row r="877" ht="14.4" spans="8:24">
      <c r="H877" s="49"/>
      <c r="X877" s="99"/>
    </row>
    <row r="878" ht="14.4" spans="8:24">
      <c r="H878" s="49"/>
      <c r="X878" s="99"/>
    </row>
    <row r="879" ht="14.4" spans="8:24">
      <c r="H879" s="49"/>
      <c r="X879" s="99"/>
    </row>
    <row r="880" ht="14.4" spans="8:24">
      <c r="H880" s="49"/>
      <c r="X880" s="99"/>
    </row>
    <row r="881" ht="14.4" spans="8:24">
      <c r="H881" s="49"/>
      <c r="X881" s="99"/>
    </row>
    <row r="882" ht="14.4" spans="8:24">
      <c r="H882" s="49"/>
      <c r="X882" s="99"/>
    </row>
    <row r="883" ht="14.4" spans="8:24">
      <c r="H883" s="49"/>
      <c r="X883" s="99"/>
    </row>
    <row r="884" ht="14.4" spans="8:24">
      <c r="H884" s="49"/>
      <c r="X884" s="99"/>
    </row>
    <row r="885" ht="14.4" spans="8:24">
      <c r="H885" s="49"/>
      <c r="X885" s="99"/>
    </row>
    <row r="886" ht="14.4" spans="8:24">
      <c r="H886" s="49"/>
      <c r="X886" s="99"/>
    </row>
    <row r="887" ht="14.4" spans="8:24">
      <c r="H887" s="49"/>
      <c r="X887" s="99"/>
    </row>
    <row r="888" ht="14.4" spans="8:24">
      <c r="H888" s="49"/>
      <c r="X888" s="99"/>
    </row>
    <row r="889" ht="14.4" spans="8:24">
      <c r="H889" s="49"/>
      <c r="X889" s="99"/>
    </row>
    <row r="890" ht="14.4" spans="8:24">
      <c r="H890" s="49"/>
      <c r="X890" s="99"/>
    </row>
    <row r="891" ht="14.4" spans="8:24">
      <c r="H891" s="49"/>
      <c r="X891" s="99"/>
    </row>
    <row r="892" ht="14.4" spans="8:24">
      <c r="H892" s="49"/>
      <c r="X892" s="99"/>
    </row>
    <row r="893" ht="14.4" spans="8:24">
      <c r="H893" s="49"/>
      <c r="X893" s="99"/>
    </row>
    <row r="894" ht="14.4" spans="8:24">
      <c r="H894" s="49"/>
      <c r="X894" s="99"/>
    </row>
    <row r="895" ht="14.4" spans="8:24">
      <c r="H895" s="49"/>
      <c r="X895" s="99"/>
    </row>
    <row r="896" ht="14.4" spans="8:24">
      <c r="H896" s="49"/>
      <c r="X896" s="99"/>
    </row>
    <row r="897" ht="14.4" spans="8:24">
      <c r="H897" s="49"/>
      <c r="X897" s="99"/>
    </row>
    <row r="898" ht="14.4" spans="8:24">
      <c r="H898" s="49"/>
      <c r="X898" s="99"/>
    </row>
    <row r="899" ht="14.4" spans="8:24">
      <c r="H899" s="49"/>
      <c r="X899" s="99"/>
    </row>
    <row r="900" ht="14.4" spans="8:24">
      <c r="H900" s="49"/>
      <c r="X900" s="99"/>
    </row>
    <row r="901" ht="14.4" spans="8:24">
      <c r="H901" s="49"/>
      <c r="X901" s="99"/>
    </row>
    <row r="902" ht="14.4" spans="8:24">
      <c r="H902" s="49"/>
      <c r="X902" s="99"/>
    </row>
    <row r="903" ht="14.4" spans="8:24">
      <c r="H903" s="49"/>
      <c r="X903" s="99"/>
    </row>
    <row r="904" ht="14.4" spans="8:24">
      <c r="H904" s="49"/>
      <c r="X904" s="99"/>
    </row>
    <row r="905" ht="14.4" spans="8:24">
      <c r="H905" s="49"/>
      <c r="X905" s="99"/>
    </row>
    <row r="906" ht="14.4" spans="8:24">
      <c r="H906" s="49"/>
      <c r="X906" s="99"/>
    </row>
    <row r="907" ht="14.4" spans="8:24">
      <c r="H907" s="49"/>
      <c r="X907" s="99"/>
    </row>
    <row r="908" ht="14.4" spans="8:24">
      <c r="H908" s="49"/>
      <c r="X908" s="99"/>
    </row>
    <row r="909" ht="14.4" spans="8:24">
      <c r="H909" s="49"/>
      <c r="X909" s="99"/>
    </row>
    <row r="910" ht="14.4" spans="8:24">
      <c r="H910" s="49"/>
      <c r="X910" s="99"/>
    </row>
    <row r="911" ht="14.4" spans="8:24">
      <c r="H911" s="49"/>
      <c r="X911" s="99"/>
    </row>
    <row r="912" ht="14.4" spans="8:24">
      <c r="H912" s="49"/>
      <c r="X912" s="99"/>
    </row>
    <row r="913" ht="14.4" spans="8:24">
      <c r="H913" s="49"/>
      <c r="X913" s="99"/>
    </row>
    <row r="914" ht="14.4" spans="8:24">
      <c r="H914" s="49"/>
      <c r="X914" s="99"/>
    </row>
    <row r="915" ht="14.4" spans="8:24">
      <c r="H915" s="49"/>
      <c r="X915" s="99"/>
    </row>
    <row r="916" ht="14.4" spans="8:24">
      <c r="H916" s="49"/>
      <c r="X916" s="99"/>
    </row>
    <row r="917" ht="14.4" spans="8:24">
      <c r="H917" s="49"/>
      <c r="X917" s="99"/>
    </row>
    <row r="918" ht="14.4" spans="8:24">
      <c r="H918" s="49"/>
      <c r="X918" s="99"/>
    </row>
    <row r="919" ht="14.4" spans="8:24">
      <c r="H919" s="49"/>
      <c r="X919" s="99"/>
    </row>
    <row r="920" ht="14.4" spans="8:24">
      <c r="H920" s="49"/>
      <c r="X920" s="99"/>
    </row>
    <row r="921" ht="14.4" spans="8:24">
      <c r="H921" s="49"/>
      <c r="X921" s="99"/>
    </row>
    <row r="922" ht="14.4" spans="8:24">
      <c r="H922" s="49"/>
      <c r="X922" s="99"/>
    </row>
    <row r="923" ht="14.4" spans="8:24">
      <c r="H923" s="49"/>
      <c r="X923" s="99"/>
    </row>
    <row r="924" ht="14.4" spans="8:24">
      <c r="H924" s="49"/>
      <c r="X924" s="99"/>
    </row>
    <row r="925" ht="14.4" spans="8:24">
      <c r="H925" s="49"/>
      <c r="X925" s="99"/>
    </row>
    <row r="926" ht="14.4" spans="8:24">
      <c r="H926" s="49"/>
      <c r="X926" s="99"/>
    </row>
    <row r="927" ht="14.4" spans="8:24">
      <c r="H927" s="49"/>
      <c r="X927" s="99"/>
    </row>
    <row r="928" ht="14.4" spans="8:24">
      <c r="H928" s="49"/>
      <c r="X928" s="99"/>
    </row>
    <row r="929" ht="14.4" spans="8:24">
      <c r="H929" s="49"/>
      <c r="X929" s="99"/>
    </row>
    <row r="930" ht="14.4" spans="8:24">
      <c r="H930" s="49"/>
      <c r="X930" s="99"/>
    </row>
    <row r="931" ht="14.4" spans="8:24">
      <c r="H931" s="49"/>
      <c r="X931" s="99"/>
    </row>
    <row r="932" ht="14.4" spans="8:24">
      <c r="H932" s="49"/>
      <c r="X932" s="99"/>
    </row>
    <row r="933" ht="14.4" spans="8:24">
      <c r="H933" s="49"/>
      <c r="X933" s="99"/>
    </row>
    <row r="934" ht="14.4" spans="8:24">
      <c r="H934" s="49"/>
      <c r="X934" s="99"/>
    </row>
    <row r="935" ht="14.4" spans="8:24">
      <c r="H935" s="49"/>
      <c r="X935" s="99"/>
    </row>
    <row r="936" ht="14.4" spans="8:24">
      <c r="H936" s="49"/>
      <c r="X936" s="99"/>
    </row>
    <row r="937" ht="14.4" spans="8:24">
      <c r="H937" s="49"/>
      <c r="X937" s="99"/>
    </row>
    <row r="938" ht="14.4" spans="8:24">
      <c r="H938" s="49"/>
      <c r="X938" s="99"/>
    </row>
    <row r="939" ht="14.4" spans="8:24">
      <c r="H939" s="49"/>
      <c r="X939" s="99"/>
    </row>
    <row r="940" ht="14.4" spans="8:24">
      <c r="H940" s="49"/>
      <c r="X940" s="99"/>
    </row>
    <row r="941" ht="14.4" spans="8:24">
      <c r="H941" s="49"/>
      <c r="X941" s="99"/>
    </row>
    <row r="942" ht="14.4" spans="8:24">
      <c r="H942" s="49"/>
      <c r="X942" s="99"/>
    </row>
    <row r="943" ht="14.4" spans="8:24">
      <c r="H943" s="49"/>
      <c r="X943" s="99"/>
    </row>
    <row r="944" ht="14.4" spans="8:24">
      <c r="H944" s="49"/>
      <c r="X944" s="99"/>
    </row>
    <row r="945" ht="14.4" spans="8:24">
      <c r="H945" s="49"/>
      <c r="X945" s="99"/>
    </row>
    <row r="946" ht="14.4" spans="8:24">
      <c r="H946" s="49"/>
      <c r="X946" s="99"/>
    </row>
    <row r="947" ht="14.4" spans="8:24">
      <c r="H947" s="49"/>
      <c r="X947" s="99"/>
    </row>
    <row r="948" ht="14.4" spans="8:24">
      <c r="H948" s="49"/>
      <c r="X948" s="99"/>
    </row>
    <row r="949" ht="14.4" spans="8:24">
      <c r="H949" s="49"/>
      <c r="X949" s="99"/>
    </row>
    <row r="950" ht="14.4" spans="8:24">
      <c r="H950" s="49"/>
      <c r="X950" s="99"/>
    </row>
    <row r="951" ht="14.4" spans="8:24">
      <c r="H951" s="49"/>
      <c r="X951" s="99"/>
    </row>
    <row r="952" ht="14.4" spans="8:24">
      <c r="H952" s="49"/>
      <c r="X952" s="99"/>
    </row>
    <row r="953" ht="14.4" spans="8:24">
      <c r="H953" s="49"/>
      <c r="X953" s="99"/>
    </row>
    <row r="954" ht="14.4" spans="8:24">
      <c r="H954" s="49"/>
      <c r="X954" s="99"/>
    </row>
    <row r="955" ht="14.4" spans="8:24">
      <c r="H955" s="49"/>
      <c r="X955" s="99"/>
    </row>
    <row r="956" ht="14.4" spans="8:24">
      <c r="H956" s="49"/>
      <c r="X956" s="99"/>
    </row>
    <row r="957" ht="14.4" spans="8:24">
      <c r="H957" s="49"/>
      <c r="X957" s="99"/>
    </row>
    <row r="958" ht="14.4" spans="8:24">
      <c r="H958" s="49"/>
      <c r="X958" s="99"/>
    </row>
    <row r="959" ht="14.4" spans="8:24">
      <c r="H959" s="49"/>
      <c r="X959" s="99"/>
    </row>
    <row r="960" ht="14.4" spans="8:24">
      <c r="H960" s="49"/>
      <c r="X960" s="99"/>
    </row>
    <row r="961" ht="14.4" spans="8:24">
      <c r="H961" s="49"/>
      <c r="X961" s="99"/>
    </row>
    <row r="962" ht="14.4" spans="8:24">
      <c r="H962" s="49"/>
      <c r="X962" s="99"/>
    </row>
    <row r="963" ht="14.4" spans="8:24">
      <c r="H963" s="49"/>
      <c r="X963" s="99"/>
    </row>
    <row r="964" ht="14.4" spans="8:24">
      <c r="H964" s="49"/>
      <c r="X964" s="99"/>
    </row>
    <row r="965" ht="14.4" spans="8:24">
      <c r="H965" s="49"/>
      <c r="X965" s="99"/>
    </row>
    <row r="966" ht="14.4" spans="8:24">
      <c r="H966" s="49"/>
      <c r="X966" s="99"/>
    </row>
    <row r="967" ht="14.4" spans="8:24">
      <c r="H967" s="49"/>
      <c r="X967" s="99"/>
    </row>
    <row r="968" ht="14.4" spans="8:24">
      <c r="H968" s="49"/>
      <c r="X968" s="99"/>
    </row>
    <row r="969" ht="14.4" spans="8:24">
      <c r="H969" s="49"/>
      <c r="X969" s="99"/>
    </row>
  </sheetData>
  <conditionalFormatting sqref="AC16:AC18">
    <cfRule type="cellIs" dxfId="0" priority="16" operator="greaterThan">
      <formula>4</formula>
    </cfRule>
  </conditionalFormatting>
  <conditionalFormatting sqref="AC20:AC23">
    <cfRule type="cellIs" dxfId="0" priority="17" operator="greaterThan">
      <formula>4</formula>
    </cfRule>
  </conditionalFormatting>
  <conditionalFormatting sqref="M2:M33 M37:M39">
    <cfRule type="cellIs" dxfId="0" priority="3" operator="greaterThan">
      <formula>100</formula>
    </cfRule>
    <cfRule type="cellIs" dxfId="1" priority="4" operator="between">
      <formula>60</formula>
      <formula>100</formula>
    </cfRule>
  </conditionalFormatting>
  <conditionalFormatting sqref="Q2:Q33 Q37:Q39">
    <cfRule type="cellIs" dxfId="0" priority="5" operator="lessThan">
      <formula>"10%"</formula>
    </cfRule>
  </conditionalFormatting>
  <conditionalFormatting sqref="S2:S33 S37:S39">
    <cfRule type="cellIs" dxfId="0" priority="6" operator="lessThan">
      <formula>"2%"</formula>
    </cfRule>
  </conditionalFormatting>
  <conditionalFormatting sqref="T2:U33 T37:U39">
    <cfRule type="cellIs" dxfId="0" priority="7" operator="lessThan">
      <formula>0</formula>
    </cfRule>
  </conditionalFormatting>
  <conditionalFormatting sqref="V2:V33 V37:V39">
    <cfRule type="cellIs" dxfId="1" priority="8" operator="lessThan">
      <formula>0</formula>
    </cfRule>
  </conditionalFormatting>
  <conditionalFormatting sqref="AD2:AD33 AD37:AD39">
    <cfRule type="cellIs" dxfId="1" priority="9" operator="lessThan">
      <formula>"60%"</formula>
    </cfRule>
  </conditionalFormatting>
  <conditionalFormatting sqref="AE2:AE33 AE37:AE39">
    <cfRule type="cellIs" dxfId="2" priority="10" operator="lessThan">
      <formula>"40%"</formula>
    </cfRule>
  </conditionalFormatting>
  <conditionalFormatting sqref="AG2:AG33 AG37:AG39">
    <cfRule type="containsText" dxfId="2" priority="12" operator="between" text="No">
      <formula>NOT(ISERROR(SEARCH("No",AG2)))</formula>
    </cfRule>
  </conditionalFormatting>
  <conditionalFormatting sqref="AH2:AI33 AH37:AI39">
    <cfRule type="containsText" dxfId="0" priority="13" operator="between" text="Must Exit">
      <formula>NOT(ISERROR(SEARCH("Must Exit",AH2)))</formula>
    </cfRule>
    <cfRule type="containsText" dxfId="1" priority="14" operator="between" text="Exit">
      <formula>NOT(ISERROR(SEARCH("Exit",AH2)))</formula>
    </cfRule>
  </conditionalFormatting>
  <conditionalFormatting sqref="J3:J7 J37:J39 J29:J33 J25:J27 J20:J23 J16:J18 J9:J14">
    <cfRule type="cellIs" dxfId="3" priority="1" operator="greaterThan">
      <formula>0</formula>
    </cfRule>
    <cfRule type="cellIs" dxfId="2" priority="2" operator="lessThan">
      <formula>0</formula>
    </cfRule>
  </conditionalFormatting>
  <conditionalFormatting sqref="AC9:AC14 AC37:AC38">
    <cfRule type="cellIs" dxfId="0" priority="15" operator="greaterThan">
      <formula>10</formula>
    </cfRule>
  </conditionalFormatting>
  <conditionalFormatting sqref="AF9:AF14 AF37:AF38">
    <cfRule type="cellIs" dxfId="0" priority="11" operator="greaterThan">
      <formula>10</formula>
    </cfRule>
  </conditionalFormatting>
  <conditionalFormatting sqref="AC25:AC33 AC39">
    <cfRule type="cellIs" dxfId="0" priority="18" operator="greaterThan">
      <formula>4</formula>
    </cfRule>
  </conditionalFormatting>
  <dataValidations count="1">
    <dataValidation type="custom" allowBlank="1" sqref="A2:A33 H2:H33 O2:O33 R2:R33 X2:X33 C2:F33 K2:L33 AC2:AF33">
      <formula1>AND(ISNUMBER(A2),(NOT(OR(NOT(ISERROR(DATEVALUE(A2))),AND(ISNUMBER(A2),LEFT(CELL("format",A2))="D")))))</formula1>
    </dataValidation>
  </dataValidations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Priyanshu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aashishkumar</cp:lastModifiedBy>
  <dcterms:created xsi:type="dcterms:W3CDTF">2025-03-05T12:00:00Z</dcterms:created>
  <dcterms:modified xsi:type="dcterms:W3CDTF">2025-07-24T22:55:10Z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416C0BDEFC6ED7C36C6C8268A5B8DE14_42</vt:lpwstr>
  </property>
  <property fmtid="{D5CDD505-2E9C-101B-9397-08002B2CF9AE}" pid="3" name="KSOProductBuildVer">
    <vt:lpwstr>1033-12.1.21937.21937</vt:lpwstr>
  </property>
</Properties>
</file>