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ashi\Downloads\"/>
    </mc:Choice>
  </mc:AlternateContent>
  <xr:revisionPtr revIDLastSave="0" documentId="13_ncr:1_{A51E58C3-ECDD-4061-89EB-2951DFFC5606}" xr6:coauthVersionLast="47" xr6:coauthVersionMax="47" xr10:uidLastSave="{00000000-0000-0000-0000-000000000000}"/>
  <bookViews>
    <workbookView xWindow="-110" yWindow="-110" windowWidth="19420" windowHeight="11500" firstSheet="5" xr2:uid="{00000000-000D-0000-FFFF-FFFF00000000}"/>
  </bookViews>
  <sheets>
    <sheet name="Title" sheetId="1" r:id="rId1"/>
    <sheet name="Financials" sheetId="2" r:id="rId2"/>
    <sheet name="Assumptions_IS" sheetId="3" r:id="rId3"/>
    <sheet name="Assumptions_BS" sheetId="4" r:id="rId4"/>
    <sheet name="Fixed Asset and Loan Schedule" sheetId="5" r:id="rId5"/>
    <sheet name="Cash Flow Statement" sheetId="8" r:id="rId6"/>
    <sheet name="Macro Drivers" sheetId="13" r:id="rId7"/>
    <sheet name="Ratios (2)" sheetId="12" r:id="rId8"/>
    <sheet name="Valuation_" sheetId="11" r:id="rId9"/>
  </sheets>
  <externalReferences>
    <externalReference r:id="rId10"/>
    <externalReference r:id="rId11"/>
  </externalReferences>
  <definedNames>
    <definedName name="_xlnm._FilterDatabase" localSheetId="8" hidden="1">Valuation_!$M$23:$S$2496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3" l="1"/>
  <c r="G109" i="4"/>
  <c r="G68" i="3"/>
  <c r="H16" i="3"/>
  <c r="H13" i="3" s="1"/>
  <c r="B25" i="12"/>
  <c r="B40" i="12" s="1"/>
  <c r="C41" i="12"/>
  <c r="D41" i="12"/>
  <c r="B41" i="12"/>
  <c r="B43" i="12"/>
  <c r="C43" i="12"/>
  <c r="D43" i="12"/>
  <c r="C14" i="12"/>
  <c r="D14" i="12"/>
  <c r="E14" i="12"/>
  <c r="F14" i="12"/>
  <c r="B14" i="12"/>
  <c r="C13" i="12"/>
  <c r="D13" i="12"/>
  <c r="E13" i="12"/>
  <c r="F13" i="12"/>
  <c r="B13" i="12"/>
  <c r="C12" i="12"/>
  <c r="D12" i="12"/>
  <c r="E12" i="12"/>
  <c r="F12" i="12"/>
  <c r="B12" i="12"/>
  <c r="F47" i="2"/>
  <c r="E47" i="2"/>
  <c r="D47" i="2"/>
  <c r="C47" i="2"/>
  <c r="B47" i="2"/>
  <c r="D34" i="11"/>
  <c r="D33" i="11"/>
  <c r="D32" i="11"/>
  <c r="B26" i="11" l="1"/>
  <c r="B27" i="11" s="1"/>
  <c r="B28" i="11" s="1"/>
  <c r="B29" i="11" s="1"/>
  <c r="D24" i="11"/>
  <c r="E24" i="11" s="1"/>
  <c r="F24" i="11" s="1"/>
  <c r="G24" i="11" s="1"/>
  <c r="C29" i="3"/>
  <c r="C60" i="3"/>
  <c r="G60" i="3"/>
  <c r="G59" i="3"/>
  <c r="H68" i="3"/>
  <c r="F7" i="2"/>
  <c r="C11" i="8"/>
  <c r="D11" i="8"/>
  <c r="E11" i="8"/>
  <c r="F11" i="8"/>
  <c r="B11" i="8"/>
  <c r="F46" i="8"/>
  <c r="B30" i="8"/>
  <c r="B5" i="11" l="1"/>
  <c r="R384" i="11"/>
  <c r="S384" i="11"/>
  <c r="R385" i="11"/>
  <c r="S385" i="11"/>
  <c r="R386" i="11"/>
  <c r="S386" i="11"/>
  <c r="R387" i="11"/>
  <c r="S387" i="11"/>
  <c r="R388" i="11"/>
  <c r="S388" i="11"/>
  <c r="R389" i="11"/>
  <c r="S389" i="11"/>
  <c r="R390" i="11"/>
  <c r="S390" i="11"/>
  <c r="R391" i="11"/>
  <c r="S391" i="11"/>
  <c r="R392" i="11"/>
  <c r="S392" i="11"/>
  <c r="R393" i="11"/>
  <c r="S393" i="11"/>
  <c r="R394" i="11"/>
  <c r="S394" i="11"/>
  <c r="R395" i="11"/>
  <c r="S395" i="11"/>
  <c r="R396" i="11"/>
  <c r="S396" i="11"/>
  <c r="R397" i="11"/>
  <c r="S397" i="11"/>
  <c r="R398" i="11"/>
  <c r="S398" i="11"/>
  <c r="R399" i="11"/>
  <c r="S399" i="11"/>
  <c r="R400" i="11"/>
  <c r="S400" i="11"/>
  <c r="R401" i="11"/>
  <c r="S401" i="11"/>
  <c r="R402" i="11"/>
  <c r="S402" i="11"/>
  <c r="R403" i="11"/>
  <c r="S403" i="11"/>
  <c r="R404" i="11"/>
  <c r="S404" i="11"/>
  <c r="R405" i="11"/>
  <c r="S405" i="11"/>
  <c r="R406" i="11"/>
  <c r="S406" i="11"/>
  <c r="R407" i="11"/>
  <c r="S407" i="11"/>
  <c r="R408" i="11"/>
  <c r="S408" i="11"/>
  <c r="R409" i="11"/>
  <c r="S409" i="11"/>
  <c r="R410" i="11"/>
  <c r="S410" i="11"/>
  <c r="R411" i="11"/>
  <c r="S411" i="11"/>
  <c r="R412" i="11"/>
  <c r="S412" i="11"/>
  <c r="R413" i="11"/>
  <c r="S413" i="11"/>
  <c r="R414" i="11"/>
  <c r="S414" i="11"/>
  <c r="R415" i="11"/>
  <c r="S415" i="11"/>
  <c r="R416" i="11"/>
  <c r="S416" i="11"/>
  <c r="R417" i="11"/>
  <c r="S417" i="11"/>
  <c r="R418" i="11"/>
  <c r="S418" i="11"/>
  <c r="R419" i="11"/>
  <c r="S419" i="11"/>
  <c r="R420" i="11"/>
  <c r="S420" i="11"/>
  <c r="R421" i="11"/>
  <c r="S421" i="11"/>
  <c r="R422" i="11"/>
  <c r="S422" i="11"/>
  <c r="R423" i="11"/>
  <c r="S423" i="11"/>
  <c r="R424" i="11"/>
  <c r="S424" i="11"/>
  <c r="R425" i="11"/>
  <c r="S425" i="11"/>
  <c r="R426" i="11"/>
  <c r="S426" i="11"/>
  <c r="R427" i="11"/>
  <c r="S427" i="11"/>
  <c r="R428" i="11"/>
  <c r="S428" i="11"/>
  <c r="R429" i="11"/>
  <c r="S429" i="11"/>
  <c r="R430" i="11"/>
  <c r="S430" i="11"/>
  <c r="R431" i="11"/>
  <c r="S431" i="11"/>
  <c r="R432" i="11"/>
  <c r="S432" i="11"/>
  <c r="R433" i="11"/>
  <c r="S433" i="11"/>
  <c r="R434" i="11"/>
  <c r="S434" i="11"/>
  <c r="R435" i="11"/>
  <c r="S435" i="11"/>
  <c r="R436" i="11"/>
  <c r="S436" i="11"/>
  <c r="R437" i="11"/>
  <c r="S437" i="11"/>
  <c r="R438" i="11"/>
  <c r="S438" i="11"/>
  <c r="R439" i="11"/>
  <c r="S439" i="11"/>
  <c r="R440" i="11"/>
  <c r="S440" i="11"/>
  <c r="R441" i="11"/>
  <c r="S441" i="11"/>
  <c r="R442" i="11"/>
  <c r="S442" i="11"/>
  <c r="R443" i="11"/>
  <c r="S443" i="11"/>
  <c r="R444" i="11"/>
  <c r="S444" i="11"/>
  <c r="R445" i="11"/>
  <c r="S445" i="11"/>
  <c r="R446" i="11"/>
  <c r="S446" i="11"/>
  <c r="R447" i="11"/>
  <c r="S447" i="11"/>
  <c r="R448" i="11"/>
  <c r="S448" i="11"/>
  <c r="R449" i="11"/>
  <c r="S449" i="11"/>
  <c r="R450" i="11"/>
  <c r="S450" i="11"/>
  <c r="R451" i="11"/>
  <c r="S451" i="11"/>
  <c r="R452" i="11"/>
  <c r="S452" i="11"/>
  <c r="R453" i="11"/>
  <c r="S453" i="11"/>
  <c r="R454" i="11"/>
  <c r="S454" i="11"/>
  <c r="R455" i="11"/>
  <c r="S455" i="11"/>
  <c r="R456" i="11"/>
  <c r="S456" i="11"/>
  <c r="R457" i="11"/>
  <c r="S457" i="11"/>
  <c r="R458" i="11"/>
  <c r="S458" i="11"/>
  <c r="R459" i="11"/>
  <c r="S459" i="11"/>
  <c r="R460" i="11"/>
  <c r="S460" i="11"/>
  <c r="R461" i="11"/>
  <c r="S461" i="11"/>
  <c r="R462" i="11"/>
  <c r="S462" i="11"/>
  <c r="R463" i="11"/>
  <c r="S463" i="11"/>
  <c r="R464" i="11"/>
  <c r="S464" i="11"/>
  <c r="R465" i="11"/>
  <c r="S465" i="11"/>
  <c r="R466" i="11"/>
  <c r="S466" i="11"/>
  <c r="R467" i="11"/>
  <c r="S467" i="11"/>
  <c r="R468" i="11"/>
  <c r="S468" i="11"/>
  <c r="R469" i="11"/>
  <c r="S469" i="11"/>
  <c r="R470" i="11"/>
  <c r="S470" i="11"/>
  <c r="R471" i="11"/>
  <c r="S471" i="11"/>
  <c r="R472" i="11"/>
  <c r="S472" i="11"/>
  <c r="R473" i="11"/>
  <c r="S473" i="11"/>
  <c r="R474" i="11"/>
  <c r="S474" i="11"/>
  <c r="R475" i="11"/>
  <c r="S475" i="11"/>
  <c r="R476" i="11"/>
  <c r="S476" i="11"/>
  <c r="R477" i="11"/>
  <c r="S477" i="11"/>
  <c r="R478" i="11"/>
  <c r="S478" i="11"/>
  <c r="R479" i="11"/>
  <c r="S479" i="11"/>
  <c r="R480" i="11"/>
  <c r="S480" i="11"/>
  <c r="R481" i="11"/>
  <c r="S481" i="11"/>
  <c r="R482" i="11"/>
  <c r="S482" i="11"/>
  <c r="R483" i="11"/>
  <c r="S483" i="11"/>
  <c r="R484" i="11"/>
  <c r="S484" i="11"/>
  <c r="R485" i="11"/>
  <c r="S485" i="11"/>
  <c r="R486" i="11"/>
  <c r="S486" i="11"/>
  <c r="R487" i="11"/>
  <c r="S487" i="11"/>
  <c r="R488" i="11"/>
  <c r="S488" i="11"/>
  <c r="R489" i="11"/>
  <c r="S489" i="11"/>
  <c r="R490" i="11"/>
  <c r="S490" i="11"/>
  <c r="R491" i="11"/>
  <c r="S491" i="11"/>
  <c r="R492" i="11"/>
  <c r="S492" i="11"/>
  <c r="R493" i="11"/>
  <c r="S493" i="11"/>
  <c r="R494" i="11"/>
  <c r="S494" i="11"/>
  <c r="R495" i="11"/>
  <c r="S495" i="11"/>
  <c r="R496" i="11"/>
  <c r="S496" i="11"/>
  <c r="R497" i="11"/>
  <c r="S497" i="11"/>
  <c r="R498" i="11"/>
  <c r="S498" i="11"/>
  <c r="R499" i="11"/>
  <c r="S499" i="11"/>
  <c r="R500" i="11"/>
  <c r="S500" i="11"/>
  <c r="R501" i="11"/>
  <c r="S501" i="11"/>
  <c r="R502" i="11"/>
  <c r="S502" i="11"/>
  <c r="R503" i="11"/>
  <c r="S503" i="11"/>
  <c r="R504" i="11"/>
  <c r="S504" i="11"/>
  <c r="R505" i="11"/>
  <c r="S505" i="11"/>
  <c r="R506" i="11"/>
  <c r="S506" i="11"/>
  <c r="R507" i="11"/>
  <c r="S507" i="11"/>
  <c r="R508" i="11"/>
  <c r="S508" i="11"/>
  <c r="R509" i="11"/>
  <c r="S509" i="11"/>
  <c r="R510" i="11"/>
  <c r="S510" i="11"/>
  <c r="R511" i="11"/>
  <c r="S511" i="11"/>
  <c r="R512" i="11"/>
  <c r="S512" i="11"/>
  <c r="R513" i="11"/>
  <c r="S513" i="11"/>
  <c r="R514" i="11"/>
  <c r="S514" i="11"/>
  <c r="R515" i="11"/>
  <c r="S515" i="11"/>
  <c r="R516" i="11"/>
  <c r="S516" i="11"/>
  <c r="R517" i="11"/>
  <c r="S517" i="11"/>
  <c r="R518" i="11"/>
  <c r="S518" i="11"/>
  <c r="R519" i="11"/>
  <c r="S519" i="11"/>
  <c r="R520" i="11"/>
  <c r="S520" i="11"/>
  <c r="R521" i="11"/>
  <c r="S521" i="11"/>
  <c r="R522" i="11"/>
  <c r="S522" i="11"/>
  <c r="R523" i="11"/>
  <c r="S523" i="11"/>
  <c r="R524" i="11"/>
  <c r="S524" i="11"/>
  <c r="R525" i="11"/>
  <c r="S525" i="11"/>
  <c r="R526" i="11"/>
  <c r="S526" i="11"/>
  <c r="R527" i="11"/>
  <c r="S527" i="11"/>
  <c r="R528" i="11"/>
  <c r="S528" i="11"/>
  <c r="R529" i="11"/>
  <c r="S529" i="11"/>
  <c r="R530" i="11"/>
  <c r="S530" i="11"/>
  <c r="R531" i="11"/>
  <c r="S531" i="11"/>
  <c r="R532" i="11"/>
  <c r="S532" i="11"/>
  <c r="R533" i="11"/>
  <c r="S533" i="11"/>
  <c r="R534" i="11"/>
  <c r="S534" i="11"/>
  <c r="R535" i="11"/>
  <c r="S535" i="11"/>
  <c r="R536" i="11"/>
  <c r="S536" i="11"/>
  <c r="R537" i="11"/>
  <c r="S537" i="11"/>
  <c r="R538" i="11"/>
  <c r="S538" i="11"/>
  <c r="R539" i="11"/>
  <c r="S539" i="11"/>
  <c r="R540" i="11"/>
  <c r="S540" i="11"/>
  <c r="R541" i="11"/>
  <c r="S541" i="11"/>
  <c r="R542" i="11"/>
  <c r="S542" i="11"/>
  <c r="R543" i="11"/>
  <c r="S543" i="11"/>
  <c r="R544" i="11"/>
  <c r="S544" i="11"/>
  <c r="R545" i="11"/>
  <c r="S545" i="11"/>
  <c r="R546" i="11"/>
  <c r="S546" i="11"/>
  <c r="R547" i="11"/>
  <c r="S547" i="11"/>
  <c r="R548" i="11"/>
  <c r="S548" i="11"/>
  <c r="R549" i="11"/>
  <c r="S549" i="11"/>
  <c r="R550" i="11"/>
  <c r="S550" i="11"/>
  <c r="R551" i="11"/>
  <c r="S551" i="11"/>
  <c r="R552" i="11"/>
  <c r="S552" i="11"/>
  <c r="R553" i="11"/>
  <c r="S553" i="11"/>
  <c r="R554" i="11"/>
  <c r="S554" i="11"/>
  <c r="R555" i="11"/>
  <c r="S555" i="11"/>
  <c r="R556" i="11"/>
  <c r="S556" i="11"/>
  <c r="R557" i="11"/>
  <c r="S557" i="11"/>
  <c r="R558" i="11"/>
  <c r="S558" i="11"/>
  <c r="R559" i="11"/>
  <c r="S559" i="11"/>
  <c r="R560" i="11"/>
  <c r="S560" i="11"/>
  <c r="R561" i="11"/>
  <c r="S561" i="11"/>
  <c r="R562" i="11"/>
  <c r="S562" i="11"/>
  <c r="R563" i="11"/>
  <c r="S563" i="11"/>
  <c r="R564" i="11"/>
  <c r="S564" i="11"/>
  <c r="R565" i="11"/>
  <c r="S565" i="11"/>
  <c r="R566" i="11"/>
  <c r="S566" i="11"/>
  <c r="R567" i="11"/>
  <c r="S567" i="11"/>
  <c r="R568" i="11"/>
  <c r="S568" i="11"/>
  <c r="R569" i="11"/>
  <c r="S569" i="11"/>
  <c r="R570" i="11"/>
  <c r="S570" i="11"/>
  <c r="R571" i="11"/>
  <c r="S571" i="11"/>
  <c r="R572" i="11"/>
  <c r="S572" i="11"/>
  <c r="R573" i="11"/>
  <c r="S573" i="11"/>
  <c r="R574" i="11"/>
  <c r="S574" i="11"/>
  <c r="R575" i="11"/>
  <c r="S575" i="11"/>
  <c r="R576" i="11"/>
  <c r="S576" i="11"/>
  <c r="R577" i="11"/>
  <c r="S577" i="11"/>
  <c r="R578" i="11"/>
  <c r="S578" i="11"/>
  <c r="R579" i="11"/>
  <c r="S579" i="11"/>
  <c r="R580" i="11"/>
  <c r="S580" i="11"/>
  <c r="R581" i="11"/>
  <c r="S581" i="11"/>
  <c r="R582" i="11"/>
  <c r="S582" i="11"/>
  <c r="R583" i="11"/>
  <c r="S583" i="11"/>
  <c r="R584" i="11"/>
  <c r="S584" i="11"/>
  <c r="R585" i="11"/>
  <c r="S585" i="11"/>
  <c r="R586" i="11"/>
  <c r="S586" i="11"/>
  <c r="R587" i="11"/>
  <c r="S587" i="11"/>
  <c r="R588" i="11"/>
  <c r="S588" i="11"/>
  <c r="R589" i="11"/>
  <c r="S589" i="11"/>
  <c r="R590" i="11"/>
  <c r="S590" i="11"/>
  <c r="R591" i="11"/>
  <c r="S591" i="11"/>
  <c r="R592" i="11"/>
  <c r="S592" i="11"/>
  <c r="R593" i="11"/>
  <c r="S593" i="11"/>
  <c r="R594" i="11"/>
  <c r="S594" i="11"/>
  <c r="R595" i="11"/>
  <c r="S595" i="11"/>
  <c r="R596" i="11"/>
  <c r="S596" i="11"/>
  <c r="R597" i="11"/>
  <c r="S597" i="11"/>
  <c r="R598" i="11"/>
  <c r="S598" i="11"/>
  <c r="R599" i="11"/>
  <c r="S599" i="11"/>
  <c r="R600" i="11"/>
  <c r="S600" i="11"/>
  <c r="R601" i="11"/>
  <c r="S601" i="11"/>
  <c r="R602" i="11"/>
  <c r="S602" i="11"/>
  <c r="R603" i="11"/>
  <c r="S603" i="11"/>
  <c r="R604" i="11"/>
  <c r="S604" i="11"/>
  <c r="R605" i="11"/>
  <c r="S605" i="11"/>
  <c r="R606" i="11"/>
  <c r="S606" i="11"/>
  <c r="R607" i="11"/>
  <c r="S607" i="11"/>
  <c r="R608" i="11"/>
  <c r="S608" i="11"/>
  <c r="R609" i="11"/>
  <c r="S609" i="11"/>
  <c r="R610" i="11"/>
  <c r="S610" i="11"/>
  <c r="R611" i="11"/>
  <c r="S611" i="11"/>
  <c r="R612" i="11"/>
  <c r="S612" i="11"/>
  <c r="R613" i="11"/>
  <c r="S613" i="11"/>
  <c r="R614" i="11"/>
  <c r="S614" i="11"/>
  <c r="R615" i="11"/>
  <c r="S615" i="11"/>
  <c r="R616" i="11"/>
  <c r="S616" i="11"/>
  <c r="R617" i="11"/>
  <c r="S617" i="11"/>
  <c r="R618" i="11"/>
  <c r="S618" i="11"/>
  <c r="R619" i="11"/>
  <c r="S619" i="11"/>
  <c r="R620" i="11"/>
  <c r="S620" i="11"/>
  <c r="R621" i="11"/>
  <c r="S621" i="11"/>
  <c r="R622" i="11"/>
  <c r="S622" i="11"/>
  <c r="R623" i="11"/>
  <c r="S623" i="11"/>
  <c r="R624" i="11"/>
  <c r="S624" i="11"/>
  <c r="R625" i="11"/>
  <c r="S625" i="11"/>
  <c r="R626" i="11"/>
  <c r="S626" i="11"/>
  <c r="R627" i="11"/>
  <c r="S627" i="11"/>
  <c r="R628" i="11"/>
  <c r="S628" i="11"/>
  <c r="R629" i="11"/>
  <c r="S629" i="11"/>
  <c r="R630" i="11"/>
  <c r="S630" i="11"/>
  <c r="R631" i="11"/>
  <c r="S631" i="11"/>
  <c r="R632" i="11"/>
  <c r="S632" i="11"/>
  <c r="R633" i="11"/>
  <c r="S633" i="11"/>
  <c r="R634" i="11"/>
  <c r="S634" i="11"/>
  <c r="R635" i="11"/>
  <c r="S635" i="11"/>
  <c r="R636" i="11"/>
  <c r="S636" i="11"/>
  <c r="R637" i="11"/>
  <c r="S637" i="11"/>
  <c r="R638" i="11"/>
  <c r="S638" i="11"/>
  <c r="R639" i="11"/>
  <c r="S639" i="11"/>
  <c r="R640" i="11"/>
  <c r="S640" i="11"/>
  <c r="R641" i="11"/>
  <c r="S641" i="11"/>
  <c r="R642" i="11"/>
  <c r="S642" i="11"/>
  <c r="R643" i="11"/>
  <c r="S643" i="11"/>
  <c r="R644" i="11"/>
  <c r="S644" i="11"/>
  <c r="R645" i="11"/>
  <c r="S645" i="11"/>
  <c r="R646" i="11"/>
  <c r="S646" i="11"/>
  <c r="R647" i="11"/>
  <c r="S647" i="11"/>
  <c r="R648" i="11"/>
  <c r="S648" i="11"/>
  <c r="R649" i="11"/>
  <c r="S649" i="11"/>
  <c r="R650" i="11"/>
  <c r="S650" i="11"/>
  <c r="R651" i="11"/>
  <c r="S651" i="11"/>
  <c r="R652" i="11"/>
  <c r="S652" i="11"/>
  <c r="R653" i="11"/>
  <c r="S653" i="11"/>
  <c r="R654" i="11"/>
  <c r="S654" i="11"/>
  <c r="R655" i="11"/>
  <c r="S655" i="11"/>
  <c r="R656" i="11"/>
  <c r="S656" i="11"/>
  <c r="R657" i="11"/>
  <c r="S657" i="11"/>
  <c r="R658" i="11"/>
  <c r="S658" i="11"/>
  <c r="R659" i="11"/>
  <c r="S659" i="11"/>
  <c r="R660" i="11"/>
  <c r="S660" i="11"/>
  <c r="R661" i="11"/>
  <c r="S661" i="11"/>
  <c r="R662" i="11"/>
  <c r="S662" i="11"/>
  <c r="R663" i="11"/>
  <c r="S663" i="11"/>
  <c r="R664" i="11"/>
  <c r="S664" i="11"/>
  <c r="R665" i="11"/>
  <c r="S665" i="11"/>
  <c r="R666" i="11"/>
  <c r="S666" i="11"/>
  <c r="R667" i="11"/>
  <c r="S667" i="11"/>
  <c r="R668" i="11"/>
  <c r="S668" i="11"/>
  <c r="R669" i="11"/>
  <c r="S669" i="11"/>
  <c r="R670" i="11"/>
  <c r="S670" i="11"/>
  <c r="R671" i="11"/>
  <c r="S671" i="11"/>
  <c r="R672" i="11"/>
  <c r="S672" i="11"/>
  <c r="R673" i="11"/>
  <c r="S673" i="11"/>
  <c r="R674" i="11"/>
  <c r="S674" i="11"/>
  <c r="R675" i="11"/>
  <c r="S675" i="11"/>
  <c r="R676" i="11"/>
  <c r="S676" i="11"/>
  <c r="R677" i="11"/>
  <c r="S677" i="11"/>
  <c r="R678" i="11"/>
  <c r="S678" i="11"/>
  <c r="R679" i="11"/>
  <c r="S679" i="11"/>
  <c r="R680" i="11"/>
  <c r="S680" i="11"/>
  <c r="R681" i="11"/>
  <c r="S681" i="11"/>
  <c r="R682" i="11"/>
  <c r="S682" i="11"/>
  <c r="R683" i="11"/>
  <c r="S683" i="11"/>
  <c r="R684" i="11"/>
  <c r="S684" i="11"/>
  <c r="R685" i="11"/>
  <c r="S685" i="11"/>
  <c r="R686" i="11"/>
  <c r="S686" i="11"/>
  <c r="R687" i="11"/>
  <c r="S687" i="11"/>
  <c r="R688" i="11"/>
  <c r="S688" i="11"/>
  <c r="R689" i="11"/>
  <c r="S689" i="11"/>
  <c r="R690" i="11"/>
  <c r="S690" i="11"/>
  <c r="R691" i="11"/>
  <c r="S691" i="11"/>
  <c r="R692" i="11"/>
  <c r="S692" i="11"/>
  <c r="R693" i="11"/>
  <c r="S693" i="11"/>
  <c r="R694" i="11"/>
  <c r="S694" i="11"/>
  <c r="R695" i="11"/>
  <c r="S695" i="11"/>
  <c r="R696" i="11"/>
  <c r="S696" i="11"/>
  <c r="R697" i="11"/>
  <c r="S697" i="11"/>
  <c r="R698" i="11"/>
  <c r="S698" i="11"/>
  <c r="R699" i="11"/>
  <c r="S699" i="11"/>
  <c r="R700" i="11"/>
  <c r="S700" i="11"/>
  <c r="R701" i="11"/>
  <c r="S701" i="11"/>
  <c r="R702" i="11"/>
  <c r="S702" i="11"/>
  <c r="R703" i="11"/>
  <c r="S703" i="11"/>
  <c r="R704" i="11"/>
  <c r="S704" i="11"/>
  <c r="R705" i="11"/>
  <c r="S705" i="11"/>
  <c r="R706" i="11"/>
  <c r="S706" i="11"/>
  <c r="R707" i="11"/>
  <c r="S707" i="11"/>
  <c r="R708" i="11"/>
  <c r="S708" i="11"/>
  <c r="R709" i="11"/>
  <c r="S709" i="11"/>
  <c r="R710" i="11"/>
  <c r="S710" i="11"/>
  <c r="R711" i="11"/>
  <c r="S711" i="11"/>
  <c r="R712" i="11"/>
  <c r="S712" i="11"/>
  <c r="R713" i="11"/>
  <c r="S713" i="11"/>
  <c r="R714" i="11"/>
  <c r="S714" i="11"/>
  <c r="R715" i="11"/>
  <c r="S715" i="11"/>
  <c r="R716" i="11"/>
  <c r="S716" i="11"/>
  <c r="R717" i="11"/>
  <c r="S717" i="11"/>
  <c r="R718" i="11"/>
  <c r="S718" i="11"/>
  <c r="R719" i="11"/>
  <c r="S719" i="11"/>
  <c r="R720" i="11"/>
  <c r="S720" i="11"/>
  <c r="R721" i="11"/>
  <c r="S721" i="11"/>
  <c r="R722" i="11"/>
  <c r="S722" i="11"/>
  <c r="R723" i="11"/>
  <c r="S723" i="11"/>
  <c r="R724" i="11"/>
  <c r="S724" i="11"/>
  <c r="R725" i="11"/>
  <c r="S725" i="11"/>
  <c r="R726" i="11"/>
  <c r="S726" i="11"/>
  <c r="R727" i="11"/>
  <c r="S727" i="11"/>
  <c r="R728" i="11"/>
  <c r="S728" i="11"/>
  <c r="R729" i="11"/>
  <c r="S729" i="11"/>
  <c r="R730" i="11"/>
  <c r="S730" i="11"/>
  <c r="R731" i="11"/>
  <c r="S731" i="11"/>
  <c r="R732" i="11"/>
  <c r="S732" i="11"/>
  <c r="R733" i="11"/>
  <c r="S733" i="11"/>
  <c r="R734" i="11"/>
  <c r="S734" i="11"/>
  <c r="R735" i="11"/>
  <c r="S735" i="11"/>
  <c r="R736" i="11"/>
  <c r="S736" i="11"/>
  <c r="R737" i="11"/>
  <c r="S737" i="11"/>
  <c r="R738" i="11"/>
  <c r="S738" i="11"/>
  <c r="R739" i="11"/>
  <c r="S739" i="11"/>
  <c r="R740" i="11"/>
  <c r="S740" i="11"/>
  <c r="R741" i="11"/>
  <c r="S741" i="11"/>
  <c r="R742" i="11"/>
  <c r="S742" i="11"/>
  <c r="R743" i="11"/>
  <c r="S743" i="11"/>
  <c r="R744" i="11"/>
  <c r="S744" i="11"/>
  <c r="R745" i="11"/>
  <c r="S745" i="11"/>
  <c r="R746" i="11"/>
  <c r="S746" i="11"/>
  <c r="R747" i="11"/>
  <c r="S747" i="11"/>
  <c r="R748" i="11"/>
  <c r="S748" i="11"/>
  <c r="R749" i="11"/>
  <c r="S749" i="11"/>
  <c r="R750" i="11"/>
  <c r="S750" i="11"/>
  <c r="R751" i="11"/>
  <c r="S751" i="11"/>
  <c r="R752" i="11"/>
  <c r="S752" i="11"/>
  <c r="R753" i="11"/>
  <c r="S753" i="11"/>
  <c r="R754" i="11"/>
  <c r="S754" i="11"/>
  <c r="R755" i="11"/>
  <c r="S755" i="11"/>
  <c r="R756" i="11"/>
  <c r="S756" i="11"/>
  <c r="R757" i="11"/>
  <c r="S757" i="11"/>
  <c r="R758" i="11"/>
  <c r="S758" i="11"/>
  <c r="R759" i="11"/>
  <c r="S759" i="11"/>
  <c r="R760" i="11"/>
  <c r="S760" i="11"/>
  <c r="R761" i="11"/>
  <c r="S761" i="11"/>
  <c r="R762" i="11"/>
  <c r="S762" i="11"/>
  <c r="R763" i="11"/>
  <c r="S763" i="11"/>
  <c r="R764" i="11"/>
  <c r="S764" i="11"/>
  <c r="R765" i="11"/>
  <c r="S765" i="11"/>
  <c r="R766" i="11"/>
  <c r="S766" i="11"/>
  <c r="R767" i="11"/>
  <c r="S767" i="11"/>
  <c r="R768" i="11"/>
  <c r="S768" i="11"/>
  <c r="R769" i="11"/>
  <c r="S769" i="11"/>
  <c r="R770" i="11"/>
  <c r="S770" i="11"/>
  <c r="R771" i="11"/>
  <c r="S771" i="11"/>
  <c r="R772" i="11"/>
  <c r="S772" i="11"/>
  <c r="R773" i="11"/>
  <c r="S773" i="11"/>
  <c r="R774" i="11"/>
  <c r="S774" i="11"/>
  <c r="R775" i="11"/>
  <c r="S775" i="11"/>
  <c r="R776" i="11"/>
  <c r="S776" i="11"/>
  <c r="R777" i="11"/>
  <c r="S777" i="11"/>
  <c r="R778" i="11"/>
  <c r="S778" i="11"/>
  <c r="R779" i="11"/>
  <c r="S779" i="11"/>
  <c r="R780" i="11"/>
  <c r="S780" i="11"/>
  <c r="R781" i="11"/>
  <c r="S781" i="11"/>
  <c r="R782" i="11"/>
  <c r="S782" i="11"/>
  <c r="R783" i="11"/>
  <c r="S783" i="11"/>
  <c r="R784" i="11"/>
  <c r="S784" i="11"/>
  <c r="R785" i="11"/>
  <c r="S785" i="11"/>
  <c r="R786" i="11"/>
  <c r="S786" i="11"/>
  <c r="R787" i="11"/>
  <c r="S787" i="11"/>
  <c r="R788" i="11"/>
  <c r="S788" i="11"/>
  <c r="R789" i="11"/>
  <c r="S789" i="11"/>
  <c r="R790" i="11"/>
  <c r="S790" i="11"/>
  <c r="R791" i="11"/>
  <c r="S791" i="11"/>
  <c r="R792" i="11"/>
  <c r="S792" i="11"/>
  <c r="R793" i="11"/>
  <c r="S793" i="11"/>
  <c r="R794" i="11"/>
  <c r="S794" i="11"/>
  <c r="R795" i="11"/>
  <c r="S795" i="11"/>
  <c r="R796" i="11"/>
  <c r="S796" i="11"/>
  <c r="R797" i="11"/>
  <c r="S797" i="11"/>
  <c r="R798" i="11"/>
  <c r="S798" i="11"/>
  <c r="R799" i="11"/>
  <c r="S799" i="11"/>
  <c r="R800" i="11"/>
  <c r="S800" i="11"/>
  <c r="R801" i="11"/>
  <c r="S801" i="11"/>
  <c r="R802" i="11"/>
  <c r="S802" i="11"/>
  <c r="R803" i="11"/>
  <c r="S803" i="11"/>
  <c r="R804" i="11"/>
  <c r="S804" i="11"/>
  <c r="R805" i="11"/>
  <c r="S805" i="11"/>
  <c r="R806" i="11"/>
  <c r="S806" i="11"/>
  <c r="R807" i="11"/>
  <c r="S807" i="11"/>
  <c r="R808" i="11"/>
  <c r="S808" i="11"/>
  <c r="R809" i="11"/>
  <c r="S809" i="11"/>
  <c r="R810" i="11"/>
  <c r="S810" i="11"/>
  <c r="R811" i="11"/>
  <c r="S811" i="11"/>
  <c r="R812" i="11"/>
  <c r="S812" i="11"/>
  <c r="R813" i="11"/>
  <c r="S813" i="11"/>
  <c r="R814" i="11"/>
  <c r="S814" i="11"/>
  <c r="R815" i="11"/>
  <c r="S815" i="11"/>
  <c r="R816" i="11"/>
  <c r="S816" i="11"/>
  <c r="R817" i="11"/>
  <c r="S817" i="11"/>
  <c r="R818" i="11"/>
  <c r="S818" i="11"/>
  <c r="R819" i="11"/>
  <c r="S819" i="11"/>
  <c r="R820" i="11"/>
  <c r="S820" i="11"/>
  <c r="R821" i="11"/>
  <c r="S821" i="11"/>
  <c r="R822" i="11"/>
  <c r="S822" i="11"/>
  <c r="R823" i="11"/>
  <c r="S823" i="11"/>
  <c r="R824" i="11"/>
  <c r="S824" i="11"/>
  <c r="R825" i="11"/>
  <c r="S825" i="11"/>
  <c r="R826" i="11"/>
  <c r="S826" i="11"/>
  <c r="R827" i="11"/>
  <c r="S827" i="11"/>
  <c r="R828" i="11"/>
  <c r="S828" i="11"/>
  <c r="R829" i="11"/>
  <c r="S829" i="11"/>
  <c r="R830" i="11"/>
  <c r="S830" i="11"/>
  <c r="R831" i="11"/>
  <c r="S831" i="11"/>
  <c r="R832" i="11"/>
  <c r="S832" i="11"/>
  <c r="R833" i="11"/>
  <c r="S833" i="11"/>
  <c r="R834" i="11"/>
  <c r="S834" i="11"/>
  <c r="R835" i="11"/>
  <c r="S835" i="11"/>
  <c r="R836" i="11"/>
  <c r="S836" i="11"/>
  <c r="R837" i="11"/>
  <c r="S837" i="11"/>
  <c r="R838" i="11"/>
  <c r="S838" i="11"/>
  <c r="R839" i="11"/>
  <c r="S839" i="11"/>
  <c r="R840" i="11"/>
  <c r="S840" i="11"/>
  <c r="R841" i="11"/>
  <c r="S841" i="11"/>
  <c r="R842" i="11"/>
  <c r="S842" i="11"/>
  <c r="R843" i="11"/>
  <c r="S843" i="11"/>
  <c r="R844" i="11"/>
  <c r="S844" i="11"/>
  <c r="R845" i="11"/>
  <c r="S845" i="11"/>
  <c r="R846" i="11"/>
  <c r="S846" i="11"/>
  <c r="R847" i="11"/>
  <c r="S847" i="11"/>
  <c r="R848" i="11"/>
  <c r="S848" i="11"/>
  <c r="R849" i="11"/>
  <c r="S849" i="11"/>
  <c r="R850" i="11"/>
  <c r="S850" i="11"/>
  <c r="R851" i="11"/>
  <c r="S851" i="11"/>
  <c r="R852" i="11"/>
  <c r="S852" i="11"/>
  <c r="R853" i="11"/>
  <c r="S853" i="11"/>
  <c r="R854" i="11"/>
  <c r="S854" i="11"/>
  <c r="R855" i="11"/>
  <c r="S855" i="11"/>
  <c r="R856" i="11"/>
  <c r="S856" i="11"/>
  <c r="R857" i="11"/>
  <c r="S857" i="11"/>
  <c r="R858" i="11"/>
  <c r="S858" i="11"/>
  <c r="R859" i="11"/>
  <c r="S859" i="11"/>
  <c r="R860" i="11"/>
  <c r="S860" i="11"/>
  <c r="R861" i="11"/>
  <c r="S861" i="11"/>
  <c r="R862" i="11"/>
  <c r="S862" i="11"/>
  <c r="R863" i="11"/>
  <c r="S863" i="11"/>
  <c r="R864" i="11"/>
  <c r="S864" i="11"/>
  <c r="R865" i="11"/>
  <c r="S865" i="11"/>
  <c r="R866" i="11"/>
  <c r="S866" i="11"/>
  <c r="R867" i="11"/>
  <c r="S867" i="11"/>
  <c r="R868" i="11"/>
  <c r="S868" i="11"/>
  <c r="R869" i="11"/>
  <c r="S869" i="11"/>
  <c r="R870" i="11"/>
  <c r="S870" i="11"/>
  <c r="R871" i="11"/>
  <c r="S871" i="11"/>
  <c r="R872" i="11"/>
  <c r="S872" i="11"/>
  <c r="R873" i="11"/>
  <c r="S873" i="11"/>
  <c r="R874" i="11"/>
  <c r="S874" i="11"/>
  <c r="R875" i="11"/>
  <c r="S875" i="11"/>
  <c r="R876" i="11"/>
  <c r="S876" i="11"/>
  <c r="R877" i="11"/>
  <c r="S877" i="11"/>
  <c r="R878" i="11"/>
  <c r="S878" i="11"/>
  <c r="R879" i="11"/>
  <c r="S879" i="11"/>
  <c r="R880" i="11"/>
  <c r="S880" i="11"/>
  <c r="R881" i="11"/>
  <c r="S881" i="11"/>
  <c r="R882" i="11"/>
  <c r="S882" i="11"/>
  <c r="R883" i="11"/>
  <c r="S883" i="11"/>
  <c r="R884" i="11"/>
  <c r="S884" i="11"/>
  <c r="R885" i="11"/>
  <c r="S885" i="11"/>
  <c r="R886" i="11"/>
  <c r="S886" i="11"/>
  <c r="R887" i="11"/>
  <c r="S887" i="11"/>
  <c r="R888" i="11"/>
  <c r="S888" i="11"/>
  <c r="R889" i="11"/>
  <c r="S889" i="11"/>
  <c r="R890" i="11"/>
  <c r="S890" i="11"/>
  <c r="R891" i="11"/>
  <c r="S891" i="11"/>
  <c r="R892" i="11"/>
  <c r="S892" i="11"/>
  <c r="R893" i="11"/>
  <c r="S893" i="11"/>
  <c r="R894" i="11"/>
  <c r="S894" i="11"/>
  <c r="R895" i="11"/>
  <c r="S895" i="11"/>
  <c r="R896" i="11"/>
  <c r="S896" i="11"/>
  <c r="R897" i="11"/>
  <c r="S897" i="11"/>
  <c r="R898" i="11"/>
  <c r="S898" i="11"/>
  <c r="R899" i="11"/>
  <c r="S899" i="11"/>
  <c r="R900" i="11"/>
  <c r="S900" i="11"/>
  <c r="R901" i="11"/>
  <c r="S901" i="11"/>
  <c r="R902" i="11"/>
  <c r="S902" i="11"/>
  <c r="R903" i="11"/>
  <c r="S903" i="11"/>
  <c r="R904" i="11"/>
  <c r="S904" i="11"/>
  <c r="R905" i="11"/>
  <c r="S905" i="11"/>
  <c r="R906" i="11"/>
  <c r="S906" i="11"/>
  <c r="R907" i="11"/>
  <c r="S907" i="11"/>
  <c r="R908" i="11"/>
  <c r="S908" i="11"/>
  <c r="R909" i="11"/>
  <c r="S909" i="11"/>
  <c r="R910" i="11"/>
  <c r="S910" i="11"/>
  <c r="R911" i="11"/>
  <c r="S911" i="11"/>
  <c r="R912" i="11"/>
  <c r="S912" i="11"/>
  <c r="R913" i="11"/>
  <c r="S913" i="11"/>
  <c r="R914" i="11"/>
  <c r="S914" i="11"/>
  <c r="R915" i="11"/>
  <c r="S915" i="11"/>
  <c r="R916" i="11"/>
  <c r="S916" i="11"/>
  <c r="R917" i="11"/>
  <c r="S917" i="11"/>
  <c r="R918" i="11"/>
  <c r="S918" i="11"/>
  <c r="R919" i="11"/>
  <c r="S919" i="11"/>
  <c r="R920" i="11"/>
  <c r="S920" i="11"/>
  <c r="R921" i="11"/>
  <c r="S921" i="11"/>
  <c r="R922" i="11"/>
  <c r="S922" i="11"/>
  <c r="R923" i="11"/>
  <c r="S923" i="11"/>
  <c r="R924" i="11"/>
  <c r="S924" i="11"/>
  <c r="R925" i="11"/>
  <c r="S925" i="11"/>
  <c r="R926" i="11"/>
  <c r="S926" i="11"/>
  <c r="R927" i="11"/>
  <c r="S927" i="11"/>
  <c r="R928" i="11"/>
  <c r="S928" i="11"/>
  <c r="R929" i="11"/>
  <c r="S929" i="11"/>
  <c r="R930" i="11"/>
  <c r="S930" i="11"/>
  <c r="R931" i="11"/>
  <c r="S931" i="11"/>
  <c r="R932" i="11"/>
  <c r="S932" i="11"/>
  <c r="R933" i="11"/>
  <c r="S933" i="11"/>
  <c r="R934" i="11"/>
  <c r="S934" i="11"/>
  <c r="R935" i="11"/>
  <c r="S935" i="11"/>
  <c r="R936" i="11"/>
  <c r="S936" i="11"/>
  <c r="R937" i="11"/>
  <c r="S937" i="11"/>
  <c r="R938" i="11"/>
  <c r="S938" i="11"/>
  <c r="R939" i="11"/>
  <c r="S939" i="11"/>
  <c r="R940" i="11"/>
  <c r="S940" i="11"/>
  <c r="R941" i="11"/>
  <c r="S941" i="11"/>
  <c r="R942" i="11"/>
  <c r="S942" i="11"/>
  <c r="R943" i="11"/>
  <c r="S943" i="11"/>
  <c r="R944" i="11"/>
  <c r="S944" i="11"/>
  <c r="R945" i="11"/>
  <c r="S945" i="11"/>
  <c r="R946" i="11"/>
  <c r="S946" i="11"/>
  <c r="R947" i="11"/>
  <c r="S947" i="11"/>
  <c r="R948" i="11"/>
  <c r="S948" i="11"/>
  <c r="R949" i="11"/>
  <c r="S949" i="11"/>
  <c r="R950" i="11"/>
  <c r="S950" i="11"/>
  <c r="R951" i="11"/>
  <c r="S951" i="11"/>
  <c r="R952" i="11"/>
  <c r="S952" i="11"/>
  <c r="R953" i="11"/>
  <c r="S953" i="11"/>
  <c r="R954" i="11"/>
  <c r="S954" i="11"/>
  <c r="R955" i="11"/>
  <c r="S955" i="11"/>
  <c r="R956" i="11"/>
  <c r="S956" i="11"/>
  <c r="R957" i="11"/>
  <c r="S957" i="11"/>
  <c r="R958" i="11"/>
  <c r="S958" i="11"/>
  <c r="R959" i="11"/>
  <c r="S959" i="11"/>
  <c r="R960" i="11"/>
  <c r="S960" i="11"/>
  <c r="R961" i="11"/>
  <c r="S961" i="11"/>
  <c r="R962" i="11"/>
  <c r="S962" i="11"/>
  <c r="R963" i="11"/>
  <c r="S963" i="11"/>
  <c r="R964" i="11"/>
  <c r="S964" i="11"/>
  <c r="R965" i="11"/>
  <c r="S965" i="11"/>
  <c r="R966" i="11"/>
  <c r="S966" i="11"/>
  <c r="R967" i="11"/>
  <c r="S967" i="11"/>
  <c r="R968" i="11"/>
  <c r="S968" i="11"/>
  <c r="R969" i="11"/>
  <c r="S969" i="11"/>
  <c r="R970" i="11"/>
  <c r="S970" i="11"/>
  <c r="R971" i="11"/>
  <c r="S971" i="11"/>
  <c r="R972" i="11"/>
  <c r="S972" i="11"/>
  <c r="R973" i="11"/>
  <c r="S973" i="11"/>
  <c r="R974" i="11"/>
  <c r="S974" i="11"/>
  <c r="R975" i="11"/>
  <c r="S975" i="11"/>
  <c r="R976" i="11"/>
  <c r="S976" i="11"/>
  <c r="R977" i="11"/>
  <c r="S977" i="11"/>
  <c r="R978" i="11"/>
  <c r="S978" i="11"/>
  <c r="R979" i="11"/>
  <c r="S979" i="11"/>
  <c r="R980" i="11"/>
  <c r="S980" i="11"/>
  <c r="R981" i="11"/>
  <c r="S981" i="11"/>
  <c r="R982" i="11"/>
  <c r="S982" i="11"/>
  <c r="R983" i="11"/>
  <c r="S983" i="11"/>
  <c r="R984" i="11"/>
  <c r="S984" i="11"/>
  <c r="R985" i="11"/>
  <c r="S985" i="11"/>
  <c r="R986" i="11"/>
  <c r="S986" i="11"/>
  <c r="R987" i="11"/>
  <c r="S987" i="11"/>
  <c r="R988" i="11"/>
  <c r="S988" i="11"/>
  <c r="R989" i="11"/>
  <c r="S989" i="11"/>
  <c r="R990" i="11"/>
  <c r="S990" i="11"/>
  <c r="R991" i="11"/>
  <c r="S991" i="11"/>
  <c r="R992" i="11"/>
  <c r="S992" i="11"/>
  <c r="R993" i="11"/>
  <c r="S993" i="11"/>
  <c r="R994" i="11"/>
  <c r="S994" i="11"/>
  <c r="R995" i="11"/>
  <c r="S995" i="11"/>
  <c r="R996" i="11"/>
  <c r="S996" i="11"/>
  <c r="R997" i="11"/>
  <c r="S997" i="11"/>
  <c r="R998" i="11"/>
  <c r="S998" i="11"/>
  <c r="R999" i="11"/>
  <c r="S999" i="11"/>
  <c r="R1000" i="11"/>
  <c r="S1000" i="11"/>
  <c r="R1001" i="11"/>
  <c r="S1001" i="11"/>
  <c r="R1002" i="11"/>
  <c r="S1002" i="11"/>
  <c r="R1003" i="11"/>
  <c r="S1003" i="11"/>
  <c r="R1004" i="11"/>
  <c r="S1004" i="11"/>
  <c r="R1005" i="11"/>
  <c r="S1005" i="11"/>
  <c r="R1006" i="11"/>
  <c r="S1006" i="11"/>
  <c r="R1007" i="11"/>
  <c r="S1007" i="11"/>
  <c r="R1008" i="11"/>
  <c r="S1008" i="11"/>
  <c r="R1009" i="11"/>
  <c r="S1009" i="11"/>
  <c r="R1010" i="11"/>
  <c r="S1010" i="11"/>
  <c r="R1011" i="11"/>
  <c r="S1011" i="11"/>
  <c r="R1012" i="11"/>
  <c r="S1012" i="11"/>
  <c r="R1013" i="11"/>
  <c r="S1013" i="11"/>
  <c r="R1014" i="11"/>
  <c r="S1014" i="11"/>
  <c r="R1015" i="11"/>
  <c r="S1015" i="11"/>
  <c r="R1016" i="11"/>
  <c r="S1016" i="11"/>
  <c r="R1017" i="11"/>
  <c r="S1017" i="11"/>
  <c r="R1018" i="11"/>
  <c r="S1018" i="11"/>
  <c r="R1019" i="11"/>
  <c r="S1019" i="11"/>
  <c r="R1020" i="11"/>
  <c r="S1020" i="11"/>
  <c r="R1021" i="11"/>
  <c r="S1021" i="11"/>
  <c r="R1022" i="11"/>
  <c r="S1022" i="11"/>
  <c r="R1023" i="11"/>
  <c r="S1023" i="11"/>
  <c r="R1024" i="11"/>
  <c r="S1024" i="11"/>
  <c r="R1025" i="11"/>
  <c r="S1025" i="11"/>
  <c r="R1026" i="11"/>
  <c r="S1026" i="11"/>
  <c r="R1027" i="11"/>
  <c r="S1027" i="11"/>
  <c r="R1028" i="11"/>
  <c r="S1028" i="11"/>
  <c r="R1029" i="11"/>
  <c r="S1029" i="11"/>
  <c r="R1030" i="11"/>
  <c r="S1030" i="11"/>
  <c r="R1031" i="11"/>
  <c r="S1031" i="11"/>
  <c r="R1032" i="11"/>
  <c r="S1032" i="11"/>
  <c r="R1033" i="11"/>
  <c r="S1033" i="11"/>
  <c r="R1034" i="11"/>
  <c r="S1034" i="11"/>
  <c r="R1035" i="11"/>
  <c r="S1035" i="11"/>
  <c r="R1036" i="11"/>
  <c r="S1036" i="11"/>
  <c r="R1037" i="11"/>
  <c r="S1037" i="11"/>
  <c r="R1038" i="11"/>
  <c r="S1038" i="11"/>
  <c r="R1039" i="11"/>
  <c r="S1039" i="11"/>
  <c r="R1040" i="11"/>
  <c r="S1040" i="11"/>
  <c r="R1041" i="11"/>
  <c r="S1041" i="11"/>
  <c r="R1042" i="11"/>
  <c r="S1042" i="11"/>
  <c r="R1043" i="11"/>
  <c r="S1043" i="11"/>
  <c r="R1044" i="11"/>
  <c r="S1044" i="11"/>
  <c r="R1045" i="11"/>
  <c r="S1045" i="11"/>
  <c r="R1046" i="11"/>
  <c r="S1046" i="11"/>
  <c r="R1047" i="11"/>
  <c r="S1047" i="11"/>
  <c r="R1048" i="11"/>
  <c r="S1048" i="11"/>
  <c r="R1049" i="11"/>
  <c r="S1049" i="11"/>
  <c r="R1050" i="11"/>
  <c r="S1050" i="11"/>
  <c r="R1051" i="11"/>
  <c r="S1051" i="11"/>
  <c r="R1052" i="11"/>
  <c r="S1052" i="11"/>
  <c r="R1053" i="11"/>
  <c r="S1053" i="11"/>
  <c r="R1054" i="11"/>
  <c r="S1054" i="11"/>
  <c r="R1055" i="11"/>
  <c r="S1055" i="11"/>
  <c r="R1056" i="11"/>
  <c r="S1056" i="11"/>
  <c r="R1057" i="11"/>
  <c r="S1057" i="11"/>
  <c r="R1058" i="11"/>
  <c r="S1058" i="11"/>
  <c r="R1059" i="11"/>
  <c r="S1059" i="11"/>
  <c r="R1060" i="11"/>
  <c r="S1060" i="11"/>
  <c r="R1061" i="11"/>
  <c r="S1061" i="11"/>
  <c r="R1062" i="11"/>
  <c r="S1062" i="11"/>
  <c r="R1063" i="11"/>
  <c r="S1063" i="11"/>
  <c r="R1064" i="11"/>
  <c r="S1064" i="11"/>
  <c r="R1065" i="11"/>
  <c r="S1065" i="11"/>
  <c r="R1066" i="11"/>
  <c r="S1066" i="11"/>
  <c r="R1067" i="11"/>
  <c r="S1067" i="11"/>
  <c r="R1068" i="11"/>
  <c r="S1068" i="11"/>
  <c r="R1069" i="11"/>
  <c r="S1069" i="11"/>
  <c r="R1070" i="11"/>
  <c r="S1070" i="11"/>
  <c r="R1071" i="11"/>
  <c r="S1071" i="11"/>
  <c r="R1072" i="11"/>
  <c r="S1072" i="11"/>
  <c r="R1073" i="11"/>
  <c r="S1073" i="11"/>
  <c r="R1074" i="11"/>
  <c r="S1074" i="11"/>
  <c r="R1075" i="11"/>
  <c r="S1075" i="11"/>
  <c r="R1076" i="11"/>
  <c r="S1076" i="11"/>
  <c r="R1077" i="11"/>
  <c r="S1077" i="11"/>
  <c r="R1078" i="11"/>
  <c r="S1078" i="11"/>
  <c r="R1079" i="11"/>
  <c r="S1079" i="11"/>
  <c r="R1080" i="11"/>
  <c r="S1080" i="11"/>
  <c r="R1081" i="11"/>
  <c r="S1081" i="11"/>
  <c r="R1082" i="11"/>
  <c r="S1082" i="11"/>
  <c r="R1083" i="11"/>
  <c r="S1083" i="11"/>
  <c r="R1084" i="11"/>
  <c r="S1084" i="11"/>
  <c r="R1085" i="11"/>
  <c r="S1085" i="11"/>
  <c r="R1086" i="11"/>
  <c r="S1086" i="11"/>
  <c r="R1087" i="11"/>
  <c r="S1087" i="11"/>
  <c r="R1088" i="11"/>
  <c r="S1088" i="11"/>
  <c r="R1089" i="11"/>
  <c r="S1089" i="11"/>
  <c r="R1090" i="11"/>
  <c r="S1090" i="11"/>
  <c r="R1091" i="11"/>
  <c r="S1091" i="11"/>
  <c r="R1092" i="11"/>
  <c r="S1092" i="11"/>
  <c r="R1093" i="11"/>
  <c r="S1093" i="11"/>
  <c r="R1094" i="11"/>
  <c r="S1094" i="11"/>
  <c r="R1095" i="11"/>
  <c r="S1095" i="11"/>
  <c r="R1096" i="11"/>
  <c r="S1096" i="11"/>
  <c r="R1097" i="11"/>
  <c r="S1097" i="11"/>
  <c r="R1098" i="11"/>
  <c r="S1098" i="11"/>
  <c r="R1099" i="11"/>
  <c r="S1099" i="11"/>
  <c r="R1100" i="11"/>
  <c r="S1100" i="11"/>
  <c r="R1101" i="11"/>
  <c r="S1101" i="11"/>
  <c r="R1102" i="11"/>
  <c r="S1102" i="11"/>
  <c r="R1103" i="11"/>
  <c r="S1103" i="11"/>
  <c r="R1104" i="11"/>
  <c r="S1104" i="11"/>
  <c r="R1105" i="11"/>
  <c r="S1105" i="11"/>
  <c r="R1106" i="11"/>
  <c r="S1106" i="11"/>
  <c r="R1107" i="11"/>
  <c r="S1107" i="11"/>
  <c r="R1108" i="11"/>
  <c r="S1108" i="11"/>
  <c r="R1109" i="11"/>
  <c r="S1109" i="11"/>
  <c r="R1110" i="11"/>
  <c r="S1110" i="11"/>
  <c r="R1111" i="11"/>
  <c r="S1111" i="11"/>
  <c r="R1112" i="11"/>
  <c r="S1112" i="11"/>
  <c r="R1113" i="11"/>
  <c r="S1113" i="11"/>
  <c r="R1114" i="11"/>
  <c r="S1114" i="11"/>
  <c r="R1115" i="11"/>
  <c r="S1115" i="11"/>
  <c r="R1116" i="11"/>
  <c r="S1116" i="11"/>
  <c r="R1117" i="11"/>
  <c r="S1117" i="11"/>
  <c r="R1118" i="11"/>
  <c r="S1118" i="11"/>
  <c r="R1119" i="11"/>
  <c r="S1119" i="11"/>
  <c r="R1120" i="11"/>
  <c r="S1120" i="11"/>
  <c r="R1121" i="11"/>
  <c r="S1121" i="11"/>
  <c r="R1122" i="11"/>
  <c r="S1122" i="11"/>
  <c r="R1123" i="11"/>
  <c r="S1123" i="11"/>
  <c r="R1124" i="11"/>
  <c r="S1124" i="11"/>
  <c r="R1125" i="11"/>
  <c r="S1125" i="11"/>
  <c r="R1126" i="11"/>
  <c r="S1126" i="11"/>
  <c r="R1127" i="11"/>
  <c r="S1127" i="11"/>
  <c r="R1128" i="11"/>
  <c r="S1128" i="11"/>
  <c r="R1129" i="11"/>
  <c r="S1129" i="11"/>
  <c r="R1130" i="11"/>
  <c r="S1130" i="11"/>
  <c r="R1131" i="11"/>
  <c r="S1131" i="11"/>
  <c r="R1132" i="11"/>
  <c r="S1132" i="11"/>
  <c r="R1133" i="11"/>
  <c r="S1133" i="11"/>
  <c r="R1134" i="11"/>
  <c r="S1134" i="11"/>
  <c r="R1135" i="11"/>
  <c r="S1135" i="11"/>
  <c r="R1136" i="11"/>
  <c r="S1136" i="11"/>
  <c r="R1137" i="11"/>
  <c r="S1137" i="11"/>
  <c r="R1138" i="11"/>
  <c r="S1138" i="11"/>
  <c r="R1139" i="11"/>
  <c r="S1139" i="11"/>
  <c r="R1140" i="11"/>
  <c r="S1140" i="11"/>
  <c r="R1141" i="11"/>
  <c r="S1141" i="11"/>
  <c r="R1142" i="11"/>
  <c r="S1142" i="11"/>
  <c r="R1143" i="11"/>
  <c r="S1143" i="11"/>
  <c r="R1144" i="11"/>
  <c r="S1144" i="11"/>
  <c r="R1145" i="11"/>
  <c r="S1145" i="11"/>
  <c r="R1146" i="11"/>
  <c r="S1146" i="11"/>
  <c r="R1147" i="11"/>
  <c r="S1147" i="11"/>
  <c r="R1148" i="11"/>
  <c r="S1148" i="11"/>
  <c r="R1149" i="11"/>
  <c r="S1149" i="11"/>
  <c r="R1150" i="11"/>
  <c r="S1150" i="11"/>
  <c r="R1151" i="11"/>
  <c r="S1151" i="11"/>
  <c r="R1152" i="11"/>
  <c r="S1152" i="11"/>
  <c r="R1153" i="11"/>
  <c r="S1153" i="11"/>
  <c r="R1154" i="11"/>
  <c r="S1154" i="11"/>
  <c r="R1155" i="11"/>
  <c r="S1155" i="11"/>
  <c r="R1156" i="11"/>
  <c r="S1156" i="11"/>
  <c r="R1157" i="11"/>
  <c r="S1157" i="11"/>
  <c r="R1158" i="11"/>
  <c r="S1158" i="11"/>
  <c r="R1159" i="11"/>
  <c r="S1159" i="11"/>
  <c r="R1160" i="11"/>
  <c r="S1160" i="11"/>
  <c r="R1161" i="11"/>
  <c r="S1161" i="11"/>
  <c r="R1162" i="11"/>
  <c r="S1162" i="11"/>
  <c r="R1163" i="11"/>
  <c r="S1163" i="11"/>
  <c r="R1164" i="11"/>
  <c r="S1164" i="11"/>
  <c r="R1165" i="11"/>
  <c r="S1165" i="11"/>
  <c r="R1166" i="11"/>
  <c r="S1166" i="11"/>
  <c r="R1167" i="11"/>
  <c r="S1167" i="11"/>
  <c r="R1168" i="11"/>
  <c r="S1168" i="11"/>
  <c r="R1169" i="11"/>
  <c r="S1169" i="11"/>
  <c r="R1170" i="11"/>
  <c r="S1170" i="11"/>
  <c r="R1171" i="11"/>
  <c r="S1171" i="11"/>
  <c r="R1172" i="11"/>
  <c r="S1172" i="11"/>
  <c r="R1173" i="11"/>
  <c r="S1173" i="11"/>
  <c r="R1174" i="11"/>
  <c r="S1174" i="11"/>
  <c r="R1175" i="11"/>
  <c r="S1175" i="11"/>
  <c r="R1176" i="11"/>
  <c r="S1176" i="11"/>
  <c r="R1177" i="11"/>
  <c r="S1177" i="11"/>
  <c r="R1178" i="11"/>
  <c r="S1178" i="11"/>
  <c r="R1179" i="11"/>
  <c r="S1179" i="11"/>
  <c r="R1180" i="11"/>
  <c r="S1180" i="11"/>
  <c r="R1181" i="11"/>
  <c r="S1181" i="11"/>
  <c r="R1182" i="11"/>
  <c r="S1182" i="11"/>
  <c r="R1183" i="11"/>
  <c r="S1183" i="11"/>
  <c r="R1184" i="11"/>
  <c r="S1184" i="11"/>
  <c r="R1185" i="11"/>
  <c r="S1185" i="11"/>
  <c r="R1186" i="11"/>
  <c r="S1186" i="11"/>
  <c r="R1187" i="11"/>
  <c r="S1187" i="11"/>
  <c r="R1188" i="11"/>
  <c r="S1188" i="11"/>
  <c r="R1189" i="11"/>
  <c r="S1189" i="11"/>
  <c r="R1190" i="11"/>
  <c r="S1190" i="11"/>
  <c r="R1191" i="11"/>
  <c r="S1191" i="11"/>
  <c r="R1192" i="11"/>
  <c r="S1192" i="11"/>
  <c r="R1193" i="11"/>
  <c r="S1193" i="11"/>
  <c r="R1194" i="11"/>
  <c r="S1194" i="11"/>
  <c r="R1195" i="11"/>
  <c r="S1195" i="11"/>
  <c r="R1196" i="11"/>
  <c r="S1196" i="11"/>
  <c r="R1197" i="11"/>
  <c r="S1197" i="11"/>
  <c r="R1198" i="11"/>
  <c r="S1198" i="11"/>
  <c r="R1199" i="11"/>
  <c r="S1199" i="11"/>
  <c r="R1200" i="11"/>
  <c r="S1200" i="11"/>
  <c r="R1201" i="11"/>
  <c r="S1201" i="11"/>
  <c r="R1202" i="11"/>
  <c r="S1202" i="11"/>
  <c r="R1203" i="11"/>
  <c r="S1203" i="11"/>
  <c r="R1204" i="11"/>
  <c r="S1204" i="11"/>
  <c r="R1205" i="11"/>
  <c r="S1205" i="11"/>
  <c r="R1206" i="11"/>
  <c r="S1206" i="11"/>
  <c r="R1207" i="11"/>
  <c r="S1207" i="11"/>
  <c r="R1208" i="11"/>
  <c r="S1208" i="11"/>
  <c r="R1209" i="11"/>
  <c r="S1209" i="11"/>
  <c r="R1210" i="11"/>
  <c r="S1210" i="11"/>
  <c r="R1211" i="11"/>
  <c r="S1211" i="11"/>
  <c r="R1212" i="11"/>
  <c r="S1212" i="11"/>
  <c r="R1213" i="11"/>
  <c r="S1213" i="11"/>
  <c r="R1214" i="11"/>
  <c r="S1214" i="11"/>
  <c r="R1215" i="11"/>
  <c r="S1215" i="11"/>
  <c r="R1216" i="11"/>
  <c r="S1216" i="11"/>
  <c r="R1217" i="11"/>
  <c r="S1217" i="11"/>
  <c r="R1218" i="11"/>
  <c r="S1218" i="11"/>
  <c r="R1219" i="11"/>
  <c r="S1219" i="11"/>
  <c r="R1220" i="11"/>
  <c r="S1220" i="11"/>
  <c r="R1221" i="11"/>
  <c r="S1221" i="11"/>
  <c r="R1222" i="11"/>
  <c r="S1222" i="11"/>
  <c r="R1223" i="11"/>
  <c r="S1223" i="11"/>
  <c r="R1224" i="11"/>
  <c r="S1224" i="11"/>
  <c r="R1225" i="11"/>
  <c r="S1225" i="11"/>
  <c r="R1226" i="11"/>
  <c r="S1226" i="11"/>
  <c r="R1227" i="11"/>
  <c r="S1227" i="11"/>
  <c r="R1228" i="11"/>
  <c r="S1228" i="11"/>
  <c r="R1229" i="11"/>
  <c r="S1229" i="11"/>
  <c r="R1230" i="11"/>
  <c r="S1230" i="11"/>
  <c r="R1231" i="11"/>
  <c r="S1231" i="11"/>
  <c r="R1232" i="11"/>
  <c r="S1232" i="11"/>
  <c r="R1233" i="11"/>
  <c r="S1233" i="11"/>
  <c r="R1234" i="11"/>
  <c r="S1234" i="11"/>
  <c r="R1235" i="11"/>
  <c r="S1235" i="11"/>
  <c r="R1236" i="11"/>
  <c r="S1236" i="11"/>
  <c r="R1237" i="11"/>
  <c r="S1237" i="11"/>
  <c r="R1238" i="11"/>
  <c r="S1238" i="11"/>
  <c r="R1239" i="11"/>
  <c r="S1239" i="11"/>
  <c r="R1240" i="11"/>
  <c r="S1240" i="11"/>
  <c r="R1241" i="11"/>
  <c r="S1241" i="11"/>
  <c r="R1242" i="11"/>
  <c r="S1242" i="11"/>
  <c r="R1243" i="11"/>
  <c r="S1243" i="11"/>
  <c r="R1244" i="11"/>
  <c r="S1244" i="11"/>
  <c r="R1245" i="11"/>
  <c r="S1245" i="11"/>
  <c r="R1246" i="11"/>
  <c r="S1246" i="11"/>
  <c r="R1247" i="11"/>
  <c r="S1247" i="11"/>
  <c r="R1248" i="11"/>
  <c r="S1248" i="11"/>
  <c r="R1249" i="11"/>
  <c r="S1249" i="11"/>
  <c r="R1250" i="11"/>
  <c r="S1250" i="11"/>
  <c r="R1251" i="11"/>
  <c r="S1251" i="11"/>
  <c r="R1252" i="11"/>
  <c r="S1252" i="11"/>
  <c r="R1253" i="11"/>
  <c r="S1253" i="11"/>
  <c r="R1254" i="11"/>
  <c r="S1254" i="11"/>
  <c r="R1255" i="11"/>
  <c r="S1255" i="11"/>
  <c r="R1256" i="11"/>
  <c r="S1256" i="11"/>
  <c r="R1257" i="11"/>
  <c r="S1257" i="11"/>
  <c r="R1258" i="11"/>
  <c r="S1258" i="11"/>
  <c r="R1259" i="11"/>
  <c r="S1259" i="11"/>
  <c r="R1260" i="11"/>
  <c r="S1260" i="11"/>
  <c r="R1261" i="11"/>
  <c r="S1261" i="11"/>
  <c r="R1262" i="11"/>
  <c r="S1262" i="11"/>
  <c r="R1263" i="11"/>
  <c r="S1263" i="11"/>
  <c r="R1264" i="11"/>
  <c r="S1264" i="11"/>
  <c r="R1265" i="11"/>
  <c r="S1265" i="11"/>
  <c r="R1266" i="11"/>
  <c r="S1266" i="11"/>
  <c r="R1267" i="11"/>
  <c r="S1267" i="11"/>
  <c r="R1268" i="11"/>
  <c r="S1268" i="11"/>
  <c r="R1269" i="11"/>
  <c r="S1269" i="11"/>
  <c r="R1270" i="11"/>
  <c r="S1270" i="11"/>
  <c r="R1271" i="11"/>
  <c r="S1271" i="11"/>
  <c r="R1272" i="11"/>
  <c r="S1272" i="11"/>
  <c r="R1273" i="11"/>
  <c r="S1273" i="11"/>
  <c r="R1274" i="11"/>
  <c r="S1274" i="11"/>
  <c r="R1275" i="11"/>
  <c r="S1275" i="11"/>
  <c r="R1276" i="11"/>
  <c r="S1276" i="11"/>
  <c r="R1277" i="11"/>
  <c r="S1277" i="11"/>
  <c r="R1278" i="11"/>
  <c r="S1278" i="11"/>
  <c r="R1279" i="11"/>
  <c r="S1279" i="11"/>
  <c r="R1280" i="11"/>
  <c r="S1280" i="11"/>
  <c r="R1281" i="11"/>
  <c r="S1281" i="11"/>
  <c r="R1282" i="11"/>
  <c r="S1282" i="11"/>
  <c r="R1283" i="11"/>
  <c r="S1283" i="11"/>
  <c r="R1284" i="11"/>
  <c r="S1284" i="11"/>
  <c r="R1285" i="11"/>
  <c r="S1285" i="11"/>
  <c r="R1286" i="11"/>
  <c r="S1286" i="11"/>
  <c r="R1287" i="11"/>
  <c r="S1287" i="11"/>
  <c r="R1288" i="11"/>
  <c r="S1288" i="11"/>
  <c r="R1289" i="11"/>
  <c r="S1289" i="11"/>
  <c r="R1290" i="11"/>
  <c r="S1290" i="11"/>
  <c r="R1291" i="11"/>
  <c r="S1291" i="11"/>
  <c r="R1292" i="11"/>
  <c r="S1292" i="11"/>
  <c r="R1293" i="11"/>
  <c r="S1293" i="11"/>
  <c r="R1294" i="11"/>
  <c r="S1294" i="11"/>
  <c r="R1295" i="11"/>
  <c r="S1295" i="11"/>
  <c r="R1296" i="11"/>
  <c r="S1296" i="11"/>
  <c r="R1297" i="11"/>
  <c r="S1297" i="11"/>
  <c r="R1298" i="11"/>
  <c r="S1298" i="11"/>
  <c r="R1299" i="11"/>
  <c r="S1299" i="11"/>
  <c r="R1300" i="11"/>
  <c r="S1300" i="11"/>
  <c r="R1301" i="11"/>
  <c r="S1301" i="11"/>
  <c r="R1302" i="11"/>
  <c r="S1302" i="11"/>
  <c r="R1303" i="11"/>
  <c r="S1303" i="11"/>
  <c r="R1304" i="11"/>
  <c r="S1304" i="11"/>
  <c r="R1305" i="11"/>
  <c r="S1305" i="11"/>
  <c r="R1306" i="11"/>
  <c r="S1306" i="11"/>
  <c r="R1307" i="11"/>
  <c r="S1307" i="11"/>
  <c r="R1308" i="11"/>
  <c r="S1308" i="11"/>
  <c r="R1309" i="11"/>
  <c r="S1309" i="11"/>
  <c r="R1310" i="11"/>
  <c r="S1310" i="11"/>
  <c r="R1311" i="11"/>
  <c r="S1311" i="11"/>
  <c r="R1312" i="11"/>
  <c r="S1312" i="11"/>
  <c r="R1313" i="11"/>
  <c r="S1313" i="11"/>
  <c r="R1314" i="11"/>
  <c r="S1314" i="11"/>
  <c r="R1315" i="11"/>
  <c r="S1315" i="11"/>
  <c r="R1316" i="11"/>
  <c r="S1316" i="11"/>
  <c r="R1317" i="11"/>
  <c r="S1317" i="11"/>
  <c r="R1318" i="11"/>
  <c r="S1318" i="11"/>
  <c r="R1319" i="11"/>
  <c r="S1319" i="11"/>
  <c r="R1320" i="11"/>
  <c r="S1320" i="11"/>
  <c r="R1321" i="11"/>
  <c r="S1321" i="11"/>
  <c r="R1322" i="11"/>
  <c r="S1322" i="11"/>
  <c r="R1323" i="11"/>
  <c r="S1323" i="11"/>
  <c r="R1324" i="11"/>
  <c r="S1324" i="11"/>
  <c r="R1325" i="11"/>
  <c r="S1325" i="11"/>
  <c r="R1326" i="11"/>
  <c r="S1326" i="11"/>
  <c r="R1327" i="11"/>
  <c r="S1327" i="11"/>
  <c r="R1328" i="11"/>
  <c r="S1328" i="11"/>
  <c r="R1329" i="11"/>
  <c r="S1329" i="11"/>
  <c r="R1330" i="11"/>
  <c r="S1330" i="11"/>
  <c r="R1331" i="11"/>
  <c r="S1331" i="11"/>
  <c r="R1332" i="11"/>
  <c r="S1332" i="11"/>
  <c r="R1333" i="11"/>
  <c r="S1333" i="11"/>
  <c r="R1334" i="11"/>
  <c r="S1334" i="11"/>
  <c r="R1335" i="11"/>
  <c r="S1335" i="11"/>
  <c r="R1336" i="11"/>
  <c r="S1336" i="11"/>
  <c r="R1337" i="11"/>
  <c r="S1337" i="11"/>
  <c r="R1338" i="11"/>
  <c r="S1338" i="11"/>
  <c r="R1339" i="11"/>
  <c r="S1339" i="11"/>
  <c r="R1340" i="11"/>
  <c r="S1340" i="11"/>
  <c r="R1341" i="11"/>
  <c r="S1341" i="11"/>
  <c r="R1342" i="11"/>
  <c r="S1342" i="11"/>
  <c r="R1343" i="11"/>
  <c r="S1343" i="11"/>
  <c r="R1344" i="11"/>
  <c r="S1344" i="11"/>
  <c r="R1345" i="11"/>
  <c r="S1345" i="11"/>
  <c r="R1346" i="11"/>
  <c r="S1346" i="11"/>
  <c r="R1347" i="11"/>
  <c r="S1347" i="11"/>
  <c r="R1348" i="11"/>
  <c r="S1348" i="11"/>
  <c r="R1349" i="11"/>
  <c r="S1349" i="11"/>
  <c r="R1350" i="11"/>
  <c r="S1350" i="11"/>
  <c r="R1351" i="11"/>
  <c r="S1351" i="11"/>
  <c r="R1352" i="11"/>
  <c r="S1352" i="11"/>
  <c r="R1353" i="11"/>
  <c r="S1353" i="11"/>
  <c r="R1354" i="11"/>
  <c r="S1354" i="11"/>
  <c r="R1355" i="11"/>
  <c r="S1355" i="11"/>
  <c r="R1356" i="11"/>
  <c r="S1356" i="11"/>
  <c r="R1357" i="11"/>
  <c r="S1357" i="11"/>
  <c r="R1358" i="11"/>
  <c r="S1358" i="11"/>
  <c r="R1359" i="11"/>
  <c r="S1359" i="11"/>
  <c r="R1360" i="11"/>
  <c r="S1360" i="11"/>
  <c r="R1361" i="11"/>
  <c r="S1361" i="11"/>
  <c r="R1362" i="11"/>
  <c r="S1362" i="11"/>
  <c r="R1363" i="11"/>
  <c r="S1363" i="11"/>
  <c r="R1364" i="11"/>
  <c r="S1364" i="11"/>
  <c r="R1365" i="11"/>
  <c r="S1365" i="11"/>
  <c r="R1366" i="11"/>
  <c r="S1366" i="11"/>
  <c r="R1367" i="11"/>
  <c r="S1367" i="11"/>
  <c r="R1368" i="11"/>
  <c r="S1368" i="11"/>
  <c r="R1369" i="11"/>
  <c r="S1369" i="11"/>
  <c r="R1370" i="11"/>
  <c r="S1370" i="11"/>
  <c r="R1371" i="11"/>
  <c r="S1371" i="11"/>
  <c r="R1372" i="11"/>
  <c r="S1372" i="11"/>
  <c r="R1373" i="11"/>
  <c r="S1373" i="11"/>
  <c r="R1374" i="11"/>
  <c r="S1374" i="11"/>
  <c r="R1375" i="11"/>
  <c r="S1375" i="11"/>
  <c r="R1376" i="11"/>
  <c r="S1376" i="11"/>
  <c r="R1377" i="11"/>
  <c r="S1377" i="11"/>
  <c r="R1378" i="11"/>
  <c r="S1378" i="11"/>
  <c r="R1379" i="11"/>
  <c r="S1379" i="11"/>
  <c r="R1380" i="11"/>
  <c r="S1380" i="11"/>
  <c r="R1381" i="11"/>
  <c r="S1381" i="11"/>
  <c r="R1382" i="11"/>
  <c r="S1382" i="11"/>
  <c r="R1383" i="11"/>
  <c r="S1383" i="11"/>
  <c r="R1384" i="11"/>
  <c r="S1384" i="11"/>
  <c r="R1385" i="11"/>
  <c r="S1385" i="11"/>
  <c r="R1386" i="11"/>
  <c r="S1386" i="11"/>
  <c r="R1387" i="11"/>
  <c r="S1387" i="11"/>
  <c r="R1388" i="11"/>
  <c r="S1388" i="11"/>
  <c r="R1389" i="11"/>
  <c r="S1389" i="11"/>
  <c r="R1390" i="11"/>
  <c r="S1390" i="11"/>
  <c r="R1391" i="11"/>
  <c r="S1391" i="11"/>
  <c r="R1392" i="11"/>
  <c r="S1392" i="11"/>
  <c r="R1393" i="11"/>
  <c r="S1393" i="11"/>
  <c r="R1394" i="11"/>
  <c r="S1394" i="11"/>
  <c r="R1395" i="11"/>
  <c r="S1395" i="11"/>
  <c r="R1396" i="11"/>
  <c r="S1396" i="11"/>
  <c r="R1397" i="11"/>
  <c r="S1397" i="11"/>
  <c r="R1398" i="11"/>
  <c r="S1398" i="11"/>
  <c r="R1399" i="11"/>
  <c r="S1399" i="11"/>
  <c r="R1400" i="11"/>
  <c r="S1400" i="11"/>
  <c r="R1401" i="11"/>
  <c r="S1401" i="11"/>
  <c r="R1402" i="11"/>
  <c r="S1402" i="11"/>
  <c r="R1403" i="11"/>
  <c r="S1403" i="11"/>
  <c r="R1404" i="11"/>
  <c r="S1404" i="11"/>
  <c r="R1405" i="11"/>
  <c r="S1405" i="11"/>
  <c r="R1406" i="11"/>
  <c r="S1406" i="11"/>
  <c r="R1407" i="11"/>
  <c r="S1407" i="11"/>
  <c r="R1408" i="11"/>
  <c r="S1408" i="11"/>
  <c r="R1409" i="11"/>
  <c r="S1409" i="11"/>
  <c r="R1410" i="11"/>
  <c r="S1410" i="11"/>
  <c r="R1411" i="11"/>
  <c r="S1411" i="11"/>
  <c r="R1412" i="11"/>
  <c r="S1412" i="11"/>
  <c r="R1413" i="11"/>
  <c r="S1413" i="11"/>
  <c r="R1414" i="11"/>
  <c r="S1414" i="11"/>
  <c r="R1415" i="11"/>
  <c r="S1415" i="11"/>
  <c r="R1416" i="11"/>
  <c r="S1416" i="11"/>
  <c r="R1417" i="11"/>
  <c r="S1417" i="11"/>
  <c r="R1418" i="11"/>
  <c r="S1418" i="11"/>
  <c r="R1419" i="11"/>
  <c r="S1419" i="11"/>
  <c r="R1420" i="11"/>
  <c r="S1420" i="11"/>
  <c r="R1421" i="11"/>
  <c r="S1421" i="11"/>
  <c r="R1422" i="11"/>
  <c r="S1422" i="11"/>
  <c r="R1423" i="11"/>
  <c r="S1423" i="11"/>
  <c r="R1424" i="11"/>
  <c r="S1424" i="11"/>
  <c r="R1425" i="11"/>
  <c r="S1425" i="11"/>
  <c r="R1426" i="11"/>
  <c r="S1426" i="11"/>
  <c r="R1427" i="11"/>
  <c r="S1427" i="11"/>
  <c r="R1428" i="11"/>
  <c r="S1428" i="11"/>
  <c r="R1429" i="11"/>
  <c r="S1429" i="11"/>
  <c r="R1430" i="11"/>
  <c r="S1430" i="11"/>
  <c r="R1431" i="11"/>
  <c r="S1431" i="11"/>
  <c r="R1432" i="11"/>
  <c r="S1432" i="11"/>
  <c r="R1433" i="11"/>
  <c r="S1433" i="11"/>
  <c r="R1434" i="11"/>
  <c r="S1434" i="11"/>
  <c r="R1435" i="11"/>
  <c r="S1435" i="11"/>
  <c r="R1436" i="11"/>
  <c r="S1436" i="11"/>
  <c r="R1437" i="11"/>
  <c r="S1437" i="11"/>
  <c r="R1438" i="11"/>
  <c r="S1438" i="11"/>
  <c r="R1439" i="11"/>
  <c r="S1439" i="11"/>
  <c r="R1440" i="11"/>
  <c r="S1440" i="11"/>
  <c r="R1441" i="11"/>
  <c r="S1441" i="11"/>
  <c r="R1442" i="11"/>
  <c r="S1442" i="11"/>
  <c r="R1443" i="11"/>
  <c r="S1443" i="11"/>
  <c r="R1444" i="11"/>
  <c r="S1444" i="11"/>
  <c r="R1445" i="11"/>
  <c r="S1445" i="11"/>
  <c r="R1446" i="11"/>
  <c r="S1446" i="11"/>
  <c r="R1447" i="11"/>
  <c r="S1447" i="11"/>
  <c r="R1448" i="11"/>
  <c r="S1448" i="11"/>
  <c r="R1449" i="11"/>
  <c r="S1449" i="11"/>
  <c r="R1450" i="11"/>
  <c r="S1450" i="11"/>
  <c r="R1451" i="11"/>
  <c r="S1451" i="11"/>
  <c r="R1452" i="11"/>
  <c r="S1452" i="11"/>
  <c r="R1453" i="11"/>
  <c r="S1453" i="11"/>
  <c r="R1454" i="11"/>
  <c r="S1454" i="11"/>
  <c r="R1455" i="11"/>
  <c r="S1455" i="11"/>
  <c r="R1456" i="11"/>
  <c r="S1456" i="11"/>
  <c r="R1457" i="11"/>
  <c r="S1457" i="11"/>
  <c r="R1458" i="11"/>
  <c r="S1458" i="11"/>
  <c r="R1459" i="11"/>
  <c r="S1459" i="11"/>
  <c r="R1460" i="11"/>
  <c r="S1460" i="11"/>
  <c r="R1461" i="11"/>
  <c r="S1461" i="11"/>
  <c r="R1462" i="11"/>
  <c r="S1462" i="11"/>
  <c r="R1463" i="11"/>
  <c r="S1463" i="11"/>
  <c r="R1464" i="11"/>
  <c r="S1464" i="11"/>
  <c r="R1465" i="11"/>
  <c r="S1465" i="11"/>
  <c r="R1466" i="11"/>
  <c r="S1466" i="11"/>
  <c r="R1467" i="11"/>
  <c r="S1467" i="11"/>
  <c r="R1468" i="11"/>
  <c r="S1468" i="11"/>
  <c r="R1469" i="11"/>
  <c r="S1469" i="11"/>
  <c r="R1470" i="11"/>
  <c r="S1470" i="11"/>
  <c r="R1471" i="11"/>
  <c r="S1471" i="11"/>
  <c r="R1472" i="11"/>
  <c r="S1472" i="11"/>
  <c r="R1473" i="11"/>
  <c r="S1473" i="11"/>
  <c r="R1474" i="11"/>
  <c r="S1474" i="11"/>
  <c r="R1475" i="11"/>
  <c r="S1475" i="11"/>
  <c r="R1476" i="11"/>
  <c r="S1476" i="11"/>
  <c r="R1477" i="11"/>
  <c r="S1477" i="11"/>
  <c r="R1478" i="11"/>
  <c r="S1478" i="11"/>
  <c r="R1479" i="11"/>
  <c r="S1479" i="11"/>
  <c r="R1480" i="11"/>
  <c r="S1480" i="11"/>
  <c r="R1481" i="11"/>
  <c r="S1481" i="11"/>
  <c r="R1482" i="11"/>
  <c r="S1482" i="11"/>
  <c r="R1483" i="11"/>
  <c r="S1483" i="11"/>
  <c r="R1484" i="11"/>
  <c r="S1484" i="11"/>
  <c r="R1485" i="11"/>
  <c r="S1485" i="11"/>
  <c r="R1486" i="11"/>
  <c r="S1486" i="11"/>
  <c r="R1487" i="11"/>
  <c r="S1487" i="11"/>
  <c r="R1488" i="11"/>
  <c r="S1488" i="11"/>
  <c r="R1489" i="11"/>
  <c r="S1489" i="11"/>
  <c r="R1490" i="11"/>
  <c r="S1490" i="11"/>
  <c r="R1491" i="11"/>
  <c r="S1491" i="11"/>
  <c r="R1492" i="11"/>
  <c r="S1492" i="11"/>
  <c r="R1493" i="11"/>
  <c r="S1493" i="11"/>
  <c r="R1494" i="11"/>
  <c r="S1494" i="11"/>
  <c r="R1495" i="11"/>
  <c r="S1495" i="11"/>
  <c r="R1496" i="11"/>
  <c r="S1496" i="11"/>
  <c r="R1497" i="11"/>
  <c r="S1497" i="11"/>
  <c r="R1498" i="11"/>
  <c r="S1498" i="11"/>
  <c r="R1499" i="11"/>
  <c r="S1499" i="11"/>
  <c r="R1500" i="11"/>
  <c r="S1500" i="11"/>
  <c r="R1501" i="11"/>
  <c r="S1501" i="11"/>
  <c r="R1502" i="11"/>
  <c r="S1502" i="11"/>
  <c r="R1503" i="11"/>
  <c r="S1503" i="11"/>
  <c r="R1504" i="11"/>
  <c r="S1504" i="11"/>
  <c r="R1505" i="11"/>
  <c r="S1505" i="11"/>
  <c r="R1506" i="11"/>
  <c r="S1506" i="11"/>
  <c r="R1507" i="11"/>
  <c r="S1507" i="11"/>
  <c r="R1508" i="11"/>
  <c r="S1508" i="11"/>
  <c r="R1509" i="11"/>
  <c r="S1509" i="11"/>
  <c r="R1510" i="11"/>
  <c r="S1510" i="11"/>
  <c r="R1511" i="11"/>
  <c r="S1511" i="11"/>
  <c r="R1512" i="11"/>
  <c r="S1512" i="11"/>
  <c r="R1513" i="11"/>
  <c r="S1513" i="11"/>
  <c r="R1514" i="11"/>
  <c r="S1514" i="11"/>
  <c r="R1515" i="11"/>
  <c r="S1515" i="11"/>
  <c r="R1516" i="11"/>
  <c r="S1516" i="11"/>
  <c r="R1517" i="11"/>
  <c r="S1517" i="11"/>
  <c r="R1518" i="11"/>
  <c r="S1518" i="11"/>
  <c r="R1519" i="11"/>
  <c r="S1519" i="11"/>
  <c r="R1520" i="11"/>
  <c r="S1520" i="11"/>
  <c r="R1521" i="11"/>
  <c r="S1521" i="11"/>
  <c r="R1522" i="11"/>
  <c r="S1522" i="11"/>
  <c r="R1523" i="11"/>
  <c r="S1523" i="11"/>
  <c r="R1524" i="11"/>
  <c r="S1524" i="11"/>
  <c r="R1525" i="11"/>
  <c r="S1525" i="11"/>
  <c r="R1526" i="11"/>
  <c r="S1526" i="11"/>
  <c r="R1527" i="11"/>
  <c r="S1527" i="11"/>
  <c r="R1528" i="11"/>
  <c r="S1528" i="11"/>
  <c r="R1529" i="11"/>
  <c r="S1529" i="11"/>
  <c r="R1530" i="11"/>
  <c r="S1530" i="11"/>
  <c r="R1531" i="11"/>
  <c r="S1531" i="11"/>
  <c r="R1532" i="11"/>
  <c r="S1532" i="11"/>
  <c r="R1533" i="11"/>
  <c r="S1533" i="11"/>
  <c r="R1534" i="11"/>
  <c r="S1534" i="11"/>
  <c r="R1535" i="11"/>
  <c r="S1535" i="11"/>
  <c r="R1536" i="11"/>
  <c r="S1536" i="11"/>
  <c r="R1537" i="11"/>
  <c r="S1537" i="11"/>
  <c r="R1538" i="11"/>
  <c r="S1538" i="11"/>
  <c r="R1539" i="11"/>
  <c r="S1539" i="11"/>
  <c r="R1540" i="11"/>
  <c r="S1540" i="11"/>
  <c r="R1541" i="11"/>
  <c r="S1541" i="11"/>
  <c r="R1542" i="11"/>
  <c r="S1542" i="11"/>
  <c r="R1543" i="11"/>
  <c r="S1543" i="11"/>
  <c r="R1544" i="11"/>
  <c r="S1544" i="11"/>
  <c r="R1545" i="11"/>
  <c r="S1545" i="11"/>
  <c r="R1546" i="11"/>
  <c r="S1546" i="11"/>
  <c r="R1547" i="11"/>
  <c r="S1547" i="11"/>
  <c r="R1548" i="11"/>
  <c r="S1548" i="11"/>
  <c r="R1549" i="11"/>
  <c r="S1549" i="11"/>
  <c r="R1550" i="11"/>
  <c r="S1550" i="11"/>
  <c r="R1551" i="11"/>
  <c r="S1551" i="11"/>
  <c r="R1552" i="11"/>
  <c r="S1552" i="11"/>
  <c r="R1553" i="11"/>
  <c r="S1553" i="11"/>
  <c r="R1554" i="11"/>
  <c r="S1554" i="11"/>
  <c r="R1555" i="11"/>
  <c r="S1555" i="11"/>
  <c r="R1556" i="11"/>
  <c r="S1556" i="11"/>
  <c r="R1557" i="11"/>
  <c r="S1557" i="11"/>
  <c r="R1558" i="11"/>
  <c r="S1558" i="11"/>
  <c r="R1559" i="11"/>
  <c r="S1559" i="11"/>
  <c r="R1560" i="11"/>
  <c r="S1560" i="11"/>
  <c r="R1561" i="11"/>
  <c r="S1561" i="11"/>
  <c r="R1562" i="11"/>
  <c r="S1562" i="11"/>
  <c r="R1563" i="11"/>
  <c r="S1563" i="11"/>
  <c r="R1564" i="11"/>
  <c r="S1564" i="11"/>
  <c r="R1565" i="11"/>
  <c r="S1565" i="11"/>
  <c r="R1566" i="11"/>
  <c r="S1566" i="11"/>
  <c r="R1567" i="11"/>
  <c r="S1567" i="11"/>
  <c r="R1568" i="11"/>
  <c r="S1568" i="11"/>
  <c r="R1569" i="11"/>
  <c r="S1569" i="11"/>
  <c r="R1570" i="11"/>
  <c r="S1570" i="11"/>
  <c r="R1571" i="11"/>
  <c r="S1571" i="11"/>
  <c r="R1572" i="11"/>
  <c r="S1572" i="11"/>
  <c r="R1573" i="11"/>
  <c r="S1573" i="11"/>
  <c r="R1574" i="11"/>
  <c r="S1574" i="11"/>
  <c r="R1575" i="11"/>
  <c r="S1575" i="11"/>
  <c r="R1576" i="11"/>
  <c r="S1576" i="11"/>
  <c r="R1577" i="11"/>
  <c r="S1577" i="11"/>
  <c r="R1578" i="11"/>
  <c r="S1578" i="11"/>
  <c r="R1579" i="11"/>
  <c r="S1579" i="11"/>
  <c r="R1580" i="11"/>
  <c r="S1580" i="11"/>
  <c r="R1581" i="11"/>
  <c r="S1581" i="11"/>
  <c r="R1582" i="11"/>
  <c r="S1582" i="11"/>
  <c r="R1583" i="11"/>
  <c r="S1583" i="11"/>
  <c r="R1584" i="11"/>
  <c r="S1584" i="11"/>
  <c r="R1585" i="11"/>
  <c r="S1585" i="11"/>
  <c r="R1586" i="11"/>
  <c r="S1586" i="11"/>
  <c r="R1587" i="11"/>
  <c r="S1587" i="11"/>
  <c r="R1588" i="11"/>
  <c r="S1588" i="11"/>
  <c r="R1589" i="11"/>
  <c r="S1589" i="11"/>
  <c r="R1590" i="11"/>
  <c r="S1590" i="11"/>
  <c r="R1591" i="11"/>
  <c r="S1591" i="11"/>
  <c r="R1592" i="11"/>
  <c r="S1592" i="11"/>
  <c r="R1593" i="11"/>
  <c r="S1593" i="11"/>
  <c r="R1594" i="11"/>
  <c r="S1594" i="11"/>
  <c r="R1595" i="11"/>
  <c r="S1595" i="11"/>
  <c r="R1596" i="11"/>
  <c r="S1596" i="11"/>
  <c r="R1597" i="11"/>
  <c r="S1597" i="11"/>
  <c r="R1598" i="11"/>
  <c r="S1598" i="11"/>
  <c r="R1599" i="11"/>
  <c r="S1599" i="11"/>
  <c r="R1600" i="11"/>
  <c r="S1600" i="11"/>
  <c r="R1601" i="11"/>
  <c r="S1601" i="11"/>
  <c r="R1602" i="11"/>
  <c r="S1602" i="11"/>
  <c r="R1603" i="11"/>
  <c r="S1603" i="11"/>
  <c r="R1604" i="11"/>
  <c r="S1604" i="11"/>
  <c r="R1605" i="11"/>
  <c r="S1605" i="11"/>
  <c r="R1606" i="11"/>
  <c r="S1606" i="11"/>
  <c r="R1607" i="11"/>
  <c r="S1607" i="11"/>
  <c r="R1608" i="11"/>
  <c r="S1608" i="11"/>
  <c r="R1609" i="11"/>
  <c r="S1609" i="11"/>
  <c r="R1610" i="11"/>
  <c r="S1610" i="11"/>
  <c r="R1611" i="11"/>
  <c r="S1611" i="11"/>
  <c r="R1612" i="11"/>
  <c r="S1612" i="11"/>
  <c r="R1613" i="11"/>
  <c r="S1613" i="11"/>
  <c r="R1614" i="11"/>
  <c r="S1614" i="11"/>
  <c r="R1615" i="11"/>
  <c r="S1615" i="11"/>
  <c r="R1616" i="11"/>
  <c r="S1616" i="11"/>
  <c r="R1617" i="11"/>
  <c r="S1617" i="11"/>
  <c r="R1618" i="11"/>
  <c r="S1618" i="11"/>
  <c r="R1619" i="11"/>
  <c r="S1619" i="11"/>
  <c r="R1620" i="11"/>
  <c r="S1620" i="11"/>
  <c r="R1621" i="11"/>
  <c r="S1621" i="11"/>
  <c r="R1622" i="11"/>
  <c r="S1622" i="11"/>
  <c r="R1623" i="11"/>
  <c r="S1623" i="11"/>
  <c r="R1624" i="11"/>
  <c r="S1624" i="11"/>
  <c r="R1625" i="11"/>
  <c r="S1625" i="11"/>
  <c r="R1626" i="11"/>
  <c r="S1626" i="11"/>
  <c r="R1627" i="11"/>
  <c r="S1627" i="11"/>
  <c r="R1628" i="11"/>
  <c r="S1628" i="11"/>
  <c r="R1629" i="11"/>
  <c r="S1629" i="11"/>
  <c r="R1630" i="11"/>
  <c r="S1630" i="11"/>
  <c r="R1631" i="11"/>
  <c r="S1631" i="11"/>
  <c r="R1632" i="11"/>
  <c r="S1632" i="11"/>
  <c r="R1633" i="11"/>
  <c r="S1633" i="11"/>
  <c r="R1634" i="11"/>
  <c r="S1634" i="11"/>
  <c r="R1635" i="11"/>
  <c r="S1635" i="11"/>
  <c r="R1636" i="11"/>
  <c r="S1636" i="11"/>
  <c r="R1637" i="11"/>
  <c r="S1637" i="11"/>
  <c r="R1638" i="11"/>
  <c r="S1638" i="11"/>
  <c r="R1639" i="11"/>
  <c r="S1639" i="11"/>
  <c r="R1640" i="11"/>
  <c r="S1640" i="11"/>
  <c r="R1641" i="11"/>
  <c r="S1641" i="11"/>
  <c r="R1642" i="11"/>
  <c r="S1642" i="11"/>
  <c r="R1643" i="11"/>
  <c r="S1643" i="11"/>
  <c r="R1644" i="11"/>
  <c r="S1644" i="11"/>
  <c r="R1645" i="11"/>
  <c r="S1645" i="11"/>
  <c r="R1646" i="11"/>
  <c r="S1646" i="11"/>
  <c r="R1647" i="11"/>
  <c r="S1647" i="11"/>
  <c r="R1648" i="11"/>
  <c r="S1648" i="11"/>
  <c r="R1649" i="11"/>
  <c r="S1649" i="11"/>
  <c r="R1650" i="11"/>
  <c r="S1650" i="11"/>
  <c r="R1651" i="11"/>
  <c r="S1651" i="11"/>
  <c r="R1652" i="11"/>
  <c r="S1652" i="11"/>
  <c r="R1653" i="11"/>
  <c r="S1653" i="11"/>
  <c r="R1654" i="11"/>
  <c r="S1654" i="11"/>
  <c r="R1655" i="11"/>
  <c r="S1655" i="11"/>
  <c r="R1656" i="11"/>
  <c r="S1656" i="11"/>
  <c r="R1657" i="11"/>
  <c r="S1657" i="11"/>
  <c r="R1658" i="11"/>
  <c r="S1658" i="11"/>
  <c r="R1659" i="11"/>
  <c r="S1659" i="11"/>
  <c r="R1660" i="11"/>
  <c r="S1660" i="11"/>
  <c r="R1661" i="11"/>
  <c r="S1661" i="11"/>
  <c r="R1662" i="11"/>
  <c r="S1662" i="11"/>
  <c r="R1663" i="11"/>
  <c r="S1663" i="11"/>
  <c r="R1664" i="11"/>
  <c r="S1664" i="11"/>
  <c r="R1665" i="11"/>
  <c r="S1665" i="11"/>
  <c r="R1666" i="11"/>
  <c r="S1666" i="11"/>
  <c r="R1667" i="11"/>
  <c r="S1667" i="11"/>
  <c r="R1668" i="11"/>
  <c r="S1668" i="11"/>
  <c r="R1669" i="11"/>
  <c r="S1669" i="11"/>
  <c r="R1670" i="11"/>
  <c r="S1670" i="11"/>
  <c r="R1671" i="11"/>
  <c r="S1671" i="11"/>
  <c r="R1672" i="11"/>
  <c r="S1672" i="11"/>
  <c r="R1673" i="11"/>
  <c r="S1673" i="11"/>
  <c r="R1674" i="11"/>
  <c r="S1674" i="11"/>
  <c r="R1675" i="11"/>
  <c r="S1675" i="11"/>
  <c r="R1676" i="11"/>
  <c r="S1676" i="11"/>
  <c r="R1677" i="11"/>
  <c r="S1677" i="11"/>
  <c r="R1678" i="11"/>
  <c r="S1678" i="11"/>
  <c r="R1679" i="11"/>
  <c r="S1679" i="11"/>
  <c r="R1680" i="11"/>
  <c r="S1680" i="11"/>
  <c r="R1681" i="11"/>
  <c r="S1681" i="11"/>
  <c r="R1682" i="11"/>
  <c r="S1682" i="11"/>
  <c r="R1683" i="11"/>
  <c r="S1683" i="11"/>
  <c r="R1684" i="11"/>
  <c r="S1684" i="11"/>
  <c r="R1685" i="11"/>
  <c r="S1685" i="11"/>
  <c r="R1686" i="11"/>
  <c r="S1686" i="11"/>
  <c r="R1687" i="11"/>
  <c r="S1687" i="11"/>
  <c r="R1688" i="11"/>
  <c r="S1688" i="11"/>
  <c r="R1689" i="11"/>
  <c r="S1689" i="11"/>
  <c r="R1690" i="11"/>
  <c r="S1690" i="11"/>
  <c r="R1691" i="11"/>
  <c r="S1691" i="11"/>
  <c r="R1692" i="11"/>
  <c r="S1692" i="11"/>
  <c r="R1693" i="11"/>
  <c r="S1693" i="11"/>
  <c r="R1694" i="11"/>
  <c r="S1694" i="11"/>
  <c r="R1695" i="11"/>
  <c r="S1695" i="11"/>
  <c r="R1696" i="11"/>
  <c r="S1696" i="11"/>
  <c r="R1697" i="11"/>
  <c r="S1697" i="11"/>
  <c r="R1698" i="11"/>
  <c r="S1698" i="11"/>
  <c r="R1699" i="11"/>
  <c r="S1699" i="11"/>
  <c r="R1700" i="11"/>
  <c r="S1700" i="11"/>
  <c r="R1701" i="11"/>
  <c r="S1701" i="11"/>
  <c r="R1702" i="11"/>
  <c r="S1702" i="11"/>
  <c r="R1703" i="11"/>
  <c r="S1703" i="11"/>
  <c r="R1704" i="11"/>
  <c r="S1704" i="11"/>
  <c r="R1705" i="11"/>
  <c r="S1705" i="11"/>
  <c r="R1706" i="11"/>
  <c r="S1706" i="11"/>
  <c r="R1707" i="11"/>
  <c r="S1707" i="11"/>
  <c r="R1708" i="11"/>
  <c r="S1708" i="11"/>
  <c r="R1709" i="11"/>
  <c r="S1709" i="11"/>
  <c r="R1710" i="11"/>
  <c r="S1710" i="11"/>
  <c r="R1711" i="11"/>
  <c r="S1711" i="11"/>
  <c r="R1712" i="11"/>
  <c r="S1712" i="11"/>
  <c r="R1713" i="11"/>
  <c r="S1713" i="11"/>
  <c r="R1714" i="11"/>
  <c r="S1714" i="11"/>
  <c r="R1715" i="11"/>
  <c r="S1715" i="11"/>
  <c r="R1716" i="11"/>
  <c r="S1716" i="11"/>
  <c r="R1717" i="11"/>
  <c r="S1717" i="11"/>
  <c r="R1718" i="11"/>
  <c r="S1718" i="11"/>
  <c r="R1719" i="11"/>
  <c r="S1719" i="11"/>
  <c r="R1720" i="11"/>
  <c r="S1720" i="11"/>
  <c r="R1721" i="11"/>
  <c r="S1721" i="11"/>
  <c r="R1722" i="11"/>
  <c r="S1722" i="11"/>
  <c r="R1723" i="11"/>
  <c r="S1723" i="11"/>
  <c r="R1724" i="11"/>
  <c r="S1724" i="11"/>
  <c r="R1725" i="11"/>
  <c r="S1725" i="11"/>
  <c r="R1726" i="11"/>
  <c r="S1726" i="11"/>
  <c r="R1727" i="11"/>
  <c r="S1727" i="11"/>
  <c r="R1728" i="11"/>
  <c r="S1728" i="11"/>
  <c r="R1729" i="11"/>
  <c r="S1729" i="11"/>
  <c r="R1730" i="11"/>
  <c r="S1730" i="11"/>
  <c r="R1731" i="11"/>
  <c r="S1731" i="11"/>
  <c r="R1732" i="11"/>
  <c r="S1732" i="11"/>
  <c r="R1733" i="11"/>
  <c r="S1733" i="11"/>
  <c r="R1734" i="11"/>
  <c r="S1734" i="11"/>
  <c r="R1735" i="11"/>
  <c r="S1735" i="11"/>
  <c r="R1736" i="11"/>
  <c r="S1736" i="11"/>
  <c r="R1737" i="11"/>
  <c r="S1737" i="11"/>
  <c r="R1738" i="11"/>
  <c r="S1738" i="11"/>
  <c r="R1739" i="11"/>
  <c r="S1739" i="11"/>
  <c r="R1740" i="11"/>
  <c r="S1740" i="11"/>
  <c r="R1741" i="11"/>
  <c r="S1741" i="11"/>
  <c r="R1742" i="11"/>
  <c r="S1742" i="11"/>
  <c r="R1743" i="11"/>
  <c r="S1743" i="11"/>
  <c r="R1744" i="11"/>
  <c r="S1744" i="11"/>
  <c r="R1745" i="11"/>
  <c r="S1745" i="11"/>
  <c r="R1746" i="11"/>
  <c r="S1746" i="11"/>
  <c r="R1747" i="11"/>
  <c r="S1747" i="11"/>
  <c r="R1748" i="11"/>
  <c r="S1748" i="11"/>
  <c r="R1749" i="11"/>
  <c r="S1749" i="11"/>
  <c r="R1750" i="11"/>
  <c r="S1750" i="11"/>
  <c r="R1751" i="11"/>
  <c r="S1751" i="11"/>
  <c r="R1752" i="11"/>
  <c r="S1752" i="11"/>
  <c r="R1753" i="11"/>
  <c r="S1753" i="11"/>
  <c r="R1754" i="11"/>
  <c r="S1754" i="11"/>
  <c r="R1755" i="11"/>
  <c r="S1755" i="11"/>
  <c r="R1756" i="11"/>
  <c r="S1756" i="11"/>
  <c r="R1757" i="11"/>
  <c r="S1757" i="11"/>
  <c r="R1758" i="11"/>
  <c r="S1758" i="11"/>
  <c r="R1759" i="11"/>
  <c r="S1759" i="11"/>
  <c r="R1760" i="11"/>
  <c r="S1760" i="11"/>
  <c r="R1761" i="11"/>
  <c r="S1761" i="11"/>
  <c r="R1762" i="11"/>
  <c r="S1762" i="11"/>
  <c r="R1763" i="11"/>
  <c r="S1763" i="11"/>
  <c r="R1764" i="11"/>
  <c r="S1764" i="11"/>
  <c r="R1765" i="11"/>
  <c r="S1765" i="11"/>
  <c r="R1766" i="11"/>
  <c r="S1766" i="11"/>
  <c r="R1767" i="11"/>
  <c r="S1767" i="11"/>
  <c r="R1768" i="11"/>
  <c r="S1768" i="11"/>
  <c r="R1769" i="11"/>
  <c r="S1769" i="11"/>
  <c r="R1770" i="11"/>
  <c r="S1770" i="11"/>
  <c r="R1771" i="11"/>
  <c r="S1771" i="11"/>
  <c r="R1772" i="11"/>
  <c r="S1772" i="11"/>
  <c r="R1773" i="11"/>
  <c r="S1773" i="11"/>
  <c r="R1774" i="11"/>
  <c r="S1774" i="11"/>
  <c r="R1775" i="11"/>
  <c r="S1775" i="11"/>
  <c r="R1776" i="11"/>
  <c r="S1776" i="11"/>
  <c r="R1777" i="11"/>
  <c r="S1777" i="11"/>
  <c r="R1778" i="11"/>
  <c r="S1778" i="11"/>
  <c r="R1779" i="11"/>
  <c r="S1779" i="11"/>
  <c r="R1780" i="11"/>
  <c r="S1780" i="11"/>
  <c r="R1781" i="11"/>
  <c r="S1781" i="11"/>
  <c r="R1782" i="11"/>
  <c r="S1782" i="11"/>
  <c r="R1783" i="11"/>
  <c r="S1783" i="11"/>
  <c r="R1784" i="11"/>
  <c r="S1784" i="11"/>
  <c r="R1785" i="11"/>
  <c r="S1785" i="11"/>
  <c r="R1786" i="11"/>
  <c r="S1786" i="11"/>
  <c r="R1787" i="11"/>
  <c r="S1787" i="11"/>
  <c r="R1788" i="11"/>
  <c r="S1788" i="11"/>
  <c r="R1789" i="11"/>
  <c r="S1789" i="11"/>
  <c r="R1790" i="11"/>
  <c r="S1790" i="11"/>
  <c r="R1791" i="11"/>
  <c r="S1791" i="11"/>
  <c r="R1792" i="11"/>
  <c r="S1792" i="11"/>
  <c r="R1793" i="11"/>
  <c r="S1793" i="11"/>
  <c r="R1794" i="11"/>
  <c r="S1794" i="11"/>
  <c r="R1795" i="11"/>
  <c r="S1795" i="11"/>
  <c r="R1796" i="11"/>
  <c r="S1796" i="11"/>
  <c r="R1797" i="11"/>
  <c r="S1797" i="11"/>
  <c r="R1798" i="11"/>
  <c r="S1798" i="11"/>
  <c r="R1799" i="11"/>
  <c r="S1799" i="11"/>
  <c r="R1800" i="11"/>
  <c r="S1800" i="11"/>
  <c r="R1801" i="11"/>
  <c r="S1801" i="11"/>
  <c r="R1802" i="11"/>
  <c r="S1802" i="11"/>
  <c r="R1803" i="11"/>
  <c r="S1803" i="11"/>
  <c r="R1804" i="11"/>
  <c r="S1804" i="11"/>
  <c r="R1805" i="11"/>
  <c r="S1805" i="11"/>
  <c r="R1806" i="11"/>
  <c r="S1806" i="11"/>
  <c r="R1807" i="11"/>
  <c r="S1807" i="11"/>
  <c r="R1808" i="11"/>
  <c r="S1808" i="11"/>
  <c r="R1809" i="11"/>
  <c r="S1809" i="11"/>
  <c r="R1810" i="11"/>
  <c r="S1810" i="11"/>
  <c r="R1811" i="11"/>
  <c r="S1811" i="11"/>
  <c r="R1812" i="11"/>
  <c r="S1812" i="11"/>
  <c r="R1813" i="11"/>
  <c r="S1813" i="11"/>
  <c r="R1814" i="11"/>
  <c r="S1814" i="11"/>
  <c r="R1815" i="11"/>
  <c r="S1815" i="11"/>
  <c r="R1816" i="11"/>
  <c r="S1816" i="11"/>
  <c r="R1817" i="11"/>
  <c r="S1817" i="11"/>
  <c r="R1818" i="11"/>
  <c r="S1818" i="11"/>
  <c r="R1819" i="11"/>
  <c r="S1819" i="11"/>
  <c r="R1820" i="11"/>
  <c r="S1820" i="11"/>
  <c r="R1821" i="11"/>
  <c r="S1821" i="11"/>
  <c r="R1822" i="11"/>
  <c r="S1822" i="11"/>
  <c r="R1823" i="11"/>
  <c r="S1823" i="11"/>
  <c r="R1824" i="11"/>
  <c r="S1824" i="11"/>
  <c r="R1825" i="11"/>
  <c r="S1825" i="11"/>
  <c r="R1826" i="11"/>
  <c r="S1826" i="11"/>
  <c r="R1827" i="11"/>
  <c r="S1827" i="11"/>
  <c r="R1828" i="11"/>
  <c r="S1828" i="11"/>
  <c r="R1829" i="11"/>
  <c r="S1829" i="11"/>
  <c r="R1830" i="11"/>
  <c r="S1830" i="11"/>
  <c r="R1831" i="11"/>
  <c r="S1831" i="11"/>
  <c r="R1832" i="11"/>
  <c r="S1832" i="11"/>
  <c r="R1833" i="11"/>
  <c r="S1833" i="11"/>
  <c r="R1834" i="11"/>
  <c r="S1834" i="11"/>
  <c r="R1835" i="11"/>
  <c r="S1835" i="11"/>
  <c r="R1836" i="11"/>
  <c r="S1836" i="11"/>
  <c r="R1837" i="11"/>
  <c r="S1837" i="11"/>
  <c r="R1838" i="11"/>
  <c r="S1838" i="11"/>
  <c r="R1839" i="11"/>
  <c r="S1839" i="11"/>
  <c r="R1840" i="11"/>
  <c r="S1840" i="11"/>
  <c r="R1841" i="11"/>
  <c r="S1841" i="11"/>
  <c r="R1842" i="11"/>
  <c r="S1842" i="11"/>
  <c r="R1843" i="11"/>
  <c r="S1843" i="11"/>
  <c r="R1844" i="11"/>
  <c r="S1844" i="11"/>
  <c r="R1845" i="11"/>
  <c r="S1845" i="11"/>
  <c r="R1846" i="11"/>
  <c r="S1846" i="11"/>
  <c r="R1847" i="11"/>
  <c r="S1847" i="11"/>
  <c r="R1848" i="11"/>
  <c r="S1848" i="11"/>
  <c r="R1849" i="11"/>
  <c r="S1849" i="11"/>
  <c r="R1850" i="11"/>
  <c r="S1850" i="11"/>
  <c r="R1851" i="11"/>
  <c r="S1851" i="11"/>
  <c r="R1852" i="11"/>
  <c r="S1852" i="11"/>
  <c r="R1853" i="11"/>
  <c r="S1853" i="11"/>
  <c r="R1854" i="11"/>
  <c r="S1854" i="11"/>
  <c r="R1855" i="11"/>
  <c r="S1855" i="11"/>
  <c r="R1856" i="11"/>
  <c r="S1856" i="11"/>
  <c r="R1857" i="11"/>
  <c r="S1857" i="11"/>
  <c r="R1858" i="11"/>
  <c r="S1858" i="11"/>
  <c r="R1859" i="11"/>
  <c r="S1859" i="11"/>
  <c r="R1860" i="11"/>
  <c r="S1860" i="11"/>
  <c r="R1861" i="11"/>
  <c r="S1861" i="11"/>
  <c r="R1862" i="11"/>
  <c r="S1862" i="11"/>
  <c r="R1863" i="11"/>
  <c r="S1863" i="11"/>
  <c r="R1864" i="11"/>
  <c r="S1864" i="11"/>
  <c r="R1865" i="11"/>
  <c r="S1865" i="11"/>
  <c r="R1866" i="11"/>
  <c r="S1866" i="11"/>
  <c r="R1867" i="11"/>
  <c r="S1867" i="11"/>
  <c r="R1868" i="11"/>
  <c r="S1868" i="11"/>
  <c r="R1869" i="11"/>
  <c r="S1869" i="11"/>
  <c r="R1870" i="11"/>
  <c r="S1870" i="11"/>
  <c r="R1871" i="11"/>
  <c r="S1871" i="11"/>
  <c r="R1872" i="11"/>
  <c r="S1872" i="11"/>
  <c r="R1873" i="11"/>
  <c r="S1873" i="11"/>
  <c r="R1874" i="11"/>
  <c r="S1874" i="11"/>
  <c r="R1875" i="11"/>
  <c r="S1875" i="11"/>
  <c r="R1876" i="11"/>
  <c r="S1876" i="11"/>
  <c r="R1877" i="11"/>
  <c r="S1877" i="11"/>
  <c r="R1878" i="11"/>
  <c r="S1878" i="11"/>
  <c r="R1879" i="11"/>
  <c r="S1879" i="11"/>
  <c r="R1880" i="11"/>
  <c r="S1880" i="11"/>
  <c r="R1881" i="11"/>
  <c r="S1881" i="11"/>
  <c r="R1882" i="11"/>
  <c r="S1882" i="11"/>
  <c r="R1883" i="11"/>
  <c r="S1883" i="11"/>
  <c r="R1884" i="11"/>
  <c r="S1884" i="11"/>
  <c r="R1885" i="11"/>
  <c r="S1885" i="11"/>
  <c r="R1886" i="11"/>
  <c r="S1886" i="11"/>
  <c r="R1887" i="11"/>
  <c r="S1887" i="11"/>
  <c r="R1888" i="11"/>
  <c r="S1888" i="11"/>
  <c r="R1889" i="11"/>
  <c r="S1889" i="11"/>
  <c r="R1890" i="11"/>
  <c r="S1890" i="11"/>
  <c r="R1891" i="11"/>
  <c r="S1891" i="11"/>
  <c r="R1892" i="11"/>
  <c r="S1892" i="11"/>
  <c r="R1893" i="11"/>
  <c r="S1893" i="11"/>
  <c r="R1894" i="11"/>
  <c r="S1894" i="11"/>
  <c r="R1895" i="11"/>
  <c r="S1895" i="11"/>
  <c r="R1896" i="11"/>
  <c r="S1896" i="11"/>
  <c r="R1897" i="11"/>
  <c r="S1897" i="11"/>
  <c r="R1898" i="11"/>
  <c r="S1898" i="11"/>
  <c r="R1899" i="11"/>
  <c r="S1899" i="11"/>
  <c r="R1900" i="11"/>
  <c r="S1900" i="11"/>
  <c r="R1901" i="11"/>
  <c r="S1901" i="11"/>
  <c r="R1902" i="11"/>
  <c r="S1902" i="11"/>
  <c r="R1903" i="11"/>
  <c r="S1903" i="11"/>
  <c r="R1904" i="11"/>
  <c r="S1904" i="11"/>
  <c r="R1905" i="11"/>
  <c r="S1905" i="11"/>
  <c r="R1906" i="11"/>
  <c r="S1906" i="11"/>
  <c r="R1907" i="11"/>
  <c r="S1907" i="11"/>
  <c r="R1908" i="11"/>
  <c r="S1908" i="11"/>
  <c r="R1909" i="11"/>
  <c r="S1909" i="11"/>
  <c r="R1910" i="11"/>
  <c r="S1910" i="11"/>
  <c r="R1911" i="11"/>
  <c r="S1911" i="11"/>
  <c r="R1912" i="11"/>
  <c r="S1912" i="11"/>
  <c r="R1913" i="11"/>
  <c r="S1913" i="11"/>
  <c r="R1914" i="11"/>
  <c r="S1914" i="11"/>
  <c r="R1915" i="11"/>
  <c r="S1915" i="11"/>
  <c r="R1916" i="11"/>
  <c r="S1916" i="11"/>
  <c r="R1917" i="11"/>
  <c r="S1917" i="11"/>
  <c r="R1918" i="11"/>
  <c r="S1918" i="11"/>
  <c r="R1919" i="11"/>
  <c r="S1919" i="11"/>
  <c r="R1920" i="11"/>
  <c r="S1920" i="11"/>
  <c r="R1921" i="11"/>
  <c r="S1921" i="11"/>
  <c r="R1922" i="11"/>
  <c r="S1922" i="11"/>
  <c r="R1923" i="11"/>
  <c r="S1923" i="11"/>
  <c r="R1924" i="11"/>
  <c r="S1924" i="11"/>
  <c r="R1925" i="11"/>
  <c r="S1925" i="11"/>
  <c r="R1926" i="11"/>
  <c r="S1926" i="11"/>
  <c r="R1927" i="11"/>
  <c r="S1927" i="11"/>
  <c r="R1928" i="11"/>
  <c r="S1928" i="11"/>
  <c r="R1929" i="11"/>
  <c r="S1929" i="11"/>
  <c r="R1930" i="11"/>
  <c r="S1930" i="11"/>
  <c r="R1931" i="11"/>
  <c r="S1931" i="11"/>
  <c r="R1932" i="11"/>
  <c r="S1932" i="11"/>
  <c r="R1933" i="11"/>
  <c r="S1933" i="11"/>
  <c r="R1934" i="11"/>
  <c r="S1934" i="11"/>
  <c r="R1935" i="11"/>
  <c r="S1935" i="11"/>
  <c r="R1936" i="11"/>
  <c r="S1936" i="11"/>
  <c r="R1937" i="11"/>
  <c r="S1937" i="11"/>
  <c r="R1938" i="11"/>
  <c r="S1938" i="11"/>
  <c r="R1939" i="11"/>
  <c r="S1939" i="11"/>
  <c r="R1940" i="11"/>
  <c r="S1940" i="11"/>
  <c r="R1941" i="11"/>
  <c r="S1941" i="11"/>
  <c r="R1942" i="11"/>
  <c r="S1942" i="11"/>
  <c r="R1943" i="11"/>
  <c r="S1943" i="11"/>
  <c r="R1944" i="11"/>
  <c r="S1944" i="11"/>
  <c r="R1945" i="11"/>
  <c r="S1945" i="11"/>
  <c r="R1946" i="11"/>
  <c r="S1946" i="11"/>
  <c r="R1947" i="11"/>
  <c r="S1947" i="11"/>
  <c r="R1948" i="11"/>
  <c r="S1948" i="11"/>
  <c r="R1949" i="11"/>
  <c r="S1949" i="11"/>
  <c r="R1950" i="11"/>
  <c r="S1950" i="11"/>
  <c r="R1951" i="11"/>
  <c r="S1951" i="11"/>
  <c r="R1952" i="11"/>
  <c r="S1952" i="11"/>
  <c r="R1953" i="11"/>
  <c r="S1953" i="11"/>
  <c r="R1954" i="11"/>
  <c r="S1954" i="11"/>
  <c r="R1955" i="11"/>
  <c r="S1955" i="11"/>
  <c r="R1956" i="11"/>
  <c r="S1956" i="11"/>
  <c r="R1957" i="11"/>
  <c r="S1957" i="11"/>
  <c r="R1958" i="11"/>
  <c r="S1958" i="11"/>
  <c r="R1959" i="11"/>
  <c r="S1959" i="11"/>
  <c r="R1960" i="11"/>
  <c r="S1960" i="11"/>
  <c r="R1961" i="11"/>
  <c r="S1961" i="11"/>
  <c r="R1962" i="11"/>
  <c r="S1962" i="11"/>
  <c r="R1963" i="11"/>
  <c r="S1963" i="11"/>
  <c r="R1964" i="11"/>
  <c r="S1964" i="11"/>
  <c r="R1965" i="11"/>
  <c r="S1965" i="11"/>
  <c r="R1966" i="11"/>
  <c r="S1966" i="11"/>
  <c r="R1967" i="11"/>
  <c r="S1967" i="11"/>
  <c r="R1968" i="11"/>
  <c r="S1968" i="11"/>
  <c r="R1969" i="11"/>
  <c r="S1969" i="11"/>
  <c r="R1970" i="11"/>
  <c r="S1970" i="11"/>
  <c r="R1971" i="11"/>
  <c r="S1971" i="11"/>
  <c r="R1972" i="11"/>
  <c r="S1972" i="11"/>
  <c r="R1973" i="11"/>
  <c r="S1973" i="11"/>
  <c r="R1974" i="11"/>
  <c r="S1974" i="11"/>
  <c r="R1975" i="11"/>
  <c r="S1975" i="11"/>
  <c r="R1976" i="11"/>
  <c r="S1976" i="11"/>
  <c r="R1977" i="11"/>
  <c r="S1977" i="11"/>
  <c r="R1978" i="11"/>
  <c r="S1978" i="11"/>
  <c r="R1979" i="11"/>
  <c r="S1979" i="11"/>
  <c r="R1980" i="11"/>
  <c r="S1980" i="11"/>
  <c r="R1981" i="11"/>
  <c r="S1981" i="11"/>
  <c r="R1982" i="11"/>
  <c r="S1982" i="11"/>
  <c r="R1983" i="11"/>
  <c r="S1983" i="11"/>
  <c r="R1984" i="11"/>
  <c r="S1984" i="11"/>
  <c r="R1985" i="11"/>
  <c r="S1985" i="11"/>
  <c r="R1986" i="11"/>
  <c r="S1986" i="11"/>
  <c r="R1987" i="11"/>
  <c r="S1987" i="11"/>
  <c r="R1988" i="11"/>
  <c r="S1988" i="11"/>
  <c r="R1989" i="11"/>
  <c r="S1989" i="11"/>
  <c r="R1990" i="11"/>
  <c r="S1990" i="11"/>
  <c r="R1991" i="11"/>
  <c r="S1991" i="11"/>
  <c r="R1992" i="11"/>
  <c r="S1992" i="11"/>
  <c r="R1993" i="11"/>
  <c r="S1993" i="11"/>
  <c r="R1994" i="11"/>
  <c r="S1994" i="11"/>
  <c r="R1995" i="11"/>
  <c r="S1995" i="11"/>
  <c r="R1996" i="11"/>
  <c r="S1996" i="11"/>
  <c r="R1997" i="11"/>
  <c r="S1997" i="11"/>
  <c r="R1998" i="11"/>
  <c r="S1998" i="11"/>
  <c r="R1999" i="11"/>
  <c r="S1999" i="11"/>
  <c r="R2000" i="11"/>
  <c r="S2000" i="11"/>
  <c r="R2001" i="11"/>
  <c r="S2001" i="11"/>
  <c r="R2002" i="11"/>
  <c r="S2002" i="11"/>
  <c r="R2003" i="11"/>
  <c r="S2003" i="11"/>
  <c r="R2004" i="11"/>
  <c r="S2004" i="11"/>
  <c r="R2005" i="11"/>
  <c r="S2005" i="11"/>
  <c r="R2006" i="11"/>
  <c r="S2006" i="11"/>
  <c r="R2007" i="11"/>
  <c r="S2007" i="11"/>
  <c r="R2008" i="11"/>
  <c r="S2008" i="11"/>
  <c r="R2009" i="11"/>
  <c r="S2009" i="11"/>
  <c r="R2010" i="11"/>
  <c r="S2010" i="11"/>
  <c r="R2011" i="11"/>
  <c r="S2011" i="11"/>
  <c r="R2012" i="11"/>
  <c r="S2012" i="11"/>
  <c r="R2013" i="11"/>
  <c r="S2013" i="11"/>
  <c r="R2014" i="11"/>
  <c r="S2014" i="11"/>
  <c r="R2015" i="11"/>
  <c r="S2015" i="11"/>
  <c r="R2016" i="11"/>
  <c r="S2016" i="11"/>
  <c r="R2017" i="11"/>
  <c r="S2017" i="11"/>
  <c r="R2018" i="11"/>
  <c r="S2018" i="11"/>
  <c r="R2019" i="11"/>
  <c r="S2019" i="11"/>
  <c r="R2020" i="11"/>
  <c r="S2020" i="11"/>
  <c r="R2021" i="11"/>
  <c r="S2021" i="11"/>
  <c r="R2022" i="11"/>
  <c r="S2022" i="11"/>
  <c r="R2023" i="11"/>
  <c r="S2023" i="11"/>
  <c r="R2024" i="11"/>
  <c r="S2024" i="11"/>
  <c r="R2025" i="11"/>
  <c r="S2025" i="11"/>
  <c r="R2026" i="11"/>
  <c r="S2026" i="11"/>
  <c r="R2027" i="11"/>
  <c r="S2027" i="11"/>
  <c r="R2028" i="11"/>
  <c r="S2028" i="11"/>
  <c r="R2029" i="11"/>
  <c r="S2029" i="11"/>
  <c r="R2030" i="11"/>
  <c r="S2030" i="11"/>
  <c r="R2031" i="11"/>
  <c r="S2031" i="11"/>
  <c r="R2032" i="11"/>
  <c r="S2032" i="11"/>
  <c r="R2033" i="11"/>
  <c r="S2033" i="11"/>
  <c r="R2034" i="11"/>
  <c r="S2034" i="11"/>
  <c r="R2035" i="11"/>
  <c r="S2035" i="11"/>
  <c r="R2036" i="11"/>
  <c r="S2036" i="11"/>
  <c r="R2037" i="11"/>
  <c r="S2037" i="11"/>
  <c r="R2038" i="11"/>
  <c r="S2038" i="11"/>
  <c r="R2039" i="11"/>
  <c r="S2039" i="11"/>
  <c r="R2040" i="11"/>
  <c r="S2040" i="11"/>
  <c r="R2041" i="11"/>
  <c r="S2041" i="11"/>
  <c r="R2042" i="11"/>
  <c r="S2042" i="11"/>
  <c r="R2043" i="11"/>
  <c r="S2043" i="11"/>
  <c r="R2044" i="11"/>
  <c r="S2044" i="11"/>
  <c r="R2045" i="11"/>
  <c r="S2045" i="11"/>
  <c r="R2046" i="11"/>
  <c r="S2046" i="11"/>
  <c r="R2047" i="11"/>
  <c r="S2047" i="11"/>
  <c r="R2048" i="11"/>
  <c r="S2048" i="11"/>
  <c r="R2049" i="11"/>
  <c r="S2049" i="11"/>
  <c r="R2050" i="11"/>
  <c r="S2050" i="11"/>
  <c r="R2051" i="11"/>
  <c r="S2051" i="11"/>
  <c r="R2052" i="11"/>
  <c r="S2052" i="11"/>
  <c r="R2053" i="11"/>
  <c r="S2053" i="11"/>
  <c r="R2054" i="11"/>
  <c r="S2054" i="11"/>
  <c r="R2055" i="11"/>
  <c r="S2055" i="11"/>
  <c r="R2056" i="11"/>
  <c r="S2056" i="11"/>
  <c r="R2057" i="11"/>
  <c r="S2057" i="11"/>
  <c r="R2058" i="11"/>
  <c r="S2058" i="11"/>
  <c r="R2059" i="11"/>
  <c r="S2059" i="11"/>
  <c r="R2060" i="11"/>
  <c r="S2060" i="11"/>
  <c r="R2061" i="11"/>
  <c r="S2061" i="11"/>
  <c r="R2062" i="11"/>
  <c r="S2062" i="11"/>
  <c r="R2063" i="11"/>
  <c r="S2063" i="11"/>
  <c r="R2064" i="11"/>
  <c r="S2064" i="11"/>
  <c r="R2065" i="11"/>
  <c r="S2065" i="11"/>
  <c r="R2066" i="11"/>
  <c r="S2066" i="11"/>
  <c r="R2067" i="11"/>
  <c r="S2067" i="11"/>
  <c r="R2068" i="11"/>
  <c r="S2068" i="11"/>
  <c r="R2069" i="11"/>
  <c r="S2069" i="11"/>
  <c r="R2070" i="11"/>
  <c r="S2070" i="11"/>
  <c r="R2071" i="11"/>
  <c r="S2071" i="11"/>
  <c r="R2072" i="11"/>
  <c r="S2072" i="11"/>
  <c r="R2073" i="11"/>
  <c r="S2073" i="11"/>
  <c r="R2074" i="11"/>
  <c r="S2074" i="11"/>
  <c r="R2075" i="11"/>
  <c r="S2075" i="11"/>
  <c r="R2076" i="11"/>
  <c r="S2076" i="11"/>
  <c r="R2077" i="11"/>
  <c r="S2077" i="11"/>
  <c r="R2078" i="11"/>
  <c r="S2078" i="11"/>
  <c r="R2079" i="11"/>
  <c r="S2079" i="11"/>
  <c r="R2080" i="11"/>
  <c r="S2080" i="11"/>
  <c r="R2081" i="11"/>
  <c r="S2081" i="11"/>
  <c r="R2082" i="11"/>
  <c r="S2082" i="11"/>
  <c r="R2083" i="11"/>
  <c r="S2083" i="11"/>
  <c r="R2084" i="11"/>
  <c r="S2084" i="11"/>
  <c r="R2085" i="11"/>
  <c r="S2085" i="11"/>
  <c r="R2086" i="11"/>
  <c r="S2086" i="11"/>
  <c r="R2087" i="11"/>
  <c r="S2087" i="11"/>
  <c r="R2088" i="11"/>
  <c r="S2088" i="11"/>
  <c r="R2089" i="11"/>
  <c r="S2089" i="11"/>
  <c r="R2090" i="11"/>
  <c r="S2090" i="11"/>
  <c r="R2091" i="11"/>
  <c r="S2091" i="11"/>
  <c r="R2092" i="11"/>
  <c r="S2092" i="11"/>
  <c r="R2093" i="11"/>
  <c r="S2093" i="11"/>
  <c r="R2094" i="11"/>
  <c r="S2094" i="11"/>
  <c r="R2095" i="11"/>
  <c r="S2095" i="11"/>
  <c r="R2096" i="11"/>
  <c r="S2096" i="11"/>
  <c r="R2097" i="11"/>
  <c r="S2097" i="11"/>
  <c r="R2098" i="11"/>
  <c r="S2098" i="11"/>
  <c r="R2099" i="11"/>
  <c r="S2099" i="11"/>
  <c r="R2100" i="11"/>
  <c r="S2100" i="11"/>
  <c r="R2101" i="11"/>
  <c r="S2101" i="11"/>
  <c r="R2102" i="11"/>
  <c r="S2102" i="11"/>
  <c r="R2103" i="11"/>
  <c r="S2103" i="11"/>
  <c r="R2104" i="11"/>
  <c r="S2104" i="11"/>
  <c r="R2105" i="11"/>
  <c r="S2105" i="11"/>
  <c r="R2106" i="11"/>
  <c r="S2106" i="11"/>
  <c r="R2107" i="11"/>
  <c r="S2107" i="11"/>
  <c r="R2108" i="11"/>
  <c r="S2108" i="11"/>
  <c r="R2109" i="11"/>
  <c r="S2109" i="11"/>
  <c r="R2110" i="11"/>
  <c r="S2110" i="11"/>
  <c r="R2111" i="11"/>
  <c r="S2111" i="11"/>
  <c r="R2112" i="11"/>
  <c r="S2112" i="11"/>
  <c r="R2113" i="11"/>
  <c r="S2113" i="11"/>
  <c r="R2114" i="11"/>
  <c r="S2114" i="11"/>
  <c r="R2115" i="11"/>
  <c r="S2115" i="11"/>
  <c r="R2116" i="11"/>
  <c r="S2116" i="11"/>
  <c r="R2117" i="11"/>
  <c r="S2117" i="11"/>
  <c r="R2118" i="11"/>
  <c r="S2118" i="11"/>
  <c r="R2119" i="11"/>
  <c r="S2119" i="11"/>
  <c r="R2120" i="11"/>
  <c r="S2120" i="11"/>
  <c r="R2121" i="11"/>
  <c r="S2121" i="11"/>
  <c r="R2122" i="11"/>
  <c r="S2122" i="11"/>
  <c r="R2123" i="11"/>
  <c r="S2123" i="11"/>
  <c r="R2124" i="11"/>
  <c r="S2124" i="11"/>
  <c r="R2125" i="11"/>
  <c r="S2125" i="11"/>
  <c r="R2126" i="11"/>
  <c r="S2126" i="11"/>
  <c r="R2127" i="11"/>
  <c r="S2127" i="11"/>
  <c r="R2128" i="11"/>
  <c r="S2128" i="11"/>
  <c r="R2129" i="11"/>
  <c r="S2129" i="11"/>
  <c r="R2130" i="11"/>
  <c r="S2130" i="11"/>
  <c r="R2131" i="11"/>
  <c r="S2131" i="11"/>
  <c r="R2132" i="11"/>
  <c r="S2132" i="11"/>
  <c r="R2133" i="11"/>
  <c r="S2133" i="11"/>
  <c r="R2134" i="11"/>
  <c r="S2134" i="11"/>
  <c r="R2135" i="11"/>
  <c r="S2135" i="11"/>
  <c r="R2136" i="11"/>
  <c r="S2136" i="11"/>
  <c r="R2137" i="11"/>
  <c r="S2137" i="11"/>
  <c r="R2138" i="11"/>
  <c r="S2138" i="11"/>
  <c r="R2139" i="11"/>
  <c r="S2139" i="11"/>
  <c r="R2140" i="11"/>
  <c r="S2140" i="11"/>
  <c r="R2141" i="11"/>
  <c r="S2141" i="11"/>
  <c r="R2142" i="11"/>
  <c r="S2142" i="11"/>
  <c r="R2143" i="11"/>
  <c r="S2143" i="11"/>
  <c r="R2144" i="11"/>
  <c r="S2144" i="11"/>
  <c r="R2145" i="11"/>
  <c r="S2145" i="11"/>
  <c r="R2146" i="11"/>
  <c r="S2146" i="11"/>
  <c r="R2147" i="11"/>
  <c r="S2147" i="11"/>
  <c r="R2148" i="11"/>
  <c r="S2148" i="11"/>
  <c r="R2149" i="11"/>
  <c r="S2149" i="11"/>
  <c r="R2150" i="11"/>
  <c r="S2150" i="11"/>
  <c r="R2151" i="11"/>
  <c r="S2151" i="11"/>
  <c r="R2152" i="11"/>
  <c r="S2152" i="11"/>
  <c r="R2153" i="11"/>
  <c r="S2153" i="11"/>
  <c r="R2154" i="11"/>
  <c r="S2154" i="11"/>
  <c r="R2155" i="11"/>
  <c r="S2155" i="11"/>
  <c r="R2156" i="11"/>
  <c r="S2156" i="11"/>
  <c r="R2157" i="11"/>
  <c r="S2157" i="11"/>
  <c r="R2158" i="11"/>
  <c r="S2158" i="11"/>
  <c r="R2159" i="11"/>
  <c r="S2159" i="11"/>
  <c r="R2160" i="11"/>
  <c r="S2160" i="11"/>
  <c r="R2161" i="11"/>
  <c r="S2161" i="11"/>
  <c r="R2162" i="11"/>
  <c r="S2162" i="11"/>
  <c r="R2163" i="11"/>
  <c r="S2163" i="11"/>
  <c r="R2164" i="11"/>
  <c r="S2164" i="11"/>
  <c r="R2165" i="11"/>
  <c r="S2165" i="11"/>
  <c r="R2166" i="11"/>
  <c r="S2166" i="11"/>
  <c r="R2167" i="11"/>
  <c r="S2167" i="11"/>
  <c r="R2168" i="11"/>
  <c r="S2168" i="11"/>
  <c r="R2169" i="11"/>
  <c r="S2169" i="11"/>
  <c r="R2170" i="11"/>
  <c r="S2170" i="11"/>
  <c r="R2171" i="11"/>
  <c r="S2171" i="11"/>
  <c r="R2172" i="11"/>
  <c r="S2172" i="11"/>
  <c r="R2173" i="11"/>
  <c r="S2173" i="11"/>
  <c r="R2174" i="11"/>
  <c r="S2174" i="11"/>
  <c r="R2175" i="11"/>
  <c r="S2175" i="11"/>
  <c r="R2176" i="11"/>
  <c r="S2176" i="11"/>
  <c r="R2177" i="11"/>
  <c r="S2177" i="11"/>
  <c r="R2178" i="11"/>
  <c r="S2178" i="11"/>
  <c r="R2179" i="11"/>
  <c r="S2179" i="11"/>
  <c r="R2180" i="11"/>
  <c r="S2180" i="11"/>
  <c r="R2181" i="11"/>
  <c r="S2181" i="11"/>
  <c r="R2182" i="11"/>
  <c r="S2182" i="11"/>
  <c r="R2183" i="11"/>
  <c r="S2183" i="11"/>
  <c r="R2184" i="11"/>
  <c r="S2184" i="11"/>
  <c r="R2185" i="11"/>
  <c r="S2185" i="11"/>
  <c r="R2186" i="11"/>
  <c r="S2186" i="11"/>
  <c r="R2187" i="11"/>
  <c r="S2187" i="11"/>
  <c r="R2188" i="11"/>
  <c r="S2188" i="11"/>
  <c r="R2189" i="11"/>
  <c r="S2189" i="11"/>
  <c r="R2190" i="11"/>
  <c r="S2190" i="11"/>
  <c r="R2191" i="11"/>
  <c r="S2191" i="11"/>
  <c r="R2192" i="11"/>
  <c r="S2192" i="11"/>
  <c r="R2193" i="11"/>
  <c r="S2193" i="11"/>
  <c r="R2194" i="11"/>
  <c r="S2194" i="11"/>
  <c r="R2195" i="11"/>
  <c r="S2195" i="11"/>
  <c r="R2196" i="11"/>
  <c r="S2196" i="11"/>
  <c r="R2197" i="11"/>
  <c r="S2197" i="11"/>
  <c r="R2198" i="11"/>
  <c r="S2198" i="11"/>
  <c r="R2199" i="11"/>
  <c r="S2199" i="11"/>
  <c r="R2200" i="11"/>
  <c r="S2200" i="11"/>
  <c r="R2201" i="11"/>
  <c r="S2201" i="11"/>
  <c r="R2202" i="11"/>
  <c r="S2202" i="11"/>
  <c r="R2203" i="11"/>
  <c r="S2203" i="11"/>
  <c r="R2204" i="11"/>
  <c r="S2204" i="11"/>
  <c r="R2205" i="11"/>
  <c r="S2205" i="11"/>
  <c r="R2206" i="11"/>
  <c r="S2206" i="11"/>
  <c r="R2207" i="11"/>
  <c r="S2207" i="11"/>
  <c r="R2208" i="11"/>
  <c r="S2208" i="11"/>
  <c r="R2209" i="11"/>
  <c r="S2209" i="11"/>
  <c r="R2210" i="11"/>
  <c r="S2210" i="11"/>
  <c r="R2211" i="11"/>
  <c r="S2211" i="11"/>
  <c r="R2212" i="11"/>
  <c r="S2212" i="11"/>
  <c r="R2213" i="11"/>
  <c r="S2213" i="11"/>
  <c r="R2214" i="11"/>
  <c r="S2214" i="11"/>
  <c r="R2215" i="11"/>
  <c r="S2215" i="11"/>
  <c r="R2216" i="11"/>
  <c r="S2216" i="11"/>
  <c r="R2217" i="11"/>
  <c r="S2217" i="11"/>
  <c r="R2218" i="11"/>
  <c r="S2218" i="11"/>
  <c r="R2219" i="11"/>
  <c r="S2219" i="11"/>
  <c r="R2220" i="11"/>
  <c r="S2220" i="11"/>
  <c r="R2221" i="11"/>
  <c r="S2221" i="11"/>
  <c r="R2222" i="11"/>
  <c r="S2222" i="11"/>
  <c r="R2223" i="11"/>
  <c r="S2223" i="11"/>
  <c r="R2224" i="11"/>
  <c r="S2224" i="11"/>
  <c r="R2225" i="11"/>
  <c r="S2225" i="11"/>
  <c r="R2226" i="11"/>
  <c r="S2226" i="11"/>
  <c r="R2227" i="11"/>
  <c r="S2227" i="11"/>
  <c r="R2228" i="11"/>
  <c r="S2228" i="11"/>
  <c r="R2229" i="11"/>
  <c r="S2229" i="11"/>
  <c r="R2230" i="11"/>
  <c r="S2230" i="11"/>
  <c r="R2231" i="11"/>
  <c r="S2231" i="11"/>
  <c r="R2232" i="11"/>
  <c r="S2232" i="11"/>
  <c r="R2233" i="11"/>
  <c r="S2233" i="11"/>
  <c r="R2234" i="11"/>
  <c r="S2234" i="11"/>
  <c r="R2235" i="11"/>
  <c r="S2235" i="11"/>
  <c r="R2236" i="11"/>
  <c r="S2236" i="11"/>
  <c r="R2237" i="11"/>
  <c r="S2237" i="11"/>
  <c r="R2238" i="11"/>
  <c r="S2238" i="11"/>
  <c r="R2239" i="11"/>
  <c r="S2239" i="11"/>
  <c r="R2240" i="11"/>
  <c r="S2240" i="11"/>
  <c r="R2241" i="11"/>
  <c r="S2241" i="11"/>
  <c r="R2242" i="11"/>
  <c r="S2242" i="11"/>
  <c r="R2243" i="11"/>
  <c r="S2243" i="11"/>
  <c r="R2244" i="11"/>
  <c r="S2244" i="11"/>
  <c r="R2245" i="11"/>
  <c r="S2245" i="11"/>
  <c r="R2246" i="11"/>
  <c r="S2246" i="11"/>
  <c r="R2247" i="11"/>
  <c r="S2247" i="11"/>
  <c r="R2248" i="11"/>
  <c r="S2248" i="11"/>
  <c r="R2249" i="11"/>
  <c r="S2249" i="11"/>
  <c r="R2250" i="11"/>
  <c r="S2250" i="11"/>
  <c r="R2251" i="11"/>
  <c r="S2251" i="11"/>
  <c r="R2252" i="11"/>
  <c r="S2252" i="11"/>
  <c r="R2253" i="11"/>
  <c r="S2253" i="11"/>
  <c r="R2254" i="11"/>
  <c r="S2254" i="11"/>
  <c r="R2255" i="11"/>
  <c r="S2255" i="11"/>
  <c r="R2256" i="11"/>
  <c r="S2256" i="11"/>
  <c r="R2257" i="11"/>
  <c r="S2257" i="11"/>
  <c r="R2258" i="11"/>
  <c r="S2258" i="11"/>
  <c r="R2259" i="11"/>
  <c r="S2259" i="11"/>
  <c r="R2260" i="11"/>
  <c r="S2260" i="11"/>
  <c r="R2261" i="11"/>
  <c r="S2261" i="11"/>
  <c r="R2262" i="11"/>
  <c r="S2262" i="11"/>
  <c r="R2263" i="11"/>
  <c r="S2263" i="11"/>
  <c r="R2264" i="11"/>
  <c r="S2264" i="11"/>
  <c r="R2265" i="11"/>
  <c r="S2265" i="11"/>
  <c r="R2266" i="11"/>
  <c r="S2266" i="11"/>
  <c r="R2267" i="11"/>
  <c r="S2267" i="11"/>
  <c r="R2268" i="11"/>
  <c r="S2268" i="11"/>
  <c r="R2269" i="11"/>
  <c r="S2269" i="11"/>
  <c r="R2270" i="11"/>
  <c r="S2270" i="11"/>
  <c r="R2271" i="11"/>
  <c r="S2271" i="11"/>
  <c r="R2272" i="11"/>
  <c r="S2272" i="11"/>
  <c r="R2273" i="11"/>
  <c r="S2273" i="11"/>
  <c r="R2274" i="11"/>
  <c r="S2274" i="11"/>
  <c r="R2275" i="11"/>
  <c r="S2275" i="11"/>
  <c r="R2276" i="11"/>
  <c r="S2276" i="11"/>
  <c r="R2277" i="11"/>
  <c r="S2277" i="11"/>
  <c r="R2278" i="11"/>
  <c r="S2278" i="11"/>
  <c r="R2279" i="11"/>
  <c r="S2279" i="11"/>
  <c r="R2280" i="11"/>
  <c r="S2280" i="11"/>
  <c r="R2281" i="11"/>
  <c r="S2281" i="11"/>
  <c r="R2282" i="11"/>
  <c r="S2282" i="11"/>
  <c r="R2283" i="11"/>
  <c r="S2283" i="11"/>
  <c r="R2284" i="11"/>
  <c r="S2284" i="11"/>
  <c r="R2285" i="11"/>
  <c r="S2285" i="11"/>
  <c r="R2286" i="11"/>
  <c r="S2286" i="11"/>
  <c r="R2287" i="11"/>
  <c r="S2287" i="11"/>
  <c r="R2288" i="11"/>
  <c r="S2288" i="11"/>
  <c r="R2289" i="11"/>
  <c r="S2289" i="11"/>
  <c r="R2290" i="11"/>
  <c r="S2290" i="11"/>
  <c r="R2291" i="11"/>
  <c r="S2291" i="11"/>
  <c r="R2292" i="11"/>
  <c r="S2292" i="11"/>
  <c r="R2293" i="11"/>
  <c r="S2293" i="11"/>
  <c r="R2294" i="11"/>
  <c r="S2294" i="11"/>
  <c r="R2295" i="11"/>
  <c r="S2295" i="11"/>
  <c r="R2296" i="11"/>
  <c r="S2296" i="11"/>
  <c r="R2297" i="11"/>
  <c r="S2297" i="11"/>
  <c r="R2298" i="11"/>
  <c r="S2298" i="11"/>
  <c r="R2299" i="11"/>
  <c r="S2299" i="11"/>
  <c r="R2300" i="11"/>
  <c r="S2300" i="11"/>
  <c r="R2301" i="11"/>
  <c r="S2301" i="11"/>
  <c r="R2302" i="11"/>
  <c r="S2302" i="11"/>
  <c r="R2303" i="11"/>
  <c r="S2303" i="11"/>
  <c r="R2304" i="11"/>
  <c r="S2304" i="11"/>
  <c r="R2305" i="11"/>
  <c r="S2305" i="11"/>
  <c r="R2306" i="11"/>
  <c r="S2306" i="11"/>
  <c r="R2307" i="11"/>
  <c r="S2307" i="11"/>
  <c r="R2308" i="11"/>
  <c r="S2308" i="11"/>
  <c r="R2309" i="11"/>
  <c r="S2309" i="11"/>
  <c r="R2310" i="11"/>
  <c r="S2310" i="11"/>
  <c r="R2311" i="11"/>
  <c r="S2311" i="11"/>
  <c r="R26" i="11"/>
  <c r="S26" i="11"/>
  <c r="R27" i="11"/>
  <c r="S27" i="11"/>
  <c r="R28" i="11"/>
  <c r="S28" i="11"/>
  <c r="R29" i="11"/>
  <c r="S29" i="11"/>
  <c r="R30" i="11"/>
  <c r="S30" i="11"/>
  <c r="R31" i="11"/>
  <c r="S31" i="11"/>
  <c r="R32" i="11"/>
  <c r="S32" i="11"/>
  <c r="R33" i="11"/>
  <c r="S33" i="11"/>
  <c r="R34" i="11"/>
  <c r="S34" i="11"/>
  <c r="R35" i="11"/>
  <c r="S35" i="11"/>
  <c r="R36" i="11"/>
  <c r="S36" i="11"/>
  <c r="R37" i="11"/>
  <c r="S37" i="11"/>
  <c r="R38" i="11"/>
  <c r="S38" i="11"/>
  <c r="R39" i="11"/>
  <c r="S39" i="11"/>
  <c r="R40" i="11"/>
  <c r="S40" i="11"/>
  <c r="R41" i="11"/>
  <c r="S41" i="11"/>
  <c r="R42" i="11"/>
  <c r="S42" i="11"/>
  <c r="R43" i="11"/>
  <c r="S43" i="11"/>
  <c r="R44" i="11"/>
  <c r="S44" i="11"/>
  <c r="R45" i="11"/>
  <c r="S45" i="11"/>
  <c r="R46" i="11"/>
  <c r="S46" i="11"/>
  <c r="R47" i="11"/>
  <c r="S47" i="11"/>
  <c r="R48" i="11"/>
  <c r="S48" i="11"/>
  <c r="R49" i="11"/>
  <c r="S49" i="11"/>
  <c r="R50" i="11"/>
  <c r="S50" i="11"/>
  <c r="R51" i="11"/>
  <c r="S51" i="11"/>
  <c r="R52" i="11"/>
  <c r="S52" i="11"/>
  <c r="R53" i="11"/>
  <c r="S53" i="11"/>
  <c r="R54" i="11"/>
  <c r="S54" i="11"/>
  <c r="R55" i="11"/>
  <c r="S55" i="11"/>
  <c r="R56" i="11"/>
  <c r="S56" i="11"/>
  <c r="R57" i="11"/>
  <c r="S57" i="11"/>
  <c r="R58" i="11"/>
  <c r="S58" i="11"/>
  <c r="R59" i="11"/>
  <c r="S59" i="11"/>
  <c r="R60" i="11"/>
  <c r="S60" i="11"/>
  <c r="R61" i="11"/>
  <c r="S61" i="11"/>
  <c r="R62" i="11"/>
  <c r="S62" i="11"/>
  <c r="R63" i="11"/>
  <c r="S63" i="11"/>
  <c r="R64" i="11"/>
  <c r="S64" i="11"/>
  <c r="R65" i="11"/>
  <c r="S65" i="11"/>
  <c r="R66" i="11"/>
  <c r="S66" i="11"/>
  <c r="R67" i="11"/>
  <c r="S67" i="11"/>
  <c r="R68" i="11"/>
  <c r="S68" i="11"/>
  <c r="R69" i="11"/>
  <c r="S69" i="11"/>
  <c r="R70" i="11"/>
  <c r="S70" i="11"/>
  <c r="R71" i="11"/>
  <c r="S71" i="11"/>
  <c r="R72" i="11"/>
  <c r="S72" i="11"/>
  <c r="R73" i="11"/>
  <c r="S73" i="11"/>
  <c r="R74" i="11"/>
  <c r="S74" i="11"/>
  <c r="R75" i="11"/>
  <c r="S75" i="11"/>
  <c r="R76" i="11"/>
  <c r="S76" i="11"/>
  <c r="R77" i="11"/>
  <c r="S77" i="11"/>
  <c r="R78" i="11"/>
  <c r="S78" i="11"/>
  <c r="R79" i="11"/>
  <c r="S79" i="11"/>
  <c r="R80" i="11"/>
  <c r="S80" i="11"/>
  <c r="R81" i="11"/>
  <c r="S81" i="11"/>
  <c r="R82" i="11"/>
  <c r="S82" i="11"/>
  <c r="R83" i="11"/>
  <c r="S83" i="11"/>
  <c r="R84" i="11"/>
  <c r="S84" i="11"/>
  <c r="R85" i="11"/>
  <c r="S85" i="11"/>
  <c r="R86" i="11"/>
  <c r="S86" i="11"/>
  <c r="R87" i="11"/>
  <c r="S87" i="11"/>
  <c r="R88" i="11"/>
  <c r="S88" i="11"/>
  <c r="R89" i="11"/>
  <c r="S89" i="11"/>
  <c r="R90" i="11"/>
  <c r="S90" i="11"/>
  <c r="R91" i="11"/>
  <c r="S91" i="11"/>
  <c r="R92" i="11"/>
  <c r="S92" i="11"/>
  <c r="R93" i="11"/>
  <c r="S93" i="11"/>
  <c r="R94" i="11"/>
  <c r="S94" i="11"/>
  <c r="R95" i="11"/>
  <c r="S95" i="11"/>
  <c r="R96" i="11"/>
  <c r="S96" i="11"/>
  <c r="R97" i="11"/>
  <c r="S97" i="11"/>
  <c r="R98" i="11"/>
  <c r="S98" i="11"/>
  <c r="R99" i="11"/>
  <c r="S99" i="11"/>
  <c r="R100" i="11"/>
  <c r="S100" i="11"/>
  <c r="R101" i="11"/>
  <c r="S101" i="11"/>
  <c r="R102" i="11"/>
  <c r="S102" i="11"/>
  <c r="R103" i="11"/>
  <c r="S103" i="11"/>
  <c r="R104" i="11"/>
  <c r="S104" i="11"/>
  <c r="R105" i="11"/>
  <c r="S105" i="11"/>
  <c r="R106" i="11"/>
  <c r="S106" i="11"/>
  <c r="R107" i="11"/>
  <c r="S107" i="11"/>
  <c r="R108" i="11"/>
  <c r="S108" i="11"/>
  <c r="R109" i="11"/>
  <c r="S109" i="11"/>
  <c r="R110" i="11"/>
  <c r="S110" i="11"/>
  <c r="R111" i="11"/>
  <c r="S111" i="11"/>
  <c r="R112" i="11"/>
  <c r="S112" i="11"/>
  <c r="R113" i="11"/>
  <c r="S113" i="11"/>
  <c r="R114" i="11"/>
  <c r="S114" i="11"/>
  <c r="R115" i="11"/>
  <c r="S115" i="11"/>
  <c r="R116" i="11"/>
  <c r="S116" i="11"/>
  <c r="R117" i="11"/>
  <c r="S117" i="11"/>
  <c r="R118" i="11"/>
  <c r="S118" i="11"/>
  <c r="R119" i="11"/>
  <c r="S119" i="11"/>
  <c r="R120" i="11"/>
  <c r="S120" i="11"/>
  <c r="R121" i="11"/>
  <c r="S121" i="11"/>
  <c r="R122" i="11"/>
  <c r="S122" i="11"/>
  <c r="R123" i="11"/>
  <c r="S123" i="11"/>
  <c r="R124" i="11"/>
  <c r="S124" i="11"/>
  <c r="R125" i="11"/>
  <c r="S125" i="11"/>
  <c r="R126" i="11"/>
  <c r="S126" i="11"/>
  <c r="R127" i="11"/>
  <c r="S127" i="11"/>
  <c r="R128" i="11"/>
  <c r="S128" i="11"/>
  <c r="R129" i="11"/>
  <c r="S129" i="11"/>
  <c r="R130" i="11"/>
  <c r="S130" i="11"/>
  <c r="R131" i="11"/>
  <c r="S131" i="11"/>
  <c r="R132" i="11"/>
  <c r="S132" i="11"/>
  <c r="R133" i="11"/>
  <c r="S133" i="11"/>
  <c r="R134" i="11"/>
  <c r="S134" i="11"/>
  <c r="R135" i="11"/>
  <c r="S135" i="11"/>
  <c r="R136" i="11"/>
  <c r="S136" i="11"/>
  <c r="R137" i="11"/>
  <c r="S137" i="11"/>
  <c r="R138" i="11"/>
  <c r="S138" i="11"/>
  <c r="R139" i="11"/>
  <c r="S139" i="11"/>
  <c r="R140" i="11"/>
  <c r="S140" i="11"/>
  <c r="R141" i="11"/>
  <c r="S141" i="11"/>
  <c r="R142" i="11"/>
  <c r="S142" i="11"/>
  <c r="R143" i="11"/>
  <c r="S143" i="11"/>
  <c r="R144" i="11"/>
  <c r="S144" i="11"/>
  <c r="R145" i="11"/>
  <c r="S145" i="11"/>
  <c r="R146" i="11"/>
  <c r="S146" i="11"/>
  <c r="R147" i="11"/>
  <c r="S147" i="11"/>
  <c r="R148" i="11"/>
  <c r="S148" i="11"/>
  <c r="R149" i="11"/>
  <c r="S149" i="11"/>
  <c r="R150" i="11"/>
  <c r="S150" i="11"/>
  <c r="R151" i="11"/>
  <c r="S151" i="11"/>
  <c r="R152" i="11"/>
  <c r="S152" i="11"/>
  <c r="R153" i="11"/>
  <c r="S153" i="11"/>
  <c r="R154" i="11"/>
  <c r="S154" i="11"/>
  <c r="R155" i="11"/>
  <c r="S155" i="11"/>
  <c r="R156" i="11"/>
  <c r="S156" i="11"/>
  <c r="R157" i="11"/>
  <c r="S157" i="11"/>
  <c r="R158" i="11"/>
  <c r="S158" i="11"/>
  <c r="R159" i="11"/>
  <c r="S159" i="11"/>
  <c r="R160" i="11"/>
  <c r="S160" i="11"/>
  <c r="R161" i="11"/>
  <c r="S161" i="11"/>
  <c r="R162" i="11"/>
  <c r="S162" i="11"/>
  <c r="R163" i="11"/>
  <c r="S163" i="11"/>
  <c r="R164" i="11"/>
  <c r="S164" i="11"/>
  <c r="R165" i="11"/>
  <c r="S165" i="11"/>
  <c r="R166" i="11"/>
  <c r="S166" i="11"/>
  <c r="R167" i="11"/>
  <c r="S167" i="11"/>
  <c r="R168" i="11"/>
  <c r="S168" i="11"/>
  <c r="R169" i="11"/>
  <c r="S169" i="11"/>
  <c r="R170" i="11"/>
  <c r="S170" i="11"/>
  <c r="R171" i="11"/>
  <c r="S171" i="11"/>
  <c r="R172" i="11"/>
  <c r="S172" i="11"/>
  <c r="R173" i="11"/>
  <c r="S173" i="11"/>
  <c r="R174" i="11"/>
  <c r="S174" i="11"/>
  <c r="R175" i="11"/>
  <c r="S175" i="11"/>
  <c r="R176" i="11"/>
  <c r="S176" i="11"/>
  <c r="R177" i="11"/>
  <c r="S177" i="11"/>
  <c r="R178" i="11"/>
  <c r="S178" i="11"/>
  <c r="R179" i="11"/>
  <c r="S179" i="11"/>
  <c r="R180" i="11"/>
  <c r="S180" i="11"/>
  <c r="R181" i="11"/>
  <c r="S181" i="11"/>
  <c r="R182" i="11"/>
  <c r="S182" i="11"/>
  <c r="R183" i="11"/>
  <c r="S183" i="11"/>
  <c r="R184" i="11"/>
  <c r="S184" i="11"/>
  <c r="R185" i="11"/>
  <c r="S185" i="11"/>
  <c r="R186" i="11"/>
  <c r="S186" i="11"/>
  <c r="R187" i="11"/>
  <c r="S187" i="11"/>
  <c r="R188" i="11"/>
  <c r="S188" i="11"/>
  <c r="R189" i="11"/>
  <c r="S189" i="11"/>
  <c r="R190" i="11"/>
  <c r="S190" i="11"/>
  <c r="R191" i="11"/>
  <c r="S191" i="11"/>
  <c r="R192" i="11"/>
  <c r="S192" i="11"/>
  <c r="R193" i="11"/>
  <c r="S193" i="11"/>
  <c r="R194" i="11"/>
  <c r="S194" i="11"/>
  <c r="R195" i="11"/>
  <c r="S195" i="11"/>
  <c r="R196" i="11"/>
  <c r="S196" i="11"/>
  <c r="R197" i="11"/>
  <c r="S197" i="11"/>
  <c r="R198" i="11"/>
  <c r="S198" i="11"/>
  <c r="R199" i="11"/>
  <c r="S199" i="11"/>
  <c r="R200" i="11"/>
  <c r="S200" i="11"/>
  <c r="R201" i="11"/>
  <c r="S201" i="11"/>
  <c r="R202" i="11"/>
  <c r="S202" i="11"/>
  <c r="R203" i="11"/>
  <c r="S203" i="11"/>
  <c r="R204" i="11"/>
  <c r="S204" i="11"/>
  <c r="R205" i="11"/>
  <c r="S205" i="11"/>
  <c r="R206" i="11"/>
  <c r="S206" i="11"/>
  <c r="R207" i="11"/>
  <c r="S207" i="11"/>
  <c r="R208" i="11"/>
  <c r="S208" i="11"/>
  <c r="R209" i="11"/>
  <c r="S209" i="11"/>
  <c r="R210" i="11"/>
  <c r="S210" i="11"/>
  <c r="R211" i="11"/>
  <c r="S211" i="11"/>
  <c r="R212" i="11"/>
  <c r="S212" i="11"/>
  <c r="R213" i="11"/>
  <c r="S213" i="11"/>
  <c r="R214" i="11"/>
  <c r="S214" i="11"/>
  <c r="R215" i="11"/>
  <c r="S215" i="11"/>
  <c r="R216" i="11"/>
  <c r="S216" i="11"/>
  <c r="R217" i="11"/>
  <c r="S217" i="11"/>
  <c r="R218" i="11"/>
  <c r="S218" i="11"/>
  <c r="R219" i="11"/>
  <c r="S219" i="11"/>
  <c r="R220" i="11"/>
  <c r="S220" i="11"/>
  <c r="R221" i="11"/>
  <c r="S221" i="11"/>
  <c r="R222" i="11"/>
  <c r="S222" i="11"/>
  <c r="R223" i="11"/>
  <c r="S223" i="11"/>
  <c r="R224" i="11"/>
  <c r="S224" i="11"/>
  <c r="R225" i="11"/>
  <c r="S225" i="11"/>
  <c r="R226" i="11"/>
  <c r="S226" i="11"/>
  <c r="R227" i="11"/>
  <c r="S227" i="11"/>
  <c r="R228" i="11"/>
  <c r="S228" i="11"/>
  <c r="R229" i="11"/>
  <c r="S229" i="11"/>
  <c r="R230" i="11"/>
  <c r="S230" i="11"/>
  <c r="R231" i="11"/>
  <c r="S231" i="11"/>
  <c r="R232" i="11"/>
  <c r="S232" i="11"/>
  <c r="R233" i="11"/>
  <c r="S233" i="11"/>
  <c r="R234" i="11"/>
  <c r="S234" i="11"/>
  <c r="R235" i="11"/>
  <c r="S235" i="11"/>
  <c r="R236" i="11"/>
  <c r="S236" i="11"/>
  <c r="R237" i="11"/>
  <c r="S237" i="11"/>
  <c r="R238" i="11"/>
  <c r="S238" i="11"/>
  <c r="R239" i="11"/>
  <c r="S239" i="11"/>
  <c r="R240" i="11"/>
  <c r="S240" i="11"/>
  <c r="R241" i="11"/>
  <c r="S241" i="11"/>
  <c r="R242" i="11"/>
  <c r="S242" i="11"/>
  <c r="R243" i="11"/>
  <c r="S243" i="11"/>
  <c r="R244" i="11"/>
  <c r="S244" i="11"/>
  <c r="R245" i="11"/>
  <c r="S245" i="11"/>
  <c r="R246" i="11"/>
  <c r="S246" i="11"/>
  <c r="R247" i="11"/>
  <c r="S247" i="11"/>
  <c r="R248" i="11"/>
  <c r="S248" i="11"/>
  <c r="R249" i="11"/>
  <c r="S249" i="11"/>
  <c r="R250" i="11"/>
  <c r="S250" i="11"/>
  <c r="R251" i="11"/>
  <c r="S251" i="11"/>
  <c r="R252" i="11"/>
  <c r="S252" i="11"/>
  <c r="R253" i="11"/>
  <c r="S253" i="11"/>
  <c r="R254" i="11"/>
  <c r="S254" i="11"/>
  <c r="R255" i="11"/>
  <c r="S255" i="11"/>
  <c r="R256" i="11"/>
  <c r="S256" i="11"/>
  <c r="R257" i="11"/>
  <c r="S257" i="11"/>
  <c r="R258" i="11"/>
  <c r="S258" i="11"/>
  <c r="R259" i="11"/>
  <c r="S259" i="11"/>
  <c r="R260" i="11"/>
  <c r="S260" i="11"/>
  <c r="R261" i="11"/>
  <c r="S261" i="11"/>
  <c r="R262" i="11"/>
  <c r="S262" i="11"/>
  <c r="R263" i="11"/>
  <c r="S263" i="11"/>
  <c r="R264" i="11"/>
  <c r="S264" i="11"/>
  <c r="R265" i="11"/>
  <c r="S265" i="11"/>
  <c r="R266" i="11"/>
  <c r="S266" i="11"/>
  <c r="R267" i="11"/>
  <c r="S267" i="11"/>
  <c r="R268" i="11"/>
  <c r="S268" i="11"/>
  <c r="R269" i="11"/>
  <c r="S269" i="11"/>
  <c r="R270" i="11"/>
  <c r="S270" i="11"/>
  <c r="R271" i="11"/>
  <c r="S271" i="11"/>
  <c r="R272" i="11"/>
  <c r="S272" i="11"/>
  <c r="R273" i="11"/>
  <c r="S273" i="11"/>
  <c r="R274" i="11"/>
  <c r="S274" i="11"/>
  <c r="R275" i="11"/>
  <c r="S275" i="11"/>
  <c r="R276" i="11"/>
  <c r="S276" i="11"/>
  <c r="R277" i="11"/>
  <c r="S277" i="11"/>
  <c r="R278" i="11"/>
  <c r="S278" i="11"/>
  <c r="R279" i="11"/>
  <c r="S279" i="11"/>
  <c r="R280" i="11"/>
  <c r="S280" i="11"/>
  <c r="R281" i="11"/>
  <c r="S281" i="11"/>
  <c r="R282" i="11"/>
  <c r="S282" i="11"/>
  <c r="R283" i="11"/>
  <c r="S283" i="11"/>
  <c r="R284" i="11"/>
  <c r="S284" i="11"/>
  <c r="R285" i="11"/>
  <c r="S285" i="11"/>
  <c r="R286" i="11"/>
  <c r="S286" i="11"/>
  <c r="R287" i="11"/>
  <c r="S287" i="11"/>
  <c r="R288" i="11"/>
  <c r="S288" i="11"/>
  <c r="R289" i="11"/>
  <c r="S289" i="11"/>
  <c r="R290" i="11"/>
  <c r="S290" i="11"/>
  <c r="R291" i="11"/>
  <c r="S291" i="11"/>
  <c r="R292" i="11"/>
  <c r="S292" i="11"/>
  <c r="R293" i="11"/>
  <c r="S293" i="11"/>
  <c r="R294" i="11"/>
  <c r="S294" i="11"/>
  <c r="R295" i="11"/>
  <c r="S295" i="11"/>
  <c r="R296" i="11"/>
  <c r="S296" i="11"/>
  <c r="R297" i="11"/>
  <c r="S297" i="11"/>
  <c r="R298" i="11"/>
  <c r="S298" i="11"/>
  <c r="R299" i="11"/>
  <c r="S299" i="11"/>
  <c r="R300" i="11"/>
  <c r="S300" i="11"/>
  <c r="R301" i="11"/>
  <c r="S301" i="11"/>
  <c r="R302" i="11"/>
  <c r="S302" i="11"/>
  <c r="R303" i="11"/>
  <c r="S303" i="11"/>
  <c r="R304" i="11"/>
  <c r="S304" i="11"/>
  <c r="R305" i="11"/>
  <c r="S305" i="11"/>
  <c r="R306" i="11"/>
  <c r="S306" i="11"/>
  <c r="R307" i="11"/>
  <c r="S307" i="11"/>
  <c r="R308" i="11"/>
  <c r="S308" i="11"/>
  <c r="R309" i="11"/>
  <c r="S309" i="11"/>
  <c r="R310" i="11"/>
  <c r="S310" i="11"/>
  <c r="R311" i="11"/>
  <c r="S311" i="11"/>
  <c r="R312" i="11"/>
  <c r="S312" i="11"/>
  <c r="R313" i="11"/>
  <c r="S313" i="11"/>
  <c r="R314" i="11"/>
  <c r="S314" i="11"/>
  <c r="R315" i="11"/>
  <c r="S315" i="11"/>
  <c r="R316" i="11"/>
  <c r="S316" i="11"/>
  <c r="R317" i="11"/>
  <c r="S317" i="11"/>
  <c r="R318" i="11"/>
  <c r="S318" i="11"/>
  <c r="R319" i="11"/>
  <c r="S319" i="11"/>
  <c r="R320" i="11"/>
  <c r="S320" i="11"/>
  <c r="R321" i="11"/>
  <c r="S321" i="11"/>
  <c r="R322" i="11"/>
  <c r="S322" i="11"/>
  <c r="R323" i="11"/>
  <c r="S323" i="11"/>
  <c r="R324" i="11"/>
  <c r="S324" i="11"/>
  <c r="R325" i="11"/>
  <c r="S325" i="11"/>
  <c r="R326" i="11"/>
  <c r="S326" i="11"/>
  <c r="R327" i="11"/>
  <c r="S327" i="11"/>
  <c r="R328" i="11"/>
  <c r="S328" i="11"/>
  <c r="R329" i="11"/>
  <c r="S329" i="11"/>
  <c r="R330" i="11"/>
  <c r="S330" i="11"/>
  <c r="R331" i="11"/>
  <c r="S331" i="11"/>
  <c r="R332" i="11"/>
  <c r="S332" i="11"/>
  <c r="R333" i="11"/>
  <c r="S333" i="11"/>
  <c r="R334" i="11"/>
  <c r="S334" i="11"/>
  <c r="R335" i="11"/>
  <c r="S335" i="11"/>
  <c r="R336" i="11"/>
  <c r="S336" i="11"/>
  <c r="R337" i="11"/>
  <c r="S337" i="11"/>
  <c r="R338" i="11"/>
  <c r="S338" i="11"/>
  <c r="R339" i="11"/>
  <c r="S339" i="11"/>
  <c r="R340" i="11"/>
  <c r="S340" i="11"/>
  <c r="R341" i="11"/>
  <c r="S341" i="11"/>
  <c r="R342" i="11"/>
  <c r="S342" i="11"/>
  <c r="R343" i="11"/>
  <c r="S343" i="11"/>
  <c r="R344" i="11"/>
  <c r="S344" i="11"/>
  <c r="R345" i="11"/>
  <c r="S345" i="11"/>
  <c r="R346" i="11"/>
  <c r="S346" i="11"/>
  <c r="R347" i="11"/>
  <c r="S347" i="11"/>
  <c r="R348" i="11"/>
  <c r="S348" i="11"/>
  <c r="R349" i="11"/>
  <c r="S349" i="11"/>
  <c r="R350" i="11"/>
  <c r="S350" i="11"/>
  <c r="R351" i="11"/>
  <c r="S351" i="11"/>
  <c r="R352" i="11"/>
  <c r="S352" i="11"/>
  <c r="R353" i="11"/>
  <c r="S353" i="11"/>
  <c r="R354" i="11"/>
  <c r="S354" i="11"/>
  <c r="R355" i="11"/>
  <c r="S355" i="11"/>
  <c r="R356" i="11"/>
  <c r="S356" i="11"/>
  <c r="R357" i="11"/>
  <c r="S357" i="11"/>
  <c r="R358" i="11"/>
  <c r="S358" i="11"/>
  <c r="R359" i="11"/>
  <c r="S359" i="11"/>
  <c r="R360" i="11"/>
  <c r="S360" i="11"/>
  <c r="R361" i="11"/>
  <c r="S361" i="11"/>
  <c r="R362" i="11"/>
  <c r="S362" i="11"/>
  <c r="R363" i="11"/>
  <c r="S363" i="11"/>
  <c r="R364" i="11"/>
  <c r="S364" i="11"/>
  <c r="R365" i="11"/>
  <c r="S365" i="11"/>
  <c r="R366" i="11"/>
  <c r="S366" i="11"/>
  <c r="R367" i="11"/>
  <c r="S367" i="11"/>
  <c r="R368" i="11"/>
  <c r="S368" i="11"/>
  <c r="R369" i="11"/>
  <c r="S369" i="11"/>
  <c r="R370" i="11"/>
  <c r="S370" i="11"/>
  <c r="R371" i="11"/>
  <c r="S371" i="11"/>
  <c r="R372" i="11"/>
  <c r="S372" i="11"/>
  <c r="R373" i="11"/>
  <c r="S373" i="11"/>
  <c r="R374" i="11"/>
  <c r="S374" i="11"/>
  <c r="R375" i="11"/>
  <c r="S375" i="11"/>
  <c r="R376" i="11"/>
  <c r="S376" i="11"/>
  <c r="R377" i="11"/>
  <c r="S377" i="11"/>
  <c r="R378" i="11"/>
  <c r="S378" i="11"/>
  <c r="R379" i="11"/>
  <c r="S379" i="11"/>
  <c r="R380" i="11"/>
  <c r="S380" i="11"/>
  <c r="R381" i="11"/>
  <c r="S381" i="11"/>
  <c r="R382" i="11"/>
  <c r="S382" i="11"/>
  <c r="R383" i="11"/>
  <c r="S383" i="11"/>
  <c r="S25" i="11"/>
  <c r="R25" i="11"/>
  <c r="AF25" i="11"/>
  <c r="AG2313" i="11"/>
  <c r="AF2313" i="11"/>
  <c r="AG2312" i="11"/>
  <c r="AF2312" i="11"/>
  <c r="AG2311" i="11"/>
  <c r="AF2311" i="11"/>
  <c r="AG2310" i="11"/>
  <c r="AF2310" i="11"/>
  <c r="AG2309" i="11"/>
  <c r="AF2309" i="11"/>
  <c r="AG2308" i="11"/>
  <c r="AF2308" i="11"/>
  <c r="AG2307" i="11"/>
  <c r="AF2307" i="11"/>
  <c r="AG2306" i="11"/>
  <c r="AF2306" i="11"/>
  <c r="AG2305" i="11"/>
  <c r="AF2305" i="11"/>
  <c r="AG2304" i="11"/>
  <c r="AF2304" i="11"/>
  <c r="AG2303" i="11"/>
  <c r="AF2303" i="11"/>
  <c r="AG2302" i="11"/>
  <c r="AF2302" i="11"/>
  <c r="AG2301" i="11"/>
  <c r="AF2301" i="11"/>
  <c r="AG2300" i="11"/>
  <c r="AF2300" i="11"/>
  <c r="AG2299" i="11"/>
  <c r="AF2299" i="11"/>
  <c r="AG2298" i="11"/>
  <c r="AF2298" i="11"/>
  <c r="AG2297" i="11"/>
  <c r="AF2297" i="11"/>
  <c r="AG2296" i="11"/>
  <c r="AF2296" i="11"/>
  <c r="AG2295" i="11"/>
  <c r="AF2295" i="11"/>
  <c r="AG2294" i="11"/>
  <c r="AF2294" i="11"/>
  <c r="AG2293" i="11"/>
  <c r="AF2293" i="11"/>
  <c r="AG2292" i="11"/>
  <c r="AF2292" i="11"/>
  <c r="AG2291" i="11"/>
  <c r="AF2291" i="11"/>
  <c r="AG2290" i="11"/>
  <c r="AF2290" i="11"/>
  <c r="AG2289" i="11"/>
  <c r="AF2289" i="11"/>
  <c r="AG2288" i="11"/>
  <c r="AF2288" i="11"/>
  <c r="AG2287" i="11"/>
  <c r="AF2287" i="11"/>
  <c r="AG2286" i="11"/>
  <c r="AF2286" i="11"/>
  <c r="AG2285" i="11"/>
  <c r="AF2285" i="11"/>
  <c r="AG2284" i="11"/>
  <c r="AF2284" i="11"/>
  <c r="AG2283" i="11"/>
  <c r="AF2283" i="11"/>
  <c r="AG2282" i="11"/>
  <c r="AF2282" i="11"/>
  <c r="AG2281" i="11"/>
  <c r="AF2281" i="11"/>
  <c r="AG2280" i="11"/>
  <c r="AF2280" i="11"/>
  <c r="AG2279" i="11"/>
  <c r="AF2279" i="11"/>
  <c r="AG2278" i="11"/>
  <c r="AF2278" i="11"/>
  <c r="AG2277" i="11"/>
  <c r="AF2277" i="11"/>
  <c r="AG2276" i="11"/>
  <c r="AF2276" i="11"/>
  <c r="AG2275" i="11"/>
  <c r="AF2275" i="11"/>
  <c r="AG2274" i="11"/>
  <c r="AF2274" i="11"/>
  <c r="AG2273" i="11"/>
  <c r="AF2273" i="11"/>
  <c r="AG2272" i="11"/>
  <c r="AF2272" i="11"/>
  <c r="AG2271" i="11"/>
  <c r="AF2271" i="11"/>
  <c r="AG2270" i="11"/>
  <c r="AF2270" i="11"/>
  <c r="AG2269" i="11"/>
  <c r="AF2269" i="11"/>
  <c r="AG2268" i="11"/>
  <c r="AF2268" i="11"/>
  <c r="AG2267" i="11"/>
  <c r="AF2267" i="11"/>
  <c r="AG2266" i="11"/>
  <c r="AF2266" i="11"/>
  <c r="AG2265" i="11"/>
  <c r="AF2265" i="11"/>
  <c r="AG2264" i="11"/>
  <c r="AF2264" i="11"/>
  <c r="AG2263" i="11"/>
  <c r="AF2263" i="11"/>
  <c r="AG2262" i="11"/>
  <c r="AF2262" i="11"/>
  <c r="AG2261" i="11"/>
  <c r="AF2261" i="11"/>
  <c r="AG2260" i="11"/>
  <c r="AF2260" i="11"/>
  <c r="AG2259" i="11"/>
  <c r="AF2259" i="11"/>
  <c r="AG2258" i="11"/>
  <c r="AF2258" i="11"/>
  <c r="AG2257" i="11"/>
  <c r="AF2257" i="11"/>
  <c r="AG2256" i="11"/>
  <c r="AF2256" i="11"/>
  <c r="AG2255" i="11"/>
  <c r="AF2255" i="11"/>
  <c r="AG2254" i="11"/>
  <c r="AF2254" i="11"/>
  <c r="AG2253" i="11"/>
  <c r="AF2253" i="11"/>
  <c r="AG2252" i="11"/>
  <c r="AF2252" i="11"/>
  <c r="AG2251" i="11"/>
  <c r="AF2251" i="11"/>
  <c r="AG2250" i="11"/>
  <c r="AF2250" i="11"/>
  <c r="AG2249" i="11"/>
  <c r="AF2249" i="11"/>
  <c r="AG2248" i="11"/>
  <c r="AF2248" i="11"/>
  <c r="AG2247" i="11"/>
  <c r="AF2247" i="11"/>
  <c r="AG2246" i="11"/>
  <c r="AF2246" i="11"/>
  <c r="AG2245" i="11"/>
  <c r="AF2245" i="11"/>
  <c r="AG2244" i="11"/>
  <c r="AF2244" i="11"/>
  <c r="AG2243" i="11"/>
  <c r="AF2243" i="11"/>
  <c r="AG2242" i="11"/>
  <c r="AF2242" i="11"/>
  <c r="AG2241" i="11"/>
  <c r="AF2241" i="11"/>
  <c r="AG2240" i="11"/>
  <c r="AF2240" i="11"/>
  <c r="AG2239" i="11"/>
  <c r="AF2239" i="11"/>
  <c r="AG2238" i="11"/>
  <c r="AF2238" i="11"/>
  <c r="AG2237" i="11"/>
  <c r="AF2237" i="11"/>
  <c r="AG2236" i="11"/>
  <c r="AF2236" i="11"/>
  <c r="AG2235" i="11"/>
  <c r="AF2235" i="11"/>
  <c r="AG2234" i="11"/>
  <c r="AF2234" i="11"/>
  <c r="AG2233" i="11"/>
  <c r="AF2233" i="11"/>
  <c r="AG2232" i="11"/>
  <c r="AF2232" i="11"/>
  <c r="AG2231" i="11"/>
  <c r="AF2231" i="11"/>
  <c r="AG2230" i="11"/>
  <c r="AF2230" i="11"/>
  <c r="AG2229" i="11"/>
  <c r="AF2229" i="11"/>
  <c r="AG2228" i="11"/>
  <c r="AF2228" i="11"/>
  <c r="AG2227" i="11"/>
  <c r="AF2227" i="11"/>
  <c r="AG2226" i="11"/>
  <c r="AF2226" i="11"/>
  <c r="AG2225" i="11"/>
  <c r="AF2225" i="11"/>
  <c r="AG2224" i="11"/>
  <c r="AF2224" i="11"/>
  <c r="AG2223" i="11"/>
  <c r="AF2223" i="11"/>
  <c r="AG2222" i="11"/>
  <c r="AF2222" i="11"/>
  <c r="AG2221" i="11"/>
  <c r="AF2221" i="11"/>
  <c r="AG2220" i="11"/>
  <c r="AF2220" i="11"/>
  <c r="AG2219" i="11"/>
  <c r="AF2219" i="11"/>
  <c r="AG2218" i="11"/>
  <c r="AF2218" i="11"/>
  <c r="AG2217" i="11"/>
  <c r="AF2217" i="11"/>
  <c r="AG2216" i="11"/>
  <c r="AF2216" i="11"/>
  <c r="AG2215" i="11"/>
  <c r="AF2215" i="11"/>
  <c r="AG2214" i="11"/>
  <c r="AF2214" i="11"/>
  <c r="AG2213" i="11"/>
  <c r="AF2213" i="11"/>
  <c r="AG2212" i="11"/>
  <c r="AF2212" i="11"/>
  <c r="AG2211" i="11"/>
  <c r="AF2211" i="11"/>
  <c r="AG2210" i="11"/>
  <c r="AF2210" i="11"/>
  <c r="AG2209" i="11"/>
  <c r="AF2209" i="11"/>
  <c r="AG2208" i="11"/>
  <c r="AF2208" i="11"/>
  <c r="AG2207" i="11"/>
  <c r="AF2207" i="11"/>
  <c r="AG2206" i="11"/>
  <c r="AF2206" i="11"/>
  <c r="AG2205" i="11"/>
  <c r="AF2205" i="11"/>
  <c r="AG2204" i="11"/>
  <c r="AF2204" i="11"/>
  <c r="AG2203" i="11"/>
  <c r="AF2203" i="11"/>
  <c r="AG2202" i="11"/>
  <c r="AF2202" i="11"/>
  <c r="AG2201" i="11"/>
  <c r="AF2201" i="11"/>
  <c r="AG2200" i="11"/>
  <c r="AF2200" i="11"/>
  <c r="AG2199" i="11"/>
  <c r="AF2199" i="11"/>
  <c r="AG2198" i="11"/>
  <c r="AF2198" i="11"/>
  <c r="AG2197" i="11"/>
  <c r="AF2197" i="11"/>
  <c r="AG2196" i="11"/>
  <c r="AF2196" i="11"/>
  <c r="AG2195" i="11"/>
  <c r="AF2195" i="11"/>
  <c r="AG2194" i="11"/>
  <c r="AF2194" i="11"/>
  <c r="AG2193" i="11"/>
  <c r="AF2193" i="11"/>
  <c r="AG2192" i="11"/>
  <c r="AF2192" i="11"/>
  <c r="AG2191" i="11"/>
  <c r="AF2191" i="11"/>
  <c r="AG2190" i="11"/>
  <c r="AF2190" i="11"/>
  <c r="AG2189" i="11"/>
  <c r="AF2189" i="11"/>
  <c r="AG2188" i="11"/>
  <c r="AF2188" i="11"/>
  <c r="AG2187" i="11"/>
  <c r="AF2187" i="11"/>
  <c r="AG2186" i="11"/>
  <c r="AF2186" i="11"/>
  <c r="AG2185" i="11"/>
  <c r="AF2185" i="11"/>
  <c r="AG2184" i="11"/>
  <c r="AF2184" i="11"/>
  <c r="AG2183" i="11"/>
  <c r="AF2183" i="11"/>
  <c r="AG2182" i="11"/>
  <c r="AF2182" i="11"/>
  <c r="AG2181" i="11"/>
  <c r="AF2181" i="11"/>
  <c r="AG2180" i="11"/>
  <c r="AF2180" i="11"/>
  <c r="AG2179" i="11"/>
  <c r="AF2179" i="11"/>
  <c r="AG2178" i="11"/>
  <c r="AF2178" i="11"/>
  <c r="AG2177" i="11"/>
  <c r="AF2177" i="11"/>
  <c r="AG2176" i="11"/>
  <c r="AF2176" i="11"/>
  <c r="AG2175" i="11"/>
  <c r="AF2175" i="11"/>
  <c r="AG2174" i="11"/>
  <c r="AF2174" i="11"/>
  <c r="AG2173" i="11"/>
  <c r="AF2173" i="11"/>
  <c r="AG2172" i="11"/>
  <c r="AF2172" i="11"/>
  <c r="AG2171" i="11"/>
  <c r="AF2171" i="11"/>
  <c r="AG2170" i="11"/>
  <c r="AF2170" i="11"/>
  <c r="AG2169" i="11"/>
  <c r="AF2169" i="11"/>
  <c r="AG2168" i="11"/>
  <c r="AF2168" i="11"/>
  <c r="AG2167" i="11"/>
  <c r="AF2167" i="11"/>
  <c r="AG2166" i="11"/>
  <c r="AF2166" i="11"/>
  <c r="AG2165" i="11"/>
  <c r="AF2165" i="11"/>
  <c r="AG2164" i="11"/>
  <c r="AF2164" i="11"/>
  <c r="AG2163" i="11"/>
  <c r="AF2163" i="11"/>
  <c r="AG2162" i="11"/>
  <c r="AF2162" i="11"/>
  <c r="AG2161" i="11"/>
  <c r="AF2161" i="11"/>
  <c r="AG2160" i="11"/>
  <c r="AF2160" i="11"/>
  <c r="AG2159" i="11"/>
  <c r="AF2159" i="11"/>
  <c r="AG2158" i="11"/>
  <c r="AF2158" i="11"/>
  <c r="AG2157" i="11"/>
  <c r="AF2157" i="11"/>
  <c r="AG2156" i="11"/>
  <c r="AF2156" i="11"/>
  <c r="AG2155" i="11"/>
  <c r="AF2155" i="11"/>
  <c r="AG2154" i="11"/>
  <c r="AF2154" i="11"/>
  <c r="AG2153" i="11"/>
  <c r="AF2153" i="11"/>
  <c r="AG2152" i="11"/>
  <c r="AF2152" i="11"/>
  <c r="AG2151" i="11"/>
  <c r="AF2151" i="11"/>
  <c r="AG2150" i="11"/>
  <c r="AF2150" i="11"/>
  <c r="AG2149" i="11"/>
  <c r="AF2149" i="11"/>
  <c r="AG2148" i="11"/>
  <c r="AF2148" i="11"/>
  <c r="AG2147" i="11"/>
  <c r="AF2147" i="11"/>
  <c r="AG2146" i="11"/>
  <c r="AF2146" i="11"/>
  <c r="AG2145" i="11"/>
  <c r="AF2145" i="11"/>
  <c r="AG2144" i="11"/>
  <c r="AF2144" i="11"/>
  <c r="AG2143" i="11"/>
  <c r="AF2143" i="11"/>
  <c r="AG2142" i="11"/>
  <c r="AF2142" i="11"/>
  <c r="AG2141" i="11"/>
  <c r="AF2141" i="11"/>
  <c r="AG2140" i="11"/>
  <c r="AF2140" i="11"/>
  <c r="AG2139" i="11"/>
  <c r="AF2139" i="11"/>
  <c r="AG2138" i="11"/>
  <c r="AF2138" i="11"/>
  <c r="AG2137" i="11"/>
  <c r="AF2137" i="11"/>
  <c r="AG2136" i="11"/>
  <c r="AF2136" i="11"/>
  <c r="AG2135" i="11"/>
  <c r="AF2135" i="11"/>
  <c r="AG2134" i="11"/>
  <c r="AF2134" i="11"/>
  <c r="AG2133" i="11"/>
  <c r="AF2133" i="11"/>
  <c r="AG2132" i="11"/>
  <c r="AF2132" i="11"/>
  <c r="AG2131" i="11"/>
  <c r="AF2131" i="11"/>
  <c r="AG2130" i="11"/>
  <c r="AF2130" i="11"/>
  <c r="AG2129" i="11"/>
  <c r="AF2129" i="11"/>
  <c r="AG2128" i="11"/>
  <c r="AF2128" i="11"/>
  <c r="AG2127" i="11"/>
  <c r="AF2127" i="11"/>
  <c r="AG2126" i="11"/>
  <c r="AF2126" i="11"/>
  <c r="AG2125" i="11"/>
  <c r="AF2125" i="11"/>
  <c r="AG2124" i="11"/>
  <c r="AF2124" i="11"/>
  <c r="AG2123" i="11"/>
  <c r="AF2123" i="11"/>
  <c r="AG2122" i="11"/>
  <c r="AF2122" i="11"/>
  <c r="AG2121" i="11"/>
  <c r="AF2121" i="11"/>
  <c r="AG2120" i="11"/>
  <c r="AF2120" i="11"/>
  <c r="AG2119" i="11"/>
  <c r="AF2119" i="11"/>
  <c r="AG2118" i="11"/>
  <c r="AF2118" i="11"/>
  <c r="AG2117" i="11"/>
  <c r="AF2117" i="11"/>
  <c r="AG2116" i="11"/>
  <c r="AF2116" i="11"/>
  <c r="AG2115" i="11"/>
  <c r="AF2115" i="11"/>
  <c r="AG2114" i="11"/>
  <c r="AF2114" i="11"/>
  <c r="AG2113" i="11"/>
  <c r="AF2113" i="11"/>
  <c r="AG2112" i="11"/>
  <c r="AF2112" i="11"/>
  <c r="AG2111" i="11"/>
  <c r="AF2111" i="11"/>
  <c r="AG2110" i="11"/>
  <c r="AF2110" i="11"/>
  <c r="AG2109" i="11"/>
  <c r="AF2109" i="11"/>
  <c r="AG2108" i="11"/>
  <c r="AF2108" i="11"/>
  <c r="AG2107" i="11"/>
  <c r="AF2107" i="11"/>
  <c r="AG2106" i="11"/>
  <c r="AF2106" i="11"/>
  <c r="AG2105" i="11"/>
  <c r="AF2105" i="11"/>
  <c r="AG2104" i="11"/>
  <c r="AF2104" i="11"/>
  <c r="AG2103" i="11"/>
  <c r="AF2103" i="11"/>
  <c r="AG2102" i="11"/>
  <c r="AF2102" i="11"/>
  <c r="AG2101" i="11"/>
  <c r="AF2101" i="11"/>
  <c r="AG2100" i="11"/>
  <c r="AF2100" i="11"/>
  <c r="AG2099" i="11"/>
  <c r="AF2099" i="11"/>
  <c r="AG2098" i="11"/>
  <c r="AF2098" i="11"/>
  <c r="AG2097" i="11"/>
  <c r="AF2097" i="11"/>
  <c r="AG2096" i="11"/>
  <c r="AF2096" i="11"/>
  <c r="AG2095" i="11"/>
  <c r="AF2095" i="11"/>
  <c r="AG2094" i="11"/>
  <c r="AF2094" i="11"/>
  <c r="AG2093" i="11"/>
  <c r="AF2093" i="11"/>
  <c r="AG2092" i="11"/>
  <c r="AF2092" i="11"/>
  <c r="AG2091" i="11"/>
  <c r="AF2091" i="11"/>
  <c r="AG2090" i="11"/>
  <c r="AF2090" i="11"/>
  <c r="AG2089" i="11"/>
  <c r="AF2089" i="11"/>
  <c r="AG2088" i="11"/>
  <c r="AF2088" i="11"/>
  <c r="AG2087" i="11"/>
  <c r="AF2087" i="11"/>
  <c r="AG2086" i="11"/>
  <c r="AF2086" i="11"/>
  <c r="AG2085" i="11"/>
  <c r="AF2085" i="11"/>
  <c r="AG2084" i="11"/>
  <c r="AF2084" i="11"/>
  <c r="AG2083" i="11"/>
  <c r="AF2083" i="11"/>
  <c r="AG2082" i="11"/>
  <c r="AF2082" i="11"/>
  <c r="AG2081" i="11"/>
  <c r="AF2081" i="11"/>
  <c r="AG2080" i="11"/>
  <c r="AF2080" i="11"/>
  <c r="AG2079" i="11"/>
  <c r="AF2079" i="11"/>
  <c r="AG2078" i="11"/>
  <c r="AF2078" i="11"/>
  <c r="AG2077" i="11"/>
  <c r="AF2077" i="11"/>
  <c r="AG2076" i="11"/>
  <c r="AF2076" i="11"/>
  <c r="AG2075" i="11"/>
  <c r="AF2075" i="11"/>
  <c r="AG2074" i="11"/>
  <c r="AF2074" i="11"/>
  <c r="AG2073" i="11"/>
  <c r="AF2073" i="11"/>
  <c r="AG2072" i="11"/>
  <c r="AF2072" i="11"/>
  <c r="AG2071" i="11"/>
  <c r="AF2071" i="11"/>
  <c r="AG2070" i="11"/>
  <c r="AF2070" i="11"/>
  <c r="AG2069" i="11"/>
  <c r="AF2069" i="11"/>
  <c r="AG2068" i="11"/>
  <c r="AF2068" i="11"/>
  <c r="AG2067" i="11"/>
  <c r="AF2067" i="11"/>
  <c r="AG2066" i="11"/>
  <c r="AF2066" i="11"/>
  <c r="AG2065" i="11"/>
  <c r="AF2065" i="11"/>
  <c r="AG2064" i="11"/>
  <c r="AF2064" i="11"/>
  <c r="AG2063" i="11"/>
  <c r="AF2063" i="11"/>
  <c r="AG2062" i="11"/>
  <c r="AF2062" i="11"/>
  <c r="AG2061" i="11"/>
  <c r="AF2061" i="11"/>
  <c r="AG2060" i="11"/>
  <c r="AF2060" i="11"/>
  <c r="AG2059" i="11"/>
  <c r="AF2059" i="11"/>
  <c r="AG2058" i="11"/>
  <c r="AF2058" i="11"/>
  <c r="AG2057" i="11"/>
  <c r="AF2057" i="11"/>
  <c r="AG2056" i="11"/>
  <c r="AF2056" i="11"/>
  <c r="AG2055" i="11"/>
  <c r="AF2055" i="11"/>
  <c r="AG2054" i="11"/>
  <c r="AF2054" i="11"/>
  <c r="AG2053" i="11"/>
  <c r="AF2053" i="11"/>
  <c r="AG2052" i="11"/>
  <c r="AF2052" i="11"/>
  <c r="AG2051" i="11"/>
  <c r="AF2051" i="11"/>
  <c r="AG2050" i="11"/>
  <c r="AF2050" i="11"/>
  <c r="AG2049" i="11"/>
  <c r="AF2049" i="11"/>
  <c r="AG2048" i="11"/>
  <c r="AF2048" i="11"/>
  <c r="AG2047" i="11"/>
  <c r="AF2047" i="11"/>
  <c r="AG2046" i="11"/>
  <c r="AF2046" i="11"/>
  <c r="AG2045" i="11"/>
  <c r="AF2045" i="11"/>
  <c r="AG2044" i="11"/>
  <c r="AF2044" i="11"/>
  <c r="AG2043" i="11"/>
  <c r="AF2043" i="11"/>
  <c r="AG2042" i="11"/>
  <c r="AF2042" i="11"/>
  <c r="AG2041" i="11"/>
  <c r="AF2041" i="11"/>
  <c r="AG2040" i="11"/>
  <c r="AF2040" i="11"/>
  <c r="AG2039" i="11"/>
  <c r="AF2039" i="11"/>
  <c r="AG2038" i="11"/>
  <c r="AF2038" i="11"/>
  <c r="AG2037" i="11"/>
  <c r="AF2037" i="11"/>
  <c r="AG2036" i="11"/>
  <c r="AF2036" i="11"/>
  <c r="AG2035" i="11"/>
  <c r="AF2035" i="11"/>
  <c r="AG2034" i="11"/>
  <c r="AF2034" i="11"/>
  <c r="AG2033" i="11"/>
  <c r="AF2033" i="11"/>
  <c r="AG2032" i="11"/>
  <c r="AF2032" i="11"/>
  <c r="AG2031" i="11"/>
  <c r="AF2031" i="11"/>
  <c r="AG2030" i="11"/>
  <c r="AF2030" i="11"/>
  <c r="AG2029" i="11"/>
  <c r="AF2029" i="11"/>
  <c r="AG2028" i="11"/>
  <c r="AF2028" i="11"/>
  <c r="AG2027" i="11"/>
  <c r="AF2027" i="11"/>
  <c r="AG2026" i="11"/>
  <c r="AF2026" i="11"/>
  <c r="AG2025" i="11"/>
  <c r="AF2025" i="11"/>
  <c r="AG2024" i="11"/>
  <c r="AF2024" i="11"/>
  <c r="AG2023" i="11"/>
  <c r="AF2023" i="11"/>
  <c r="AG2022" i="11"/>
  <c r="AF2022" i="11"/>
  <c r="AG2021" i="11"/>
  <c r="AF2021" i="11"/>
  <c r="AG2020" i="11"/>
  <c r="AF2020" i="11"/>
  <c r="AG2019" i="11"/>
  <c r="AF2019" i="11"/>
  <c r="AG2018" i="11"/>
  <c r="AF2018" i="11"/>
  <c r="AG2017" i="11"/>
  <c r="AF2017" i="11"/>
  <c r="AG2016" i="11"/>
  <c r="AF2016" i="11"/>
  <c r="AG2015" i="11"/>
  <c r="AF2015" i="11"/>
  <c r="AG2014" i="11"/>
  <c r="AF2014" i="11"/>
  <c r="AG2013" i="11"/>
  <c r="AF2013" i="11"/>
  <c r="AG2012" i="11"/>
  <c r="AF2012" i="11"/>
  <c r="AG2011" i="11"/>
  <c r="AF2011" i="11"/>
  <c r="AG2010" i="11"/>
  <c r="AF2010" i="11"/>
  <c r="AG2009" i="11"/>
  <c r="AF2009" i="11"/>
  <c r="AG2008" i="11"/>
  <c r="AF2008" i="11"/>
  <c r="AG2007" i="11"/>
  <c r="AF2007" i="11"/>
  <c r="AG2006" i="11"/>
  <c r="AF2006" i="11"/>
  <c r="AG2005" i="11"/>
  <c r="AF2005" i="11"/>
  <c r="AG2004" i="11"/>
  <c r="AF2004" i="11"/>
  <c r="AG2003" i="11"/>
  <c r="AF2003" i="11"/>
  <c r="AG2002" i="11"/>
  <c r="AF2002" i="11"/>
  <c r="AG2001" i="11"/>
  <c r="AF2001" i="11"/>
  <c r="AG2000" i="11"/>
  <c r="AF2000" i="11"/>
  <c r="AG1999" i="11"/>
  <c r="AF1999" i="11"/>
  <c r="AG1998" i="11"/>
  <c r="AF1998" i="11"/>
  <c r="AG1997" i="11"/>
  <c r="AF1997" i="11"/>
  <c r="AG1996" i="11"/>
  <c r="AF1996" i="11"/>
  <c r="AG1995" i="11"/>
  <c r="AF1995" i="11"/>
  <c r="AG1994" i="11"/>
  <c r="AF1994" i="11"/>
  <c r="AG1993" i="11"/>
  <c r="AF1993" i="11"/>
  <c r="AG1992" i="11"/>
  <c r="AF1992" i="11"/>
  <c r="AG1991" i="11"/>
  <c r="AF1991" i="11"/>
  <c r="AG1990" i="11"/>
  <c r="AF1990" i="11"/>
  <c r="AG1989" i="11"/>
  <c r="AF1989" i="11"/>
  <c r="AG1988" i="11"/>
  <c r="AF1988" i="11"/>
  <c r="AG1987" i="11"/>
  <c r="AF1987" i="11"/>
  <c r="AG1986" i="11"/>
  <c r="AF1986" i="11"/>
  <c r="AG1985" i="11"/>
  <c r="AF1985" i="11"/>
  <c r="AG1984" i="11"/>
  <c r="AF1984" i="11"/>
  <c r="AG1983" i="11"/>
  <c r="AF1983" i="11"/>
  <c r="AG1982" i="11"/>
  <c r="AF1982" i="11"/>
  <c r="AG1981" i="11"/>
  <c r="AF1981" i="11"/>
  <c r="AG1980" i="11"/>
  <c r="AF1980" i="11"/>
  <c r="AG1979" i="11"/>
  <c r="AF1979" i="11"/>
  <c r="AG1978" i="11"/>
  <c r="AF1978" i="11"/>
  <c r="AG1977" i="11"/>
  <c r="AF1977" i="11"/>
  <c r="AG1976" i="11"/>
  <c r="AF1976" i="11"/>
  <c r="AG1975" i="11"/>
  <c r="AF1975" i="11"/>
  <c r="AG1974" i="11"/>
  <c r="AF1974" i="11"/>
  <c r="AG1973" i="11"/>
  <c r="AF1973" i="11"/>
  <c r="AG1972" i="11"/>
  <c r="AF1972" i="11"/>
  <c r="AG1971" i="11"/>
  <c r="AF1971" i="11"/>
  <c r="AG1970" i="11"/>
  <c r="AF1970" i="11"/>
  <c r="AG1969" i="11"/>
  <c r="AF1969" i="11"/>
  <c r="AG1968" i="11"/>
  <c r="AF1968" i="11"/>
  <c r="AG1967" i="11"/>
  <c r="AF1967" i="11"/>
  <c r="AG1966" i="11"/>
  <c r="AF1966" i="11"/>
  <c r="AG1965" i="11"/>
  <c r="AF1965" i="11"/>
  <c r="AG1964" i="11"/>
  <c r="AF1964" i="11"/>
  <c r="AG1963" i="11"/>
  <c r="AF1963" i="11"/>
  <c r="AG1962" i="11"/>
  <c r="AF1962" i="11"/>
  <c r="AG1961" i="11"/>
  <c r="AF1961" i="11"/>
  <c r="AG1960" i="11"/>
  <c r="AF1960" i="11"/>
  <c r="AG1959" i="11"/>
  <c r="AF1959" i="11"/>
  <c r="AG1958" i="11"/>
  <c r="AF1958" i="11"/>
  <c r="AG1957" i="11"/>
  <c r="AF1957" i="11"/>
  <c r="AG1956" i="11"/>
  <c r="AF1956" i="11"/>
  <c r="AG1955" i="11"/>
  <c r="AF1955" i="11"/>
  <c r="AG1954" i="11"/>
  <c r="AF1954" i="11"/>
  <c r="AG1953" i="11"/>
  <c r="AF1953" i="11"/>
  <c r="AG1952" i="11"/>
  <c r="AF1952" i="11"/>
  <c r="AG1951" i="11"/>
  <c r="AF1951" i="11"/>
  <c r="AG1950" i="11"/>
  <c r="AF1950" i="11"/>
  <c r="AG1949" i="11"/>
  <c r="AF1949" i="11"/>
  <c r="AG1948" i="11"/>
  <c r="AF1948" i="11"/>
  <c r="AG1947" i="11"/>
  <c r="AF1947" i="11"/>
  <c r="AG1946" i="11"/>
  <c r="AF1946" i="11"/>
  <c r="AG1945" i="11"/>
  <c r="AF1945" i="11"/>
  <c r="AG1944" i="11"/>
  <c r="AF1944" i="11"/>
  <c r="AG1943" i="11"/>
  <c r="AF1943" i="11"/>
  <c r="AG1942" i="11"/>
  <c r="AF1942" i="11"/>
  <c r="AG1941" i="11"/>
  <c r="AF1941" i="11"/>
  <c r="AG1940" i="11"/>
  <c r="AF1940" i="11"/>
  <c r="AG1939" i="11"/>
  <c r="AF1939" i="11"/>
  <c r="AG1938" i="11"/>
  <c r="AF1938" i="11"/>
  <c r="AG1937" i="11"/>
  <c r="AF1937" i="11"/>
  <c r="AG1936" i="11"/>
  <c r="AF1936" i="11"/>
  <c r="AG1935" i="11"/>
  <c r="AF1935" i="11"/>
  <c r="AG1934" i="11"/>
  <c r="AF1934" i="11"/>
  <c r="AG1933" i="11"/>
  <c r="AF1933" i="11"/>
  <c r="AG1932" i="11"/>
  <c r="AF1932" i="11"/>
  <c r="AG1931" i="11"/>
  <c r="AF1931" i="11"/>
  <c r="AG1930" i="11"/>
  <c r="AF1930" i="11"/>
  <c r="AG1929" i="11"/>
  <c r="AF1929" i="11"/>
  <c r="AG1928" i="11"/>
  <c r="AF1928" i="11"/>
  <c r="AG1927" i="11"/>
  <c r="AF1927" i="11"/>
  <c r="AG1926" i="11"/>
  <c r="AF1926" i="11"/>
  <c r="AG1925" i="11"/>
  <c r="AF1925" i="11"/>
  <c r="AG1924" i="11"/>
  <c r="AF1924" i="11"/>
  <c r="AG1923" i="11"/>
  <c r="AF1923" i="11"/>
  <c r="AG1922" i="11"/>
  <c r="AF1922" i="11"/>
  <c r="AG1921" i="11"/>
  <c r="AF1921" i="11"/>
  <c r="AG1920" i="11"/>
  <c r="AF1920" i="11"/>
  <c r="AG1919" i="11"/>
  <c r="AF1919" i="11"/>
  <c r="AG1918" i="11"/>
  <c r="AF1918" i="11"/>
  <c r="AG1917" i="11"/>
  <c r="AF1917" i="11"/>
  <c r="AG1916" i="11"/>
  <c r="AF1916" i="11"/>
  <c r="AG1915" i="11"/>
  <c r="AF1915" i="11"/>
  <c r="AG1914" i="11"/>
  <c r="AF1914" i="11"/>
  <c r="AG1913" i="11"/>
  <c r="AF1913" i="11"/>
  <c r="AG1912" i="11"/>
  <c r="AF1912" i="11"/>
  <c r="AG1911" i="11"/>
  <c r="AF1911" i="11"/>
  <c r="AG1910" i="11"/>
  <c r="AF1910" i="11"/>
  <c r="AG1909" i="11"/>
  <c r="AF1909" i="11"/>
  <c r="AG1908" i="11"/>
  <c r="AF1908" i="11"/>
  <c r="AG1907" i="11"/>
  <c r="AF1907" i="11"/>
  <c r="AG1906" i="11"/>
  <c r="AF1906" i="11"/>
  <c r="AG1905" i="11"/>
  <c r="AF1905" i="11"/>
  <c r="AG1904" i="11"/>
  <c r="AF1904" i="11"/>
  <c r="AG1903" i="11"/>
  <c r="AF1903" i="11"/>
  <c r="AG1902" i="11"/>
  <c r="AF1902" i="11"/>
  <c r="AG1901" i="11"/>
  <c r="AF1901" i="11"/>
  <c r="AG1900" i="11"/>
  <c r="AF1900" i="11"/>
  <c r="AG1899" i="11"/>
  <c r="AF1899" i="11"/>
  <c r="AG1898" i="11"/>
  <c r="AF1898" i="11"/>
  <c r="AG1897" i="11"/>
  <c r="AF1897" i="11"/>
  <c r="AG1896" i="11"/>
  <c r="AF1896" i="11"/>
  <c r="AG1895" i="11"/>
  <c r="AF1895" i="11"/>
  <c r="AG1894" i="11"/>
  <c r="AF1894" i="11"/>
  <c r="AG1893" i="11"/>
  <c r="AF1893" i="11"/>
  <c r="AG1892" i="11"/>
  <c r="AF1892" i="11"/>
  <c r="AG1891" i="11"/>
  <c r="AF1891" i="11"/>
  <c r="AG1890" i="11"/>
  <c r="AF1890" i="11"/>
  <c r="AG1889" i="11"/>
  <c r="AF1889" i="11"/>
  <c r="AG1888" i="11"/>
  <c r="AF1888" i="11"/>
  <c r="AG1887" i="11"/>
  <c r="AF1887" i="11"/>
  <c r="AG1886" i="11"/>
  <c r="AF1886" i="11"/>
  <c r="AG1885" i="11"/>
  <c r="AF1885" i="11"/>
  <c r="AG1884" i="11"/>
  <c r="AF1884" i="11"/>
  <c r="AG1883" i="11"/>
  <c r="AF1883" i="11"/>
  <c r="AG1882" i="11"/>
  <c r="AF1882" i="11"/>
  <c r="AG1881" i="11"/>
  <c r="AF1881" i="11"/>
  <c r="AG1880" i="11"/>
  <c r="AF1880" i="11"/>
  <c r="AG1879" i="11"/>
  <c r="AF1879" i="11"/>
  <c r="AG1878" i="11"/>
  <c r="AF1878" i="11"/>
  <c r="AG1877" i="11"/>
  <c r="AF1877" i="11"/>
  <c r="AG1876" i="11"/>
  <c r="AF1876" i="11"/>
  <c r="AG1875" i="11"/>
  <c r="AF1875" i="11"/>
  <c r="AG1874" i="11"/>
  <c r="AF1874" i="11"/>
  <c r="AG1873" i="11"/>
  <c r="AF1873" i="11"/>
  <c r="AG1872" i="11"/>
  <c r="AF1872" i="11"/>
  <c r="AG1871" i="11"/>
  <c r="AF1871" i="11"/>
  <c r="AG1870" i="11"/>
  <c r="AF1870" i="11"/>
  <c r="AG1869" i="11"/>
  <c r="AF1869" i="11"/>
  <c r="AG1868" i="11"/>
  <c r="AF1868" i="11"/>
  <c r="AG1867" i="11"/>
  <c r="AF1867" i="11"/>
  <c r="AG1866" i="11"/>
  <c r="AF1866" i="11"/>
  <c r="AG1865" i="11"/>
  <c r="AF1865" i="11"/>
  <c r="AG1864" i="11"/>
  <c r="AF1864" i="11"/>
  <c r="AG1863" i="11"/>
  <c r="AF1863" i="11"/>
  <c r="AG1862" i="11"/>
  <c r="AF1862" i="11"/>
  <c r="AG1861" i="11"/>
  <c r="AF1861" i="11"/>
  <c r="AG1860" i="11"/>
  <c r="AF1860" i="11"/>
  <c r="AG1859" i="11"/>
  <c r="AF1859" i="11"/>
  <c r="AG1858" i="11"/>
  <c r="AF1858" i="11"/>
  <c r="AG1857" i="11"/>
  <c r="AF1857" i="11"/>
  <c r="AG1856" i="11"/>
  <c r="AF1856" i="11"/>
  <c r="AG1855" i="11"/>
  <c r="AF1855" i="11"/>
  <c r="AG1854" i="11"/>
  <c r="AF1854" i="11"/>
  <c r="AG1853" i="11"/>
  <c r="AF1853" i="11"/>
  <c r="AG1852" i="11"/>
  <c r="AF1852" i="11"/>
  <c r="AG1851" i="11"/>
  <c r="AF1851" i="11"/>
  <c r="AG1850" i="11"/>
  <c r="AF1850" i="11"/>
  <c r="AG1849" i="11"/>
  <c r="AF1849" i="11"/>
  <c r="AG1848" i="11"/>
  <c r="AF1848" i="11"/>
  <c r="AG1847" i="11"/>
  <c r="AF1847" i="11"/>
  <c r="AG1846" i="11"/>
  <c r="AF1846" i="11"/>
  <c r="AG1845" i="11"/>
  <c r="AF1845" i="11"/>
  <c r="AG1844" i="11"/>
  <c r="AF1844" i="11"/>
  <c r="AG1843" i="11"/>
  <c r="AF1843" i="11"/>
  <c r="AG1842" i="11"/>
  <c r="AF1842" i="11"/>
  <c r="AG1841" i="11"/>
  <c r="AF1841" i="11"/>
  <c r="AG1840" i="11"/>
  <c r="AF1840" i="11"/>
  <c r="AG1839" i="11"/>
  <c r="AF1839" i="11"/>
  <c r="AG1838" i="11"/>
  <c r="AF1838" i="11"/>
  <c r="AG1837" i="11"/>
  <c r="AF1837" i="11"/>
  <c r="AG1836" i="11"/>
  <c r="AF1836" i="11"/>
  <c r="AG1835" i="11"/>
  <c r="AF1835" i="11"/>
  <c r="AG1834" i="11"/>
  <c r="AF1834" i="11"/>
  <c r="AG1833" i="11"/>
  <c r="AF1833" i="11"/>
  <c r="AG1832" i="11"/>
  <c r="AF1832" i="11"/>
  <c r="AG1831" i="11"/>
  <c r="AF1831" i="11"/>
  <c r="AG1830" i="11"/>
  <c r="AF1830" i="11"/>
  <c r="AG1829" i="11"/>
  <c r="AF1829" i="11"/>
  <c r="AG1828" i="11"/>
  <c r="AF1828" i="11"/>
  <c r="AG1827" i="11"/>
  <c r="AF1827" i="11"/>
  <c r="AG1826" i="11"/>
  <c r="AF1826" i="11"/>
  <c r="AG1825" i="11"/>
  <c r="AF1825" i="11"/>
  <c r="AG1824" i="11"/>
  <c r="AF1824" i="11"/>
  <c r="AG1823" i="11"/>
  <c r="AF1823" i="11"/>
  <c r="AG1822" i="11"/>
  <c r="AF1822" i="11"/>
  <c r="AG1821" i="11"/>
  <c r="AF1821" i="11"/>
  <c r="AG1820" i="11"/>
  <c r="AF1820" i="11"/>
  <c r="AG1819" i="11"/>
  <c r="AF1819" i="11"/>
  <c r="AG1818" i="11"/>
  <c r="AF1818" i="11"/>
  <c r="AG1817" i="11"/>
  <c r="AF1817" i="11"/>
  <c r="AG1816" i="11"/>
  <c r="AF1816" i="11"/>
  <c r="AG1815" i="11"/>
  <c r="AF1815" i="11"/>
  <c r="AG1814" i="11"/>
  <c r="AF1814" i="11"/>
  <c r="AG1813" i="11"/>
  <c r="AF1813" i="11"/>
  <c r="AG1812" i="11"/>
  <c r="AF1812" i="11"/>
  <c r="AG1811" i="11"/>
  <c r="AF1811" i="11"/>
  <c r="AG1810" i="11"/>
  <c r="AF1810" i="11"/>
  <c r="AG1809" i="11"/>
  <c r="AF1809" i="11"/>
  <c r="AG1808" i="11"/>
  <c r="AF1808" i="11"/>
  <c r="AG1807" i="11"/>
  <c r="AF1807" i="11"/>
  <c r="AG1806" i="11"/>
  <c r="AF1806" i="11"/>
  <c r="AG1805" i="11"/>
  <c r="AF1805" i="11"/>
  <c r="AG1804" i="11"/>
  <c r="AF1804" i="11"/>
  <c r="AG1803" i="11"/>
  <c r="AF1803" i="11"/>
  <c r="AG1802" i="11"/>
  <c r="AF1802" i="11"/>
  <c r="AG1801" i="11"/>
  <c r="AF1801" i="11"/>
  <c r="AG1800" i="11"/>
  <c r="AF1800" i="11"/>
  <c r="AG1799" i="11"/>
  <c r="AF1799" i="11"/>
  <c r="AG1798" i="11"/>
  <c r="AF1798" i="11"/>
  <c r="AG1797" i="11"/>
  <c r="AF1797" i="11"/>
  <c r="AG1796" i="11"/>
  <c r="AF1796" i="11"/>
  <c r="AG1795" i="11"/>
  <c r="AF1795" i="11"/>
  <c r="AG1794" i="11"/>
  <c r="AF1794" i="11"/>
  <c r="AG1793" i="11"/>
  <c r="AF1793" i="11"/>
  <c r="AG1792" i="11"/>
  <c r="AF1792" i="11"/>
  <c r="AG1791" i="11"/>
  <c r="AF1791" i="11"/>
  <c r="AG1790" i="11"/>
  <c r="AF1790" i="11"/>
  <c r="AG1789" i="11"/>
  <c r="AF1789" i="11"/>
  <c r="AG1788" i="11"/>
  <c r="AF1788" i="11"/>
  <c r="AG1787" i="11"/>
  <c r="AF1787" i="11"/>
  <c r="AG1786" i="11"/>
  <c r="AF1786" i="11"/>
  <c r="AG1785" i="11"/>
  <c r="AF1785" i="11"/>
  <c r="AG1784" i="11"/>
  <c r="AF1784" i="11"/>
  <c r="AG1783" i="11"/>
  <c r="AF1783" i="11"/>
  <c r="AG1782" i="11"/>
  <c r="AF1782" i="11"/>
  <c r="AG1781" i="11"/>
  <c r="AF1781" i="11"/>
  <c r="AG1780" i="11"/>
  <c r="AF1780" i="11"/>
  <c r="AG1779" i="11"/>
  <c r="AF1779" i="11"/>
  <c r="AG1778" i="11"/>
  <c r="AF1778" i="11"/>
  <c r="AG1777" i="11"/>
  <c r="AF1777" i="11"/>
  <c r="AG1776" i="11"/>
  <c r="AF1776" i="11"/>
  <c r="AG1775" i="11"/>
  <c r="AF1775" i="11"/>
  <c r="AG1774" i="11"/>
  <c r="AF1774" i="11"/>
  <c r="AG1773" i="11"/>
  <c r="AF1773" i="11"/>
  <c r="AG1772" i="11"/>
  <c r="AF1772" i="11"/>
  <c r="AG1771" i="11"/>
  <c r="AF1771" i="11"/>
  <c r="AG1770" i="11"/>
  <c r="AF1770" i="11"/>
  <c r="AG1769" i="11"/>
  <c r="AF1769" i="11"/>
  <c r="AG1768" i="11"/>
  <c r="AF1768" i="11"/>
  <c r="AG1767" i="11"/>
  <c r="AF1767" i="11"/>
  <c r="AG1766" i="11"/>
  <c r="AF1766" i="11"/>
  <c r="AG1765" i="11"/>
  <c r="AF1765" i="11"/>
  <c r="AG1764" i="11"/>
  <c r="AF1764" i="11"/>
  <c r="AG1763" i="11"/>
  <c r="AF1763" i="11"/>
  <c r="AG1762" i="11"/>
  <c r="AF1762" i="11"/>
  <c r="AG1761" i="11"/>
  <c r="AF1761" i="11"/>
  <c r="AG1760" i="11"/>
  <c r="AF1760" i="11"/>
  <c r="AG1759" i="11"/>
  <c r="AF1759" i="11"/>
  <c r="AG1758" i="11"/>
  <c r="AF1758" i="11"/>
  <c r="AG1757" i="11"/>
  <c r="AF1757" i="11"/>
  <c r="AG1756" i="11"/>
  <c r="AF1756" i="11"/>
  <c r="AG1755" i="11"/>
  <c r="AF1755" i="11"/>
  <c r="AG1754" i="11"/>
  <c r="AF1754" i="11"/>
  <c r="AG1753" i="11"/>
  <c r="AF1753" i="11"/>
  <c r="AG1752" i="11"/>
  <c r="AF1752" i="11"/>
  <c r="AG1751" i="11"/>
  <c r="AF1751" i="11"/>
  <c r="AG1750" i="11"/>
  <c r="AF1750" i="11"/>
  <c r="AG1749" i="11"/>
  <c r="AF1749" i="11"/>
  <c r="AG1748" i="11"/>
  <c r="AF1748" i="11"/>
  <c r="AG1747" i="11"/>
  <c r="AF1747" i="11"/>
  <c r="AG1746" i="11"/>
  <c r="AF1746" i="11"/>
  <c r="AG1745" i="11"/>
  <c r="AF1745" i="11"/>
  <c r="AG1744" i="11"/>
  <c r="AF1744" i="11"/>
  <c r="AG1743" i="11"/>
  <c r="AF1743" i="11"/>
  <c r="AG1742" i="11"/>
  <c r="AF1742" i="11"/>
  <c r="AG1741" i="11"/>
  <c r="AF1741" i="11"/>
  <c r="AG1740" i="11"/>
  <c r="AF1740" i="11"/>
  <c r="AG1739" i="11"/>
  <c r="AF1739" i="11"/>
  <c r="AG1738" i="11"/>
  <c r="AF1738" i="11"/>
  <c r="AG1737" i="11"/>
  <c r="AF1737" i="11"/>
  <c r="AG1736" i="11"/>
  <c r="AF1736" i="11"/>
  <c r="AG1735" i="11"/>
  <c r="AF1735" i="11"/>
  <c r="AG1734" i="11"/>
  <c r="AF1734" i="11"/>
  <c r="AG1733" i="11"/>
  <c r="AF1733" i="11"/>
  <c r="AG1732" i="11"/>
  <c r="AF1732" i="11"/>
  <c r="AG1731" i="11"/>
  <c r="AF1731" i="11"/>
  <c r="AG1730" i="11"/>
  <c r="AF1730" i="11"/>
  <c r="AG1729" i="11"/>
  <c r="AF1729" i="11"/>
  <c r="AG1728" i="11"/>
  <c r="AF1728" i="11"/>
  <c r="AG1727" i="11"/>
  <c r="AF1727" i="11"/>
  <c r="AG1726" i="11"/>
  <c r="AF1726" i="11"/>
  <c r="AG1725" i="11"/>
  <c r="AF1725" i="11"/>
  <c r="AG1724" i="11"/>
  <c r="AF1724" i="11"/>
  <c r="AG1723" i="11"/>
  <c r="AF1723" i="11"/>
  <c r="AG1722" i="11"/>
  <c r="AF1722" i="11"/>
  <c r="AG1721" i="11"/>
  <c r="AF1721" i="11"/>
  <c r="AG1720" i="11"/>
  <c r="AF1720" i="11"/>
  <c r="AG1719" i="11"/>
  <c r="AF1719" i="11"/>
  <c r="AG1718" i="11"/>
  <c r="AF1718" i="11"/>
  <c r="AG1717" i="11"/>
  <c r="AF1717" i="11"/>
  <c r="AG1716" i="11"/>
  <c r="AF1716" i="11"/>
  <c r="AG1715" i="11"/>
  <c r="AF1715" i="11"/>
  <c r="AG1714" i="11"/>
  <c r="AF1714" i="11"/>
  <c r="AG1713" i="11"/>
  <c r="AF1713" i="11"/>
  <c r="AG1712" i="11"/>
  <c r="AF1712" i="11"/>
  <c r="AG1711" i="11"/>
  <c r="AF1711" i="11"/>
  <c r="AG1710" i="11"/>
  <c r="AF1710" i="11"/>
  <c r="AG1709" i="11"/>
  <c r="AF1709" i="11"/>
  <c r="AG1708" i="11"/>
  <c r="AF1708" i="11"/>
  <c r="AG1707" i="11"/>
  <c r="AF1707" i="11"/>
  <c r="AG1706" i="11"/>
  <c r="AF1706" i="11"/>
  <c r="AG1705" i="11"/>
  <c r="AF1705" i="11"/>
  <c r="AG1704" i="11"/>
  <c r="AF1704" i="11"/>
  <c r="AG1703" i="11"/>
  <c r="AF1703" i="11"/>
  <c r="AG1702" i="11"/>
  <c r="AF1702" i="11"/>
  <c r="AG1701" i="11"/>
  <c r="AF1701" i="11"/>
  <c r="AG1700" i="11"/>
  <c r="AF1700" i="11"/>
  <c r="AG1699" i="11"/>
  <c r="AF1699" i="11"/>
  <c r="AG1698" i="11"/>
  <c r="AF1698" i="11"/>
  <c r="AG1697" i="11"/>
  <c r="AF1697" i="11"/>
  <c r="AG1696" i="11"/>
  <c r="AF1696" i="11"/>
  <c r="AG1695" i="11"/>
  <c r="AF1695" i="11"/>
  <c r="AG1694" i="11"/>
  <c r="AF1694" i="11"/>
  <c r="AG1693" i="11"/>
  <c r="AF1693" i="11"/>
  <c r="AG1692" i="11"/>
  <c r="AF1692" i="11"/>
  <c r="AG1691" i="11"/>
  <c r="AF1691" i="11"/>
  <c r="AG1690" i="11"/>
  <c r="AF1690" i="11"/>
  <c r="AG1689" i="11"/>
  <c r="AF1689" i="11"/>
  <c r="AG1688" i="11"/>
  <c r="AF1688" i="11"/>
  <c r="AG1687" i="11"/>
  <c r="AF1687" i="11"/>
  <c r="AG1686" i="11"/>
  <c r="AF1686" i="11"/>
  <c r="AG1685" i="11"/>
  <c r="AF1685" i="11"/>
  <c r="AG1684" i="11"/>
  <c r="AF1684" i="11"/>
  <c r="AG1683" i="11"/>
  <c r="AF1683" i="11"/>
  <c r="AG1682" i="11"/>
  <c r="AF1682" i="11"/>
  <c r="AG1681" i="11"/>
  <c r="AF1681" i="11"/>
  <c r="AG1680" i="11"/>
  <c r="AF1680" i="11"/>
  <c r="AG1679" i="11"/>
  <c r="AF1679" i="11"/>
  <c r="AG1678" i="11"/>
  <c r="AF1678" i="11"/>
  <c r="AG1677" i="11"/>
  <c r="AF1677" i="11"/>
  <c r="AG1676" i="11"/>
  <c r="AF1676" i="11"/>
  <c r="AG1675" i="11"/>
  <c r="AF1675" i="11"/>
  <c r="AG1674" i="11"/>
  <c r="AF1674" i="11"/>
  <c r="AG1673" i="11"/>
  <c r="AF1673" i="11"/>
  <c r="AG1672" i="11"/>
  <c r="AF1672" i="11"/>
  <c r="AG1671" i="11"/>
  <c r="AF1671" i="11"/>
  <c r="AG1670" i="11"/>
  <c r="AF1670" i="11"/>
  <c r="AG1669" i="11"/>
  <c r="AF1669" i="11"/>
  <c r="AG1668" i="11"/>
  <c r="AF1668" i="11"/>
  <c r="AG1667" i="11"/>
  <c r="AF1667" i="11"/>
  <c r="AG1666" i="11"/>
  <c r="AF1666" i="11"/>
  <c r="AG1665" i="11"/>
  <c r="AF1665" i="11"/>
  <c r="AG1664" i="11"/>
  <c r="AF1664" i="11"/>
  <c r="AG1663" i="11"/>
  <c r="AF1663" i="11"/>
  <c r="AG1662" i="11"/>
  <c r="AF1662" i="11"/>
  <c r="AG1661" i="11"/>
  <c r="AF1661" i="11"/>
  <c r="AG1660" i="11"/>
  <c r="AF1660" i="11"/>
  <c r="AG1659" i="11"/>
  <c r="AF1659" i="11"/>
  <c r="AG1658" i="11"/>
  <c r="AF1658" i="11"/>
  <c r="AG1657" i="11"/>
  <c r="AF1657" i="11"/>
  <c r="AG1656" i="11"/>
  <c r="AF1656" i="11"/>
  <c r="AG1655" i="11"/>
  <c r="AF1655" i="11"/>
  <c r="AG1654" i="11"/>
  <c r="AF1654" i="11"/>
  <c r="AG1653" i="11"/>
  <c r="AF1653" i="11"/>
  <c r="AG1652" i="11"/>
  <c r="AF1652" i="11"/>
  <c r="AG1651" i="11"/>
  <c r="AF1651" i="11"/>
  <c r="AG1650" i="11"/>
  <c r="AF1650" i="11"/>
  <c r="AG1649" i="11"/>
  <c r="AF1649" i="11"/>
  <c r="AG1648" i="11"/>
  <c r="AF1648" i="11"/>
  <c r="AG1647" i="11"/>
  <c r="AF1647" i="11"/>
  <c r="AG1646" i="11"/>
  <c r="AF1646" i="11"/>
  <c r="AG1645" i="11"/>
  <c r="AF1645" i="11"/>
  <c r="AG1644" i="11"/>
  <c r="AF1644" i="11"/>
  <c r="AG1643" i="11"/>
  <c r="AF1643" i="11"/>
  <c r="AG1642" i="11"/>
  <c r="AF1642" i="11"/>
  <c r="AG1641" i="11"/>
  <c r="AF1641" i="11"/>
  <c r="AG1640" i="11"/>
  <c r="AF1640" i="11"/>
  <c r="AG1639" i="11"/>
  <c r="AF1639" i="11"/>
  <c r="AG1638" i="11"/>
  <c r="AF1638" i="11"/>
  <c r="AG1637" i="11"/>
  <c r="AF1637" i="11"/>
  <c r="AG1636" i="11"/>
  <c r="AF1636" i="11"/>
  <c r="AG1635" i="11"/>
  <c r="AF1635" i="11"/>
  <c r="AG1634" i="11"/>
  <c r="AF1634" i="11"/>
  <c r="AG1633" i="11"/>
  <c r="AF1633" i="11"/>
  <c r="AG1632" i="11"/>
  <c r="AF1632" i="11"/>
  <c r="AG1631" i="11"/>
  <c r="AF1631" i="11"/>
  <c r="AG1630" i="11"/>
  <c r="AF1630" i="11"/>
  <c r="AG1629" i="11"/>
  <c r="AF1629" i="11"/>
  <c r="AG1628" i="11"/>
  <c r="AF1628" i="11"/>
  <c r="AG1627" i="11"/>
  <c r="AF1627" i="11"/>
  <c r="AG1626" i="11"/>
  <c r="AF1626" i="11"/>
  <c r="AG1625" i="11"/>
  <c r="AF1625" i="11"/>
  <c r="AG1624" i="11"/>
  <c r="AF1624" i="11"/>
  <c r="AG1623" i="11"/>
  <c r="AF1623" i="11"/>
  <c r="AG1622" i="11"/>
  <c r="AF1622" i="11"/>
  <c r="AG1621" i="11"/>
  <c r="AF1621" i="11"/>
  <c r="AG1620" i="11"/>
  <c r="AF1620" i="11"/>
  <c r="AG1619" i="11"/>
  <c r="AF1619" i="11"/>
  <c r="AG1618" i="11"/>
  <c r="AF1618" i="11"/>
  <c r="AG1617" i="11"/>
  <c r="AF1617" i="11"/>
  <c r="AG1616" i="11"/>
  <c r="AF1616" i="11"/>
  <c r="AG1615" i="11"/>
  <c r="AF1615" i="11"/>
  <c r="AG1614" i="11"/>
  <c r="AF1614" i="11"/>
  <c r="AG1613" i="11"/>
  <c r="AF1613" i="11"/>
  <c r="AG1612" i="11"/>
  <c r="AF1612" i="11"/>
  <c r="AG1611" i="11"/>
  <c r="AF1611" i="11"/>
  <c r="AG1610" i="11"/>
  <c r="AF1610" i="11"/>
  <c r="AG1609" i="11"/>
  <c r="AF1609" i="11"/>
  <c r="AG1608" i="11"/>
  <c r="AF1608" i="11"/>
  <c r="AG1607" i="11"/>
  <c r="AF1607" i="11"/>
  <c r="AG1606" i="11"/>
  <c r="AF1606" i="11"/>
  <c r="AG1605" i="11"/>
  <c r="AF1605" i="11"/>
  <c r="AG1604" i="11"/>
  <c r="AF1604" i="11"/>
  <c r="AG1603" i="11"/>
  <c r="AF1603" i="11"/>
  <c r="AG1602" i="11"/>
  <c r="AF1602" i="11"/>
  <c r="AG1601" i="11"/>
  <c r="AF1601" i="11"/>
  <c r="AG1600" i="11"/>
  <c r="AF1600" i="11"/>
  <c r="AG1599" i="11"/>
  <c r="AF1599" i="11"/>
  <c r="AG1598" i="11"/>
  <c r="AF1598" i="11"/>
  <c r="AG1597" i="11"/>
  <c r="AF1597" i="11"/>
  <c r="AG1596" i="11"/>
  <c r="AF1596" i="11"/>
  <c r="AG1595" i="11"/>
  <c r="AF1595" i="11"/>
  <c r="AG1594" i="11"/>
  <c r="AF1594" i="11"/>
  <c r="AG1593" i="11"/>
  <c r="AF1593" i="11"/>
  <c r="AG1592" i="11"/>
  <c r="AF1592" i="11"/>
  <c r="AG1591" i="11"/>
  <c r="AF1591" i="11"/>
  <c r="AG1590" i="11"/>
  <c r="AF1590" i="11"/>
  <c r="AG1589" i="11"/>
  <c r="AF1589" i="11"/>
  <c r="AG1588" i="11"/>
  <c r="AF1588" i="11"/>
  <c r="AG1587" i="11"/>
  <c r="AF1587" i="11"/>
  <c r="AG1586" i="11"/>
  <c r="AF1586" i="11"/>
  <c r="AG1585" i="11"/>
  <c r="AF1585" i="11"/>
  <c r="AG1584" i="11"/>
  <c r="AF1584" i="11"/>
  <c r="AG1583" i="11"/>
  <c r="AF1583" i="11"/>
  <c r="AG1582" i="11"/>
  <c r="AF1582" i="11"/>
  <c r="AG1581" i="11"/>
  <c r="AF1581" i="11"/>
  <c r="AG1580" i="11"/>
  <c r="AF1580" i="11"/>
  <c r="AG1579" i="11"/>
  <c r="AF1579" i="11"/>
  <c r="AG1578" i="11"/>
  <c r="AF1578" i="11"/>
  <c r="AG1577" i="11"/>
  <c r="AF1577" i="11"/>
  <c r="AG1576" i="11"/>
  <c r="AF1576" i="11"/>
  <c r="AG1575" i="11"/>
  <c r="AF1575" i="11"/>
  <c r="AG1574" i="11"/>
  <c r="AF1574" i="11"/>
  <c r="AG1573" i="11"/>
  <c r="AF1573" i="11"/>
  <c r="AG1572" i="11"/>
  <c r="AF1572" i="11"/>
  <c r="AG1571" i="11"/>
  <c r="AF1571" i="11"/>
  <c r="AG1570" i="11"/>
  <c r="AF1570" i="11"/>
  <c r="AG1569" i="11"/>
  <c r="AF1569" i="11"/>
  <c r="AG1568" i="11"/>
  <c r="AF1568" i="11"/>
  <c r="AG1567" i="11"/>
  <c r="AF1567" i="11"/>
  <c r="AG1566" i="11"/>
  <c r="AF1566" i="11"/>
  <c r="AG1565" i="11"/>
  <c r="AF1565" i="11"/>
  <c r="AG1564" i="11"/>
  <c r="AF1564" i="11"/>
  <c r="AG1563" i="11"/>
  <c r="AF1563" i="11"/>
  <c r="AG1562" i="11"/>
  <c r="AF1562" i="11"/>
  <c r="AG1561" i="11"/>
  <c r="AF1561" i="11"/>
  <c r="AG1560" i="11"/>
  <c r="AF1560" i="11"/>
  <c r="AG1559" i="11"/>
  <c r="AF1559" i="11"/>
  <c r="AG1558" i="11"/>
  <c r="AF1558" i="11"/>
  <c r="AG1557" i="11"/>
  <c r="AF1557" i="11"/>
  <c r="AG1556" i="11"/>
  <c r="AF1556" i="11"/>
  <c r="AG1555" i="11"/>
  <c r="AF1555" i="11"/>
  <c r="AG1554" i="11"/>
  <c r="AF1554" i="11"/>
  <c r="AG1553" i="11"/>
  <c r="AF1553" i="11"/>
  <c r="AG1552" i="11"/>
  <c r="AF1552" i="11"/>
  <c r="AG1551" i="11"/>
  <c r="AF1551" i="11"/>
  <c r="AG1550" i="11"/>
  <c r="AF1550" i="11"/>
  <c r="AG1549" i="11"/>
  <c r="AF1549" i="11"/>
  <c r="AG1548" i="11"/>
  <c r="AF1548" i="11"/>
  <c r="AG1547" i="11"/>
  <c r="AF1547" i="11"/>
  <c r="AG1546" i="11"/>
  <c r="AF1546" i="11"/>
  <c r="AG1545" i="11"/>
  <c r="AF1545" i="11"/>
  <c r="AG1544" i="11"/>
  <c r="AF1544" i="11"/>
  <c r="AG1543" i="11"/>
  <c r="AF1543" i="11"/>
  <c r="AG1542" i="11"/>
  <c r="AF1542" i="11"/>
  <c r="AG1541" i="11"/>
  <c r="AF1541" i="11"/>
  <c r="AG1540" i="11"/>
  <c r="AF1540" i="11"/>
  <c r="AG1539" i="11"/>
  <c r="AF1539" i="11"/>
  <c r="AG1538" i="11"/>
  <c r="AF1538" i="11"/>
  <c r="AG1537" i="11"/>
  <c r="AF1537" i="11"/>
  <c r="AG1536" i="11"/>
  <c r="AF1536" i="11"/>
  <c r="AG1535" i="11"/>
  <c r="AF1535" i="11"/>
  <c r="AG1534" i="11"/>
  <c r="AF1534" i="11"/>
  <c r="AG1533" i="11"/>
  <c r="AF1533" i="11"/>
  <c r="AG1532" i="11"/>
  <c r="AF1532" i="11"/>
  <c r="AG1531" i="11"/>
  <c r="AF1531" i="11"/>
  <c r="AG1530" i="11"/>
  <c r="AF1530" i="11"/>
  <c r="AG1529" i="11"/>
  <c r="AF1529" i="11"/>
  <c r="AG1528" i="11"/>
  <c r="AF1528" i="11"/>
  <c r="AG1527" i="11"/>
  <c r="AF1527" i="11"/>
  <c r="AG1526" i="11"/>
  <c r="AF1526" i="11"/>
  <c r="AG1525" i="11"/>
  <c r="AF1525" i="11"/>
  <c r="AG1524" i="11"/>
  <c r="AF1524" i="11"/>
  <c r="AG1523" i="11"/>
  <c r="AF1523" i="11"/>
  <c r="AG1522" i="11"/>
  <c r="AF1522" i="11"/>
  <c r="AG1521" i="11"/>
  <c r="AF1521" i="11"/>
  <c r="AG1520" i="11"/>
  <c r="AF1520" i="11"/>
  <c r="AG1519" i="11"/>
  <c r="AF1519" i="11"/>
  <c r="AG1518" i="11"/>
  <c r="AF1518" i="11"/>
  <c r="AG1517" i="11"/>
  <c r="AF1517" i="11"/>
  <c r="AG1516" i="11"/>
  <c r="AF1516" i="11"/>
  <c r="AG1515" i="11"/>
  <c r="AF1515" i="11"/>
  <c r="AG1514" i="11"/>
  <c r="AF1514" i="11"/>
  <c r="AG1513" i="11"/>
  <c r="AF1513" i="11"/>
  <c r="AG1512" i="11"/>
  <c r="AF1512" i="11"/>
  <c r="AG1511" i="11"/>
  <c r="AF1511" i="11"/>
  <c r="AG1510" i="11"/>
  <c r="AF1510" i="11"/>
  <c r="AG1509" i="11"/>
  <c r="AF1509" i="11"/>
  <c r="AG1508" i="11"/>
  <c r="AF1508" i="11"/>
  <c r="AG1507" i="11"/>
  <c r="AF1507" i="11"/>
  <c r="AG1506" i="11"/>
  <c r="AF1506" i="11"/>
  <c r="AG1505" i="11"/>
  <c r="AF1505" i="11"/>
  <c r="AG1504" i="11"/>
  <c r="AF1504" i="11"/>
  <c r="AG1503" i="11"/>
  <c r="AF1503" i="11"/>
  <c r="AG1502" i="11"/>
  <c r="AF1502" i="11"/>
  <c r="AG1501" i="11"/>
  <c r="AF1501" i="11"/>
  <c r="AG1500" i="11"/>
  <c r="AF1500" i="11"/>
  <c r="AG1499" i="11"/>
  <c r="AF1499" i="11"/>
  <c r="AG1498" i="11"/>
  <c r="AF1498" i="11"/>
  <c r="AG1497" i="11"/>
  <c r="AF1497" i="11"/>
  <c r="AG1496" i="11"/>
  <c r="AF1496" i="11"/>
  <c r="AG1495" i="11"/>
  <c r="AF1495" i="11"/>
  <c r="AG1494" i="11"/>
  <c r="AF1494" i="11"/>
  <c r="AG1493" i="11"/>
  <c r="AF1493" i="11"/>
  <c r="AG1492" i="11"/>
  <c r="AF1492" i="11"/>
  <c r="AG1491" i="11"/>
  <c r="AF1491" i="11"/>
  <c r="AG1490" i="11"/>
  <c r="AF1490" i="11"/>
  <c r="AG1489" i="11"/>
  <c r="AF1489" i="11"/>
  <c r="AG1488" i="11"/>
  <c r="AF1488" i="11"/>
  <c r="AG1487" i="11"/>
  <c r="AF1487" i="11"/>
  <c r="AG1486" i="11"/>
  <c r="AF1486" i="11"/>
  <c r="AG1485" i="11"/>
  <c r="AF1485" i="11"/>
  <c r="AG1484" i="11"/>
  <c r="AF1484" i="11"/>
  <c r="AG1483" i="11"/>
  <c r="AF1483" i="11"/>
  <c r="AG1482" i="11"/>
  <c r="AF1482" i="11"/>
  <c r="AG1481" i="11"/>
  <c r="AF1481" i="11"/>
  <c r="AG1480" i="11"/>
  <c r="AF1480" i="11"/>
  <c r="AG1479" i="11"/>
  <c r="AF1479" i="11"/>
  <c r="AG1478" i="11"/>
  <c r="AF1478" i="11"/>
  <c r="AG1477" i="11"/>
  <c r="AF1477" i="11"/>
  <c r="AG1476" i="11"/>
  <c r="AF1476" i="11"/>
  <c r="AG1475" i="11"/>
  <c r="AF1475" i="11"/>
  <c r="AG1474" i="11"/>
  <c r="AF1474" i="11"/>
  <c r="AG1473" i="11"/>
  <c r="AF1473" i="11"/>
  <c r="AG1472" i="11"/>
  <c r="AF1472" i="11"/>
  <c r="AG1471" i="11"/>
  <c r="AF1471" i="11"/>
  <c r="AG1470" i="11"/>
  <c r="AF1470" i="11"/>
  <c r="AG1469" i="11"/>
  <c r="AF1469" i="11"/>
  <c r="AG1468" i="11"/>
  <c r="AF1468" i="11"/>
  <c r="AG1467" i="11"/>
  <c r="AF1467" i="11"/>
  <c r="AG1466" i="11"/>
  <c r="AF1466" i="11"/>
  <c r="AG1465" i="11"/>
  <c r="AF1465" i="11"/>
  <c r="AG1464" i="11"/>
  <c r="AF1464" i="11"/>
  <c r="AG1463" i="11"/>
  <c r="AF1463" i="11"/>
  <c r="AG1462" i="11"/>
  <c r="AF1462" i="11"/>
  <c r="AG1461" i="11"/>
  <c r="AF1461" i="11"/>
  <c r="AG1460" i="11"/>
  <c r="AF1460" i="11"/>
  <c r="AG1459" i="11"/>
  <c r="AF1459" i="11"/>
  <c r="AG1458" i="11"/>
  <c r="AF1458" i="11"/>
  <c r="AG1457" i="11"/>
  <c r="AF1457" i="11"/>
  <c r="AG1456" i="11"/>
  <c r="AF1456" i="11"/>
  <c r="AG1455" i="11"/>
  <c r="AF1455" i="11"/>
  <c r="AG1454" i="11"/>
  <c r="AF1454" i="11"/>
  <c r="AG1453" i="11"/>
  <c r="AF1453" i="11"/>
  <c r="AG1452" i="11"/>
  <c r="AF1452" i="11"/>
  <c r="AG1451" i="11"/>
  <c r="AF1451" i="11"/>
  <c r="AG1450" i="11"/>
  <c r="AF1450" i="11"/>
  <c r="AG1449" i="11"/>
  <c r="AF1449" i="11"/>
  <c r="AG1448" i="11"/>
  <c r="AF1448" i="11"/>
  <c r="AG1447" i="11"/>
  <c r="AF1447" i="11"/>
  <c r="AG1446" i="11"/>
  <c r="AF1446" i="11"/>
  <c r="AG1445" i="11"/>
  <c r="AF1445" i="11"/>
  <c r="AG1444" i="11"/>
  <c r="AF1444" i="11"/>
  <c r="AG1443" i="11"/>
  <c r="AF1443" i="11"/>
  <c r="AG1442" i="11"/>
  <c r="AF1442" i="11"/>
  <c r="AG1441" i="11"/>
  <c r="AF1441" i="11"/>
  <c r="AG1440" i="11"/>
  <c r="AF1440" i="11"/>
  <c r="AG1439" i="11"/>
  <c r="AF1439" i="11"/>
  <c r="AG1438" i="11"/>
  <c r="AF1438" i="11"/>
  <c r="AG1437" i="11"/>
  <c r="AF1437" i="11"/>
  <c r="AG1436" i="11"/>
  <c r="AF1436" i="11"/>
  <c r="AG1435" i="11"/>
  <c r="AF1435" i="11"/>
  <c r="AG1434" i="11"/>
  <c r="AF1434" i="11"/>
  <c r="AG1433" i="11"/>
  <c r="AF1433" i="11"/>
  <c r="AG1432" i="11"/>
  <c r="AF1432" i="11"/>
  <c r="AG1431" i="11"/>
  <c r="AF1431" i="11"/>
  <c r="AG1430" i="11"/>
  <c r="AF1430" i="11"/>
  <c r="AG1429" i="11"/>
  <c r="AF1429" i="11"/>
  <c r="AG1428" i="11"/>
  <c r="AF1428" i="11"/>
  <c r="AG1427" i="11"/>
  <c r="AF1427" i="11"/>
  <c r="AG1426" i="11"/>
  <c r="AF1426" i="11"/>
  <c r="AG1425" i="11"/>
  <c r="AF1425" i="11"/>
  <c r="AG1424" i="11"/>
  <c r="AF1424" i="11"/>
  <c r="AG1423" i="11"/>
  <c r="AF1423" i="11"/>
  <c r="AG1422" i="11"/>
  <c r="AF1422" i="11"/>
  <c r="AG1421" i="11"/>
  <c r="AF1421" i="11"/>
  <c r="AG1420" i="11"/>
  <c r="AF1420" i="11"/>
  <c r="AG1419" i="11"/>
  <c r="AF1419" i="11"/>
  <c r="AG1418" i="11"/>
  <c r="AF1418" i="11"/>
  <c r="AG1417" i="11"/>
  <c r="AF1417" i="11"/>
  <c r="AG1416" i="11"/>
  <c r="AF1416" i="11"/>
  <c r="AG1415" i="11"/>
  <c r="AF1415" i="11"/>
  <c r="AG1414" i="11"/>
  <c r="AF1414" i="11"/>
  <c r="AG1413" i="11"/>
  <c r="AF1413" i="11"/>
  <c r="AG1412" i="11"/>
  <c r="AF1412" i="11"/>
  <c r="AG1411" i="11"/>
  <c r="AF1411" i="11"/>
  <c r="AG1410" i="11"/>
  <c r="AF1410" i="11"/>
  <c r="AG1409" i="11"/>
  <c r="AF1409" i="11"/>
  <c r="AG1408" i="11"/>
  <c r="AF1408" i="11"/>
  <c r="AG1407" i="11"/>
  <c r="AF1407" i="11"/>
  <c r="AG1406" i="11"/>
  <c r="AF1406" i="11"/>
  <c r="AG1405" i="11"/>
  <c r="AF1405" i="11"/>
  <c r="AG1404" i="11"/>
  <c r="AF1404" i="11"/>
  <c r="AG1403" i="11"/>
  <c r="AF1403" i="11"/>
  <c r="AG1402" i="11"/>
  <c r="AF1402" i="11"/>
  <c r="AG1401" i="11"/>
  <c r="AF1401" i="11"/>
  <c r="AG1400" i="11"/>
  <c r="AF1400" i="11"/>
  <c r="AG1399" i="11"/>
  <c r="AF1399" i="11"/>
  <c r="AG1398" i="11"/>
  <c r="AF1398" i="11"/>
  <c r="AG1397" i="11"/>
  <c r="AF1397" i="11"/>
  <c r="AG1396" i="11"/>
  <c r="AF1396" i="11"/>
  <c r="AG1395" i="11"/>
  <c r="AF1395" i="11"/>
  <c r="AG1394" i="11"/>
  <c r="AF1394" i="11"/>
  <c r="AG1393" i="11"/>
  <c r="AF1393" i="11"/>
  <c r="AG1392" i="11"/>
  <c r="AF1392" i="11"/>
  <c r="AG1391" i="11"/>
  <c r="AF1391" i="11"/>
  <c r="AG1390" i="11"/>
  <c r="AF1390" i="11"/>
  <c r="AG1389" i="11"/>
  <c r="AF1389" i="11"/>
  <c r="AG1388" i="11"/>
  <c r="AF1388" i="11"/>
  <c r="AG1387" i="11"/>
  <c r="AF1387" i="11"/>
  <c r="AG1386" i="11"/>
  <c r="AF1386" i="11"/>
  <c r="AG1385" i="11"/>
  <c r="AF1385" i="11"/>
  <c r="AG1384" i="11"/>
  <c r="AF1384" i="11"/>
  <c r="AG1383" i="11"/>
  <c r="AF1383" i="11"/>
  <c r="AG1382" i="11"/>
  <c r="AF1382" i="11"/>
  <c r="AG1381" i="11"/>
  <c r="AF1381" i="11"/>
  <c r="AG1380" i="11"/>
  <c r="AF1380" i="11"/>
  <c r="AG1379" i="11"/>
  <c r="AF1379" i="11"/>
  <c r="AG1378" i="11"/>
  <c r="AF1378" i="11"/>
  <c r="AG1377" i="11"/>
  <c r="AF1377" i="11"/>
  <c r="AG1376" i="11"/>
  <c r="AF1376" i="11"/>
  <c r="AG1375" i="11"/>
  <c r="AF1375" i="11"/>
  <c r="AG1374" i="11"/>
  <c r="AF1374" i="11"/>
  <c r="AG1373" i="11"/>
  <c r="AF1373" i="11"/>
  <c r="AG1372" i="11"/>
  <c r="AF1372" i="11"/>
  <c r="AG1371" i="11"/>
  <c r="AF1371" i="11"/>
  <c r="AG1370" i="11"/>
  <c r="AF1370" i="11"/>
  <c r="AG1369" i="11"/>
  <c r="AF1369" i="11"/>
  <c r="AG1368" i="11"/>
  <c r="AF1368" i="11"/>
  <c r="AG1367" i="11"/>
  <c r="AF1367" i="11"/>
  <c r="AG1366" i="11"/>
  <c r="AF1366" i="11"/>
  <c r="AG1365" i="11"/>
  <c r="AF1365" i="11"/>
  <c r="AG1364" i="11"/>
  <c r="AF1364" i="11"/>
  <c r="AG1363" i="11"/>
  <c r="AF1363" i="11"/>
  <c r="AG1362" i="11"/>
  <c r="AF1362" i="11"/>
  <c r="AG1361" i="11"/>
  <c r="AF1361" i="11"/>
  <c r="AG1360" i="11"/>
  <c r="AF1360" i="11"/>
  <c r="AG1359" i="11"/>
  <c r="AF1359" i="11"/>
  <c r="AG1358" i="11"/>
  <c r="AF1358" i="11"/>
  <c r="AG1357" i="11"/>
  <c r="AF1357" i="11"/>
  <c r="AG1356" i="11"/>
  <c r="AF1356" i="11"/>
  <c r="AG1355" i="11"/>
  <c r="AF1355" i="11"/>
  <c r="AG1354" i="11"/>
  <c r="AF1354" i="11"/>
  <c r="AG1353" i="11"/>
  <c r="AF1353" i="11"/>
  <c r="AG1352" i="11"/>
  <c r="AF1352" i="11"/>
  <c r="AG1351" i="11"/>
  <c r="AF1351" i="11"/>
  <c r="AG1350" i="11"/>
  <c r="AF1350" i="11"/>
  <c r="AG1349" i="11"/>
  <c r="AF1349" i="11"/>
  <c r="AG1348" i="11"/>
  <c r="AF1348" i="11"/>
  <c r="AG1347" i="11"/>
  <c r="AF1347" i="11"/>
  <c r="AG1346" i="11"/>
  <c r="AF1346" i="11"/>
  <c r="AG1345" i="11"/>
  <c r="AF1345" i="11"/>
  <c r="AG1344" i="11"/>
  <c r="AF1344" i="11"/>
  <c r="AG1343" i="11"/>
  <c r="AF1343" i="11"/>
  <c r="AG1342" i="11"/>
  <c r="AF1342" i="11"/>
  <c r="AG1341" i="11"/>
  <c r="AF1341" i="11"/>
  <c r="AG1340" i="11"/>
  <c r="AF1340" i="11"/>
  <c r="AG1339" i="11"/>
  <c r="AF1339" i="11"/>
  <c r="AG1338" i="11"/>
  <c r="AF1338" i="11"/>
  <c r="AG1337" i="11"/>
  <c r="AF1337" i="11"/>
  <c r="AG1336" i="11"/>
  <c r="AF1336" i="11"/>
  <c r="AG1335" i="11"/>
  <c r="AF1335" i="11"/>
  <c r="AG1334" i="11"/>
  <c r="AF1334" i="11"/>
  <c r="AG1333" i="11"/>
  <c r="AF1333" i="11"/>
  <c r="AG1332" i="11"/>
  <c r="AF1332" i="11"/>
  <c r="AG1331" i="11"/>
  <c r="AF1331" i="11"/>
  <c r="AG1330" i="11"/>
  <c r="AF1330" i="11"/>
  <c r="AG1329" i="11"/>
  <c r="AF1329" i="11"/>
  <c r="AG1328" i="11"/>
  <c r="AF1328" i="11"/>
  <c r="AG1327" i="11"/>
  <c r="AF1327" i="11"/>
  <c r="AG1326" i="11"/>
  <c r="AF1326" i="11"/>
  <c r="AG1325" i="11"/>
  <c r="AF1325" i="11"/>
  <c r="AG1324" i="11"/>
  <c r="AF1324" i="11"/>
  <c r="AG1323" i="11"/>
  <c r="AF1323" i="11"/>
  <c r="AG1322" i="11"/>
  <c r="AF1322" i="11"/>
  <c r="AG1321" i="11"/>
  <c r="AF1321" i="11"/>
  <c r="AG1320" i="11"/>
  <c r="AF1320" i="11"/>
  <c r="AG1319" i="11"/>
  <c r="AF1319" i="11"/>
  <c r="AG1318" i="11"/>
  <c r="AF1318" i="11"/>
  <c r="AG1317" i="11"/>
  <c r="AF1317" i="11"/>
  <c r="AG1316" i="11"/>
  <c r="AF1316" i="11"/>
  <c r="AG1315" i="11"/>
  <c r="AF1315" i="11"/>
  <c r="AG1314" i="11"/>
  <c r="AF1314" i="11"/>
  <c r="AG1313" i="11"/>
  <c r="AF1313" i="11"/>
  <c r="AG1312" i="11"/>
  <c r="AF1312" i="11"/>
  <c r="AG1311" i="11"/>
  <c r="AF1311" i="11"/>
  <c r="AG1310" i="11"/>
  <c r="AF1310" i="11"/>
  <c r="AG1309" i="11"/>
  <c r="AF1309" i="11"/>
  <c r="AG1308" i="11"/>
  <c r="AF1308" i="11"/>
  <c r="AG1307" i="11"/>
  <c r="AF1307" i="11"/>
  <c r="AG1306" i="11"/>
  <c r="AF1306" i="11"/>
  <c r="AG1305" i="11"/>
  <c r="AF1305" i="11"/>
  <c r="AG1304" i="11"/>
  <c r="AF1304" i="11"/>
  <c r="AG1303" i="11"/>
  <c r="AF1303" i="11"/>
  <c r="AG1302" i="11"/>
  <c r="AF1302" i="11"/>
  <c r="AG1301" i="11"/>
  <c r="AF1301" i="11"/>
  <c r="AG1300" i="11"/>
  <c r="AF1300" i="11"/>
  <c r="AG1299" i="11"/>
  <c r="AF1299" i="11"/>
  <c r="AG1298" i="11"/>
  <c r="AF1298" i="11"/>
  <c r="AG1297" i="11"/>
  <c r="AF1297" i="11"/>
  <c r="AG1296" i="11"/>
  <c r="AF1296" i="11"/>
  <c r="AG1295" i="11"/>
  <c r="AF1295" i="11"/>
  <c r="AG1294" i="11"/>
  <c r="AF1294" i="11"/>
  <c r="AG1293" i="11"/>
  <c r="AF1293" i="11"/>
  <c r="AG1292" i="11"/>
  <c r="AF1292" i="11"/>
  <c r="AG1291" i="11"/>
  <c r="AF1291" i="11"/>
  <c r="AG1290" i="11"/>
  <c r="AF1290" i="11"/>
  <c r="AG1289" i="11"/>
  <c r="AF1289" i="11"/>
  <c r="AG1288" i="11"/>
  <c r="AF1288" i="11"/>
  <c r="AG1287" i="11"/>
  <c r="AF1287" i="11"/>
  <c r="AG1286" i="11"/>
  <c r="AF1286" i="11"/>
  <c r="AG1285" i="11"/>
  <c r="AF1285" i="11"/>
  <c r="AG1284" i="11"/>
  <c r="AF1284" i="11"/>
  <c r="AG1283" i="11"/>
  <c r="AF1283" i="11"/>
  <c r="AG1282" i="11"/>
  <c r="AF1282" i="11"/>
  <c r="AG1281" i="11"/>
  <c r="AF1281" i="11"/>
  <c r="AG1280" i="11"/>
  <c r="AF1280" i="11"/>
  <c r="AG1279" i="11"/>
  <c r="AF1279" i="11"/>
  <c r="AG1278" i="11"/>
  <c r="AF1278" i="11"/>
  <c r="AG1277" i="11"/>
  <c r="AF1277" i="11"/>
  <c r="AG1276" i="11"/>
  <c r="AF1276" i="11"/>
  <c r="AG1275" i="11"/>
  <c r="AF1275" i="11"/>
  <c r="AG1274" i="11"/>
  <c r="AF1274" i="11"/>
  <c r="AG1273" i="11"/>
  <c r="AF1273" i="11"/>
  <c r="AG1272" i="11"/>
  <c r="AF1272" i="11"/>
  <c r="AG1271" i="11"/>
  <c r="AF1271" i="11"/>
  <c r="AG1270" i="11"/>
  <c r="AF1270" i="11"/>
  <c r="AG1269" i="11"/>
  <c r="AF1269" i="11"/>
  <c r="AG1268" i="11"/>
  <c r="AF1268" i="11"/>
  <c r="AG1267" i="11"/>
  <c r="AF1267" i="11"/>
  <c r="AG1266" i="11"/>
  <c r="AF1266" i="11"/>
  <c r="AG1265" i="11"/>
  <c r="AF1265" i="11"/>
  <c r="AG1264" i="11"/>
  <c r="AF1264" i="11"/>
  <c r="AG1263" i="11"/>
  <c r="AF1263" i="11"/>
  <c r="AG1262" i="11"/>
  <c r="AF1262" i="11"/>
  <c r="AG1261" i="11"/>
  <c r="AF1261" i="11"/>
  <c r="AG1260" i="11"/>
  <c r="AF1260" i="11"/>
  <c r="AG1259" i="11"/>
  <c r="AF1259" i="11"/>
  <c r="AG1258" i="11"/>
  <c r="AF1258" i="11"/>
  <c r="AG1257" i="11"/>
  <c r="AF1257" i="11"/>
  <c r="AG1256" i="11"/>
  <c r="AF1256" i="11"/>
  <c r="AG1255" i="11"/>
  <c r="AF1255" i="11"/>
  <c r="AG1254" i="11"/>
  <c r="AF1254" i="11"/>
  <c r="AG1253" i="11"/>
  <c r="AF1253" i="11"/>
  <c r="AG1252" i="11"/>
  <c r="AF1252" i="11"/>
  <c r="AG1251" i="11"/>
  <c r="AF1251" i="11"/>
  <c r="AG1250" i="11"/>
  <c r="AF1250" i="11"/>
  <c r="AG1249" i="11"/>
  <c r="AF1249" i="11"/>
  <c r="AG1248" i="11"/>
  <c r="AF1248" i="11"/>
  <c r="AG1247" i="11"/>
  <c r="AF1247" i="11"/>
  <c r="AG1246" i="11"/>
  <c r="AF1246" i="11"/>
  <c r="AG1245" i="11"/>
  <c r="AF1245" i="11"/>
  <c r="AG1244" i="11"/>
  <c r="AF1244" i="11"/>
  <c r="AG1243" i="11"/>
  <c r="AF1243" i="11"/>
  <c r="AG1242" i="11"/>
  <c r="AF1242" i="11"/>
  <c r="AG1241" i="11"/>
  <c r="AF1241" i="11"/>
  <c r="AG1240" i="11"/>
  <c r="AF1240" i="11"/>
  <c r="AG1239" i="11"/>
  <c r="AF1239" i="11"/>
  <c r="AG1238" i="11"/>
  <c r="AF1238" i="11"/>
  <c r="AG1237" i="11"/>
  <c r="AF1237" i="11"/>
  <c r="AG1236" i="11"/>
  <c r="AF1236" i="11"/>
  <c r="AG1235" i="11"/>
  <c r="AF1235" i="11"/>
  <c r="AG1234" i="11"/>
  <c r="AF1234" i="11"/>
  <c r="AG1233" i="11"/>
  <c r="AF1233" i="11"/>
  <c r="AG1232" i="11"/>
  <c r="AF1232" i="11"/>
  <c r="AG1231" i="11"/>
  <c r="AF1231" i="11"/>
  <c r="AG1230" i="11"/>
  <c r="AF1230" i="11"/>
  <c r="AG1229" i="11"/>
  <c r="AF1229" i="11"/>
  <c r="AG1228" i="11"/>
  <c r="AF1228" i="11"/>
  <c r="AG1227" i="11"/>
  <c r="AF1227" i="11"/>
  <c r="AG1226" i="11"/>
  <c r="AF1226" i="11"/>
  <c r="AG1225" i="11"/>
  <c r="AF1225" i="11"/>
  <c r="AG1224" i="11"/>
  <c r="AF1224" i="11"/>
  <c r="AG1223" i="11"/>
  <c r="AF1223" i="11"/>
  <c r="AG1222" i="11"/>
  <c r="AF1222" i="11"/>
  <c r="AG1221" i="11"/>
  <c r="AF1221" i="11"/>
  <c r="AG1220" i="11"/>
  <c r="AF1220" i="11"/>
  <c r="AG1219" i="11"/>
  <c r="AF1219" i="11"/>
  <c r="AG1218" i="11"/>
  <c r="AF1218" i="11"/>
  <c r="AG1217" i="11"/>
  <c r="AF1217" i="11"/>
  <c r="AG1216" i="11"/>
  <c r="AF1216" i="11"/>
  <c r="AG1215" i="11"/>
  <c r="AF1215" i="11"/>
  <c r="AG1214" i="11"/>
  <c r="AF1214" i="11"/>
  <c r="AG1213" i="11"/>
  <c r="AF1213" i="11"/>
  <c r="AG1212" i="11"/>
  <c r="AF1212" i="11"/>
  <c r="AG1211" i="11"/>
  <c r="AF1211" i="11"/>
  <c r="AG1210" i="11"/>
  <c r="AF1210" i="11"/>
  <c r="AG1209" i="11"/>
  <c r="AF1209" i="11"/>
  <c r="AG1208" i="11"/>
  <c r="AF1208" i="11"/>
  <c r="AG1207" i="11"/>
  <c r="AF1207" i="11"/>
  <c r="AG1206" i="11"/>
  <c r="AF1206" i="11"/>
  <c r="AG1205" i="11"/>
  <c r="AF1205" i="11"/>
  <c r="AG1204" i="11"/>
  <c r="AF1204" i="11"/>
  <c r="AG1203" i="11"/>
  <c r="AF1203" i="11"/>
  <c r="AG1202" i="11"/>
  <c r="AF1202" i="11"/>
  <c r="AG1201" i="11"/>
  <c r="AF1201" i="11"/>
  <c r="AG1200" i="11"/>
  <c r="AF1200" i="11"/>
  <c r="AG1199" i="11"/>
  <c r="AF1199" i="11"/>
  <c r="AG1198" i="11"/>
  <c r="AF1198" i="11"/>
  <c r="AG1197" i="11"/>
  <c r="AF1197" i="11"/>
  <c r="AG1196" i="11"/>
  <c r="AF1196" i="11"/>
  <c r="AG1195" i="11"/>
  <c r="AF1195" i="11"/>
  <c r="AG1194" i="11"/>
  <c r="AF1194" i="11"/>
  <c r="AG1193" i="11"/>
  <c r="AF1193" i="11"/>
  <c r="AG1192" i="11"/>
  <c r="AF1192" i="11"/>
  <c r="AG1191" i="11"/>
  <c r="AF1191" i="11"/>
  <c r="AG1190" i="11"/>
  <c r="AF1190" i="11"/>
  <c r="AG1189" i="11"/>
  <c r="AF1189" i="11"/>
  <c r="AG1188" i="11"/>
  <c r="AF1188" i="11"/>
  <c r="AG1187" i="11"/>
  <c r="AF1187" i="11"/>
  <c r="AG1186" i="11"/>
  <c r="AF1186" i="11"/>
  <c r="AG1185" i="11"/>
  <c r="AF1185" i="11"/>
  <c r="AG1184" i="11"/>
  <c r="AF1184" i="11"/>
  <c r="AG1183" i="11"/>
  <c r="AF1183" i="11"/>
  <c r="AG1182" i="11"/>
  <c r="AF1182" i="11"/>
  <c r="AG1181" i="11"/>
  <c r="AF1181" i="11"/>
  <c r="AG1180" i="11"/>
  <c r="AF1180" i="11"/>
  <c r="AG1179" i="11"/>
  <c r="AF1179" i="11"/>
  <c r="AG1178" i="11"/>
  <c r="AF1178" i="11"/>
  <c r="AG1177" i="11"/>
  <c r="AF1177" i="11"/>
  <c r="AG1176" i="11"/>
  <c r="AF1176" i="11"/>
  <c r="AG1175" i="11"/>
  <c r="AF1175" i="11"/>
  <c r="AG1174" i="11"/>
  <c r="AF1174" i="11"/>
  <c r="AG1173" i="11"/>
  <c r="AF1173" i="11"/>
  <c r="AG1172" i="11"/>
  <c r="AF1172" i="11"/>
  <c r="AG1171" i="11"/>
  <c r="AF1171" i="11"/>
  <c r="AG1170" i="11"/>
  <c r="AF1170" i="11"/>
  <c r="AG1169" i="11"/>
  <c r="AF1169" i="11"/>
  <c r="AG1168" i="11"/>
  <c r="AF1168" i="11"/>
  <c r="AG1167" i="11"/>
  <c r="AF1167" i="11"/>
  <c r="AG1166" i="11"/>
  <c r="AF1166" i="11"/>
  <c r="AG1165" i="11"/>
  <c r="AF1165" i="11"/>
  <c r="AG1164" i="11"/>
  <c r="AF1164" i="11"/>
  <c r="AG1163" i="11"/>
  <c r="AF1163" i="11"/>
  <c r="AG1162" i="11"/>
  <c r="AF1162" i="11"/>
  <c r="AG1161" i="11"/>
  <c r="AF1161" i="11"/>
  <c r="AG1160" i="11"/>
  <c r="AF1160" i="11"/>
  <c r="AG1159" i="11"/>
  <c r="AF1159" i="11"/>
  <c r="AG1158" i="11"/>
  <c r="AF1158" i="11"/>
  <c r="AG1157" i="11"/>
  <c r="AF1157" i="11"/>
  <c r="AG1156" i="11"/>
  <c r="AF1156" i="11"/>
  <c r="AG1155" i="11"/>
  <c r="AF1155" i="11"/>
  <c r="AG1154" i="11"/>
  <c r="AF1154" i="11"/>
  <c r="AG1153" i="11"/>
  <c r="AF1153" i="11"/>
  <c r="AG1152" i="11"/>
  <c r="AF1152" i="11"/>
  <c r="AG1151" i="11"/>
  <c r="AF1151" i="11"/>
  <c r="AG1150" i="11"/>
  <c r="AF1150" i="11"/>
  <c r="AG1149" i="11"/>
  <c r="AF1149" i="11"/>
  <c r="AG1148" i="11"/>
  <c r="AF1148" i="11"/>
  <c r="AG1147" i="11"/>
  <c r="AF1147" i="11"/>
  <c r="AG1146" i="11"/>
  <c r="AF1146" i="11"/>
  <c r="AG1145" i="11"/>
  <c r="AF1145" i="11"/>
  <c r="AG1144" i="11"/>
  <c r="AF1144" i="11"/>
  <c r="AG1143" i="11"/>
  <c r="AF1143" i="11"/>
  <c r="AG1142" i="11"/>
  <c r="AF1142" i="11"/>
  <c r="AG1141" i="11"/>
  <c r="AF1141" i="11"/>
  <c r="AG1140" i="11"/>
  <c r="AF1140" i="11"/>
  <c r="AG1139" i="11"/>
  <c r="AF1139" i="11"/>
  <c r="AG1138" i="11"/>
  <c r="AF1138" i="11"/>
  <c r="AG1137" i="11"/>
  <c r="AF1137" i="11"/>
  <c r="AG1136" i="11"/>
  <c r="AF1136" i="11"/>
  <c r="AG1135" i="11"/>
  <c r="AF1135" i="11"/>
  <c r="AG1134" i="11"/>
  <c r="AF1134" i="11"/>
  <c r="AG1133" i="11"/>
  <c r="AF1133" i="11"/>
  <c r="AG1132" i="11"/>
  <c r="AF1132" i="11"/>
  <c r="AG1131" i="11"/>
  <c r="AF1131" i="11"/>
  <c r="AG1130" i="11"/>
  <c r="AF1130" i="11"/>
  <c r="AG1129" i="11"/>
  <c r="AF1129" i="11"/>
  <c r="AG1128" i="11"/>
  <c r="AF1128" i="11"/>
  <c r="AG1127" i="11"/>
  <c r="AF1127" i="11"/>
  <c r="AG1126" i="11"/>
  <c r="AF1126" i="11"/>
  <c r="AG1125" i="11"/>
  <c r="AF1125" i="11"/>
  <c r="AG1124" i="11"/>
  <c r="AF1124" i="11"/>
  <c r="AG1123" i="11"/>
  <c r="AF1123" i="11"/>
  <c r="AG1122" i="11"/>
  <c r="AF1122" i="11"/>
  <c r="AG1121" i="11"/>
  <c r="AF1121" i="11"/>
  <c r="AG1120" i="11"/>
  <c r="AF1120" i="11"/>
  <c r="AG1119" i="11"/>
  <c r="AF1119" i="11"/>
  <c r="AG1118" i="11"/>
  <c r="AF1118" i="11"/>
  <c r="AG1117" i="11"/>
  <c r="AF1117" i="11"/>
  <c r="AG1116" i="11"/>
  <c r="AF1116" i="11"/>
  <c r="AG1115" i="11"/>
  <c r="AF1115" i="11"/>
  <c r="AG1114" i="11"/>
  <c r="AF1114" i="11"/>
  <c r="AG1113" i="11"/>
  <c r="AF1113" i="11"/>
  <c r="AG1112" i="11"/>
  <c r="AF1112" i="11"/>
  <c r="AG1111" i="11"/>
  <c r="AF1111" i="11"/>
  <c r="AG1110" i="11"/>
  <c r="AF1110" i="11"/>
  <c r="AG1109" i="11"/>
  <c r="AF1109" i="11"/>
  <c r="AG1108" i="11"/>
  <c r="AF1108" i="11"/>
  <c r="AG1107" i="11"/>
  <c r="AF1107" i="11"/>
  <c r="AG1106" i="11"/>
  <c r="AF1106" i="11"/>
  <c r="AG1105" i="11"/>
  <c r="AF1105" i="11"/>
  <c r="AG1104" i="11"/>
  <c r="AF1104" i="11"/>
  <c r="AG1103" i="11"/>
  <c r="AF1103" i="11"/>
  <c r="AG1102" i="11"/>
  <c r="AF1102" i="11"/>
  <c r="AG1101" i="11"/>
  <c r="AF1101" i="11"/>
  <c r="AG1100" i="11"/>
  <c r="AF1100" i="11"/>
  <c r="AG1099" i="11"/>
  <c r="AF1099" i="11"/>
  <c r="AG1098" i="11"/>
  <c r="AF1098" i="11"/>
  <c r="AG1097" i="11"/>
  <c r="AF1097" i="11"/>
  <c r="AG1096" i="11"/>
  <c r="AF1096" i="11"/>
  <c r="AG1095" i="11"/>
  <c r="AF1095" i="11"/>
  <c r="AG1094" i="11"/>
  <c r="AF1094" i="11"/>
  <c r="AG1093" i="11"/>
  <c r="AF1093" i="11"/>
  <c r="AG1092" i="11"/>
  <c r="AF1092" i="11"/>
  <c r="AG1091" i="11"/>
  <c r="AF1091" i="11"/>
  <c r="AG1090" i="11"/>
  <c r="AF1090" i="11"/>
  <c r="AG1089" i="11"/>
  <c r="AF1089" i="11"/>
  <c r="AG1088" i="11"/>
  <c r="AF1088" i="11"/>
  <c r="AG1087" i="11"/>
  <c r="AF1087" i="11"/>
  <c r="AG1086" i="11"/>
  <c r="AF1086" i="11"/>
  <c r="AG1085" i="11"/>
  <c r="AF1085" i="11"/>
  <c r="AG1084" i="11"/>
  <c r="AF1084" i="11"/>
  <c r="AG1083" i="11"/>
  <c r="AF1083" i="11"/>
  <c r="AG1082" i="11"/>
  <c r="AF1082" i="11"/>
  <c r="AG1081" i="11"/>
  <c r="AF1081" i="11"/>
  <c r="AG1080" i="11"/>
  <c r="AF1080" i="11"/>
  <c r="AG1079" i="11"/>
  <c r="AF1079" i="11"/>
  <c r="AG1078" i="11"/>
  <c r="AF1078" i="11"/>
  <c r="AG1077" i="11"/>
  <c r="AF1077" i="11"/>
  <c r="AG1076" i="11"/>
  <c r="AF1076" i="11"/>
  <c r="AG1075" i="11"/>
  <c r="AF1075" i="11"/>
  <c r="AG1074" i="11"/>
  <c r="AF1074" i="11"/>
  <c r="AG1073" i="11"/>
  <c r="AF1073" i="11"/>
  <c r="AG1072" i="11"/>
  <c r="AF1072" i="11"/>
  <c r="AG1071" i="11"/>
  <c r="AF1071" i="11"/>
  <c r="AG1070" i="11"/>
  <c r="AF1070" i="11"/>
  <c r="AG1069" i="11"/>
  <c r="AF1069" i="11"/>
  <c r="AG1068" i="11"/>
  <c r="AF1068" i="11"/>
  <c r="AG1067" i="11"/>
  <c r="AF1067" i="11"/>
  <c r="AG1066" i="11"/>
  <c r="AF1066" i="11"/>
  <c r="AG1065" i="11"/>
  <c r="AF1065" i="11"/>
  <c r="AG1064" i="11"/>
  <c r="AF1064" i="11"/>
  <c r="AG1063" i="11"/>
  <c r="AF1063" i="11"/>
  <c r="AG1062" i="11"/>
  <c r="AF1062" i="11"/>
  <c r="AG1061" i="11"/>
  <c r="AF1061" i="11"/>
  <c r="AG1060" i="11"/>
  <c r="AF1060" i="11"/>
  <c r="AG1059" i="11"/>
  <c r="AF1059" i="11"/>
  <c r="AG1058" i="11"/>
  <c r="AF1058" i="11"/>
  <c r="AG1057" i="11"/>
  <c r="AF1057" i="11"/>
  <c r="AG1056" i="11"/>
  <c r="AF1056" i="11"/>
  <c r="AG1055" i="11"/>
  <c r="AF1055" i="11"/>
  <c r="AG1054" i="11"/>
  <c r="AF1054" i="11"/>
  <c r="AG1053" i="11"/>
  <c r="AF1053" i="11"/>
  <c r="AG1052" i="11"/>
  <c r="AF1052" i="11"/>
  <c r="AG1051" i="11"/>
  <c r="AF1051" i="11"/>
  <c r="AG1050" i="11"/>
  <c r="AF1050" i="11"/>
  <c r="AG1049" i="11"/>
  <c r="AF1049" i="11"/>
  <c r="AG1048" i="11"/>
  <c r="AF1048" i="11"/>
  <c r="AG1047" i="11"/>
  <c r="AF1047" i="11"/>
  <c r="AG1046" i="11"/>
  <c r="AF1046" i="11"/>
  <c r="AG1045" i="11"/>
  <c r="AF1045" i="11"/>
  <c r="AG1044" i="11"/>
  <c r="AF1044" i="11"/>
  <c r="AG1043" i="11"/>
  <c r="AF1043" i="11"/>
  <c r="AG1042" i="11"/>
  <c r="AF1042" i="11"/>
  <c r="AG1041" i="11"/>
  <c r="AF1041" i="11"/>
  <c r="AG1040" i="11"/>
  <c r="AF1040" i="11"/>
  <c r="AG1039" i="11"/>
  <c r="AF1039" i="11"/>
  <c r="AG1038" i="11"/>
  <c r="AF1038" i="11"/>
  <c r="AG1037" i="11"/>
  <c r="AF1037" i="11"/>
  <c r="AG1036" i="11"/>
  <c r="AF1036" i="11"/>
  <c r="AG1035" i="11"/>
  <c r="AF1035" i="11"/>
  <c r="AG1034" i="11"/>
  <c r="AF1034" i="11"/>
  <c r="AG1033" i="11"/>
  <c r="AF1033" i="11"/>
  <c r="AG1032" i="11"/>
  <c r="AF1032" i="11"/>
  <c r="AG1031" i="11"/>
  <c r="AF1031" i="11"/>
  <c r="AG1030" i="11"/>
  <c r="AF1030" i="11"/>
  <c r="AG1029" i="11"/>
  <c r="AF1029" i="11"/>
  <c r="AG1028" i="11"/>
  <c r="AF1028" i="11"/>
  <c r="AG1027" i="11"/>
  <c r="AF1027" i="11"/>
  <c r="AG1026" i="11"/>
  <c r="AF1026" i="11"/>
  <c r="AG1025" i="11"/>
  <c r="AF1025" i="11"/>
  <c r="AG1024" i="11"/>
  <c r="AF1024" i="11"/>
  <c r="AG1023" i="11"/>
  <c r="AF1023" i="11"/>
  <c r="AG1022" i="11"/>
  <c r="AF1022" i="11"/>
  <c r="AG1021" i="11"/>
  <c r="AF1021" i="11"/>
  <c r="AG1020" i="11"/>
  <c r="AF1020" i="11"/>
  <c r="AG1019" i="11"/>
  <c r="AF1019" i="11"/>
  <c r="AG1018" i="11"/>
  <c r="AF1018" i="11"/>
  <c r="AG1017" i="11"/>
  <c r="AF1017" i="11"/>
  <c r="AG1016" i="11"/>
  <c r="AF1016" i="11"/>
  <c r="AG1015" i="11"/>
  <c r="AF1015" i="11"/>
  <c r="AG1014" i="11"/>
  <c r="AF1014" i="11"/>
  <c r="AG1013" i="11"/>
  <c r="AF1013" i="11"/>
  <c r="AG1012" i="11"/>
  <c r="AF1012" i="11"/>
  <c r="AG1011" i="11"/>
  <c r="AF1011" i="11"/>
  <c r="AG1010" i="11"/>
  <c r="AF1010" i="11"/>
  <c r="AG1009" i="11"/>
  <c r="AF1009" i="11"/>
  <c r="AG1008" i="11"/>
  <c r="AF1008" i="11"/>
  <c r="AG1007" i="11"/>
  <c r="AF1007" i="11"/>
  <c r="AG1006" i="11"/>
  <c r="AF1006" i="11"/>
  <c r="AG1005" i="11"/>
  <c r="AF1005" i="11"/>
  <c r="AG1004" i="11"/>
  <c r="AF1004" i="11"/>
  <c r="AG1003" i="11"/>
  <c r="AF1003" i="11"/>
  <c r="AG1002" i="11"/>
  <c r="AF1002" i="11"/>
  <c r="AG1001" i="11"/>
  <c r="AF1001" i="11"/>
  <c r="AG1000" i="11"/>
  <c r="AF1000" i="11"/>
  <c r="AG999" i="11"/>
  <c r="AF999" i="11"/>
  <c r="AG998" i="11"/>
  <c r="AF998" i="11"/>
  <c r="AG997" i="11"/>
  <c r="AF997" i="11"/>
  <c r="AG996" i="11"/>
  <c r="AF996" i="11"/>
  <c r="AG995" i="11"/>
  <c r="AF995" i="11"/>
  <c r="AG994" i="11"/>
  <c r="AF994" i="11"/>
  <c r="AG993" i="11"/>
  <c r="AF993" i="11"/>
  <c r="AG992" i="11"/>
  <c r="AF992" i="11"/>
  <c r="AG991" i="11"/>
  <c r="AF991" i="11"/>
  <c r="AG990" i="11"/>
  <c r="AF990" i="11"/>
  <c r="AG989" i="11"/>
  <c r="AF989" i="11"/>
  <c r="AG988" i="11"/>
  <c r="AF988" i="11"/>
  <c r="AG987" i="11"/>
  <c r="AF987" i="11"/>
  <c r="AG986" i="11"/>
  <c r="AF986" i="11"/>
  <c r="AG985" i="11"/>
  <c r="AF985" i="11"/>
  <c r="AG984" i="11"/>
  <c r="AF984" i="11"/>
  <c r="AG983" i="11"/>
  <c r="AF983" i="11"/>
  <c r="AG982" i="11"/>
  <c r="AF982" i="11"/>
  <c r="AG981" i="11"/>
  <c r="AF981" i="11"/>
  <c r="AG980" i="11"/>
  <c r="AF980" i="11"/>
  <c r="AG979" i="11"/>
  <c r="AF979" i="11"/>
  <c r="AG978" i="11"/>
  <c r="AF978" i="11"/>
  <c r="AG977" i="11"/>
  <c r="AF977" i="11"/>
  <c r="AG976" i="11"/>
  <c r="AF976" i="11"/>
  <c r="AG975" i="11"/>
  <c r="AF975" i="11"/>
  <c r="AG974" i="11"/>
  <c r="AF974" i="11"/>
  <c r="AG973" i="11"/>
  <c r="AF973" i="11"/>
  <c r="AG972" i="11"/>
  <c r="AF972" i="11"/>
  <c r="AG971" i="11"/>
  <c r="AF971" i="11"/>
  <c r="AG970" i="11"/>
  <c r="AF970" i="11"/>
  <c r="AG969" i="11"/>
  <c r="AF969" i="11"/>
  <c r="AG968" i="11"/>
  <c r="AF968" i="11"/>
  <c r="AG967" i="11"/>
  <c r="AF967" i="11"/>
  <c r="AG966" i="11"/>
  <c r="AF966" i="11"/>
  <c r="AG965" i="11"/>
  <c r="AF965" i="11"/>
  <c r="AG964" i="11"/>
  <c r="AF964" i="11"/>
  <c r="AG963" i="11"/>
  <c r="AF963" i="11"/>
  <c r="AG962" i="11"/>
  <c r="AF962" i="11"/>
  <c r="AG961" i="11"/>
  <c r="AF961" i="11"/>
  <c r="AG960" i="11"/>
  <c r="AF960" i="11"/>
  <c r="AG959" i="11"/>
  <c r="AF959" i="11"/>
  <c r="AG958" i="11"/>
  <c r="AF958" i="11"/>
  <c r="AG957" i="11"/>
  <c r="AF957" i="11"/>
  <c r="AG956" i="11"/>
  <c r="AF956" i="11"/>
  <c r="AG955" i="11"/>
  <c r="AF955" i="11"/>
  <c r="AG954" i="11"/>
  <c r="AF954" i="11"/>
  <c r="AG953" i="11"/>
  <c r="AF953" i="11"/>
  <c r="AG952" i="11"/>
  <c r="AF952" i="11"/>
  <c r="AG951" i="11"/>
  <c r="AF951" i="11"/>
  <c r="AG950" i="11"/>
  <c r="AF950" i="11"/>
  <c r="AG949" i="11"/>
  <c r="AF949" i="11"/>
  <c r="AG948" i="11"/>
  <c r="AF948" i="11"/>
  <c r="AG947" i="11"/>
  <c r="AF947" i="11"/>
  <c r="AG946" i="11"/>
  <c r="AF946" i="11"/>
  <c r="AG945" i="11"/>
  <c r="AF945" i="11"/>
  <c r="AG944" i="11"/>
  <c r="AF944" i="11"/>
  <c r="AG943" i="11"/>
  <c r="AF943" i="11"/>
  <c r="AG942" i="11"/>
  <c r="AF942" i="11"/>
  <c r="AG941" i="11"/>
  <c r="AF941" i="11"/>
  <c r="AG940" i="11"/>
  <c r="AF940" i="11"/>
  <c r="AG939" i="11"/>
  <c r="AF939" i="11"/>
  <c r="AG938" i="11"/>
  <c r="AF938" i="11"/>
  <c r="AG937" i="11"/>
  <c r="AF937" i="11"/>
  <c r="AG936" i="11"/>
  <c r="AF936" i="11"/>
  <c r="AG935" i="11"/>
  <c r="AF935" i="11"/>
  <c r="AG934" i="11"/>
  <c r="AF934" i="11"/>
  <c r="AG933" i="11"/>
  <c r="AF933" i="11"/>
  <c r="AG932" i="11"/>
  <c r="AF932" i="11"/>
  <c r="AG931" i="11"/>
  <c r="AF931" i="11"/>
  <c r="AG930" i="11"/>
  <c r="AF930" i="11"/>
  <c r="AG929" i="11"/>
  <c r="AF929" i="11"/>
  <c r="AG928" i="11"/>
  <c r="AF928" i="11"/>
  <c r="AG927" i="11"/>
  <c r="AF927" i="11"/>
  <c r="AG926" i="11"/>
  <c r="AF926" i="11"/>
  <c r="AG925" i="11"/>
  <c r="AF925" i="11"/>
  <c r="AG924" i="11"/>
  <c r="AF924" i="11"/>
  <c r="AG923" i="11"/>
  <c r="AF923" i="11"/>
  <c r="AG922" i="11"/>
  <c r="AF922" i="11"/>
  <c r="AG921" i="11"/>
  <c r="AF921" i="11"/>
  <c r="AG920" i="11"/>
  <c r="AF920" i="11"/>
  <c r="AG919" i="11"/>
  <c r="AF919" i="11"/>
  <c r="AG918" i="11"/>
  <c r="AF918" i="11"/>
  <c r="AG917" i="11"/>
  <c r="AF917" i="11"/>
  <c r="AG916" i="11"/>
  <c r="AF916" i="11"/>
  <c r="AG915" i="11"/>
  <c r="AF915" i="11"/>
  <c r="AG914" i="11"/>
  <c r="AF914" i="11"/>
  <c r="AG913" i="11"/>
  <c r="AF913" i="11"/>
  <c r="AG912" i="11"/>
  <c r="AF912" i="11"/>
  <c r="AG911" i="11"/>
  <c r="AF911" i="11"/>
  <c r="AG910" i="11"/>
  <c r="AF910" i="11"/>
  <c r="AG909" i="11"/>
  <c r="AF909" i="11"/>
  <c r="AG908" i="11"/>
  <c r="AF908" i="11"/>
  <c r="AG907" i="11"/>
  <c r="AF907" i="11"/>
  <c r="AG906" i="11"/>
  <c r="AF906" i="11"/>
  <c r="AG905" i="11"/>
  <c r="AF905" i="11"/>
  <c r="AG904" i="11"/>
  <c r="AF904" i="11"/>
  <c r="AG903" i="11"/>
  <c r="AF903" i="11"/>
  <c r="AG902" i="11"/>
  <c r="AF902" i="11"/>
  <c r="AG901" i="11"/>
  <c r="AF901" i="11"/>
  <c r="AG900" i="11"/>
  <c r="AF900" i="11"/>
  <c r="AG899" i="11"/>
  <c r="AF899" i="11"/>
  <c r="AG898" i="11"/>
  <c r="AF898" i="11"/>
  <c r="AG897" i="11"/>
  <c r="AF897" i="11"/>
  <c r="AG896" i="11"/>
  <c r="AF896" i="11"/>
  <c r="AG895" i="11"/>
  <c r="AF895" i="11"/>
  <c r="AG894" i="11"/>
  <c r="AF894" i="11"/>
  <c r="AG893" i="11"/>
  <c r="AF893" i="11"/>
  <c r="AG892" i="11"/>
  <c r="AF892" i="11"/>
  <c r="AG891" i="11"/>
  <c r="AF891" i="11"/>
  <c r="AG890" i="11"/>
  <c r="AF890" i="11"/>
  <c r="AG889" i="11"/>
  <c r="AF889" i="11"/>
  <c r="AG888" i="11"/>
  <c r="AF888" i="11"/>
  <c r="AG887" i="11"/>
  <c r="AF887" i="11"/>
  <c r="AG886" i="11"/>
  <c r="AF886" i="11"/>
  <c r="AG885" i="11"/>
  <c r="AF885" i="11"/>
  <c r="AG884" i="11"/>
  <c r="AF884" i="11"/>
  <c r="AG883" i="11"/>
  <c r="AF883" i="11"/>
  <c r="AG882" i="11"/>
  <c r="AF882" i="11"/>
  <c r="AG881" i="11"/>
  <c r="AF881" i="11"/>
  <c r="AG880" i="11"/>
  <c r="AF880" i="11"/>
  <c r="AG879" i="11"/>
  <c r="AF879" i="11"/>
  <c r="AG878" i="11"/>
  <c r="AF878" i="11"/>
  <c r="AG877" i="11"/>
  <c r="AF877" i="11"/>
  <c r="AG876" i="11"/>
  <c r="AF876" i="11"/>
  <c r="AG875" i="11"/>
  <c r="AF875" i="11"/>
  <c r="AG874" i="11"/>
  <c r="AF874" i="11"/>
  <c r="AG873" i="11"/>
  <c r="AF873" i="11"/>
  <c r="AG872" i="11"/>
  <c r="AF872" i="11"/>
  <c r="AG871" i="11"/>
  <c r="AF871" i="11"/>
  <c r="AG870" i="11"/>
  <c r="AF870" i="11"/>
  <c r="AG869" i="11"/>
  <c r="AF869" i="11"/>
  <c r="AG868" i="11"/>
  <c r="AF868" i="11"/>
  <c r="AG867" i="11"/>
  <c r="AF867" i="11"/>
  <c r="AG866" i="11"/>
  <c r="AF866" i="11"/>
  <c r="AG865" i="11"/>
  <c r="AF865" i="11"/>
  <c r="AG864" i="11"/>
  <c r="AF864" i="11"/>
  <c r="AG863" i="11"/>
  <c r="AF863" i="11"/>
  <c r="AG862" i="11"/>
  <c r="AF862" i="11"/>
  <c r="AG861" i="11"/>
  <c r="AF861" i="11"/>
  <c r="AG860" i="11"/>
  <c r="AF860" i="11"/>
  <c r="AG859" i="11"/>
  <c r="AF859" i="11"/>
  <c r="AG858" i="11"/>
  <c r="AF858" i="11"/>
  <c r="AG857" i="11"/>
  <c r="AF857" i="11"/>
  <c r="AG856" i="11"/>
  <c r="AF856" i="11"/>
  <c r="AG855" i="11"/>
  <c r="AF855" i="11"/>
  <c r="AG854" i="11"/>
  <c r="AF854" i="11"/>
  <c r="AG853" i="11"/>
  <c r="AF853" i="11"/>
  <c r="AG852" i="11"/>
  <c r="AF852" i="11"/>
  <c r="AG851" i="11"/>
  <c r="AF851" i="11"/>
  <c r="AG850" i="11"/>
  <c r="AF850" i="11"/>
  <c r="AG849" i="11"/>
  <c r="AF849" i="11"/>
  <c r="AG848" i="11"/>
  <c r="AF848" i="11"/>
  <c r="AG847" i="11"/>
  <c r="AF847" i="11"/>
  <c r="AG846" i="11"/>
  <c r="AF846" i="11"/>
  <c r="AG845" i="11"/>
  <c r="AF845" i="11"/>
  <c r="AG844" i="11"/>
  <c r="AF844" i="11"/>
  <c r="AG843" i="11"/>
  <c r="AF843" i="11"/>
  <c r="AG842" i="11"/>
  <c r="AF842" i="11"/>
  <c r="AG841" i="11"/>
  <c r="AF841" i="11"/>
  <c r="AG840" i="11"/>
  <c r="AF840" i="11"/>
  <c r="AG839" i="11"/>
  <c r="AF839" i="11"/>
  <c r="AG838" i="11"/>
  <c r="AF838" i="11"/>
  <c r="AG837" i="11"/>
  <c r="AF837" i="11"/>
  <c r="AG836" i="11"/>
  <c r="AF836" i="11"/>
  <c r="AG835" i="11"/>
  <c r="AF835" i="11"/>
  <c r="AG834" i="11"/>
  <c r="AF834" i="11"/>
  <c r="AG833" i="11"/>
  <c r="AF833" i="11"/>
  <c r="AG832" i="11"/>
  <c r="AF832" i="11"/>
  <c r="AG831" i="11"/>
  <c r="AF831" i="11"/>
  <c r="AG830" i="11"/>
  <c r="AF830" i="11"/>
  <c r="AG829" i="11"/>
  <c r="AF829" i="11"/>
  <c r="AG828" i="11"/>
  <c r="AF828" i="11"/>
  <c r="AG827" i="11"/>
  <c r="AF827" i="11"/>
  <c r="AG826" i="11"/>
  <c r="AF826" i="11"/>
  <c r="AG825" i="11"/>
  <c r="AF825" i="11"/>
  <c r="AG824" i="11"/>
  <c r="AF824" i="11"/>
  <c r="AG823" i="11"/>
  <c r="AF823" i="11"/>
  <c r="AG822" i="11"/>
  <c r="AF822" i="11"/>
  <c r="AG821" i="11"/>
  <c r="AF821" i="11"/>
  <c r="AG820" i="11"/>
  <c r="AF820" i="11"/>
  <c r="AG819" i="11"/>
  <c r="AF819" i="11"/>
  <c r="AG818" i="11"/>
  <c r="AF818" i="11"/>
  <c r="AG817" i="11"/>
  <c r="AF817" i="11"/>
  <c r="AG816" i="11"/>
  <c r="AF816" i="11"/>
  <c r="AG815" i="11"/>
  <c r="AF815" i="11"/>
  <c r="AG814" i="11"/>
  <c r="AF814" i="11"/>
  <c r="AG813" i="11"/>
  <c r="AF813" i="11"/>
  <c r="AG812" i="11"/>
  <c r="AF812" i="11"/>
  <c r="AG811" i="11"/>
  <c r="AF811" i="11"/>
  <c r="AG810" i="11"/>
  <c r="AF810" i="11"/>
  <c r="AG809" i="11"/>
  <c r="AF809" i="11"/>
  <c r="AG808" i="11"/>
  <c r="AF808" i="11"/>
  <c r="AG807" i="11"/>
  <c r="AF807" i="11"/>
  <c r="AG806" i="11"/>
  <c r="AF806" i="11"/>
  <c r="AG805" i="11"/>
  <c r="AF805" i="11"/>
  <c r="AG804" i="11"/>
  <c r="AF804" i="11"/>
  <c r="AG803" i="11"/>
  <c r="AF803" i="11"/>
  <c r="AG802" i="11"/>
  <c r="AF802" i="11"/>
  <c r="AG801" i="11"/>
  <c r="AF801" i="11"/>
  <c r="AG800" i="11"/>
  <c r="AF800" i="11"/>
  <c r="AG799" i="11"/>
  <c r="AF799" i="11"/>
  <c r="AG798" i="11"/>
  <c r="AF798" i="11"/>
  <c r="AG797" i="11"/>
  <c r="AF797" i="11"/>
  <c r="AG796" i="11"/>
  <c r="AF796" i="11"/>
  <c r="AG795" i="11"/>
  <c r="AF795" i="11"/>
  <c r="AG794" i="11"/>
  <c r="AF794" i="11"/>
  <c r="AG793" i="11"/>
  <c r="AF793" i="11"/>
  <c r="AG792" i="11"/>
  <c r="AF792" i="11"/>
  <c r="AG791" i="11"/>
  <c r="AF791" i="11"/>
  <c r="AG790" i="11"/>
  <c r="AF790" i="11"/>
  <c r="AG789" i="11"/>
  <c r="AF789" i="11"/>
  <c r="AG788" i="11"/>
  <c r="AF788" i="11"/>
  <c r="AG787" i="11"/>
  <c r="AF787" i="11"/>
  <c r="AG786" i="11"/>
  <c r="AF786" i="11"/>
  <c r="AG785" i="11"/>
  <c r="AF785" i="11"/>
  <c r="AG784" i="11"/>
  <c r="AF784" i="11"/>
  <c r="AG783" i="11"/>
  <c r="AF783" i="11"/>
  <c r="AG782" i="11"/>
  <c r="AF782" i="11"/>
  <c r="AG781" i="11"/>
  <c r="AF781" i="11"/>
  <c r="AG780" i="11"/>
  <c r="AF780" i="11"/>
  <c r="AG779" i="11"/>
  <c r="AF779" i="11"/>
  <c r="AG778" i="11"/>
  <c r="AF778" i="11"/>
  <c r="AG777" i="11"/>
  <c r="AF777" i="11"/>
  <c r="AG776" i="11"/>
  <c r="AF776" i="11"/>
  <c r="AG775" i="11"/>
  <c r="AF775" i="11"/>
  <c r="AG774" i="11"/>
  <c r="AF774" i="11"/>
  <c r="AG773" i="11"/>
  <c r="AF773" i="11"/>
  <c r="AG772" i="11"/>
  <c r="AF772" i="11"/>
  <c r="AG771" i="11"/>
  <c r="AF771" i="11"/>
  <c r="AG770" i="11"/>
  <c r="AF770" i="11"/>
  <c r="AG769" i="11"/>
  <c r="AF769" i="11"/>
  <c r="AG768" i="11"/>
  <c r="AF768" i="11"/>
  <c r="AG767" i="11"/>
  <c r="AF767" i="11"/>
  <c r="AG766" i="11"/>
  <c r="AF766" i="11"/>
  <c r="AG765" i="11"/>
  <c r="AF765" i="11"/>
  <c r="AG764" i="11"/>
  <c r="AF764" i="11"/>
  <c r="AG763" i="11"/>
  <c r="AF763" i="11"/>
  <c r="AG762" i="11"/>
  <c r="AF762" i="11"/>
  <c r="AG761" i="11"/>
  <c r="AF761" i="11"/>
  <c r="AG760" i="11"/>
  <c r="AF760" i="11"/>
  <c r="AG759" i="11"/>
  <c r="AF759" i="11"/>
  <c r="AG758" i="11"/>
  <c r="AF758" i="11"/>
  <c r="AG757" i="11"/>
  <c r="AF757" i="11"/>
  <c r="AG756" i="11"/>
  <c r="AF756" i="11"/>
  <c r="AG755" i="11"/>
  <c r="AF755" i="11"/>
  <c r="AG754" i="11"/>
  <c r="AF754" i="11"/>
  <c r="AG753" i="11"/>
  <c r="AF753" i="11"/>
  <c r="AG752" i="11"/>
  <c r="AF752" i="11"/>
  <c r="AG751" i="11"/>
  <c r="AF751" i="11"/>
  <c r="AG750" i="11"/>
  <c r="AF750" i="11"/>
  <c r="AG749" i="11"/>
  <c r="AF749" i="11"/>
  <c r="AG748" i="11"/>
  <c r="AF748" i="11"/>
  <c r="AG747" i="11"/>
  <c r="AF747" i="11"/>
  <c r="AG746" i="11"/>
  <c r="AF746" i="11"/>
  <c r="AG745" i="11"/>
  <c r="AF745" i="11"/>
  <c r="AG744" i="11"/>
  <c r="AF744" i="11"/>
  <c r="AG743" i="11"/>
  <c r="AF743" i="11"/>
  <c r="AG742" i="11"/>
  <c r="AF742" i="11"/>
  <c r="AG741" i="11"/>
  <c r="AF741" i="11"/>
  <c r="AG740" i="11"/>
  <c r="AF740" i="11"/>
  <c r="AG739" i="11"/>
  <c r="AF739" i="11"/>
  <c r="AG738" i="11"/>
  <c r="AF738" i="11"/>
  <c r="AG737" i="11"/>
  <c r="AF737" i="11"/>
  <c r="AG736" i="11"/>
  <c r="AF736" i="11"/>
  <c r="AG735" i="11"/>
  <c r="AF735" i="11"/>
  <c r="AG734" i="11"/>
  <c r="AF734" i="11"/>
  <c r="AG733" i="11"/>
  <c r="AF733" i="11"/>
  <c r="AG732" i="11"/>
  <c r="AF732" i="11"/>
  <c r="AG731" i="11"/>
  <c r="AF731" i="11"/>
  <c r="AG730" i="11"/>
  <c r="AF730" i="11"/>
  <c r="AG729" i="11"/>
  <c r="AF729" i="11"/>
  <c r="AG728" i="11"/>
  <c r="AF728" i="11"/>
  <c r="AG727" i="11"/>
  <c r="AF727" i="11"/>
  <c r="AG726" i="11"/>
  <c r="AF726" i="11"/>
  <c r="AG725" i="11"/>
  <c r="AF725" i="11"/>
  <c r="AG724" i="11"/>
  <c r="AF724" i="11"/>
  <c r="AG723" i="11"/>
  <c r="AF723" i="11"/>
  <c r="AG722" i="11"/>
  <c r="AF722" i="11"/>
  <c r="AG721" i="11"/>
  <c r="AF721" i="11"/>
  <c r="AG720" i="11"/>
  <c r="AF720" i="11"/>
  <c r="AG719" i="11"/>
  <c r="AF719" i="11"/>
  <c r="AG718" i="11"/>
  <c r="AF718" i="11"/>
  <c r="AG717" i="11"/>
  <c r="AF717" i="11"/>
  <c r="AG716" i="11"/>
  <c r="AF716" i="11"/>
  <c r="AG715" i="11"/>
  <c r="AF715" i="11"/>
  <c r="AG714" i="11"/>
  <c r="AF714" i="11"/>
  <c r="AG713" i="11"/>
  <c r="AF713" i="11"/>
  <c r="AG712" i="11"/>
  <c r="AF712" i="11"/>
  <c r="AG711" i="11"/>
  <c r="AF711" i="11"/>
  <c r="AG710" i="11"/>
  <c r="AF710" i="11"/>
  <c r="AG709" i="11"/>
  <c r="AF709" i="11"/>
  <c r="AG708" i="11"/>
  <c r="AF708" i="11"/>
  <c r="AG707" i="11"/>
  <c r="AF707" i="11"/>
  <c r="AG706" i="11"/>
  <c r="AF706" i="11"/>
  <c r="AG705" i="11"/>
  <c r="AF705" i="11"/>
  <c r="AG704" i="11"/>
  <c r="AF704" i="11"/>
  <c r="AG703" i="11"/>
  <c r="AF703" i="11"/>
  <c r="AG702" i="11"/>
  <c r="AF702" i="11"/>
  <c r="AG701" i="11"/>
  <c r="AF701" i="11"/>
  <c r="AG700" i="11"/>
  <c r="AF700" i="11"/>
  <c r="AG699" i="11"/>
  <c r="AF699" i="11"/>
  <c r="AG698" i="11"/>
  <c r="AF698" i="11"/>
  <c r="AG697" i="11"/>
  <c r="AF697" i="11"/>
  <c r="AG696" i="11"/>
  <c r="AF696" i="11"/>
  <c r="AG695" i="11"/>
  <c r="AF695" i="11"/>
  <c r="AG694" i="11"/>
  <c r="AF694" i="11"/>
  <c r="AG693" i="11"/>
  <c r="AF693" i="11"/>
  <c r="AG692" i="11"/>
  <c r="AF692" i="11"/>
  <c r="AG691" i="11"/>
  <c r="AF691" i="11"/>
  <c r="AG690" i="11"/>
  <c r="AF690" i="11"/>
  <c r="AG689" i="11"/>
  <c r="AF689" i="11"/>
  <c r="AG688" i="11"/>
  <c r="AF688" i="11"/>
  <c r="AG687" i="11"/>
  <c r="AF687" i="11"/>
  <c r="AG686" i="11"/>
  <c r="AF686" i="11"/>
  <c r="AG685" i="11"/>
  <c r="AF685" i="11"/>
  <c r="AG684" i="11"/>
  <c r="AF684" i="11"/>
  <c r="AG683" i="11"/>
  <c r="AF683" i="11"/>
  <c r="AG682" i="11"/>
  <c r="AF682" i="11"/>
  <c r="AG681" i="11"/>
  <c r="AF681" i="11"/>
  <c r="AG680" i="11"/>
  <c r="AF680" i="11"/>
  <c r="AG679" i="11"/>
  <c r="AF679" i="11"/>
  <c r="AG678" i="11"/>
  <c r="AF678" i="11"/>
  <c r="AG677" i="11"/>
  <c r="AF677" i="11"/>
  <c r="AG676" i="11"/>
  <c r="AF676" i="11"/>
  <c r="AG675" i="11"/>
  <c r="AF675" i="11"/>
  <c r="AG674" i="11"/>
  <c r="AF674" i="11"/>
  <c r="AG673" i="11"/>
  <c r="AF673" i="11"/>
  <c r="AG672" i="11"/>
  <c r="AF672" i="11"/>
  <c r="AG671" i="11"/>
  <c r="AF671" i="11"/>
  <c r="AG670" i="11"/>
  <c r="AF670" i="11"/>
  <c r="AG669" i="11"/>
  <c r="AF669" i="11"/>
  <c r="AG668" i="11"/>
  <c r="AF668" i="11"/>
  <c r="AG667" i="11"/>
  <c r="AF667" i="11"/>
  <c r="AG666" i="11"/>
  <c r="AF666" i="11"/>
  <c r="AG665" i="11"/>
  <c r="AF665" i="11"/>
  <c r="AG664" i="11"/>
  <c r="AF664" i="11"/>
  <c r="AG663" i="11"/>
  <c r="AF663" i="11"/>
  <c r="AG662" i="11"/>
  <c r="AF662" i="11"/>
  <c r="AG661" i="11"/>
  <c r="AF661" i="11"/>
  <c r="AG660" i="11"/>
  <c r="AF660" i="11"/>
  <c r="AG659" i="11"/>
  <c r="AF659" i="11"/>
  <c r="AG658" i="11"/>
  <c r="AF658" i="11"/>
  <c r="AG657" i="11"/>
  <c r="AF657" i="11"/>
  <c r="AG656" i="11"/>
  <c r="AF656" i="11"/>
  <c r="AG655" i="11"/>
  <c r="AF655" i="11"/>
  <c r="AG654" i="11"/>
  <c r="AF654" i="11"/>
  <c r="AG653" i="11"/>
  <c r="AF653" i="11"/>
  <c r="AG652" i="11"/>
  <c r="AF652" i="11"/>
  <c r="AG651" i="11"/>
  <c r="AF651" i="11"/>
  <c r="AG650" i="11"/>
  <c r="AF650" i="11"/>
  <c r="AG649" i="11"/>
  <c r="AF649" i="11"/>
  <c r="AG648" i="11"/>
  <c r="AF648" i="11"/>
  <c r="AG647" i="11"/>
  <c r="AF647" i="11"/>
  <c r="AG646" i="11"/>
  <c r="AF646" i="11"/>
  <c r="AG645" i="11"/>
  <c r="AF645" i="11"/>
  <c r="AG644" i="11"/>
  <c r="AF644" i="11"/>
  <c r="AG643" i="11"/>
  <c r="AF643" i="11"/>
  <c r="AG642" i="11"/>
  <c r="AF642" i="11"/>
  <c r="AG641" i="11"/>
  <c r="AF641" i="11"/>
  <c r="AG640" i="11"/>
  <c r="AF640" i="11"/>
  <c r="AG639" i="11"/>
  <c r="AF639" i="11"/>
  <c r="AG638" i="11"/>
  <c r="AF638" i="11"/>
  <c r="AG637" i="11"/>
  <c r="AF637" i="11"/>
  <c r="AG636" i="11"/>
  <c r="AF636" i="11"/>
  <c r="AG635" i="11"/>
  <c r="AF635" i="11"/>
  <c r="AG634" i="11"/>
  <c r="AF634" i="11"/>
  <c r="AG633" i="11"/>
  <c r="AF633" i="11"/>
  <c r="AG632" i="11"/>
  <c r="AF632" i="11"/>
  <c r="AG631" i="11"/>
  <c r="AF631" i="11"/>
  <c r="AG630" i="11"/>
  <c r="AF630" i="11"/>
  <c r="AG629" i="11"/>
  <c r="AF629" i="11"/>
  <c r="AG628" i="11"/>
  <c r="AF628" i="11"/>
  <c r="AG627" i="11"/>
  <c r="AF627" i="11"/>
  <c r="AG626" i="11"/>
  <c r="AF626" i="11"/>
  <c r="AG625" i="11"/>
  <c r="AF625" i="11"/>
  <c r="AG624" i="11"/>
  <c r="AF624" i="11"/>
  <c r="AG623" i="11"/>
  <c r="AF623" i="11"/>
  <c r="AG622" i="11"/>
  <c r="AF622" i="11"/>
  <c r="AG621" i="11"/>
  <c r="AF621" i="11"/>
  <c r="AG620" i="11"/>
  <c r="AF620" i="11"/>
  <c r="AG619" i="11"/>
  <c r="AF619" i="11"/>
  <c r="AG618" i="11"/>
  <c r="AF618" i="11"/>
  <c r="AG617" i="11"/>
  <c r="AF617" i="11"/>
  <c r="AG616" i="11"/>
  <c r="AF616" i="11"/>
  <c r="AG615" i="11"/>
  <c r="AF615" i="11"/>
  <c r="AG614" i="11"/>
  <c r="AF614" i="11"/>
  <c r="AG613" i="11"/>
  <c r="AF613" i="11"/>
  <c r="AG612" i="11"/>
  <c r="AF612" i="11"/>
  <c r="AG611" i="11"/>
  <c r="AF611" i="11"/>
  <c r="AG610" i="11"/>
  <c r="AF610" i="11"/>
  <c r="AG609" i="11"/>
  <c r="AF609" i="11"/>
  <c r="AG608" i="11"/>
  <c r="AF608" i="11"/>
  <c r="AG607" i="11"/>
  <c r="AF607" i="11"/>
  <c r="AG606" i="11"/>
  <c r="AF606" i="11"/>
  <c r="AG605" i="11"/>
  <c r="AF605" i="11"/>
  <c r="AG604" i="11"/>
  <c r="AF604" i="11"/>
  <c r="AG603" i="11"/>
  <c r="AF603" i="11"/>
  <c r="AG602" i="11"/>
  <c r="AF602" i="11"/>
  <c r="AG601" i="11"/>
  <c r="AF601" i="11"/>
  <c r="AG600" i="11"/>
  <c r="AF600" i="11"/>
  <c r="AG599" i="11"/>
  <c r="AF599" i="11"/>
  <c r="AG598" i="11"/>
  <c r="AF598" i="11"/>
  <c r="AG597" i="11"/>
  <c r="AF597" i="11"/>
  <c r="AG596" i="11"/>
  <c r="AF596" i="11"/>
  <c r="AG595" i="11"/>
  <c r="AF595" i="11"/>
  <c r="AG594" i="11"/>
  <c r="AF594" i="11"/>
  <c r="AG593" i="11"/>
  <c r="AF593" i="11"/>
  <c r="AG592" i="11"/>
  <c r="AF592" i="11"/>
  <c r="AG591" i="11"/>
  <c r="AF591" i="11"/>
  <c r="AG590" i="11"/>
  <c r="AF590" i="11"/>
  <c r="AG589" i="11"/>
  <c r="AF589" i="11"/>
  <c r="AG588" i="11"/>
  <c r="AF588" i="11"/>
  <c r="AG587" i="11"/>
  <c r="AF587" i="11"/>
  <c r="AG586" i="11"/>
  <c r="AF586" i="11"/>
  <c r="AG585" i="11"/>
  <c r="AF585" i="11"/>
  <c r="AG584" i="11"/>
  <c r="AF584" i="11"/>
  <c r="AG583" i="11"/>
  <c r="AF583" i="11"/>
  <c r="AG582" i="11"/>
  <c r="AF582" i="11"/>
  <c r="AG581" i="11"/>
  <c r="AF581" i="11"/>
  <c r="AG580" i="11"/>
  <c r="AF580" i="11"/>
  <c r="AG579" i="11"/>
  <c r="AF579" i="11"/>
  <c r="AG578" i="11"/>
  <c r="AF578" i="11"/>
  <c r="AG577" i="11"/>
  <c r="AF577" i="11"/>
  <c r="AG576" i="11"/>
  <c r="AF576" i="11"/>
  <c r="AG575" i="11"/>
  <c r="AF575" i="11"/>
  <c r="AG574" i="11"/>
  <c r="AF574" i="11"/>
  <c r="AG573" i="11"/>
  <c r="AF573" i="11"/>
  <c r="AG572" i="11"/>
  <c r="AF572" i="11"/>
  <c r="AG571" i="11"/>
  <c r="AF571" i="11"/>
  <c r="AG570" i="11"/>
  <c r="AF570" i="11"/>
  <c r="AG569" i="11"/>
  <c r="AF569" i="11"/>
  <c r="AG568" i="11"/>
  <c r="AF568" i="11"/>
  <c r="AG567" i="11"/>
  <c r="AF567" i="11"/>
  <c r="AG566" i="11"/>
  <c r="AF566" i="11"/>
  <c r="AG565" i="11"/>
  <c r="AF565" i="11"/>
  <c r="AG564" i="11"/>
  <c r="AF564" i="11"/>
  <c r="AG563" i="11"/>
  <c r="AF563" i="11"/>
  <c r="AG562" i="11"/>
  <c r="AF562" i="11"/>
  <c r="AG561" i="11"/>
  <c r="AF561" i="11"/>
  <c r="AG560" i="11"/>
  <c r="AF560" i="11"/>
  <c r="AG559" i="11"/>
  <c r="AF559" i="11"/>
  <c r="AG558" i="11"/>
  <c r="AF558" i="11"/>
  <c r="AG557" i="11"/>
  <c r="AF557" i="11"/>
  <c r="AG556" i="11"/>
  <c r="AF556" i="11"/>
  <c r="AG555" i="11"/>
  <c r="AF555" i="11"/>
  <c r="AG554" i="11"/>
  <c r="AF554" i="11"/>
  <c r="AG553" i="11"/>
  <c r="AF553" i="11"/>
  <c r="AG552" i="11"/>
  <c r="AF552" i="11"/>
  <c r="AG551" i="11"/>
  <c r="AF551" i="11"/>
  <c r="AG550" i="11"/>
  <c r="AF550" i="11"/>
  <c r="AG549" i="11"/>
  <c r="AF549" i="11"/>
  <c r="AG548" i="11"/>
  <c r="AF548" i="11"/>
  <c r="AG547" i="11"/>
  <c r="AF547" i="11"/>
  <c r="AG546" i="11"/>
  <c r="AF546" i="11"/>
  <c r="AG545" i="11"/>
  <c r="AF545" i="11"/>
  <c r="AG544" i="11"/>
  <c r="AF544" i="11"/>
  <c r="AG543" i="11"/>
  <c r="AF543" i="11"/>
  <c r="AG542" i="11"/>
  <c r="AF542" i="11"/>
  <c r="AG541" i="11"/>
  <c r="AF541" i="11"/>
  <c r="AG540" i="11"/>
  <c r="AF540" i="11"/>
  <c r="AG539" i="11"/>
  <c r="AF539" i="11"/>
  <c r="AG538" i="11"/>
  <c r="AF538" i="11"/>
  <c r="AG537" i="11"/>
  <c r="AF537" i="11"/>
  <c r="AG536" i="11"/>
  <c r="AF536" i="11"/>
  <c r="AG535" i="11"/>
  <c r="AF535" i="11"/>
  <c r="AG534" i="11"/>
  <c r="AF534" i="11"/>
  <c r="AG533" i="11"/>
  <c r="AF533" i="11"/>
  <c r="AG532" i="11"/>
  <c r="AF532" i="11"/>
  <c r="AG531" i="11"/>
  <c r="AF531" i="11"/>
  <c r="AG530" i="11"/>
  <c r="AF530" i="11"/>
  <c r="AG529" i="11"/>
  <c r="AF529" i="11"/>
  <c r="AG528" i="11"/>
  <c r="AF528" i="11"/>
  <c r="AG527" i="11"/>
  <c r="AF527" i="11"/>
  <c r="AG526" i="11"/>
  <c r="AF526" i="11"/>
  <c r="AG525" i="11"/>
  <c r="AF525" i="11"/>
  <c r="AG524" i="11"/>
  <c r="AF524" i="11"/>
  <c r="AG523" i="11"/>
  <c r="AF523" i="11"/>
  <c r="AG522" i="11"/>
  <c r="AF522" i="11"/>
  <c r="AG521" i="11"/>
  <c r="AF521" i="11"/>
  <c r="AG520" i="11"/>
  <c r="AF520" i="11"/>
  <c r="AG519" i="11"/>
  <c r="AF519" i="11"/>
  <c r="AG518" i="11"/>
  <c r="AF518" i="11"/>
  <c r="AG517" i="11"/>
  <c r="AF517" i="11"/>
  <c r="AG516" i="11"/>
  <c r="AF516" i="11"/>
  <c r="AG515" i="11"/>
  <c r="AF515" i="11"/>
  <c r="AG514" i="11"/>
  <c r="AF514" i="11"/>
  <c r="AG513" i="11"/>
  <c r="AF513" i="11"/>
  <c r="AG512" i="11"/>
  <c r="AF512" i="11"/>
  <c r="AG511" i="11"/>
  <c r="AF511" i="11"/>
  <c r="AG510" i="11"/>
  <c r="AF510" i="11"/>
  <c r="AG509" i="11"/>
  <c r="AF509" i="11"/>
  <c r="AG508" i="11"/>
  <c r="AF508" i="11"/>
  <c r="AG507" i="11"/>
  <c r="AF507" i="11"/>
  <c r="AG506" i="11"/>
  <c r="AF506" i="11"/>
  <c r="AG505" i="11"/>
  <c r="AF505" i="11"/>
  <c r="AG504" i="11"/>
  <c r="AF504" i="11"/>
  <c r="AG503" i="11"/>
  <c r="AF503" i="11"/>
  <c r="AG502" i="11"/>
  <c r="AF502" i="11"/>
  <c r="AG501" i="11"/>
  <c r="AF501" i="11"/>
  <c r="AG500" i="11"/>
  <c r="AF500" i="11"/>
  <c r="AG499" i="11"/>
  <c r="AF499" i="11"/>
  <c r="AG498" i="11"/>
  <c r="AF498" i="11"/>
  <c r="AG497" i="11"/>
  <c r="AF497" i="11"/>
  <c r="AG496" i="11"/>
  <c r="AF496" i="11"/>
  <c r="AG495" i="11"/>
  <c r="AF495" i="11"/>
  <c r="AG494" i="11"/>
  <c r="AF494" i="11"/>
  <c r="AG493" i="11"/>
  <c r="AF493" i="11"/>
  <c r="AG492" i="11"/>
  <c r="AF492" i="11"/>
  <c r="AG491" i="11"/>
  <c r="AF491" i="11"/>
  <c r="AG490" i="11"/>
  <c r="AF490" i="11"/>
  <c r="AG489" i="11"/>
  <c r="AF489" i="11"/>
  <c r="AG488" i="11"/>
  <c r="AF488" i="11"/>
  <c r="AG487" i="11"/>
  <c r="AF487" i="11"/>
  <c r="AG486" i="11"/>
  <c r="AF486" i="11"/>
  <c r="AG485" i="11"/>
  <c r="AF485" i="11"/>
  <c r="AG484" i="11"/>
  <c r="AF484" i="11"/>
  <c r="AG483" i="11"/>
  <c r="AF483" i="11"/>
  <c r="AG482" i="11"/>
  <c r="AF482" i="11"/>
  <c r="AG481" i="11"/>
  <c r="AF481" i="11"/>
  <c r="AG480" i="11"/>
  <c r="AF480" i="11"/>
  <c r="AG479" i="11"/>
  <c r="AF479" i="11"/>
  <c r="AG478" i="11"/>
  <c r="AF478" i="11"/>
  <c r="AG477" i="11"/>
  <c r="AF477" i="11"/>
  <c r="AG476" i="11"/>
  <c r="AF476" i="11"/>
  <c r="AG475" i="11"/>
  <c r="AF475" i="11"/>
  <c r="AG474" i="11"/>
  <c r="AF474" i="11"/>
  <c r="AG473" i="11"/>
  <c r="AF473" i="11"/>
  <c r="AG472" i="11"/>
  <c r="AF472" i="11"/>
  <c r="AG471" i="11"/>
  <c r="AF471" i="11"/>
  <c r="AG470" i="11"/>
  <c r="AF470" i="11"/>
  <c r="AG469" i="11"/>
  <c r="AF469" i="11"/>
  <c r="AG468" i="11"/>
  <c r="AF468" i="11"/>
  <c r="AG467" i="11"/>
  <c r="AF467" i="11"/>
  <c r="AG466" i="11"/>
  <c r="AF466" i="11"/>
  <c r="AG465" i="11"/>
  <c r="AF465" i="11"/>
  <c r="AG464" i="11"/>
  <c r="AF464" i="11"/>
  <c r="AG463" i="11"/>
  <c r="AF463" i="11"/>
  <c r="AG462" i="11"/>
  <c r="AF462" i="11"/>
  <c r="AG461" i="11"/>
  <c r="AF461" i="11"/>
  <c r="AG460" i="11"/>
  <c r="AF460" i="11"/>
  <c r="AG459" i="11"/>
  <c r="AF459" i="11"/>
  <c r="AG458" i="11"/>
  <c r="AF458" i="11"/>
  <c r="AG457" i="11"/>
  <c r="AF457" i="11"/>
  <c r="AG456" i="11"/>
  <c r="AF456" i="11"/>
  <c r="AG455" i="11"/>
  <c r="AF455" i="11"/>
  <c r="AG454" i="11"/>
  <c r="AF454" i="11"/>
  <c r="AG453" i="11"/>
  <c r="AF453" i="11"/>
  <c r="AG452" i="11"/>
  <c r="AF452" i="11"/>
  <c r="AG451" i="11"/>
  <c r="AF451" i="11"/>
  <c r="AG450" i="11"/>
  <c r="AF450" i="11"/>
  <c r="AG449" i="11"/>
  <c r="AF449" i="11"/>
  <c r="AG448" i="11"/>
  <c r="AF448" i="11"/>
  <c r="AG447" i="11"/>
  <c r="AF447" i="11"/>
  <c r="AG446" i="11"/>
  <c r="AF446" i="11"/>
  <c r="AG445" i="11"/>
  <c r="AF445" i="11"/>
  <c r="AG444" i="11"/>
  <c r="AF444" i="11"/>
  <c r="AG443" i="11"/>
  <c r="AF443" i="11"/>
  <c r="AG442" i="11"/>
  <c r="AF442" i="11"/>
  <c r="AG441" i="11"/>
  <c r="AF441" i="11"/>
  <c r="AG440" i="11"/>
  <c r="AF440" i="11"/>
  <c r="AG439" i="11"/>
  <c r="AF439" i="11"/>
  <c r="AG438" i="11"/>
  <c r="AF438" i="11"/>
  <c r="AG437" i="11"/>
  <c r="AF437" i="11"/>
  <c r="AG436" i="11"/>
  <c r="AF436" i="11"/>
  <c r="AG435" i="11"/>
  <c r="AF435" i="11"/>
  <c r="AG434" i="11"/>
  <c r="AF434" i="11"/>
  <c r="AG433" i="11"/>
  <c r="AF433" i="11"/>
  <c r="AG432" i="11"/>
  <c r="AF432" i="11"/>
  <c r="AG431" i="11"/>
  <c r="AF431" i="11"/>
  <c r="AG430" i="11"/>
  <c r="AF430" i="11"/>
  <c r="AG429" i="11"/>
  <c r="AF429" i="11"/>
  <c r="AG428" i="11"/>
  <c r="AF428" i="11"/>
  <c r="AG427" i="11"/>
  <c r="AF427" i="11"/>
  <c r="AG426" i="11"/>
  <c r="AF426" i="11"/>
  <c r="AG425" i="11"/>
  <c r="AF425" i="11"/>
  <c r="AG424" i="11"/>
  <c r="AF424" i="11"/>
  <c r="AG423" i="11"/>
  <c r="AF423" i="11"/>
  <c r="AG422" i="11"/>
  <c r="AF422" i="11"/>
  <c r="AG421" i="11"/>
  <c r="AF421" i="11"/>
  <c r="AG420" i="11"/>
  <c r="AF420" i="11"/>
  <c r="AG419" i="11"/>
  <c r="AF419" i="11"/>
  <c r="AG418" i="11"/>
  <c r="AF418" i="11"/>
  <c r="AG417" i="11"/>
  <c r="AF417" i="11"/>
  <c r="AG416" i="11"/>
  <c r="AF416" i="11"/>
  <c r="AG415" i="11"/>
  <c r="AF415" i="11"/>
  <c r="AG414" i="11"/>
  <c r="AF414" i="11"/>
  <c r="AG413" i="11"/>
  <c r="AF413" i="11"/>
  <c r="AG412" i="11"/>
  <c r="AF412" i="11"/>
  <c r="AG411" i="11"/>
  <c r="AF411" i="11"/>
  <c r="AG410" i="11"/>
  <c r="AF410" i="11"/>
  <c r="AG409" i="11"/>
  <c r="AF409" i="11"/>
  <c r="AG408" i="11"/>
  <c r="AF408" i="11"/>
  <c r="AG407" i="11"/>
  <c r="AF407" i="11"/>
  <c r="AG406" i="11"/>
  <c r="AF406" i="11"/>
  <c r="AG405" i="11"/>
  <c r="AF405" i="11"/>
  <c r="AG404" i="11"/>
  <c r="AF404" i="11"/>
  <c r="AG403" i="11"/>
  <c r="AF403" i="11"/>
  <c r="AG402" i="11"/>
  <c r="AF402" i="11"/>
  <c r="AG401" i="11"/>
  <c r="AF401" i="11"/>
  <c r="AG400" i="11"/>
  <c r="AF400" i="11"/>
  <c r="AG399" i="11"/>
  <c r="AF399" i="11"/>
  <c r="AG398" i="11"/>
  <c r="AF398" i="11"/>
  <c r="AG397" i="11"/>
  <c r="AF397" i="11"/>
  <c r="AG396" i="11"/>
  <c r="AF396" i="11"/>
  <c r="AG395" i="11"/>
  <c r="AF395" i="11"/>
  <c r="AG394" i="11"/>
  <c r="AF394" i="11"/>
  <c r="AG393" i="11"/>
  <c r="AF393" i="11"/>
  <c r="AG392" i="11"/>
  <c r="AF392" i="11"/>
  <c r="AG391" i="11"/>
  <c r="AF391" i="11"/>
  <c r="AG390" i="11"/>
  <c r="AF390" i="11"/>
  <c r="AG389" i="11"/>
  <c r="AF389" i="11"/>
  <c r="AG388" i="11"/>
  <c r="AF388" i="11"/>
  <c r="AG387" i="11"/>
  <c r="AF387" i="11"/>
  <c r="AG386" i="11"/>
  <c r="AF386" i="11"/>
  <c r="AG385" i="11"/>
  <c r="AF385" i="11"/>
  <c r="AG384" i="11"/>
  <c r="AF384" i="11"/>
  <c r="AG383" i="11"/>
  <c r="AF383" i="11"/>
  <c r="AG382" i="11"/>
  <c r="AF382" i="11"/>
  <c r="AG381" i="11"/>
  <c r="AF381" i="11"/>
  <c r="AG380" i="11"/>
  <c r="AF380" i="11"/>
  <c r="AG379" i="11"/>
  <c r="AF379" i="11"/>
  <c r="AG378" i="11"/>
  <c r="AF378" i="11"/>
  <c r="AG377" i="11"/>
  <c r="AF377" i="11"/>
  <c r="AG376" i="11"/>
  <c r="AF376" i="11"/>
  <c r="AG375" i="11"/>
  <c r="AF375" i="11"/>
  <c r="AG374" i="11"/>
  <c r="AF374" i="11"/>
  <c r="AG373" i="11"/>
  <c r="AF373" i="11"/>
  <c r="AG372" i="11"/>
  <c r="AF372" i="11"/>
  <c r="AG371" i="11"/>
  <c r="AF371" i="11"/>
  <c r="AG370" i="11"/>
  <c r="AF370" i="11"/>
  <c r="AG369" i="11"/>
  <c r="AF369" i="11"/>
  <c r="AG368" i="11"/>
  <c r="AF368" i="11"/>
  <c r="AG367" i="11"/>
  <c r="AF367" i="11"/>
  <c r="AG366" i="11"/>
  <c r="AF366" i="11"/>
  <c r="AG365" i="11"/>
  <c r="AF365" i="11"/>
  <c r="AG364" i="11"/>
  <c r="AF364" i="11"/>
  <c r="AG363" i="11"/>
  <c r="AF363" i="11"/>
  <c r="AG362" i="11"/>
  <c r="AF362" i="11"/>
  <c r="AG361" i="11"/>
  <c r="AF361" i="11"/>
  <c r="AG360" i="11"/>
  <c r="AF360" i="11"/>
  <c r="AG359" i="11"/>
  <c r="AF359" i="11"/>
  <c r="AG358" i="11"/>
  <c r="AF358" i="11"/>
  <c r="AG357" i="11"/>
  <c r="AF357" i="11"/>
  <c r="AG356" i="11"/>
  <c r="AF356" i="11"/>
  <c r="AG355" i="11"/>
  <c r="AF355" i="11"/>
  <c r="AG354" i="11"/>
  <c r="AF354" i="11"/>
  <c r="AG353" i="11"/>
  <c r="AF353" i="11"/>
  <c r="AG352" i="11"/>
  <c r="AF352" i="11"/>
  <c r="AG351" i="11"/>
  <c r="AF351" i="11"/>
  <c r="AG350" i="11"/>
  <c r="AF350" i="11"/>
  <c r="AG349" i="11"/>
  <c r="AF349" i="11"/>
  <c r="AG348" i="11"/>
  <c r="AF348" i="11"/>
  <c r="AG347" i="11"/>
  <c r="AF347" i="11"/>
  <c r="AG346" i="11"/>
  <c r="AF346" i="11"/>
  <c r="AG345" i="11"/>
  <c r="AF345" i="11"/>
  <c r="AG344" i="11"/>
  <c r="AF344" i="11"/>
  <c r="AG343" i="11"/>
  <c r="AF343" i="11"/>
  <c r="AG342" i="11"/>
  <c r="AF342" i="11"/>
  <c r="AG341" i="11"/>
  <c r="AF341" i="11"/>
  <c r="AG340" i="11"/>
  <c r="AF340" i="11"/>
  <c r="AG339" i="11"/>
  <c r="AF339" i="11"/>
  <c r="AG338" i="11"/>
  <c r="AF338" i="11"/>
  <c r="AG337" i="11"/>
  <c r="AF337" i="11"/>
  <c r="AG336" i="11"/>
  <c r="AF336" i="11"/>
  <c r="AG335" i="11"/>
  <c r="AF335" i="11"/>
  <c r="AG334" i="11"/>
  <c r="AF334" i="11"/>
  <c r="AG333" i="11"/>
  <c r="AF333" i="11"/>
  <c r="AG332" i="11"/>
  <c r="AF332" i="11"/>
  <c r="AG331" i="11"/>
  <c r="AF331" i="11"/>
  <c r="AG330" i="11"/>
  <c r="AF330" i="11"/>
  <c r="AG329" i="11"/>
  <c r="AF329" i="11"/>
  <c r="AG328" i="11"/>
  <c r="AF328" i="11"/>
  <c r="AG327" i="11"/>
  <c r="AF327" i="11"/>
  <c r="AG326" i="11"/>
  <c r="AF326" i="11"/>
  <c r="AG325" i="11"/>
  <c r="AF325" i="11"/>
  <c r="AG324" i="11"/>
  <c r="AF324" i="11"/>
  <c r="AG323" i="11"/>
  <c r="AF323" i="11"/>
  <c r="AG322" i="11"/>
  <c r="AF322" i="11"/>
  <c r="AG321" i="11"/>
  <c r="AF321" i="11"/>
  <c r="AG320" i="11"/>
  <c r="AF320" i="11"/>
  <c r="AG319" i="11"/>
  <c r="AF319" i="11"/>
  <c r="AG318" i="11"/>
  <c r="AF318" i="11"/>
  <c r="AG317" i="11"/>
  <c r="AF317" i="11"/>
  <c r="AG316" i="11"/>
  <c r="AF316" i="11"/>
  <c r="AG315" i="11"/>
  <c r="AF315" i="11"/>
  <c r="AG314" i="11"/>
  <c r="AF314" i="11"/>
  <c r="AG313" i="11"/>
  <c r="AF313" i="11"/>
  <c r="AG312" i="11"/>
  <c r="AF312" i="11"/>
  <c r="AG311" i="11"/>
  <c r="AF311" i="11"/>
  <c r="AG310" i="11"/>
  <c r="AF310" i="11"/>
  <c r="AG309" i="11"/>
  <c r="AF309" i="11"/>
  <c r="AG308" i="11"/>
  <c r="AF308" i="11"/>
  <c r="AG307" i="11"/>
  <c r="AF307" i="11"/>
  <c r="AG306" i="11"/>
  <c r="AF306" i="11"/>
  <c r="AG305" i="11"/>
  <c r="AF305" i="11"/>
  <c r="AG304" i="11"/>
  <c r="AF304" i="11"/>
  <c r="AG303" i="11"/>
  <c r="AF303" i="11"/>
  <c r="AG302" i="11"/>
  <c r="AF302" i="11"/>
  <c r="AG301" i="11"/>
  <c r="AF301" i="11"/>
  <c r="AG300" i="11"/>
  <c r="AF300" i="11"/>
  <c r="AG299" i="11"/>
  <c r="AF299" i="11"/>
  <c r="AG298" i="11"/>
  <c r="AF298" i="11"/>
  <c r="AG297" i="11"/>
  <c r="AF297" i="11"/>
  <c r="AG296" i="11"/>
  <c r="AF296" i="11"/>
  <c r="AG295" i="11"/>
  <c r="AF295" i="11"/>
  <c r="AG294" i="11"/>
  <c r="AF294" i="11"/>
  <c r="AG293" i="11"/>
  <c r="AF293" i="11"/>
  <c r="AG292" i="11"/>
  <c r="AF292" i="11"/>
  <c r="AG291" i="11"/>
  <c r="AF291" i="11"/>
  <c r="AG290" i="11"/>
  <c r="AF290" i="11"/>
  <c r="AG289" i="11"/>
  <c r="AF289" i="11"/>
  <c r="AG288" i="11"/>
  <c r="AF288" i="11"/>
  <c r="AG287" i="11"/>
  <c r="AF287" i="11"/>
  <c r="AG286" i="11"/>
  <c r="AF286" i="11"/>
  <c r="AG285" i="11"/>
  <c r="AF285" i="11"/>
  <c r="AG284" i="11"/>
  <c r="AF284" i="11"/>
  <c r="AG283" i="11"/>
  <c r="AF283" i="11"/>
  <c r="AG282" i="11"/>
  <c r="AF282" i="11"/>
  <c r="AG281" i="11"/>
  <c r="AF281" i="11"/>
  <c r="AG280" i="11"/>
  <c r="AF280" i="11"/>
  <c r="AG279" i="11"/>
  <c r="AF279" i="11"/>
  <c r="AG278" i="11"/>
  <c r="AF278" i="11"/>
  <c r="AG277" i="11"/>
  <c r="AF277" i="11"/>
  <c r="AG276" i="11"/>
  <c r="AF276" i="11"/>
  <c r="AG275" i="11"/>
  <c r="AF275" i="11"/>
  <c r="AG274" i="11"/>
  <c r="AF274" i="11"/>
  <c r="AG273" i="11"/>
  <c r="AF273" i="11"/>
  <c r="AG272" i="11"/>
  <c r="AF272" i="11"/>
  <c r="AG271" i="11"/>
  <c r="AF271" i="11"/>
  <c r="AG270" i="11"/>
  <c r="AF270" i="11"/>
  <c r="AG269" i="11"/>
  <c r="AF269" i="11"/>
  <c r="AG268" i="11"/>
  <c r="AF268" i="11"/>
  <c r="AG267" i="11"/>
  <c r="AF267" i="11"/>
  <c r="AG266" i="11"/>
  <c r="AF266" i="11"/>
  <c r="AG265" i="11"/>
  <c r="AF265" i="11"/>
  <c r="AG264" i="11"/>
  <c r="AF264" i="11"/>
  <c r="AG263" i="11"/>
  <c r="AF263" i="11"/>
  <c r="AG262" i="11"/>
  <c r="AF262" i="11"/>
  <c r="AG261" i="11"/>
  <c r="AF261" i="11"/>
  <c r="AG260" i="11"/>
  <c r="AF260" i="11"/>
  <c r="AG259" i="11"/>
  <c r="AF259" i="11"/>
  <c r="AG258" i="11"/>
  <c r="AF258" i="11"/>
  <c r="AG257" i="11"/>
  <c r="AF257" i="11"/>
  <c r="AG256" i="11"/>
  <c r="AF256" i="11"/>
  <c r="AG255" i="11"/>
  <c r="AF255" i="11"/>
  <c r="AG254" i="11"/>
  <c r="AF254" i="11"/>
  <c r="AG253" i="11"/>
  <c r="AF253" i="11"/>
  <c r="AG252" i="11"/>
  <c r="AF252" i="11"/>
  <c r="AG251" i="11"/>
  <c r="AF251" i="11"/>
  <c r="AG250" i="11"/>
  <c r="AF250" i="11"/>
  <c r="AG249" i="11"/>
  <c r="AF249" i="11"/>
  <c r="AG248" i="11"/>
  <c r="AF248" i="11"/>
  <c r="AG247" i="11"/>
  <c r="AF247" i="11"/>
  <c r="AG246" i="11"/>
  <c r="AF246" i="11"/>
  <c r="AG245" i="11"/>
  <c r="AF245" i="11"/>
  <c r="AG244" i="11"/>
  <c r="AF244" i="11"/>
  <c r="AG243" i="11"/>
  <c r="AF243" i="11"/>
  <c r="AG242" i="11"/>
  <c r="AF242" i="11"/>
  <c r="AG241" i="11"/>
  <c r="AF241" i="11"/>
  <c r="AG240" i="11"/>
  <c r="AF240" i="11"/>
  <c r="AG239" i="11"/>
  <c r="AF239" i="11"/>
  <c r="AG238" i="11"/>
  <c r="AF238" i="11"/>
  <c r="AG237" i="11"/>
  <c r="AF237" i="11"/>
  <c r="AG236" i="11"/>
  <c r="AF236" i="11"/>
  <c r="AG235" i="11"/>
  <c r="AF235" i="11"/>
  <c r="AG234" i="11"/>
  <c r="AF234" i="11"/>
  <c r="AG233" i="11"/>
  <c r="AF233" i="11"/>
  <c r="AG232" i="11"/>
  <c r="AF232" i="11"/>
  <c r="AG231" i="11"/>
  <c r="AF231" i="11"/>
  <c r="AG230" i="11"/>
  <c r="AF230" i="11"/>
  <c r="AG229" i="11"/>
  <c r="AF229" i="11"/>
  <c r="AG228" i="11"/>
  <c r="AF228" i="11"/>
  <c r="AG227" i="11"/>
  <c r="AF227" i="11"/>
  <c r="AG226" i="11"/>
  <c r="AF226" i="11"/>
  <c r="AG225" i="11"/>
  <c r="AF225" i="11"/>
  <c r="AG224" i="11"/>
  <c r="AF224" i="11"/>
  <c r="AG223" i="11"/>
  <c r="AF223" i="11"/>
  <c r="AG222" i="11"/>
  <c r="AF222" i="11"/>
  <c r="AG221" i="11"/>
  <c r="AF221" i="11"/>
  <c r="AG220" i="11"/>
  <c r="AF220" i="11"/>
  <c r="AG219" i="11"/>
  <c r="AF219" i="11"/>
  <c r="AG218" i="11"/>
  <c r="AF218" i="11"/>
  <c r="AG217" i="11"/>
  <c r="AF217" i="11"/>
  <c r="AG216" i="11"/>
  <c r="AF216" i="11"/>
  <c r="AG215" i="11"/>
  <c r="AF215" i="11"/>
  <c r="AG214" i="11"/>
  <c r="AF214" i="11"/>
  <c r="AG213" i="11"/>
  <c r="AF213" i="11"/>
  <c r="AG212" i="11"/>
  <c r="AF212" i="11"/>
  <c r="AG211" i="11"/>
  <c r="AF211" i="11"/>
  <c r="AG210" i="11"/>
  <c r="AF210" i="11"/>
  <c r="AG209" i="11"/>
  <c r="AF209" i="11"/>
  <c r="AG208" i="11"/>
  <c r="AF208" i="11"/>
  <c r="AG207" i="11"/>
  <c r="AF207" i="11"/>
  <c r="AG206" i="11"/>
  <c r="AF206" i="11"/>
  <c r="AG205" i="11"/>
  <c r="AF205" i="11"/>
  <c r="AG204" i="11"/>
  <c r="AF204" i="11"/>
  <c r="AG203" i="11"/>
  <c r="AF203" i="11"/>
  <c r="AG202" i="11"/>
  <c r="AF202" i="11"/>
  <c r="AG201" i="11"/>
  <c r="AF201" i="11"/>
  <c r="AG200" i="11"/>
  <c r="AF200" i="11"/>
  <c r="AG199" i="11"/>
  <c r="AF199" i="11"/>
  <c r="AG198" i="11"/>
  <c r="AF198" i="11"/>
  <c r="AG197" i="11"/>
  <c r="AF197" i="11"/>
  <c r="AG196" i="11"/>
  <c r="AF196" i="11"/>
  <c r="AG195" i="11"/>
  <c r="AF195" i="11"/>
  <c r="AG194" i="11"/>
  <c r="AF194" i="11"/>
  <c r="AG193" i="11"/>
  <c r="AF193" i="11"/>
  <c r="AG192" i="11"/>
  <c r="AF192" i="11"/>
  <c r="AG191" i="11"/>
  <c r="AF191" i="11"/>
  <c r="AG190" i="11"/>
  <c r="AF190" i="11"/>
  <c r="AG189" i="11"/>
  <c r="AF189" i="11"/>
  <c r="AG188" i="11"/>
  <c r="AF188" i="11"/>
  <c r="AG187" i="11"/>
  <c r="AF187" i="11"/>
  <c r="AG186" i="11"/>
  <c r="AF186" i="11"/>
  <c r="AG185" i="11"/>
  <c r="AF185" i="11"/>
  <c r="AG184" i="11"/>
  <c r="AF184" i="11"/>
  <c r="AG183" i="11"/>
  <c r="AF183" i="11"/>
  <c r="AG182" i="11"/>
  <c r="AF182" i="11"/>
  <c r="AG181" i="11"/>
  <c r="AF181" i="11"/>
  <c r="AG180" i="11"/>
  <c r="AF180" i="11"/>
  <c r="AG179" i="11"/>
  <c r="AF179" i="11"/>
  <c r="AG178" i="11"/>
  <c r="AF178" i="11"/>
  <c r="AG177" i="11"/>
  <c r="AF177" i="11"/>
  <c r="AG176" i="11"/>
  <c r="AF176" i="11"/>
  <c r="AG175" i="11"/>
  <c r="AF175" i="11"/>
  <c r="AG174" i="11"/>
  <c r="AF174" i="11"/>
  <c r="AG173" i="11"/>
  <c r="AF173" i="11"/>
  <c r="AG172" i="11"/>
  <c r="AF172" i="11"/>
  <c r="AG171" i="11"/>
  <c r="AF171" i="11"/>
  <c r="AG170" i="11"/>
  <c r="AF170" i="11"/>
  <c r="AG169" i="11"/>
  <c r="AF169" i="11"/>
  <c r="AG168" i="11"/>
  <c r="AF168" i="11"/>
  <c r="AG167" i="11"/>
  <c r="AF167" i="11"/>
  <c r="AG166" i="11"/>
  <c r="AF166" i="11"/>
  <c r="AG165" i="11"/>
  <c r="AF165" i="11"/>
  <c r="AG164" i="11"/>
  <c r="AF164" i="11"/>
  <c r="AG163" i="11"/>
  <c r="AF163" i="11"/>
  <c r="AG162" i="11"/>
  <c r="AF162" i="11"/>
  <c r="AG161" i="11"/>
  <c r="AF161" i="11"/>
  <c r="AG160" i="11"/>
  <c r="AF160" i="11"/>
  <c r="AG159" i="11"/>
  <c r="AF159" i="11"/>
  <c r="AG158" i="11"/>
  <c r="AF158" i="11"/>
  <c r="AG157" i="11"/>
  <c r="AF157" i="11"/>
  <c r="AG156" i="11"/>
  <c r="AF156" i="11"/>
  <c r="AG155" i="11"/>
  <c r="AF155" i="11"/>
  <c r="AG154" i="11"/>
  <c r="AF154" i="11"/>
  <c r="AG153" i="11"/>
  <c r="AF153" i="11"/>
  <c r="AG152" i="11"/>
  <c r="AF152" i="11"/>
  <c r="AG151" i="11"/>
  <c r="AF151" i="11"/>
  <c r="AG150" i="11"/>
  <c r="AF150" i="11"/>
  <c r="AG149" i="11"/>
  <c r="AF149" i="11"/>
  <c r="AG148" i="11"/>
  <c r="AF148" i="11"/>
  <c r="AG147" i="11"/>
  <c r="AF147" i="11"/>
  <c r="AG146" i="11"/>
  <c r="AF146" i="11"/>
  <c r="AG145" i="11"/>
  <c r="AF145" i="11"/>
  <c r="AG144" i="11"/>
  <c r="AF144" i="11"/>
  <c r="AG143" i="11"/>
  <c r="AF143" i="11"/>
  <c r="AG142" i="11"/>
  <c r="AF142" i="11"/>
  <c r="AG141" i="11"/>
  <c r="AF141" i="11"/>
  <c r="AG140" i="11"/>
  <c r="AF140" i="11"/>
  <c r="AG139" i="11"/>
  <c r="AF139" i="11"/>
  <c r="AG138" i="11"/>
  <c r="AF138" i="11"/>
  <c r="AG137" i="11"/>
  <c r="AF137" i="11"/>
  <c r="AG136" i="11"/>
  <c r="AF136" i="11"/>
  <c r="AG135" i="11"/>
  <c r="AF135" i="11"/>
  <c r="AG134" i="11"/>
  <c r="AF134" i="11"/>
  <c r="AG133" i="11"/>
  <c r="AF133" i="11"/>
  <c r="AG132" i="11"/>
  <c r="AF132" i="11"/>
  <c r="AG131" i="11"/>
  <c r="AF131" i="11"/>
  <c r="AG130" i="11"/>
  <c r="AF130" i="11"/>
  <c r="AG129" i="11"/>
  <c r="AF129" i="11"/>
  <c r="AG128" i="11"/>
  <c r="AF128" i="11"/>
  <c r="AG127" i="11"/>
  <c r="AF127" i="11"/>
  <c r="AG126" i="11"/>
  <c r="AF126" i="11"/>
  <c r="AG125" i="11"/>
  <c r="AF125" i="11"/>
  <c r="AG124" i="11"/>
  <c r="AF124" i="11"/>
  <c r="AG123" i="11"/>
  <c r="AF123" i="11"/>
  <c r="AG122" i="11"/>
  <c r="AF122" i="11"/>
  <c r="AG121" i="11"/>
  <c r="AF121" i="11"/>
  <c r="AG120" i="11"/>
  <c r="AF120" i="11"/>
  <c r="AG119" i="11"/>
  <c r="AF119" i="11"/>
  <c r="AG118" i="11"/>
  <c r="AF118" i="11"/>
  <c r="AG117" i="11"/>
  <c r="AF117" i="11"/>
  <c r="AG116" i="11"/>
  <c r="AF116" i="11"/>
  <c r="AG115" i="11"/>
  <c r="AF115" i="11"/>
  <c r="AG114" i="11"/>
  <c r="AF114" i="11"/>
  <c r="AG113" i="11"/>
  <c r="AF113" i="11"/>
  <c r="AG112" i="11"/>
  <c r="AF112" i="11"/>
  <c r="AG111" i="11"/>
  <c r="AF111" i="11"/>
  <c r="AG110" i="11"/>
  <c r="AF110" i="11"/>
  <c r="AG109" i="11"/>
  <c r="AF109" i="11"/>
  <c r="AG108" i="11"/>
  <c r="AF108" i="11"/>
  <c r="AG107" i="11"/>
  <c r="AF107" i="11"/>
  <c r="AG106" i="11"/>
  <c r="AF106" i="11"/>
  <c r="AG105" i="11"/>
  <c r="AF105" i="11"/>
  <c r="AG104" i="11"/>
  <c r="AF104" i="11"/>
  <c r="AG103" i="11"/>
  <c r="AF103" i="11"/>
  <c r="AG102" i="11"/>
  <c r="AF102" i="11"/>
  <c r="AG101" i="11"/>
  <c r="AF101" i="11"/>
  <c r="AG100" i="11"/>
  <c r="AF100" i="11"/>
  <c r="AG99" i="11"/>
  <c r="AF99" i="11"/>
  <c r="AG98" i="11"/>
  <c r="AF98" i="11"/>
  <c r="AG97" i="11"/>
  <c r="AF97" i="11"/>
  <c r="AG96" i="11"/>
  <c r="AF96" i="11"/>
  <c r="AG95" i="11"/>
  <c r="AF95" i="11"/>
  <c r="AG94" i="11"/>
  <c r="AF94" i="11"/>
  <c r="AG93" i="11"/>
  <c r="AF93" i="11"/>
  <c r="AG92" i="11"/>
  <c r="AF92" i="11"/>
  <c r="AG91" i="11"/>
  <c r="AF91" i="11"/>
  <c r="AG90" i="11"/>
  <c r="AF90" i="11"/>
  <c r="AG89" i="11"/>
  <c r="AF89" i="11"/>
  <c r="AG88" i="11"/>
  <c r="AF88" i="11"/>
  <c r="AG87" i="11"/>
  <c r="AF87" i="11"/>
  <c r="AG86" i="11"/>
  <c r="AF86" i="11"/>
  <c r="AG85" i="11"/>
  <c r="AF85" i="11"/>
  <c r="AG84" i="11"/>
  <c r="AF84" i="11"/>
  <c r="AG83" i="11"/>
  <c r="AF83" i="11"/>
  <c r="AG82" i="11"/>
  <c r="AF82" i="11"/>
  <c r="AG81" i="11"/>
  <c r="AF81" i="11"/>
  <c r="AG80" i="11"/>
  <c r="AF80" i="11"/>
  <c r="AG79" i="11"/>
  <c r="AF79" i="11"/>
  <c r="AG78" i="11"/>
  <c r="AF78" i="11"/>
  <c r="AG77" i="11"/>
  <c r="AF77" i="11"/>
  <c r="AG76" i="11"/>
  <c r="AF76" i="11"/>
  <c r="AG75" i="11"/>
  <c r="AF75" i="11"/>
  <c r="AG74" i="11"/>
  <c r="AF74" i="11"/>
  <c r="AG73" i="11"/>
  <c r="AF73" i="11"/>
  <c r="AG72" i="11"/>
  <c r="AF72" i="11"/>
  <c r="AG71" i="11"/>
  <c r="AF71" i="11"/>
  <c r="AG70" i="11"/>
  <c r="AF70" i="11"/>
  <c r="AG69" i="11"/>
  <c r="AF69" i="11"/>
  <c r="AG68" i="11"/>
  <c r="AF68" i="11"/>
  <c r="AG67" i="11"/>
  <c r="AF67" i="11"/>
  <c r="AG66" i="11"/>
  <c r="AF66" i="11"/>
  <c r="AG65" i="11"/>
  <c r="AF65" i="11"/>
  <c r="AG64" i="11"/>
  <c r="AF64" i="11"/>
  <c r="AG63" i="11"/>
  <c r="AF63" i="11"/>
  <c r="AG62" i="11"/>
  <c r="AF62" i="11"/>
  <c r="AG61" i="11"/>
  <c r="AF61" i="11"/>
  <c r="AG60" i="11"/>
  <c r="AF60" i="11"/>
  <c r="AG59" i="11"/>
  <c r="AF59" i="11"/>
  <c r="AG58" i="11"/>
  <c r="AF58" i="11"/>
  <c r="AG57" i="11"/>
  <c r="AF57" i="11"/>
  <c r="AG56" i="11"/>
  <c r="AF56" i="11"/>
  <c r="AG55" i="11"/>
  <c r="AF55" i="11"/>
  <c r="AG54" i="11"/>
  <c r="AF54" i="11"/>
  <c r="AG53" i="11"/>
  <c r="AF53" i="11"/>
  <c r="AG52" i="11"/>
  <c r="AF52" i="11"/>
  <c r="AG51" i="11"/>
  <c r="AF51" i="11"/>
  <c r="AG50" i="11"/>
  <c r="AF50" i="11"/>
  <c r="AG49" i="11"/>
  <c r="AF49" i="11"/>
  <c r="AG48" i="11"/>
  <c r="AF48" i="11"/>
  <c r="AG47" i="11"/>
  <c r="AF47" i="11"/>
  <c r="AG46" i="11"/>
  <c r="AF46" i="11"/>
  <c r="AG45" i="11"/>
  <c r="AF45" i="11"/>
  <c r="AG44" i="11"/>
  <c r="AF44" i="11"/>
  <c r="AG43" i="11"/>
  <c r="AF43" i="11"/>
  <c r="AG42" i="11"/>
  <c r="AF42" i="11"/>
  <c r="AG41" i="11"/>
  <c r="AF41" i="11"/>
  <c r="AG40" i="11"/>
  <c r="AF40" i="11"/>
  <c r="AG39" i="11"/>
  <c r="AF39" i="11"/>
  <c r="AG38" i="11"/>
  <c r="AF38" i="11"/>
  <c r="AG37" i="11"/>
  <c r="AF37" i="11"/>
  <c r="AG36" i="11"/>
  <c r="AF36" i="11"/>
  <c r="AG35" i="11"/>
  <c r="AF35" i="11"/>
  <c r="AG34" i="11"/>
  <c r="AF34" i="11"/>
  <c r="AG33" i="11"/>
  <c r="AF33" i="11"/>
  <c r="AG32" i="11"/>
  <c r="AF32" i="11"/>
  <c r="AG31" i="11"/>
  <c r="AF31" i="11"/>
  <c r="AG30" i="11"/>
  <c r="AF30" i="11"/>
  <c r="AG27" i="11"/>
  <c r="AF27" i="11"/>
  <c r="AG26" i="11"/>
  <c r="AF26" i="11"/>
  <c r="AG25" i="11"/>
  <c r="BS4" i="13"/>
  <c r="BR4" i="13"/>
  <c r="BQ4" i="13"/>
  <c r="BP4" i="13"/>
  <c r="BO4" i="13"/>
  <c r="BN4" i="13"/>
  <c r="BM4" i="13"/>
  <c r="BL4" i="13"/>
  <c r="BK4" i="13"/>
  <c r="BJ4" i="13"/>
  <c r="BI4" i="13"/>
  <c r="BH4" i="13"/>
  <c r="BG4" i="13"/>
  <c r="BF4" i="13"/>
  <c r="BE4" i="13"/>
  <c r="BD4" i="13"/>
  <c r="BC4" i="13"/>
  <c r="BB4" i="13"/>
  <c r="BA4" i="13"/>
  <c r="AZ4" i="13"/>
  <c r="AY4" i="13"/>
  <c r="AX4" i="13"/>
  <c r="AW4" i="13"/>
  <c r="AV4" i="13"/>
  <c r="AU4" i="13"/>
  <c r="AT4" i="13"/>
  <c r="AS4" i="13"/>
  <c r="AR4" i="13"/>
  <c r="AQ4" i="13"/>
  <c r="AP4" i="13"/>
  <c r="AO4" i="13"/>
  <c r="AN4" i="13"/>
  <c r="AM4" i="13"/>
  <c r="AL4" i="13"/>
  <c r="AK4" i="13"/>
  <c r="AJ4" i="13"/>
  <c r="AI4" i="13"/>
  <c r="AH4" i="13"/>
  <c r="AG4" i="13"/>
  <c r="AF4" i="13"/>
  <c r="AE4" i="13"/>
  <c r="AD4" i="13"/>
  <c r="AC4" i="13"/>
  <c r="AB4" i="13"/>
  <c r="AA4" i="13"/>
  <c r="Z4" i="13"/>
  <c r="Y4" i="13"/>
  <c r="X4" i="13"/>
  <c r="W4" i="13"/>
  <c r="V4" i="13"/>
  <c r="U4" i="13"/>
  <c r="T4" i="13"/>
  <c r="S4" i="13"/>
  <c r="R4" i="13"/>
  <c r="Q4" i="13"/>
  <c r="P4" i="13"/>
  <c r="O4" i="13"/>
  <c r="N4" i="13"/>
  <c r="M4" i="13"/>
  <c r="L4" i="13"/>
  <c r="K4" i="13"/>
  <c r="J4" i="13"/>
  <c r="I4" i="13"/>
  <c r="H4" i="13"/>
  <c r="G4" i="13"/>
  <c r="F4" i="13"/>
  <c r="E4" i="13"/>
  <c r="D4" i="13"/>
  <c r="C4" i="13"/>
  <c r="C47" i="12"/>
  <c r="D47" i="12"/>
  <c r="B47" i="12"/>
  <c r="C42" i="12"/>
  <c r="D42" i="12"/>
  <c r="B42" i="12"/>
  <c r="E18" i="3"/>
  <c r="H29" i="12"/>
  <c r="I29" i="12"/>
  <c r="C24" i="12"/>
  <c r="D24" i="12"/>
  <c r="B24" i="12"/>
  <c r="C23" i="12"/>
  <c r="D23" i="12"/>
  <c r="B23" i="12"/>
  <c r="C22" i="12"/>
  <c r="D22" i="12"/>
  <c r="B22" i="12"/>
  <c r="B37" i="12"/>
  <c r="B39" i="12" s="1"/>
  <c r="D37" i="12"/>
  <c r="D39" i="12" s="1"/>
  <c r="D183" i="3"/>
  <c r="E183" i="3"/>
  <c r="F183" i="3"/>
  <c r="G183" i="3"/>
  <c r="C172" i="3"/>
  <c r="C182" i="3"/>
  <c r="C36" i="12"/>
  <c r="D156" i="3"/>
  <c r="E156" i="3"/>
  <c r="F156" i="3"/>
  <c r="G156" i="3"/>
  <c r="C156" i="3"/>
  <c r="B35" i="12"/>
  <c r="C35" i="12"/>
  <c r="D35" i="12"/>
  <c r="D60" i="3"/>
  <c r="E60" i="3"/>
  <c r="F60" i="3"/>
  <c r="G8" i="12"/>
  <c r="H8" i="12" s="1"/>
  <c r="C4" i="12"/>
  <c r="D4" i="12"/>
  <c r="E4" i="12"/>
  <c r="S8" i="12"/>
  <c r="S7" i="12"/>
  <c r="O256" i="12"/>
  <c r="O255" i="12"/>
  <c r="B5" i="12"/>
  <c r="C37" i="12"/>
  <c r="C39" i="12" s="1"/>
  <c r="D36" i="12"/>
  <c r="B36" i="12"/>
  <c r="F5" i="12"/>
  <c r="D45" i="12" s="1"/>
  <c r="E5" i="12"/>
  <c r="C45" i="12" s="1"/>
  <c r="D5" i="12"/>
  <c r="B45" i="12" s="1"/>
  <c r="C5" i="12"/>
  <c r="F4" i="12"/>
  <c r="E14" i="11" l="1"/>
  <c r="C183" i="3"/>
  <c r="B29" i="12"/>
  <c r="I8" i="12"/>
  <c r="J8" i="12" l="1"/>
  <c r="K8" i="12" l="1"/>
  <c r="G3" i="12" l="1"/>
  <c r="G5" i="12" l="1"/>
  <c r="E45" i="12" s="1"/>
  <c r="G4" i="12"/>
  <c r="H3" i="12" l="1"/>
  <c r="H5" i="12" l="1"/>
  <c r="F45" i="12" s="1"/>
  <c r="H4" i="12"/>
  <c r="I3" i="12" l="1"/>
  <c r="I4" i="12" l="1"/>
  <c r="I5" i="12"/>
  <c r="G45" i="12" s="1"/>
  <c r="J3" i="12" l="1"/>
  <c r="J4" i="12" l="1"/>
  <c r="J5" i="12"/>
  <c r="H45" i="12" s="1"/>
  <c r="K3" i="12" l="1"/>
  <c r="K4" i="12" l="1"/>
  <c r="K5" i="12"/>
  <c r="I45" i="12" s="1"/>
  <c r="E114" i="4" l="1"/>
  <c r="I99" i="3" l="1"/>
  <c r="J99" i="3"/>
  <c r="K99" i="3"/>
  <c r="L99" i="3"/>
  <c r="H99" i="3"/>
  <c r="I77" i="3"/>
  <c r="J77" i="3"/>
  <c r="K77" i="3"/>
  <c r="L77" i="3"/>
  <c r="H77" i="3"/>
  <c r="H40" i="3"/>
  <c r="I40" i="3"/>
  <c r="J40" i="3"/>
  <c r="K40" i="3"/>
  <c r="L40" i="3"/>
  <c r="B7" i="11"/>
  <c r="B6" i="11"/>
  <c r="C48" i="8"/>
  <c r="D48" i="8"/>
  <c r="E48" i="8"/>
  <c r="F48" i="8"/>
  <c r="B48" i="8"/>
  <c r="C47" i="8"/>
  <c r="D47" i="8"/>
  <c r="E47" i="8"/>
  <c r="F47" i="8"/>
  <c r="B47" i="8"/>
  <c r="B40" i="8"/>
  <c r="B41" i="8" s="1"/>
  <c r="C40" i="8"/>
  <c r="C41" i="8" s="1"/>
  <c r="D40" i="8"/>
  <c r="E40" i="8"/>
  <c r="E41" i="8" s="1"/>
  <c r="F40" i="8"/>
  <c r="F38" i="8"/>
  <c r="E38" i="8"/>
  <c r="D38" i="8"/>
  <c r="C38" i="8"/>
  <c r="B38" i="8"/>
  <c r="C10" i="8"/>
  <c r="D10" i="8"/>
  <c r="E10" i="8"/>
  <c r="F10" i="8"/>
  <c r="B10" i="8"/>
  <c r="C9" i="8"/>
  <c r="D9" i="8"/>
  <c r="E9" i="8"/>
  <c r="F9" i="8"/>
  <c r="B9" i="8"/>
  <c r="C7" i="8"/>
  <c r="D7" i="8"/>
  <c r="E7" i="8"/>
  <c r="F7" i="8"/>
  <c r="B7" i="8"/>
  <c r="G193" i="3"/>
  <c r="F193" i="3"/>
  <c r="E193" i="3"/>
  <c r="D193" i="3"/>
  <c r="C193" i="3"/>
  <c r="B6" i="8"/>
  <c r="H69" i="2"/>
  <c r="I69" i="2"/>
  <c r="J69" i="2"/>
  <c r="K69" i="2"/>
  <c r="H70" i="2"/>
  <c r="I70" i="2"/>
  <c r="J70" i="2"/>
  <c r="K70" i="2"/>
  <c r="G70" i="2"/>
  <c r="G69" i="2"/>
  <c r="H68" i="2"/>
  <c r="I68" i="2"/>
  <c r="J68" i="2"/>
  <c r="K68" i="2"/>
  <c r="G68" i="2"/>
  <c r="H63" i="2"/>
  <c r="I63" i="2"/>
  <c r="J63" i="2"/>
  <c r="K63" i="2"/>
  <c r="G63" i="2"/>
  <c r="I170" i="3"/>
  <c r="J170" i="3"/>
  <c r="K170" i="3"/>
  <c r="L170" i="3"/>
  <c r="H170" i="3"/>
  <c r="H51" i="2"/>
  <c r="I51" i="2"/>
  <c r="J51" i="2"/>
  <c r="K51" i="2"/>
  <c r="H54" i="2"/>
  <c r="I54" i="2"/>
  <c r="J54" i="2"/>
  <c r="K54" i="2"/>
  <c r="G54" i="2"/>
  <c r="G51" i="2"/>
  <c r="H44" i="2"/>
  <c r="I44" i="2"/>
  <c r="J44" i="2"/>
  <c r="K44" i="2"/>
  <c r="G44" i="2"/>
  <c r="H35" i="2"/>
  <c r="I35" i="2"/>
  <c r="J35" i="2"/>
  <c r="K35" i="2"/>
  <c r="G35" i="2"/>
  <c r="H31" i="2"/>
  <c r="I31" i="2"/>
  <c r="J31" i="2"/>
  <c r="K31" i="2"/>
  <c r="H32" i="2"/>
  <c r="I32" i="2"/>
  <c r="J32" i="2"/>
  <c r="K32" i="2"/>
  <c r="G32" i="2"/>
  <c r="G31" i="2"/>
  <c r="H30" i="2"/>
  <c r="I30" i="2"/>
  <c r="J30" i="2"/>
  <c r="K30" i="2"/>
  <c r="G30" i="2"/>
  <c r="B9" i="11"/>
  <c r="F41" i="8"/>
  <c r="D41" i="8"/>
  <c r="H145" i="4"/>
  <c r="I145" i="4"/>
  <c r="J145" i="4"/>
  <c r="K145" i="4"/>
  <c r="H146" i="4"/>
  <c r="J146" i="4" s="1"/>
  <c r="I146" i="4"/>
  <c r="K146" i="4" s="1"/>
  <c r="H144" i="4"/>
  <c r="I144" i="4" s="1"/>
  <c r="J144" i="4" s="1"/>
  <c r="K144" i="4" s="1"/>
  <c r="G144" i="4"/>
  <c r="G146" i="4"/>
  <c r="G145" i="4"/>
  <c r="H130" i="4"/>
  <c r="I130" i="4" s="1"/>
  <c r="G130" i="4"/>
  <c r="H128" i="4"/>
  <c r="I128" i="4" s="1"/>
  <c r="G128" i="4"/>
  <c r="G127" i="4"/>
  <c r="H125" i="4"/>
  <c r="I125" i="4" s="1"/>
  <c r="H126" i="4"/>
  <c r="I126" i="4" s="1"/>
  <c r="G126" i="4"/>
  <c r="G125" i="4"/>
  <c r="I141" i="4"/>
  <c r="J141" i="4"/>
  <c r="K141" i="4" s="1"/>
  <c r="H141" i="4"/>
  <c r="G141" i="4"/>
  <c r="H140" i="4"/>
  <c r="I140" i="4" s="1"/>
  <c r="H139" i="4"/>
  <c r="J139" i="4" s="1"/>
  <c r="I139" i="4"/>
  <c r="H138" i="4"/>
  <c r="I138" i="4" s="1"/>
  <c r="H137" i="4"/>
  <c r="J137" i="4" s="1"/>
  <c r="I137" i="4"/>
  <c r="G140" i="4"/>
  <c r="G139" i="4"/>
  <c r="G138" i="4"/>
  <c r="G137" i="4"/>
  <c r="H136" i="4"/>
  <c r="I136" i="4" s="1"/>
  <c r="G136" i="4"/>
  <c r="H135" i="4"/>
  <c r="I135" i="4" s="1"/>
  <c r="G135" i="4"/>
  <c r="H115" i="4"/>
  <c r="I115" i="4" s="1"/>
  <c r="G115" i="4"/>
  <c r="H109" i="4"/>
  <c r="I109" i="4" s="1"/>
  <c r="H18" i="2"/>
  <c r="I18" i="2"/>
  <c r="J18" i="2"/>
  <c r="K18" i="2"/>
  <c r="G18" i="2"/>
  <c r="H167" i="3"/>
  <c r="H99" i="4"/>
  <c r="I99" i="4" s="1"/>
  <c r="G99" i="4"/>
  <c r="H86" i="4"/>
  <c r="I86" i="4"/>
  <c r="J86" i="4" s="1"/>
  <c r="G86" i="4"/>
  <c r="G79" i="4"/>
  <c r="I79" i="4" s="1"/>
  <c r="H79" i="4"/>
  <c r="H78" i="4"/>
  <c r="I78" i="4" s="1"/>
  <c r="G78" i="4"/>
  <c r="G82" i="4"/>
  <c r="H69" i="4"/>
  <c r="J69" i="4" s="1"/>
  <c r="I69" i="4"/>
  <c r="H70" i="4"/>
  <c r="I70" i="4" s="1"/>
  <c r="H71" i="4"/>
  <c r="J71" i="4" s="1"/>
  <c r="I71" i="4"/>
  <c r="H72" i="4"/>
  <c r="I72" i="4" s="1"/>
  <c r="G70" i="4"/>
  <c r="G71" i="4"/>
  <c r="G72" i="4"/>
  <c r="G69" i="4"/>
  <c r="H58" i="4"/>
  <c r="J58" i="4" s="1"/>
  <c r="I58" i="4"/>
  <c r="G58" i="4"/>
  <c r="H50" i="4"/>
  <c r="I50" i="4" s="1"/>
  <c r="H51" i="4"/>
  <c r="J51" i="4" s="1"/>
  <c r="I51" i="4"/>
  <c r="G51" i="4"/>
  <c r="G50" i="4"/>
  <c r="H45" i="4"/>
  <c r="I45" i="4" s="1"/>
  <c r="G45" i="4"/>
  <c r="H40" i="4"/>
  <c r="I40" i="4" s="1"/>
  <c r="G40" i="4"/>
  <c r="F34" i="4"/>
  <c r="H33" i="4"/>
  <c r="I33" i="4" s="1"/>
  <c r="G33" i="4"/>
  <c r="G37" i="4"/>
  <c r="H37" i="4"/>
  <c r="I37" i="4" s="1"/>
  <c r="H24" i="4"/>
  <c r="H25" i="4"/>
  <c r="H28" i="4" s="1"/>
  <c r="I24" i="4" s="1"/>
  <c r="I28" i="4" s="1"/>
  <c r="J24" i="4" s="1"/>
  <c r="I25" i="4"/>
  <c r="G25" i="4"/>
  <c r="G24" i="4"/>
  <c r="G28" i="4" s="1"/>
  <c r="H19" i="4"/>
  <c r="I19" i="4"/>
  <c r="J19" i="4"/>
  <c r="K19" i="4"/>
  <c r="H18" i="4"/>
  <c r="I18" i="4"/>
  <c r="J18" i="4" s="1"/>
  <c r="K18" i="4" s="1"/>
  <c r="G19" i="4"/>
  <c r="G18" i="4"/>
  <c r="I14" i="4"/>
  <c r="J14" i="4" s="1"/>
  <c r="K14" i="4" s="1"/>
  <c r="H14" i="4"/>
  <c r="H11" i="4"/>
  <c r="I11" i="4" s="1"/>
  <c r="G11" i="4"/>
  <c r="H7" i="4"/>
  <c r="I7" i="4" s="1"/>
  <c r="G7" i="4"/>
  <c r="K6" i="4"/>
  <c r="J6" i="4"/>
  <c r="I6" i="4"/>
  <c r="H6" i="4"/>
  <c r="G6" i="4"/>
  <c r="B146" i="5"/>
  <c r="B140" i="5"/>
  <c r="B135" i="5"/>
  <c r="B69" i="5"/>
  <c r="B68" i="5"/>
  <c r="M55" i="5"/>
  <c r="D65" i="5"/>
  <c r="E65" i="5"/>
  <c r="F65" i="5"/>
  <c r="G65" i="5"/>
  <c r="H65" i="5"/>
  <c r="I65" i="5"/>
  <c r="J65" i="5"/>
  <c r="K65" i="5"/>
  <c r="L65" i="5"/>
  <c r="M65" i="5"/>
  <c r="D55" i="5"/>
  <c r="E55" i="5"/>
  <c r="F55" i="5"/>
  <c r="G55" i="5"/>
  <c r="H55" i="5"/>
  <c r="I55" i="5"/>
  <c r="J55" i="5"/>
  <c r="K55" i="5"/>
  <c r="L55" i="5"/>
  <c r="C65" i="5"/>
  <c r="C55" i="5"/>
  <c r="B65" i="5"/>
  <c r="L73" i="5"/>
  <c r="F73" i="5"/>
  <c r="D73" i="5"/>
  <c r="M73" i="5"/>
  <c r="J73" i="5"/>
  <c r="I73" i="5"/>
  <c r="H73" i="5"/>
  <c r="C73" i="5"/>
  <c r="M58" i="5"/>
  <c r="M68" i="5" s="1"/>
  <c r="M69" i="5" s="1"/>
  <c r="M70" i="5" s="1"/>
  <c r="L58" i="5"/>
  <c r="K58" i="5"/>
  <c r="K68" i="5" s="1"/>
  <c r="J58" i="5"/>
  <c r="I58" i="5"/>
  <c r="I68" i="5" s="1"/>
  <c r="I69" i="5" s="1"/>
  <c r="I70" i="5" s="1"/>
  <c r="H58" i="5"/>
  <c r="G58" i="5"/>
  <c r="F58" i="5"/>
  <c r="F68" i="5" s="1"/>
  <c r="F69" i="5" s="1"/>
  <c r="E58" i="5"/>
  <c r="E68" i="5" s="1"/>
  <c r="E69" i="5" s="1"/>
  <c r="D58" i="5"/>
  <c r="C58" i="5"/>
  <c r="B58" i="5"/>
  <c r="B55" i="5"/>
  <c r="C25" i="5"/>
  <c r="D25" i="5"/>
  <c r="B25" i="5" s="1"/>
  <c r="E25" i="5"/>
  <c r="F25" i="5"/>
  <c r="C26" i="5"/>
  <c r="D26" i="5"/>
  <c r="E26" i="5"/>
  <c r="F26" i="5"/>
  <c r="C27" i="5"/>
  <c r="D27" i="5"/>
  <c r="E27" i="5"/>
  <c r="F27" i="5"/>
  <c r="C28" i="5"/>
  <c r="B28" i="5" s="1"/>
  <c r="D28" i="5"/>
  <c r="E28" i="5"/>
  <c r="F28" i="5"/>
  <c r="C29" i="5"/>
  <c r="D29" i="5"/>
  <c r="E29" i="5"/>
  <c r="F29" i="5"/>
  <c r="C30" i="5"/>
  <c r="B30" i="5" s="1"/>
  <c r="D30" i="5"/>
  <c r="E30" i="5"/>
  <c r="F30" i="5"/>
  <c r="C31" i="5"/>
  <c r="D31" i="5"/>
  <c r="E31" i="5"/>
  <c r="F31" i="5"/>
  <c r="C32" i="5"/>
  <c r="D32" i="5"/>
  <c r="E32" i="5"/>
  <c r="F32" i="5"/>
  <c r="D24" i="5"/>
  <c r="E24" i="5"/>
  <c r="F24" i="5"/>
  <c r="D23" i="5"/>
  <c r="E23" i="5"/>
  <c r="F23" i="5"/>
  <c r="F22" i="5"/>
  <c r="E22" i="5"/>
  <c r="C21" i="5"/>
  <c r="D21" i="5"/>
  <c r="E21" i="5"/>
  <c r="F21" i="5"/>
  <c r="F18" i="5"/>
  <c r="E18" i="5"/>
  <c r="B175" i="5"/>
  <c r="B169" i="5"/>
  <c r="B168" i="5"/>
  <c r="B138" i="5"/>
  <c r="B133" i="5"/>
  <c r="L68" i="5"/>
  <c r="L69" i="5" s="1"/>
  <c r="G68" i="5"/>
  <c r="G69" i="5" s="1"/>
  <c r="C68" i="5"/>
  <c r="N57" i="5"/>
  <c r="N56" i="5"/>
  <c r="C24" i="5"/>
  <c r="B24" i="5" s="1"/>
  <c r="C23" i="5"/>
  <c r="D22" i="5"/>
  <c r="C22" i="5"/>
  <c r="D18" i="5"/>
  <c r="C18" i="5"/>
  <c r="B18" i="5"/>
  <c r="E141" i="4"/>
  <c r="F141" i="4"/>
  <c r="D141" i="4"/>
  <c r="C140" i="4"/>
  <c r="D140" i="4"/>
  <c r="E140" i="4"/>
  <c r="F140" i="4"/>
  <c r="B140" i="4"/>
  <c r="C139" i="4"/>
  <c r="D139" i="4"/>
  <c r="E139" i="4"/>
  <c r="F139" i="4"/>
  <c r="B139" i="4"/>
  <c r="C138" i="4"/>
  <c r="D138" i="4"/>
  <c r="E138" i="4"/>
  <c r="F138" i="4"/>
  <c r="B138" i="4"/>
  <c r="C137" i="4"/>
  <c r="D137" i="4"/>
  <c r="E137" i="4"/>
  <c r="F137" i="4"/>
  <c r="B137" i="4"/>
  <c r="C136" i="4"/>
  <c r="D136" i="4"/>
  <c r="E136" i="4"/>
  <c r="F136" i="4"/>
  <c r="B136" i="4"/>
  <c r="D135" i="4"/>
  <c r="E135" i="4"/>
  <c r="F135" i="4"/>
  <c r="E134" i="4"/>
  <c r="F134" i="4"/>
  <c r="D134" i="4"/>
  <c r="C134" i="4"/>
  <c r="C135" i="4" s="1"/>
  <c r="C115" i="4"/>
  <c r="D115" i="4"/>
  <c r="E115" i="4"/>
  <c r="F115" i="4"/>
  <c r="B115" i="4"/>
  <c r="C82" i="4"/>
  <c r="D82" i="4"/>
  <c r="E82" i="4"/>
  <c r="F82" i="4"/>
  <c r="B82" i="4"/>
  <c r="C72" i="4"/>
  <c r="D72" i="4"/>
  <c r="E72" i="4"/>
  <c r="F72" i="4"/>
  <c r="B72" i="4"/>
  <c r="C71" i="4"/>
  <c r="D71" i="4"/>
  <c r="E71" i="4"/>
  <c r="F71" i="4"/>
  <c r="B71" i="4"/>
  <c r="C70" i="4"/>
  <c r="D70" i="4"/>
  <c r="E70" i="4"/>
  <c r="F70" i="4"/>
  <c r="B70" i="4"/>
  <c r="C69" i="4"/>
  <c r="D69" i="4"/>
  <c r="E69" i="4"/>
  <c r="F69" i="4"/>
  <c r="B69" i="4"/>
  <c r="E58" i="4"/>
  <c r="F58" i="4"/>
  <c r="F57" i="4"/>
  <c r="D57" i="4"/>
  <c r="E57" i="4"/>
  <c r="C57" i="4"/>
  <c r="C58" i="4" s="1"/>
  <c r="C51" i="4"/>
  <c r="D51" i="4"/>
  <c r="E51" i="4"/>
  <c r="F51" i="4"/>
  <c r="B51" i="4"/>
  <c r="E50" i="4"/>
  <c r="F50" i="4"/>
  <c r="C50" i="4"/>
  <c r="D50" i="4"/>
  <c r="B50" i="4"/>
  <c r="E37" i="4"/>
  <c r="F37" i="4"/>
  <c r="C37" i="4"/>
  <c r="D37" i="4"/>
  <c r="B37" i="4"/>
  <c r="F132" i="4"/>
  <c r="E132" i="4"/>
  <c r="F114" i="4"/>
  <c r="G114" i="4" s="1"/>
  <c r="F112" i="4"/>
  <c r="D114" i="4"/>
  <c r="E112" i="4"/>
  <c r="F99" i="4"/>
  <c r="F102" i="4" s="1"/>
  <c r="E99" i="4"/>
  <c r="E102" i="4" s="1"/>
  <c r="F90" i="4"/>
  <c r="F92" i="4" s="1"/>
  <c r="E90" i="4"/>
  <c r="E92" i="4" s="1"/>
  <c r="F79" i="4"/>
  <c r="F80" i="4" s="1"/>
  <c r="E79" i="4"/>
  <c r="E80" i="4" s="1"/>
  <c r="F67" i="4"/>
  <c r="E67" i="4"/>
  <c r="F48" i="4"/>
  <c r="E48" i="4"/>
  <c r="F32" i="4"/>
  <c r="E32" i="4"/>
  <c r="E34" i="4" s="1"/>
  <c r="F28" i="4"/>
  <c r="E28" i="4"/>
  <c r="E11" i="4"/>
  <c r="F11" i="4"/>
  <c r="C11" i="4"/>
  <c r="D11" i="4"/>
  <c r="B11" i="4"/>
  <c r="F9" i="4"/>
  <c r="E9" i="4"/>
  <c r="D132" i="4"/>
  <c r="C132" i="4"/>
  <c r="B132" i="4"/>
  <c r="C114" i="4"/>
  <c r="D112" i="4"/>
  <c r="C112" i="4"/>
  <c r="B112" i="4"/>
  <c r="D99" i="4"/>
  <c r="D102" i="4" s="1"/>
  <c r="C99" i="4"/>
  <c r="C102" i="4" s="1"/>
  <c r="B99" i="4"/>
  <c r="B102" i="4" s="1"/>
  <c r="C92" i="4"/>
  <c r="D90" i="4"/>
  <c r="D92" i="4" s="1"/>
  <c r="C90" i="4"/>
  <c r="B90" i="4"/>
  <c r="B92" i="4" s="1"/>
  <c r="D80" i="4"/>
  <c r="C80" i="4"/>
  <c r="B80" i="4"/>
  <c r="D67" i="4"/>
  <c r="C67" i="4"/>
  <c r="B67" i="4"/>
  <c r="D58" i="4"/>
  <c r="D48" i="4"/>
  <c r="C48" i="4"/>
  <c r="B48" i="4"/>
  <c r="D34" i="4"/>
  <c r="C34" i="4"/>
  <c r="B34" i="4"/>
  <c r="D28" i="4"/>
  <c r="C28" i="4"/>
  <c r="B28" i="4"/>
  <c r="D9" i="4"/>
  <c r="C9" i="4"/>
  <c r="B9" i="4"/>
  <c r="C190" i="3"/>
  <c r="C189" i="3"/>
  <c r="C188" i="3"/>
  <c r="C187" i="3"/>
  <c r="I174" i="3"/>
  <c r="J174" i="3"/>
  <c r="K174" i="3"/>
  <c r="L174" i="3"/>
  <c r="H174" i="3"/>
  <c r="G174" i="3"/>
  <c r="I168" i="3"/>
  <c r="K168" i="3" s="1"/>
  <c r="J168" i="3"/>
  <c r="I169" i="3"/>
  <c r="K169" i="3" s="1"/>
  <c r="J169" i="3"/>
  <c r="L169" i="3" s="1"/>
  <c r="H169" i="3"/>
  <c r="H168" i="3"/>
  <c r="I165" i="3"/>
  <c r="J165" i="3" s="1"/>
  <c r="I166" i="3"/>
  <c r="K166" i="3" s="1"/>
  <c r="J166" i="3"/>
  <c r="L166" i="3" s="1"/>
  <c r="H166" i="3"/>
  <c r="H165" i="3"/>
  <c r="I154" i="3"/>
  <c r="J154" i="3" s="1"/>
  <c r="H154" i="3"/>
  <c r="I150" i="3"/>
  <c r="J150" i="3" s="1"/>
  <c r="I151" i="3"/>
  <c r="J151" i="3"/>
  <c r="K151" i="3"/>
  <c r="L151" i="3"/>
  <c r="H151" i="3"/>
  <c r="I146" i="3"/>
  <c r="K146" i="3" s="1"/>
  <c r="J146" i="3"/>
  <c r="I147" i="3"/>
  <c r="J147" i="3" s="1"/>
  <c r="I148" i="3"/>
  <c r="K148" i="3" s="1"/>
  <c r="J148" i="3"/>
  <c r="I149" i="3"/>
  <c r="K149" i="3" s="1"/>
  <c r="J149" i="3"/>
  <c r="H147" i="3"/>
  <c r="H148" i="3"/>
  <c r="H149" i="3"/>
  <c r="H150" i="3"/>
  <c r="H146" i="3"/>
  <c r="I145" i="3"/>
  <c r="J145" i="3" s="1"/>
  <c r="H145" i="3"/>
  <c r="H144" i="3"/>
  <c r="I143" i="3"/>
  <c r="J143" i="3"/>
  <c r="K143" i="3" s="1"/>
  <c r="L143" i="3" s="1"/>
  <c r="H143" i="3"/>
  <c r="I157" i="3"/>
  <c r="K157" i="3" s="1"/>
  <c r="J157" i="3"/>
  <c r="H157" i="3"/>
  <c r="I159" i="3"/>
  <c r="J159" i="3"/>
  <c r="K159" i="3"/>
  <c r="L159" i="3"/>
  <c r="H159" i="3"/>
  <c r="H158" i="3"/>
  <c r="G158" i="3"/>
  <c r="F158" i="3"/>
  <c r="E158" i="3"/>
  <c r="G134" i="3"/>
  <c r="I132" i="3"/>
  <c r="J132" i="3" s="1"/>
  <c r="H132" i="3"/>
  <c r="I136" i="3"/>
  <c r="K136" i="3" s="1"/>
  <c r="J136" i="3"/>
  <c r="I137" i="3"/>
  <c r="K137" i="3" s="1"/>
  <c r="J137" i="3"/>
  <c r="I138" i="3"/>
  <c r="H137" i="3"/>
  <c r="H138" i="3"/>
  <c r="H136" i="3"/>
  <c r="I129" i="3"/>
  <c r="K129" i="3" s="1"/>
  <c r="J129" i="3"/>
  <c r="L129" i="3" s="1"/>
  <c r="H129" i="3"/>
  <c r="G182" i="3"/>
  <c r="G172" i="3"/>
  <c r="F182" i="3"/>
  <c r="F172" i="3"/>
  <c r="G159" i="3"/>
  <c r="G157" i="3"/>
  <c r="G154" i="3"/>
  <c r="G155" i="3" s="1"/>
  <c r="D157" i="3"/>
  <c r="E157" i="3"/>
  <c r="F157" i="3"/>
  <c r="C157" i="3"/>
  <c r="F155" i="3"/>
  <c r="D138" i="3"/>
  <c r="E138" i="3"/>
  <c r="F138" i="3"/>
  <c r="G138" i="3"/>
  <c r="C138" i="3"/>
  <c r="F137" i="3"/>
  <c r="G137" i="3"/>
  <c r="C137" i="3"/>
  <c r="G136" i="3"/>
  <c r="F136" i="3"/>
  <c r="E136" i="3"/>
  <c r="F134" i="3"/>
  <c r="I116" i="3"/>
  <c r="K116" i="3" s="1"/>
  <c r="J116" i="3"/>
  <c r="I117" i="3"/>
  <c r="K117" i="3" s="1"/>
  <c r="J117" i="3"/>
  <c r="H117" i="3"/>
  <c r="H116" i="3"/>
  <c r="I111" i="3"/>
  <c r="J111" i="3" s="1"/>
  <c r="I112" i="3"/>
  <c r="K112" i="3" s="1"/>
  <c r="J112" i="3"/>
  <c r="L112" i="3" s="1"/>
  <c r="I113" i="3"/>
  <c r="J113" i="3" s="1"/>
  <c r="K113" i="3" s="1"/>
  <c r="H112" i="3"/>
  <c r="H113" i="3"/>
  <c r="H111" i="3"/>
  <c r="G123" i="3"/>
  <c r="H107" i="3"/>
  <c r="J107" i="3" s="1"/>
  <c r="I107" i="3"/>
  <c r="H108" i="3"/>
  <c r="I108" i="3" s="1"/>
  <c r="H109" i="3"/>
  <c r="I109" i="3"/>
  <c r="J109" i="3" s="1"/>
  <c r="K109" i="3" s="1"/>
  <c r="I106" i="3"/>
  <c r="J106" i="3" s="1"/>
  <c r="H106" i="3"/>
  <c r="I103" i="3"/>
  <c r="K103" i="3" s="1"/>
  <c r="J103" i="3"/>
  <c r="I104" i="3"/>
  <c r="K104" i="3" s="1"/>
  <c r="J104" i="3"/>
  <c r="H104" i="3"/>
  <c r="H103" i="3"/>
  <c r="I102" i="3"/>
  <c r="J102" i="3" s="1"/>
  <c r="H102" i="3"/>
  <c r="I100" i="3"/>
  <c r="K100" i="3" s="1"/>
  <c r="J100" i="3"/>
  <c r="H100" i="3"/>
  <c r="I98" i="3"/>
  <c r="K98" i="3" s="1"/>
  <c r="J98" i="3"/>
  <c r="H98" i="3"/>
  <c r="H88" i="3"/>
  <c r="H14" i="3"/>
  <c r="E182" i="3"/>
  <c r="D182" i="3"/>
  <c r="E172" i="3"/>
  <c r="D172" i="3"/>
  <c r="E155" i="3"/>
  <c r="D155" i="3"/>
  <c r="C155" i="3"/>
  <c r="E137" i="3"/>
  <c r="D137" i="3"/>
  <c r="D136" i="3"/>
  <c r="C136" i="3"/>
  <c r="E134" i="3"/>
  <c r="D134" i="3"/>
  <c r="C134" i="3"/>
  <c r="F120" i="3"/>
  <c r="G120" i="3"/>
  <c r="F121" i="3"/>
  <c r="G121" i="3"/>
  <c r="F122" i="3"/>
  <c r="G122" i="3"/>
  <c r="F123" i="3"/>
  <c r="F125" i="3"/>
  <c r="G125" i="3"/>
  <c r="G118" i="3"/>
  <c r="F118" i="3"/>
  <c r="F102" i="3"/>
  <c r="G102" i="3" s="1"/>
  <c r="E125" i="3"/>
  <c r="D125" i="3"/>
  <c r="C125" i="3"/>
  <c r="E123" i="3"/>
  <c r="D123" i="3"/>
  <c r="C123" i="3"/>
  <c r="E122" i="3"/>
  <c r="D122" i="3"/>
  <c r="C122" i="3"/>
  <c r="E121" i="3"/>
  <c r="D121" i="3"/>
  <c r="C121" i="3"/>
  <c r="E120" i="3"/>
  <c r="D120" i="3"/>
  <c r="C120" i="3"/>
  <c r="E118" i="3"/>
  <c r="D118" i="3"/>
  <c r="C118" i="3"/>
  <c r="H85" i="3"/>
  <c r="I85" i="3" s="1"/>
  <c r="J85" i="3" s="1"/>
  <c r="H84" i="3"/>
  <c r="I84" i="3" s="1"/>
  <c r="H82" i="3"/>
  <c r="I82" i="3" s="1"/>
  <c r="J82" i="3" s="1"/>
  <c r="H78" i="3"/>
  <c r="H76" i="3"/>
  <c r="I76" i="3" s="1"/>
  <c r="J76" i="3" s="1"/>
  <c r="H75" i="3"/>
  <c r="H57" i="3"/>
  <c r="H49" i="3"/>
  <c r="I49" i="3" s="1"/>
  <c r="H50" i="3"/>
  <c r="I50" i="3" s="1"/>
  <c r="H51" i="3"/>
  <c r="I51" i="3" s="1"/>
  <c r="H52" i="3"/>
  <c r="I52" i="3" s="1"/>
  <c r="H48" i="3"/>
  <c r="H44" i="3"/>
  <c r="I44" i="3" s="1"/>
  <c r="J44" i="3" s="1"/>
  <c r="H45" i="3"/>
  <c r="I45" i="3" s="1"/>
  <c r="J45" i="3" s="1"/>
  <c r="H46" i="3"/>
  <c r="I46" i="3" s="1"/>
  <c r="J46" i="3" s="1"/>
  <c r="H43" i="3"/>
  <c r="I43" i="3" s="1"/>
  <c r="J43" i="3" s="1"/>
  <c r="H38" i="3"/>
  <c r="I38" i="3" s="1"/>
  <c r="J38" i="3" s="1"/>
  <c r="H26" i="3"/>
  <c r="I26" i="3" s="1"/>
  <c r="J26" i="3" s="1"/>
  <c r="H25" i="3"/>
  <c r="I25" i="3" s="1"/>
  <c r="J25" i="3" s="1"/>
  <c r="H24" i="3"/>
  <c r="I24" i="3" s="1"/>
  <c r="J24" i="3" s="1"/>
  <c r="H22" i="3"/>
  <c r="I22" i="3" s="1"/>
  <c r="F20" i="3"/>
  <c r="G20" i="3" s="1"/>
  <c r="G18" i="3"/>
  <c r="G124" i="3" s="1"/>
  <c r="H8" i="3"/>
  <c r="H9" i="3"/>
  <c r="I9" i="3" s="1"/>
  <c r="J9" i="3" s="1"/>
  <c r="K9" i="3" s="1"/>
  <c r="L9" i="3" s="1"/>
  <c r="Q7" i="3"/>
  <c r="Q4" i="3"/>
  <c r="Q3" i="3"/>
  <c r="F92" i="3"/>
  <c r="G92" i="3"/>
  <c r="F88" i="3"/>
  <c r="G88" i="3"/>
  <c r="G86" i="3"/>
  <c r="F86" i="3"/>
  <c r="E92" i="3"/>
  <c r="D92" i="3"/>
  <c r="C92" i="3"/>
  <c r="E88" i="3"/>
  <c r="D88" i="3"/>
  <c r="C88" i="3"/>
  <c r="E86" i="3"/>
  <c r="D86" i="3"/>
  <c r="C86" i="3"/>
  <c r="F67" i="3"/>
  <c r="G67" i="3"/>
  <c r="F63" i="3"/>
  <c r="G63" i="3"/>
  <c r="F54" i="3"/>
  <c r="F55" i="3" s="1"/>
  <c r="F59" i="3" s="1"/>
  <c r="G54" i="3"/>
  <c r="G55" i="3" s="1"/>
  <c r="E67" i="3"/>
  <c r="D67" i="3"/>
  <c r="C67" i="3"/>
  <c r="E63" i="3"/>
  <c r="D63" i="3"/>
  <c r="C63" i="3"/>
  <c r="E54" i="3"/>
  <c r="E55" i="3" s="1"/>
  <c r="E59" i="3" s="1"/>
  <c r="C54" i="3"/>
  <c r="C55" i="3" s="1"/>
  <c r="C59" i="3" s="1"/>
  <c r="D53" i="3"/>
  <c r="D54" i="3" s="1"/>
  <c r="D55" i="3" s="1"/>
  <c r="D59" i="3" s="1"/>
  <c r="G27" i="3"/>
  <c r="F27" i="3"/>
  <c r="E27" i="3"/>
  <c r="G110" i="4" l="1"/>
  <c r="H114" i="4"/>
  <c r="B8" i="11"/>
  <c r="B10" i="11" s="1"/>
  <c r="J130" i="4"/>
  <c r="K130" i="4" s="1"/>
  <c r="J128" i="4"/>
  <c r="K128" i="4" s="1"/>
  <c r="J126" i="4"/>
  <c r="K126" i="4" s="1"/>
  <c r="J125" i="4"/>
  <c r="K125" i="4" s="1"/>
  <c r="J140" i="4"/>
  <c r="K140" i="4" s="1"/>
  <c r="K139" i="4"/>
  <c r="J138" i="4"/>
  <c r="K138" i="4" s="1"/>
  <c r="K137" i="4"/>
  <c r="J136" i="4"/>
  <c r="K136" i="4"/>
  <c r="J135" i="4"/>
  <c r="K135" i="4" s="1"/>
  <c r="J115" i="4"/>
  <c r="K115" i="4" s="1"/>
  <c r="J109" i="4"/>
  <c r="J99" i="4"/>
  <c r="K99" i="4" s="1"/>
  <c r="K86" i="4"/>
  <c r="K79" i="4"/>
  <c r="J79" i="4"/>
  <c r="J78" i="4"/>
  <c r="K78" i="4" s="1"/>
  <c r="H82" i="4"/>
  <c r="K72" i="4"/>
  <c r="K70" i="4"/>
  <c r="J72" i="4"/>
  <c r="J70" i="4"/>
  <c r="K71" i="4"/>
  <c r="K69" i="4"/>
  <c r="K58" i="4"/>
  <c r="K51" i="4"/>
  <c r="J50" i="4"/>
  <c r="K50" i="4" s="1"/>
  <c r="J45" i="4"/>
  <c r="K45" i="4" s="1"/>
  <c r="J40" i="4"/>
  <c r="K40" i="4" s="1"/>
  <c r="J33" i="4"/>
  <c r="K33" i="4" s="1"/>
  <c r="J37" i="4"/>
  <c r="K37" i="4" s="1"/>
  <c r="J25" i="4"/>
  <c r="K25" i="4" s="1"/>
  <c r="J11" i="4"/>
  <c r="K11" i="4" s="1"/>
  <c r="J7" i="4"/>
  <c r="K7" i="4" s="1"/>
  <c r="B170" i="5"/>
  <c r="B171" i="5" s="1"/>
  <c r="C179" i="5" s="1"/>
  <c r="G73" i="5"/>
  <c r="N63" i="5"/>
  <c r="E73" i="5"/>
  <c r="K73" i="5"/>
  <c r="N73" i="5" s="1"/>
  <c r="B23" i="5"/>
  <c r="H68" i="5"/>
  <c r="H69" i="5" s="1"/>
  <c r="B21" i="5"/>
  <c r="B31" i="5"/>
  <c r="B29" i="5"/>
  <c r="B27" i="5"/>
  <c r="D146" i="5"/>
  <c r="B32" i="5"/>
  <c r="B26" i="5"/>
  <c r="B22" i="5"/>
  <c r="J68" i="5"/>
  <c r="J69" i="5" s="1"/>
  <c r="J70" i="5" s="1"/>
  <c r="J74" i="5" s="1"/>
  <c r="J75" i="5" s="1"/>
  <c r="J85" i="5" s="1"/>
  <c r="D68" i="5"/>
  <c r="D69" i="5" s="1"/>
  <c r="H70" i="5"/>
  <c r="H80" i="5" s="1"/>
  <c r="H81" i="5" s="1"/>
  <c r="H82" i="5" s="1"/>
  <c r="H92" i="5" s="1"/>
  <c r="H93" i="5" s="1"/>
  <c r="H94" i="5" s="1"/>
  <c r="H104" i="5" s="1"/>
  <c r="H105" i="5" s="1"/>
  <c r="H106" i="5" s="1"/>
  <c r="H116" i="5" s="1"/>
  <c r="H117" i="5" s="1"/>
  <c r="H118" i="5" s="1"/>
  <c r="N58" i="5"/>
  <c r="E70" i="5"/>
  <c r="E74" i="5" s="1"/>
  <c r="I80" i="5"/>
  <c r="I81" i="5" s="1"/>
  <c r="I82" i="5" s="1"/>
  <c r="I74" i="5"/>
  <c r="I75" i="5" s="1"/>
  <c r="I85" i="5" s="1"/>
  <c r="M80" i="5"/>
  <c r="M81" i="5" s="1"/>
  <c r="M82" i="5" s="1"/>
  <c r="M74" i="5"/>
  <c r="M75" i="5" s="1"/>
  <c r="M85" i="5" s="1"/>
  <c r="G70" i="5"/>
  <c r="F70" i="5"/>
  <c r="L70" i="5"/>
  <c r="C69" i="5"/>
  <c r="C70" i="5" s="1"/>
  <c r="K69" i="5"/>
  <c r="K70" i="5" s="1"/>
  <c r="L168" i="3"/>
  <c r="L165" i="3"/>
  <c r="K165" i="3"/>
  <c r="K154" i="3"/>
  <c r="L154" i="3" s="1"/>
  <c r="K150" i="3"/>
  <c r="L150" i="3" s="1"/>
  <c r="L149" i="3"/>
  <c r="L147" i="3"/>
  <c r="K147" i="3"/>
  <c r="L148" i="3"/>
  <c r="L146" i="3"/>
  <c r="K145" i="3"/>
  <c r="L145" i="3" s="1"/>
  <c r="L157" i="3"/>
  <c r="K132" i="3"/>
  <c r="L132" i="3" s="1"/>
  <c r="K138" i="3"/>
  <c r="L138" i="3" s="1"/>
  <c r="L137" i="3"/>
  <c r="J138" i="3"/>
  <c r="L136" i="3"/>
  <c r="L117" i="3"/>
  <c r="L116" i="3"/>
  <c r="L113" i="3"/>
  <c r="K111" i="3"/>
  <c r="L111" i="3" s="1"/>
  <c r="J108" i="3"/>
  <c r="K108" i="3" s="1"/>
  <c r="L108" i="3" s="1"/>
  <c r="L109" i="3"/>
  <c r="K107" i="3"/>
  <c r="L107" i="3" s="1"/>
  <c r="K106" i="3"/>
  <c r="L106" i="3" s="1"/>
  <c r="L104" i="3"/>
  <c r="L103" i="3"/>
  <c r="K102" i="3"/>
  <c r="L102" i="3" s="1"/>
  <c r="L100" i="3"/>
  <c r="L98" i="3"/>
  <c r="H120" i="3"/>
  <c r="I120" i="3" s="1"/>
  <c r="J120" i="3" s="1"/>
  <c r="H123" i="3"/>
  <c r="I123" i="3" s="1"/>
  <c r="J123" i="3" s="1"/>
  <c r="K123" i="3" s="1"/>
  <c r="H121" i="3"/>
  <c r="I121" i="3" s="1"/>
  <c r="J121" i="3" s="1"/>
  <c r="K121" i="3" s="1"/>
  <c r="H122" i="3"/>
  <c r="I122" i="3" s="1"/>
  <c r="J122" i="3" s="1"/>
  <c r="H125" i="3"/>
  <c r="H10" i="3"/>
  <c r="I78" i="3"/>
  <c r="J78" i="3" s="1"/>
  <c r="K78" i="3" s="1"/>
  <c r="L78" i="3" s="1"/>
  <c r="I75" i="3"/>
  <c r="J75" i="3" s="1"/>
  <c r="K75" i="3" s="1"/>
  <c r="J84" i="3"/>
  <c r="K84" i="3" s="1"/>
  <c r="L84" i="3" s="1"/>
  <c r="J52" i="3"/>
  <c r="K52" i="3" s="1"/>
  <c r="L52" i="3" s="1"/>
  <c r="J49" i="3"/>
  <c r="K49" i="3" s="1"/>
  <c r="L49" i="3" s="1"/>
  <c r="H92" i="3"/>
  <c r="H53" i="3"/>
  <c r="I48" i="3"/>
  <c r="J48" i="3" s="1"/>
  <c r="J51" i="3"/>
  <c r="H63" i="3"/>
  <c r="I63" i="3" s="1"/>
  <c r="J50" i="3"/>
  <c r="K85" i="3"/>
  <c r="L85" i="3" s="1"/>
  <c r="K82" i="3"/>
  <c r="L82" i="3" s="1"/>
  <c r="K76" i="3"/>
  <c r="L76" i="3" s="1"/>
  <c r="K46" i="3"/>
  <c r="L46" i="3" s="1"/>
  <c r="K44" i="3"/>
  <c r="L44" i="3" s="1"/>
  <c r="K45" i="3"/>
  <c r="L45" i="3" s="1"/>
  <c r="K43" i="3"/>
  <c r="L43" i="3" s="1"/>
  <c r="H67" i="3"/>
  <c r="I67" i="3" s="1"/>
  <c r="J22" i="3"/>
  <c r="I8" i="3"/>
  <c r="J8" i="3" s="1"/>
  <c r="J10" i="3" s="1"/>
  <c r="K38" i="3"/>
  <c r="L38" i="3" s="1"/>
  <c r="K26" i="3"/>
  <c r="L26" i="3" s="1"/>
  <c r="K25" i="3"/>
  <c r="L25" i="3" s="1"/>
  <c r="K24" i="3"/>
  <c r="L24" i="3" s="1"/>
  <c r="I114" i="4" l="1"/>
  <c r="H110" i="4"/>
  <c r="G60" i="2"/>
  <c r="K109" i="4"/>
  <c r="I82" i="4"/>
  <c r="J28" i="4"/>
  <c r="K24" i="4" s="1"/>
  <c r="K28" i="4" s="1"/>
  <c r="C177" i="5"/>
  <c r="D175" i="5"/>
  <c r="C176" i="5"/>
  <c r="C178" i="5"/>
  <c r="C175" i="5"/>
  <c r="E75" i="5"/>
  <c r="E85" i="5" s="1"/>
  <c r="J80" i="5"/>
  <c r="J81" i="5" s="1"/>
  <c r="J82" i="5" s="1"/>
  <c r="H74" i="5"/>
  <c r="H75" i="5" s="1"/>
  <c r="H85" i="5" s="1"/>
  <c r="H86" i="5" s="1"/>
  <c r="H87" i="5" s="1"/>
  <c r="N55" i="5"/>
  <c r="E80" i="5"/>
  <c r="E81" i="5" s="1"/>
  <c r="E82" i="5" s="1"/>
  <c r="E92" i="5" s="1"/>
  <c r="E93" i="5" s="1"/>
  <c r="E94" i="5" s="1"/>
  <c r="N65" i="5"/>
  <c r="D70" i="5"/>
  <c r="D74" i="5" s="1"/>
  <c r="D75" i="5" s="1"/>
  <c r="D85" i="5" s="1"/>
  <c r="N68" i="5"/>
  <c r="E175" i="5"/>
  <c r="F175" i="5" s="1"/>
  <c r="B176" i="5" s="1"/>
  <c r="N69" i="5"/>
  <c r="D176" i="5"/>
  <c r="E176" i="5" s="1"/>
  <c r="F176" i="5" s="1"/>
  <c r="B177" i="5" s="1"/>
  <c r="C74" i="5"/>
  <c r="C80" i="5"/>
  <c r="C81" i="5" s="1"/>
  <c r="C82" i="5" s="1"/>
  <c r="J77" i="5"/>
  <c r="K74" i="5"/>
  <c r="K75" i="5" s="1"/>
  <c r="K85" i="5" s="1"/>
  <c r="K80" i="5"/>
  <c r="K81" i="5" s="1"/>
  <c r="K82" i="5" s="1"/>
  <c r="G74" i="5"/>
  <c r="G75" i="5" s="1"/>
  <c r="G85" i="5" s="1"/>
  <c r="G80" i="5"/>
  <c r="G81" i="5" s="1"/>
  <c r="G82" i="5" s="1"/>
  <c r="I77" i="5"/>
  <c r="L80" i="5"/>
  <c r="L81" i="5" s="1"/>
  <c r="L82" i="5" s="1"/>
  <c r="L74" i="5"/>
  <c r="L75" i="5" s="1"/>
  <c r="L85" i="5" s="1"/>
  <c r="F74" i="5"/>
  <c r="F75" i="5" s="1"/>
  <c r="F85" i="5" s="1"/>
  <c r="F80" i="5"/>
  <c r="F81" i="5" s="1"/>
  <c r="F82" i="5" s="1"/>
  <c r="M92" i="5"/>
  <c r="M93" i="5" s="1"/>
  <c r="M94" i="5" s="1"/>
  <c r="M86" i="5"/>
  <c r="M87" i="5" s="1"/>
  <c r="I92" i="5"/>
  <c r="I93" i="5" s="1"/>
  <c r="I94" i="5" s="1"/>
  <c r="I86" i="5"/>
  <c r="I87" i="5" s="1"/>
  <c r="J92" i="5"/>
  <c r="J93" i="5" s="1"/>
  <c r="J94" i="5" s="1"/>
  <c r="J86" i="5"/>
  <c r="J87" i="5" s="1"/>
  <c r="C157" i="5"/>
  <c r="C149" i="5"/>
  <c r="C155" i="5"/>
  <c r="C147" i="5"/>
  <c r="C152" i="5"/>
  <c r="C153" i="5"/>
  <c r="C156" i="5"/>
  <c r="C159" i="5"/>
  <c r="C146" i="5"/>
  <c r="E146" i="5" s="1"/>
  <c r="C158" i="5"/>
  <c r="C151" i="5"/>
  <c r="C154" i="5"/>
  <c r="C148" i="5"/>
  <c r="C150" i="5"/>
  <c r="M77" i="5"/>
  <c r="B70" i="5"/>
  <c r="K120" i="3"/>
  <c r="L120" i="3" s="1"/>
  <c r="L121" i="3"/>
  <c r="K122" i="3"/>
  <c r="I125" i="3"/>
  <c r="L123" i="3"/>
  <c r="I88" i="3"/>
  <c r="J88" i="3" s="1"/>
  <c r="K88" i="3" s="1"/>
  <c r="L88" i="3" s="1"/>
  <c r="L75" i="3"/>
  <c r="K50" i="3"/>
  <c r="L50" i="3" s="1"/>
  <c r="I10" i="3"/>
  <c r="J63" i="3"/>
  <c r="K63" i="3" s="1"/>
  <c r="K48" i="3"/>
  <c r="L48" i="3" s="1"/>
  <c r="K51" i="3"/>
  <c r="L51" i="3" s="1"/>
  <c r="K22" i="3"/>
  <c r="L22" i="3" s="1"/>
  <c r="I92" i="3"/>
  <c r="I53" i="3"/>
  <c r="J53" i="3" s="1"/>
  <c r="J67" i="3"/>
  <c r="K67" i="3" s="1"/>
  <c r="L67" i="3" s="1"/>
  <c r="K8" i="3"/>
  <c r="K10" i="3" s="1"/>
  <c r="F146" i="5" l="1"/>
  <c r="B45" i="8"/>
  <c r="B50" i="8" s="1"/>
  <c r="H60" i="2"/>
  <c r="I110" i="4"/>
  <c r="J114" i="4"/>
  <c r="K114" i="4" s="1"/>
  <c r="J82" i="4"/>
  <c r="E77" i="5"/>
  <c r="H77" i="5"/>
  <c r="G77" i="5"/>
  <c r="E86" i="5"/>
  <c r="E87" i="5" s="1"/>
  <c r="E97" i="5" s="1"/>
  <c r="D80" i="5"/>
  <c r="D81" i="5" s="1"/>
  <c r="D82" i="5" s="1"/>
  <c r="D92" i="5" s="1"/>
  <c r="D93" i="5" s="1"/>
  <c r="D94" i="5" s="1"/>
  <c r="J97" i="5"/>
  <c r="J89" i="5"/>
  <c r="L77" i="5"/>
  <c r="K77" i="5"/>
  <c r="D77" i="5"/>
  <c r="H97" i="5"/>
  <c r="H98" i="5" s="1"/>
  <c r="H99" i="5" s="1"/>
  <c r="H89" i="5"/>
  <c r="D177" i="5"/>
  <c r="E177" i="5" s="1"/>
  <c r="F177" i="5" s="1"/>
  <c r="B178" i="5" s="1"/>
  <c r="I97" i="5"/>
  <c r="I89" i="5"/>
  <c r="M97" i="5"/>
  <c r="M98" i="5" s="1"/>
  <c r="M99" i="5" s="1"/>
  <c r="M109" i="5" s="1"/>
  <c r="M89" i="5"/>
  <c r="J98" i="5"/>
  <c r="J104" i="5"/>
  <c r="J105" i="5" s="1"/>
  <c r="J106" i="5" s="1"/>
  <c r="F77" i="5"/>
  <c r="L92" i="5"/>
  <c r="L93" i="5" s="1"/>
  <c r="L94" i="5" s="1"/>
  <c r="L86" i="5"/>
  <c r="L87" i="5" s="1"/>
  <c r="N74" i="5"/>
  <c r="C75" i="5"/>
  <c r="G86" i="5"/>
  <c r="G87" i="5" s="1"/>
  <c r="G92" i="5"/>
  <c r="G93" i="5" s="1"/>
  <c r="G94" i="5" s="1"/>
  <c r="F86" i="5"/>
  <c r="F87" i="5" s="1"/>
  <c r="F92" i="5"/>
  <c r="F93" i="5" s="1"/>
  <c r="F94" i="5" s="1"/>
  <c r="C86" i="5"/>
  <c r="C92" i="5"/>
  <c r="C93" i="5" s="1"/>
  <c r="C94" i="5" s="1"/>
  <c r="M104" i="5"/>
  <c r="M105" i="5" s="1"/>
  <c r="M106" i="5" s="1"/>
  <c r="N70" i="5"/>
  <c r="B77" i="5"/>
  <c r="B80" i="5"/>
  <c r="I104" i="5"/>
  <c r="I105" i="5" s="1"/>
  <c r="I106" i="5" s="1"/>
  <c r="I98" i="5"/>
  <c r="K86" i="5"/>
  <c r="K87" i="5" s="1"/>
  <c r="K97" i="5" s="1"/>
  <c r="K92" i="5"/>
  <c r="K93" i="5" s="1"/>
  <c r="K94" i="5" s="1"/>
  <c r="E104" i="5"/>
  <c r="E105" i="5" s="1"/>
  <c r="E106" i="5" s="1"/>
  <c r="E98" i="5"/>
  <c r="J125" i="3"/>
  <c r="K125" i="3" s="1"/>
  <c r="L122" i="3"/>
  <c r="J92" i="3"/>
  <c r="K53" i="3"/>
  <c r="L53" i="3" s="1"/>
  <c r="L63" i="3"/>
  <c r="L8" i="3"/>
  <c r="L10" i="3" s="1"/>
  <c r="B147" i="5" l="1"/>
  <c r="D147" i="5" s="1"/>
  <c r="G108" i="4"/>
  <c r="J110" i="4"/>
  <c r="I60" i="2"/>
  <c r="K82" i="4"/>
  <c r="J99" i="5"/>
  <c r="J109" i="5" s="1"/>
  <c r="I99" i="5"/>
  <c r="E99" i="5"/>
  <c r="E109" i="5" s="1"/>
  <c r="E89" i="5"/>
  <c r="D86" i="5"/>
  <c r="D87" i="5" s="1"/>
  <c r="D97" i="5" s="1"/>
  <c r="D98" i="5" s="1"/>
  <c r="D99" i="5" s="1"/>
  <c r="D109" i="5" s="1"/>
  <c r="L97" i="5"/>
  <c r="L89" i="5"/>
  <c r="F97" i="5"/>
  <c r="F89" i="5"/>
  <c r="G97" i="5"/>
  <c r="G89" i="5"/>
  <c r="D178" i="5"/>
  <c r="E178" i="5" s="1"/>
  <c r="F178" i="5" s="1"/>
  <c r="B179" i="5" s="1"/>
  <c r="I116" i="5"/>
  <c r="I117" i="5" s="1"/>
  <c r="I118" i="5" s="1"/>
  <c r="I110" i="5"/>
  <c r="B81" i="5"/>
  <c r="N80" i="5"/>
  <c r="D104" i="5"/>
  <c r="D105" i="5" s="1"/>
  <c r="D106" i="5" s="1"/>
  <c r="J116" i="5"/>
  <c r="J117" i="5" s="1"/>
  <c r="J118" i="5" s="1"/>
  <c r="J110" i="5"/>
  <c r="C85" i="5"/>
  <c r="N75" i="5"/>
  <c r="C77" i="5"/>
  <c r="N77" i="5" s="1"/>
  <c r="K89" i="5"/>
  <c r="M116" i="5"/>
  <c r="M117" i="5" s="1"/>
  <c r="M118" i="5" s="1"/>
  <c r="M110" i="5"/>
  <c r="M111" i="5" s="1"/>
  <c r="E116" i="5"/>
  <c r="E117" i="5" s="1"/>
  <c r="E118" i="5" s="1"/>
  <c r="E110" i="5"/>
  <c r="F98" i="5"/>
  <c r="F104" i="5"/>
  <c r="F105" i="5" s="1"/>
  <c r="F106" i="5" s="1"/>
  <c r="L104" i="5"/>
  <c r="L105" i="5" s="1"/>
  <c r="L106" i="5" s="1"/>
  <c r="L98" i="5"/>
  <c r="K98" i="5"/>
  <c r="K99" i="5" s="1"/>
  <c r="K109" i="5" s="1"/>
  <c r="K104" i="5"/>
  <c r="K105" i="5" s="1"/>
  <c r="K106" i="5" s="1"/>
  <c r="M101" i="5"/>
  <c r="C98" i="5"/>
  <c r="C104" i="5"/>
  <c r="C105" i="5" s="1"/>
  <c r="C106" i="5" s="1"/>
  <c r="G98" i="5"/>
  <c r="G104" i="5"/>
  <c r="G105" i="5" s="1"/>
  <c r="G106" i="5" s="1"/>
  <c r="H109" i="5"/>
  <c r="H101" i="5"/>
  <c r="L125" i="3"/>
  <c r="K92" i="3"/>
  <c r="E147" i="5" l="1"/>
  <c r="I167" i="3"/>
  <c r="G59" i="2"/>
  <c r="K110" i="4"/>
  <c r="J60" i="2"/>
  <c r="J101" i="5"/>
  <c r="J111" i="5"/>
  <c r="J121" i="5" s="1"/>
  <c r="L99" i="5"/>
  <c r="L109" i="5" s="1"/>
  <c r="I109" i="5"/>
  <c r="I111" i="5" s="1"/>
  <c r="I101" i="5"/>
  <c r="E101" i="5"/>
  <c r="E111" i="5"/>
  <c r="E121" i="5" s="1"/>
  <c r="D89" i="5"/>
  <c r="N86" i="5"/>
  <c r="F99" i="5"/>
  <c r="F109" i="5" s="1"/>
  <c r="K101" i="5"/>
  <c r="M121" i="5"/>
  <c r="M122" i="5" s="1"/>
  <c r="M123" i="5" s="1"/>
  <c r="M125" i="5" s="1"/>
  <c r="M113" i="5"/>
  <c r="D179" i="5"/>
  <c r="E179" i="5" s="1"/>
  <c r="F179" i="5" s="1"/>
  <c r="L110" i="5"/>
  <c r="L116" i="5"/>
  <c r="L117" i="5" s="1"/>
  <c r="L118" i="5" s="1"/>
  <c r="B82" i="5"/>
  <c r="N81" i="5"/>
  <c r="N98" i="5"/>
  <c r="J122" i="5"/>
  <c r="I122" i="5"/>
  <c r="K110" i="5"/>
  <c r="K111" i="5" s="1"/>
  <c r="K116" i="5"/>
  <c r="K117" i="5" s="1"/>
  <c r="K118" i="5" s="1"/>
  <c r="D101" i="5"/>
  <c r="H110" i="5"/>
  <c r="H111" i="5" s="1"/>
  <c r="G99" i="5"/>
  <c r="E122" i="5"/>
  <c r="D116" i="5"/>
  <c r="D117" i="5" s="1"/>
  <c r="D118" i="5" s="1"/>
  <c r="D110" i="5"/>
  <c r="D111" i="5" s="1"/>
  <c r="D121" i="5" s="1"/>
  <c r="C87" i="5"/>
  <c r="N85" i="5"/>
  <c r="F110" i="5"/>
  <c r="F116" i="5"/>
  <c r="F117" i="5" s="1"/>
  <c r="F118" i="5" s="1"/>
  <c r="G110" i="5"/>
  <c r="G116" i="5"/>
  <c r="G117" i="5" s="1"/>
  <c r="G118" i="5" s="1"/>
  <c r="C110" i="5"/>
  <c r="C116" i="5"/>
  <c r="C117" i="5" s="1"/>
  <c r="C118" i="5" s="1"/>
  <c r="L92" i="3"/>
  <c r="F147" i="5" l="1"/>
  <c r="C45" i="8"/>
  <c r="C50" i="8" s="1"/>
  <c r="C30" i="8"/>
  <c r="H127" i="4"/>
  <c r="C6" i="8"/>
  <c r="K60" i="2"/>
  <c r="J113" i="5"/>
  <c r="L101" i="5"/>
  <c r="L111" i="5"/>
  <c r="L121" i="5" s="1"/>
  <c r="I121" i="5"/>
  <c r="I113" i="5"/>
  <c r="E113" i="5"/>
  <c r="E123" i="5"/>
  <c r="E125" i="5" s="1"/>
  <c r="F111" i="5"/>
  <c r="F121" i="5" s="1"/>
  <c r="N110" i="5"/>
  <c r="F101" i="5"/>
  <c r="K121" i="5"/>
  <c r="K122" i="5" s="1"/>
  <c r="K123" i="5" s="1"/>
  <c r="K125" i="5" s="1"/>
  <c r="K113" i="5"/>
  <c r="J123" i="5"/>
  <c r="J125" i="5" s="1"/>
  <c r="H121" i="5"/>
  <c r="H122" i="5" s="1"/>
  <c r="H123" i="5" s="1"/>
  <c r="H125" i="5" s="1"/>
  <c r="H113" i="5"/>
  <c r="G122" i="5"/>
  <c r="N82" i="5"/>
  <c r="B89" i="5"/>
  <c r="B92" i="5"/>
  <c r="C122" i="5"/>
  <c r="C97" i="5"/>
  <c r="N87" i="5"/>
  <c r="C89" i="5"/>
  <c r="D122" i="5"/>
  <c r="D123" i="5" s="1"/>
  <c r="D125" i="5" s="1"/>
  <c r="L122" i="5"/>
  <c r="G109" i="5"/>
  <c r="G111" i="5" s="1"/>
  <c r="G101" i="5"/>
  <c r="D113" i="5"/>
  <c r="F122" i="5"/>
  <c r="I123" i="5"/>
  <c r="I125" i="5" s="1"/>
  <c r="F18" i="3"/>
  <c r="F124" i="3" s="1"/>
  <c r="D18" i="3"/>
  <c r="D124" i="3" s="1"/>
  <c r="F14" i="3"/>
  <c r="G14" i="3"/>
  <c r="E14" i="3"/>
  <c r="F10" i="3"/>
  <c r="G10" i="3"/>
  <c r="E10" i="3"/>
  <c r="D27" i="3"/>
  <c r="C27" i="3"/>
  <c r="E124" i="3"/>
  <c r="C18" i="3"/>
  <c r="C124" i="3" s="1"/>
  <c r="D14" i="3"/>
  <c r="D10" i="3"/>
  <c r="C10" i="3"/>
  <c r="AB70" i="2"/>
  <c r="E71" i="2"/>
  <c r="AC70" i="2"/>
  <c r="F71" i="2" s="1"/>
  <c r="B71" i="2"/>
  <c r="D71" i="2"/>
  <c r="C71" i="2"/>
  <c r="F64" i="2"/>
  <c r="E64" i="2"/>
  <c r="E54" i="2"/>
  <c r="F54" i="2"/>
  <c r="F55" i="2" s="1"/>
  <c r="B54" i="2"/>
  <c r="B55" i="2" s="1"/>
  <c r="C54" i="2"/>
  <c r="C55" i="2" s="1"/>
  <c r="D54" i="2"/>
  <c r="D55" i="2" s="1"/>
  <c r="W55" i="2"/>
  <c r="F73" i="2" l="1"/>
  <c r="F72" i="2"/>
  <c r="D32" i="12" s="1"/>
  <c r="B148" i="5"/>
  <c r="D148" i="5" s="1"/>
  <c r="H108" i="4"/>
  <c r="E72" i="2"/>
  <c r="C32" i="12" s="1"/>
  <c r="L113" i="5"/>
  <c r="F123" i="5"/>
  <c r="F125" i="5" s="1"/>
  <c r="F113" i="5"/>
  <c r="L123" i="5"/>
  <c r="L125" i="5" s="1"/>
  <c r="G121" i="5"/>
  <c r="G123" i="5" s="1"/>
  <c r="G125" i="5" s="1"/>
  <c r="G113" i="5"/>
  <c r="N97" i="5"/>
  <c r="C99" i="5"/>
  <c r="B93" i="5"/>
  <c r="N92" i="5"/>
  <c r="N122" i="5"/>
  <c r="N89" i="5"/>
  <c r="Q5" i="3"/>
  <c r="H124" i="3"/>
  <c r="I124" i="3" s="1"/>
  <c r="D29" i="3"/>
  <c r="H15" i="3"/>
  <c r="G7" i="3"/>
  <c r="Q8" i="3"/>
  <c r="D61" i="3"/>
  <c r="D69" i="3"/>
  <c r="D68" i="3"/>
  <c r="E69" i="3"/>
  <c r="E61" i="3"/>
  <c r="E29" i="3"/>
  <c r="E68" i="3"/>
  <c r="G29" i="3"/>
  <c r="G69" i="3"/>
  <c r="G61" i="3"/>
  <c r="C69" i="3"/>
  <c r="C68" i="3"/>
  <c r="F69" i="3"/>
  <c r="F68" i="3"/>
  <c r="F61" i="3"/>
  <c r="F29" i="3"/>
  <c r="F36" i="2"/>
  <c r="F7" i="12" s="1"/>
  <c r="E36" i="2"/>
  <c r="E55" i="2"/>
  <c r="D64" i="2"/>
  <c r="D72" i="2" s="1"/>
  <c r="B32" i="12" s="1"/>
  <c r="C64" i="2"/>
  <c r="C72" i="2" s="1"/>
  <c r="B64" i="2"/>
  <c r="B72" i="2" s="1"/>
  <c r="D36" i="2"/>
  <c r="D7" i="12" s="1"/>
  <c r="C36" i="2"/>
  <c r="C7" i="12" s="1"/>
  <c r="C6" i="12" s="1"/>
  <c r="B36" i="2"/>
  <c r="B7" i="12" s="1"/>
  <c r="B6" i="12" s="1"/>
  <c r="E14" i="2"/>
  <c r="F14" i="2"/>
  <c r="F15" i="2" s="1"/>
  <c r="E7" i="2"/>
  <c r="D14" i="2"/>
  <c r="C14" i="2"/>
  <c r="B14" i="2"/>
  <c r="D7" i="2"/>
  <c r="C7" i="2"/>
  <c r="B7" i="2"/>
  <c r="B48" i="12" l="1"/>
  <c r="D6" i="12"/>
  <c r="B46" i="12" s="1"/>
  <c r="B76" i="2"/>
  <c r="B77" i="2" s="1"/>
  <c r="D28" i="12"/>
  <c r="D27" i="12"/>
  <c r="F76" i="2"/>
  <c r="E48" i="2"/>
  <c r="E7" i="12"/>
  <c r="F6" i="12"/>
  <c r="D46" i="12" s="1"/>
  <c r="D48" i="12"/>
  <c r="C28" i="12"/>
  <c r="C27" i="12"/>
  <c r="E76" i="2"/>
  <c r="B28" i="12"/>
  <c r="D76" i="2"/>
  <c r="B27" i="12"/>
  <c r="F19" i="2"/>
  <c r="F21" i="2" s="1"/>
  <c r="D33" i="12"/>
  <c r="C76" i="2"/>
  <c r="C77" i="2" s="1"/>
  <c r="E15" i="2"/>
  <c r="H59" i="2"/>
  <c r="E148" i="5"/>
  <c r="J167" i="3"/>
  <c r="D48" i="2"/>
  <c r="C48" i="2"/>
  <c r="E73" i="2"/>
  <c r="B94" i="5"/>
  <c r="N93" i="5"/>
  <c r="C109" i="5"/>
  <c r="N99" i="5"/>
  <c r="C101" i="5"/>
  <c r="I14" i="3"/>
  <c r="J14" i="3" s="1"/>
  <c r="K14" i="3" s="1"/>
  <c r="I15" i="3"/>
  <c r="J124" i="3"/>
  <c r="K124" i="3" s="1"/>
  <c r="G64" i="3"/>
  <c r="G89" i="3"/>
  <c r="G65" i="3"/>
  <c r="G90" i="3"/>
  <c r="G91" i="3"/>
  <c r="G66" i="3"/>
  <c r="H69" i="3"/>
  <c r="F7" i="3"/>
  <c r="B48" i="2"/>
  <c r="B73" i="2"/>
  <c r="D73" i="2"/>
  <c r="B15" i="2"/>
  <c r="B19" i="2" s="1"/>
  <c r="B21" i="2" s="1"/>
  <c r="C15" i="2"/>
  <c r="C19" i="2" s="1"/>
  <c r="C21" i="2" s="1"/>
  <c r="F48" i="2"/>
  <c r="C73" i="2"/>
  <c r="D15" i="2"/>
  <c r="C31" i="12" l="1"/>
  <c r="E77" i="2"/>
  <c r="B31" i="12"/>
  <c r="D77" i="2"/>
  <c r="F77" i="2"/>
  <c r="D31" i="12"/>
  <c r="B12" i="11"/>
  <c r="B13" i="11" s="1"/>
  <c r="B14" i="11" s="1"/>
  <c r="D19" i="2"/>
  <c r="D21" i="2" s="1"/>
  <c r="B33" i="12"/>
  <c r="C48" i="12"/>
  <c r="E6" i="12"/>
  <c r="C46" i="12" s="1"/>
  <c r="E74" i="2"/>
  <c r="E19" i="2"/>
  <c r="E21" i="2" s="1"/>
  <c r="C33" i="12"/>
  <c r="F74" i="2"/>
  <c r="C74" i="2"/>
  <c r="C25" i="12"/>
  <c r="C40" i="12" s="1"/>
  <c r="B74" i="2"/>
  <c r="D74" i="2"/>
  <c r="D25" i="12"/>
  <c r="D40" i="12" s="1"/>
  <c r="D30" i="8"/>
  <c r="I127" i="4"/>
  <c r="D6" i="8"/>
  <c r="F148" i="5"/>
  <c r="D45" i="8"/>
  <c r="D50" i="8" s="1"/>
  <c r="C111" i="5"/>
  <c r="N109" i="5"/>
  <c r="N94" i="5"/>
  <c r="B101" i="5"/>
  <c r="N101" i="5" s="1"/>
  <c r="B104" i="5"/>
  <c r="J15" i="3"/>
  <c r="I16" i="3"/>
  <c r="I13" i="3" s="1"/>
  <c r="L124" i="3"/>
  <c r="E7" i="3"/>
  <c r="F64" i="3"/>
  <c r="F89" i="3"/>
  <c r="F65" i="3"/>
  <c r="F90" i="3"/>
  <c r="F91" i="3"/>
  <c r="F66" i="3"/>
  <c r="I68" i="3"/>
  <c r="J68" i="3" s="1"/>
  <c r="I69" i="3"/>
  <c r="L14" i="3"/>
  <c r="K15" i="3"/>
  <c r="J16" i="3"/>
  <c r="J13" i="3" s="1"/>
  <c r="I7" i="3"/>
  <c r="I144" i="3" s="1"/>
  <c r="H6" i="3"/>
  <c r="H18" i="3" l="1"/>
  <c r="G77" i="4"/>
  <c r="G80" i="4" s="1"/>
  <c r="B149" i="5"/>
  <c r="D149" i="5" s="1"/>
  <c r="I108" i="4"/>
  <c r="B105" i="5"/>
  <c r="N104" i="5"/>
  <c r="C121" i="5"/>
  <c r="N111" i="5"/>
  <c r="C113" i="5"/>
  <c r="J69" i="3"/>
  <c r="H58" i="3"/>
  <c r="I57" i="3" s="1"/>
  <c r="H23" i="3"/>
  <c r="H27" i="3" s="1"/>
  <c r="K68" i="3"/>
  <c r="D7" i="3"/>
  <c r="C7" i="3" s="1"/>
  <c r="E64" i="3"/>
  <c r="E89" i="3"/>
  <c r="E65" i="3"/>
  <c r="E90" i="3"/>
  <c r="E91" i="3"/>
  <c r="E66" i="3"/>
  <c r="J7" i="3"/>
  <c r="J144" i="3" s="1"/>
  <c r="I6" i="3"/>
  <c r="H77" i="4" s="1"/>
  <c r="H80" i="4" s="1"/>
  <c r="L15" i="3"/>
  <c r="L16" i="3" s="1"/>
  <c r="L13" i="3" s="1"/>
  <c r="K16" i="3"/>
  <c r="K13" i="3" s="1"/>
  <c r="C21" i="8" l="1"/>
  <c r="H43" i="2"/>
  <c r="B21" i="8"/>
  <c r="G43" i="2"/>
  <c r="H29" i="3"/>
  <c r="G5" i="2" s="1"/>
  <c r="H35" i="3"/>
  <c r="H153" i="3"/>
  <c r="H133" i="3"/>
  <c r="H114" i="3"/>
  <c r="G123" i="4"/>
  <c r="G55" i="4"/>
  <c r="G47" i="4"/>
  <c r="E25" i="12"/>
  <c r="E40" i="12" s="1"/>
  <c r="I59" i="2"/>
  <c r="E149" i="5"/>
  <c r="K167" i="3"/>
  <c r="N121" i="5"/>
  <c r="C123" i="5"/>
  <c r="B106" i="5"/>
  <c r="N105" i="5"/>
  <c r="K69" i="3"/>
  <c r="H61" i="3"/>
  <c r="H62" i="3" s="1"/>
  <c r="I18" i="3"/>
  <c r="I23" i="3"/>
  <c r="I27" i="3" s="1"/>
  <c r="L68" i="3"/>
  <c r="D65" i="3"/>
  <c r="D90" i="3"/>
  <c r="D91" i="3"/>
  <c r="D66" i="3"/>
  <c r="D64" i="3"/>
  <c r="D89" i="3"/>
  <c r="K7" i="3"/>
  <c r="K144" i="3" s="1"/>
  <c r="J6" i="3"/>
  <c r="I77" i="4" s="1"/>
  <c r="I80" i="4" s="1"/>
  <c r="E47" i="12" l="1"/>
  <c r="I58" i="3"/>
  <c r="J57" i="3" s="1"/>
  <c r="I133" i="3"/>
  <c r="H47" i="4"/>
  <c r="I153" i="3"/>
  <c r="H123" i="4"/>
  <c r="H55" i="4"/>
  <c r="I114" i="3"/>
  <c r="F25" i="12"/>
  <c r="F40" i="12" s="1"/>
  <c r="G6" i="2"/>
  <c r="G7" i="2" s="1"/>
  <c r="G12" i="12" s="1"/>
  <c r="G64" i="4"/>
  <c r="G46" i="4"/>
  <c r="G48" i="4" s="1"/>
  <c r="G41" i="2"/>
  <c r="E23" i="12" s="1"/>
  <c r="B19" i="8"/>
  <c r="G124" i="4"/>
  <c r="D21" i="8"/>
  <c r="I43" i="2"/>
  <c r="H97" i="3"/>
  <c r="H171" i="3"/>
  <c r="H172" i="3" s="1"/>
  <c r="G17" i="2" s="1"/>
  <c r="H152" i="3"/>
  <c r="H155" i="3" s="1"/>
  <c r="G13" i="2" s="1"/>
  <c r="H131" i="3"/>
  <c r="H130" i="3"/>
  <c r="H105" i="3"/>
  <c r="H115" i="3"/>
  <c r="G129" i="4"/>
  <c r="G32" i="4"/>
  <c r="G34" i="4" s="1"/>
  <c r="G33" i="2" s="1"/>
  <c r="G111" i="4"/>
  <c r="G63" i="4"/>
  <c r="H110" i="3"/>
  <c r="G131" i="4"/>
  <c r="H101" i="3"/>
  <c r="E6" i="8"/>
  <c r="E30" i="8"/>
  <c r="J127" i="4"/>
  <c r="F149" i="5"/>
  <c r="E45" i="8"/>
  <c r="E50" i="8" s="1"/>
  <c r="N106" i="5"/>
  <c r="B113" i="5"/>
  <c r="N113" i="5" s="1"/>
  <c r="B116" i="5"/>
  <c r="N123" i="5"/>
  <c r="C125" i="5"/>
  <c r="L69" i="3"/>
  <c r="H47" i="3"/>
  <c r="H74" i="3"/>
  <c r="H83" i="3"/>
  <c r="J18" i="3"/>
  <c r="J23" i="3"/>
  <c r="J27" i="3" s="1"/>
  <c r="I61" i="3"/>
  <c r="I62" i="3" s="1"/>
  <c r="I29" i="3"/>
  <c r="H5" i="2" s="1"/>
  <c r="F47" i="12" s="1"/>
  <c r="I35" i="3"/>
  <c r="H37" i="3"/>
  <c r="C91" i="3"/>
  <c r="C66" i="3"/>
  <c r="C64" i="3"/>
  <c r="C89" i="3"/>
  <c r="C65" i="3"/>
  <c r="C90" i="3"/>
  <c r="L7" i="3"/>
  <c r="L144" i="3" s="1"/>
  <c r="K6" i="3"/>
  <c r="J77" i="4" s="1"/>
  <c r="J80" i="4" s="1"/>
  <c r="H41" i="2" l="1"/>
  <c r="F23" i="12" s="1"/>
  <c r="H124" i="4"/>
  <c r="C19" i="8"/>
  <c r="J58" i="3"/>
  <c r="K57" i="3" s="1"/>
  <c r="I123" i="4"/>
  <c r="I55" i="4"/>
  <c r="I47" i="4"/>
  <c r="J153" i="3"/>
  <c r="J133" i="3"/>
  <c r="J114" i="3"/>
  <c r="E21" i="8"/>
  <c r="J43" i="2"/>
  <c r="B18" i="8"/>
  <c r="G40" i="2"/>
  <c r="E22" i="12" s="1"/>
  <c r="I97" i="3"/>
  <c r="H32" i="4"/>
  <c r="H34" i="4" s="1"/>
  <c r="H33" i="2" s="1"/>
  <c r="I131" i="3"/>
  <c r="I115" i="3"/>
  <c r="I110" i="3"/>
  <c r="I171" i="3"/>
  <c r="I172" i="3" s="1"/>
  <c r="H17" i="2" s="1"/>
  <c r="H111" i="4"/>
  <c r="H63" i="4"/>
  <c r="H131" i="4"/>
  <c r="I101" i="3"/>
  <c r="I152" i="3"/>
  <c r="I155" i="3" s="1"/>
  <c r="H13" i="2" s="1"/>
  <c r="I130" i="3"/>
  <c r="I134" i="3" s="1"/>
  <c r="H12" i="2" s="1"/>
  <c r="I105" i="3"/>
  <c r="H129" i="4"/>
  <c r="H134" i="3"/>
  <c r="G12" i="2" s="1"/>
  <c r="B32" i="8"/>
  <c r="B8" i="8"/>
  <c r="B12" i="8" s="1"/>
  <c r="G61" i="2"/>
  <c r="G64" i="2" s="1"/>
  <c r="G112" i="4"/>
  <c r="H118" i="3"/>
  <c r="G10" i="2" s="1"/>
  <c r="H6" i="2"/>
  <c r="H7" i="2" s="1"/>
  <c r="H12" i="12" s="1"/>
  <c r="H64" i="4"/>
  <c r="H46" i="4"/>
  <c r="H48" i="4" s="1"/>
  <c r="B150" i="5"/>
  <c r="D150" i="5" s="1"/>
  <c r="J108" i="4"/>
  <c r="B117" i="5"/>
  <c r="N116" i="5"/>
  <c r="I47" i="3"/>
  <c r="I74" i="3"/>
  <c r="I83" i="3"/>
  <c r="I37" i="3"/>
  <c r="K18" i="3"/>
  <c r="K23" i="3"/>
  <c r="K27" i="3" s="1"/>
  <c r="L6" i="3"/>
  <c r="K77" i="4" s="1"/>
  <c r="K80" i="4" s="1"/>
  <c r="J61" i="3"/>
  <c r="J62" i="3" s="1"/>
  <c r="J29" i="3"/>
  <c r="I5" i="2" s="1"/>
  <c r="G47" i="12" s="1"/>
  <c r="J35" i="3"/>
  <c r="F21" i="8" l="1"/>
  <c r="K43" i="2"/>
  <c r="K58" i="3"/>
  <c r="L57" i="3" s="1"/>
  <c r="J123" i="4"/>
  <c r="J55" i="4"/>
  <c r="J47" i="4"/>
  <c r="K153" i="3"/>
  <c r="K133" i="3"/>
  <c r="K114" i="3"/>
  <c r="D19" i="8"/>
  <c r="I41" i="2"/>
  <c r="G23" i="12" s="1"/>
  <c r="I124" i="4"/>
  <c r="I118" i="3"/>
  <c r="H10" i="2" s="1"/>
  <c r="H61" i="2"/>
  <c r="H64" i="2" s="1"/>
  <c r="C32" i="8"/>
  <c r="C8" i="8"/>
  <c r="C12" i="8" s="1"/>
  <c r="H112" i="4"/>
  <c r="J97" i="3"/>
  <c r="I129" i="4"/>
  <c r="J101" i="3"/>
  <c r="I32" i="4"/>
  <c r="I34" i="4" s="1"/>
  <c r="I33" i="2" s="1"/>
  <c r="J131" i="3"/>
  <c r="J115" i="3"/>
  <c r="I111" i="4"/>
  <c r="I63" i="4"/>
  <c r="J110" i="3"/>
  <c r="I131" i="4"/>
  <c r="J171" i="3"/>
  <c r="J172" i="3" s="1"/>
  <c r="I17" i="2" s="1"/>
  <c r="J152" i="3"/>
  <c r="J155" i="3" s="1"/>
  <c r="I13" i="2" s="1"/>
  <c r="J105" i="3"/>
  <c r="J130" i="3"/>
  <c r="C18" i="8"/>
  <c r="H40" i="2"/>
  <c r="F22" i="12" s="1"/>
  <c r="I6" i="2"/>
  <c r="I7" i="2" s="1"/>
  <c r="I12" i="12" s="1"/>
  <c r="I46" i="4"/>
  <c r="I48" i="4" s="1"/>
  <c r="I64" i="4"/>
  <c r="J59" i="2"/>
  <c r="E150" i="5"/>
  <c r="L167" i="3"/>
  <c r="N117" i="5"/>
  <c r="B131" i="5" s="1"/>
  <c r="B132" i="5" s="1"/>
  <c r="B134" i="5" s="1"/>
  <c r="B118" i="5"/>
  <c r="J47" i="3"/>
  <c r="J74" i="3"/>
  <c r="J83" i="3"/>
  <c r="J37" i="3"/>
  <c r="K61" i="3"/>
  <c r="K62" i="3" s="1"/>
  <c r="K29" i="3"/>
  <c r="J5" i="2" s="1"/>
  <c r="H47" i="12" s="1"/>
  <c r="K35" i="3"/>
  <c r="L18" i="3"/>
  <c r="L23" i="3"/>
  <c r="L27" i="3" s="1"/>
  <c r="H64" i="3"/>
  <c r="H89" i="3"/>
  <c r="H65" i="3"/>
  <c r="H41" i="3" s="1"/>
  <c r="H90" i="3"/>
  <c r="H80" i="3" s="1"/>
  <c r="H66" i="3"/>
  <c r="H42" i="3" s="1"/>
  <c r="H91" i="3"/>
  <c r="H81" i="3" s="1"/>
  <c r="E19" i="8" l="1"/>
  <c r="J41" i="2"/>
  <c r="H23" i="12" s="1"/>
  <c r="J124" i="4"/>
  <c r="L58" i="3"/>
  <c r="L114" i="3"/>
  <c r="K123" i="4"/>
  <c r="K55" i="4"/>
  <c r="K47" i="4"/>
  <c r="L133" i="3"/>
  <c r="L153" i="3"/>
  <c r="J118" i="3"/>
  <c r="I10" i="2" s="1"/>
  <c r="I61" i="2"/>
  <c r="I64" i="2" s="1"/>
  <c r="D32" i="8"/>
  <c r="D8" i="8"/>
  <c r="D12" i="8" s="1"/>
  <c r="I112" i="4"/>
  <c r="K97" i="3"/>
  <c r="K105" i="3"/>
  <c r="J129" i="4"/>
  <c r="J32" i="4"/>
  <c r="J34" i="4" s="1"/>
  <c r="J33" i="2" s="1"/>
  <c r="K131" i="3"/>
  <c r="K115" i="3"/>
  <c r="J131" i="4"/>
  <c r="J111" i="4"/>
  <c r="J63" i="4"/>
  <c r="K110" i="3"/>
  <c r="K101" i="3"/>
  <c r="K171" i="3"/>
  <c r="K172" i="3" s="1"/>
  <c r="J17" i="2" s="1"/>
  <c r="K152" i="3"/>
  <c r="K155" i="3" s="1"/>
  <c r="J13" i="2" s="1"/>
  <c r="K130" i="3"/>
  <c r="J134" i="3"/>
  <c r="I12" i="2" s="1"/>
  <c r="J64" i="4"/>
  <c r="J46" i="4"/>
  <c r="J48" i="4" s="1"/>
  <c r="J6" i="2"/>
  <c r="J7" i="2" s="1"/>
  <c r="J12" i="12" s="1"/>
  <c r="D18" i="8"/>
  <c r="I40" i="2"/>
  <c r="G22" i="12" s="1"/>
  <c r="K127" i="4"/>
  <c r="F6" i="8"/>
  <c r="F30" i="8"/>
  <c r="F150" i="5"/>
  <c r="F45" i="8"/>
  <c r="F50" i="8" s="1"/>
  <c r="N118" i="5"/>
  <c r="B125" i="5"/>
  <c r="N125" i="5" s="1"/>
  <c r="I91" i="3"/>
  <c r="I81" i="3" s="1"/>
  <c r="K47" i="3"/>
  <c r="K74" i="3"/>
  <c r="K83" i="3"/>
  <c r="I89" i="3"/>
  <c r="I79" i="3" s="1"/>
  <c r="H79" i="3"/>
  <c r="H86" i="3" s="1"/>
  <c r="I64" i="3"/>
  <c r="I39" i="3" s="1"/>
  <c r="H39" i="3"/>
  <c r="H54" i="3" s="1"/>
  <c r="K37" i="3"/>
  <c r="I90" i="3"/>
  <c r="I80" i="3" s="1"/>
  <c r="L61" i="3"/>
  <c r="L62" i="3" s="1"/>
  <c r="L29" i="3"/>
  <c r="K5" i="2" s="1"/>
  <c r="I47" i="12" s="1"/>
  <c r="L35" i="3"/>
  <c r="I66" i="3"/>
  <c r="J89" i="3"/>
  <c r="J91" i="3"/>
  <c r="I65" i="3"/>
  <c r="F19" i="8" l="1"/>
  <c r="K41" i="2"/>
  <c r="I23" i="12" s="1"/>
  <c r="K124" i="4"/>
  <c r="K118" i="3"/>
  <c r="J10" i="2" s="1"/>
  <c r="J61" i="2"/>
  <c r="J64" i="2" s="1"/>
  <c r="E32" i="8"/>
  <c r="E8" i="8"/>
  <c r="E12" i="8" s="1"/>
  <c r="J112" i="4"/>
  <c r="K134" i="3"/>
  <c r="J12" i="2" s="1"/>
  <c r="L97" i="3"/>
  <c r="L130" i="3"/>
  <c r="L105" i="3"/>
  <c r="L110" i="3"/>
  <c r="K129" i="4"/>
  <c r="K111" i="4"/>
  <c r="K63" i="4"/>
  <c r="L131" i="3"/>
  <c r="L115" i="3"/>
  <c r="K131" i="4"/>
  <c r="L171" i="3"/>
  <c r="L172" i="3" s="1"/>
  <c r="K17" i="2" s="1"/>
  <c r="L101" i="3"/>
  <c r="K32" i="4"/>
  <c r="K34" i="4" s="1"/>
  <c r="K33" i="2" s="1"/>
  <c r="L152" i="3"/>
  <c r="L155" i="3" s="1"/>
  <c r="K13" i="2" s="1"/>
  <c r="H55" i="3"/>
  <c r="H59" i="3" s="1"/>
  <c r="E35" i="12"/>
  <c r="K6" i="2"/>
  <c r="K7" i="2" s="1"/>
  <c r="K12" i="12" s="1"/>
  <c r="K64" i="4"/>
  <c r="K46" i="4"/>
  <c r="K48" i="4" s="1"/>
  <c r="E18" i="8"/>
  <c r="J40" i="2"/>
  <c r="H22" i="12" s="1"/>
  <c r="B151" i="5"/>
  <c r="D151" i="5" s="1"/>
  <c r="E151" i="5" s="1"/>
  <c r="F151" i="5" s="1"/>
  <c r="B152" i="5" s="1"/>
  <c r="D152" i="5" s="1"/>
  <c r="E152" i="5" s="1"/>
  <c r="F152" i="5" s="1"/>
  <c r="B153" i="5" s="1"/>
  <c r="D153" i="5" s="1"/>
  <c r="E153" i="5" s="1"/>
  <c r="F153" i="5" s="1"/>
  <c r="B154" i="5" s="1"/>
  <c r="D154" i="5" s="1"/>
  <c r="E154" i="5" s="1"/>
  <c r="F154" i="5" s="1"/>
  <c r="B155" i="5" s="1"/>
  <c r="D155" i="5" s="1"/>
  <c r="E155" i="5" s="1"/>
  <c r="F155" i="5" s="1"/>
  <c r="B156" i="5" s="1"/>
  <c r="D156" i="5" s="1"/>
  <c r="E156" i="5" s="1"/>
  <c r="F156" i="5" s="1"/>
  <c r="B157" i="5" s="1"/>
  <c r="D157" i="5" s="1"/>
  <c r="E157" i="5" s="1"/>
  <c r="F157" i="5" s="1"/>
  <c r="B158" i="5" s="1"/>
  <c r="D158" i="5" s="1"/>
  <c r="E158" i="5" s="1"/>
  <c r="F158" i="5" s="1"/>
  <c r="B159" i="5" s="1"/>
  <c r="D159" i="5" s="1"/>
  <c r="E159" i="5" s="1"/>
  <c r="F159" i="5" s="1"/>
  <c r="K108" i="4"/>
  <c r="G122" i="4"/>
  <c r="G9" i="2"/>
  <c r="G14" i="2" s="1"/>
  <c r="G15" i="2" s="1"/>
  <c r="G13" i="12" s="1"/>
  <c r="G66" i="4"/>
  <c r="J64" i="3"/>
  <c r="K91" i="3"/>
  <c r="K81" i="3" s="1"/>
  <c r="J81" i="3"/>
  <c r="L37" i="3"/>
  <c r="L47" i="3"/>
  <c r="L74" i="3"/>
  <c r="L83" i="3"/>
  <c r="J79" i="3"/>
  <c r="K89" i="3"/>
  <c r="K79" i="3" s="1"/>
  <c r="J66" i="3"/>
  <c r="J42" i="3" s="1"/>
  <c r="I42" i="3"/>
  <c r="J90" i="3"/>
  <c r="J80" i="3" s="1"/>
  <c r="J65" i="3"/>
  <c r="J41" i="3" s="1"/>
  <c r="I41" i="3"/>
  <c r="I86" i="3"/>
  <c r="K64" i="3"/>
  <c r="J39" i="3"/>
  <c r="L118" i="3" l="1"/>
  <c r="K10" i="2" s="1"/>
  <c r="H60" i="3"/>
  <c r="H156" i="3" s="1"/>
  <c r="G8" i="4"/>
  <c r="G9" i="4" s="1"/>
  <c r="G29" i="2" s="1"/>
  <c r="G36" i="2" s="1"/>
  <c r="G121" i="4"/>
  <c r="G65" i="4"/>
  <c r="F32" i="8"/>
  <c r="F8" i="8"/>
  <c r="F12" i="8" s="1"/>
  <c r="K61" i="2"/>
  <c r="L134" i="3"/>
  <c r="K12" i="2" s="1"/>
  <c r="G19" i="2"/>
  <c r="H179" i="3" s="1"/>
  <c r="H182" i="3" s="1"/>
  <c r="H183" i="3" s="1"/>
  <c r="E33" i="12"/>
  <c r="E36" i="12"/>
  <c r="E42" i="12"/>
  <c r="F18" i="8"/>
  <c r="K40" i="2"/>
  <c r="I22" i="12" s="1"/>
  <c r="K59" i="2"/>
  <c r="K64" i="2" s="1"/>
  <c r="K112" i="4"/>
  <c r="H66" i="4"/>
  <c r="H122" i="4"/>
  <c r="H9" i="2"/>
  <c r="H14" i="2" s="1"/>
  <c r="H15" i="2" s="1"/>
  <c r="G67" i="4"/>
  <c r="G132" i="4"/>
  <c r="B25" i="8" s="1"/>
  <c r="J86" i="3"/>
  <c r="I54" i="3"/>
  <c r="I55" i="3" s="1"/>
  <c r="I59" i="3" s="1"/>
  <c r="I60" i="3" s="1"/>
  <c r="L91" i="3"/>
  <c r="L81" i="3" s="1"/>
  <c r="L89" i="3"/>
  <c r="L79" i="3" s="1"/>
  <c r="K66" i="3"/>
  <c r="L66" i="3" s="1"/>
  <c r="L42" i="3" s="1"/>
  <c r="K65" i="3"/>
  <c r="K41" i="3" s="1"/>
  <c r="K90" i="3"/>
  <c r="L90" i="3" s="1"/>
  <c r="L80" i="3" s="1"/>
  <c r="J54" i="3"/>
  <c r="J55" i="3" s="1"/>
  <c r="J59" i="3" s="1"/>
  <c r="J60" i="3" s="1"/>
  <c r="L64" i="3"/>
  <c r="L39" i="3" s="1"/>
  <c r="K39" i="3"/>
  <c r="L86" i="3" l="1"/>
  <c r="F33" i="12"/>
  <c r="H13" i="12"/>
  <c r="F35" i="12"/>
  <c r="I156" i="3"/>
  <c r="J156" i="3"/>
  <c r="G35" i="12"/>
  <c r="B20" i="8"/>
  <c r="B22" i="8" s="1"/>
  <c r="B26" i="8" s="1"/>
  <c r="B13" i="8" s="1"/>
  <c r="B14" i="8" s="1"/>
  <c r="B33" i="8"/>
  <c r="I122" i="4"/>
  <c r="I66" i="4"/>
  <c r="I9" i="2"/>
  <c r="I14" i="2" s="1"/>
  <c r="I15" i="2" s="1"/>
  <c r="K9" i="2"/>
  <c r="K14" i="2" s="1"/>
  <c r="K15" i="2" s="1"/>
  <c r="K66" i="4"/>
  <c r="K122" i="4"/>
  <c r="H19" i="2"/>
  <c r="G42" i="2"/>
  <c r="G67" i="2"/>
  <c r="E24" i="12" s="1"/>
  <c r="C29" i="12" s="1"/>
  <c r="B4" i="8"/>
  <c r="B31" i="8"/>
  <c r="G20" i="2"/>
  <c r="G21" i="2" s="1"/>
  <c r="I8" i="4"/>
  <c r="I9" i="4" s="1"/>
  <c r="I29" i="2" s="1"/>
  <c r="I36" i="2" s="1"/>
  <c r="I65" i="4"/>
  <c r="I67" i="4" s="1"/>
  <c r="I121" i="4"/>
  <c r="H8" i="4"/>
  <c r="H9" i="4" s="1"/>
  <c r="H29" i="2" s="1"/>
  <c r="H36" i="2" s="1"/>
  <c r="H121" i="4"/>
  <c r="H132" i="4" s="1"/>
  <c r="H65" i="4"/>
  <c r="H67" i="4" s="1"/>
  <c r="K80" i="3"/>
  <c r="K86" i="3" s="1"/>
  <c r="L65" i="3"/>
  <c r="L41" i="3" s="1"/>
  <c r="L54" i="3"/>
  <c r="L55" i="3" s="1"/>
  <c r="L59" i="3" s="1"/>
  <c r="L60" i="3" s="1"/>
  <c r="K42" i="3"/>
  <c r="K54" i="3" s="1"/>
  <c r="K55" i="3" s="1"/>
  <c r="K59" i="3" s="1"/>
  <c r="K60" i="3" s="1"/>
  <c r="G14" i="12" l="1"/>
  <c r="E37" i="12" s="1"/>
  <c r="E39" i="12" s="1"/>
  <c r="I33" i="12"/>
  <c r="K13" i="12"/>
  <c r="G33" i="12"/>
  <c r="I13" i="12"/>
  <c r="G36" i="12" s="1"/>
  <c r="G71" i="2"/>
  <c r="G72" i="2" s="1"/>
  <c r="I35" i="12"/>
  <c r="L156" i="3"/>
  <c r="D20" i="8"/>
  <c r="D22" i="8" s="1"/>
  <c r="D33" i="8"/>
  <c r="C33" i="8"/>
  <c r="C20" i="8"/>
  <c r="C22" i="8" s="1"/>
  <c r="F36" i="12"/>
  <c r="F42" i="12"/>
  <c r="H35" i="12"/>
  <c r="K156" i="3"/>
  <c r="G42" i="12"/>
  <c r="B34" i="8"/>
  <c r="B52" i="8" s="1"/>
  <c r="C4" i="8"/>
  <c r="I179" i="3"/>
  <c r="I182" i="3" s="1"/>
  <c r="H20" i="2"/>
  <c r="H21" i="2" s="1"/>
  <c r="K19" i="2"/>
  <c r="I19" i="2"/>
  <c r="I132" i="4"/>
  <c r="D25" i="8" s="1"/>
  <c r="J9" i="2"/>
  <c r="J14" i="2" s="1"/>
  <c r="J15" i="2" s="1"/>
  <c r="J66" i="4"/>
  <c r="J122" i="4"/>
  <c r="G100" i="4"/>
  <c r="H42" i="2"/>
  <c r="J65" i="4"/>
  <c r="J8" i="4"/>
  <c r="J9" i="4" s="1"/>
  <c r="J29" i="2" s="1"/>
  <c r="J36" i="2" s="1"/>
  <c r="J121" i="4"/>
  <c r="H67" i="2"/>
  <c r="F24" i="12" s="1"/>
  <c r="D29" i="12" s="1"/>
  <c r="C25" i="8"/>
  <c r="K65" i="4"/>
  <c r="K67" i="4" s="1"/>
  <c r="K8" i="4"/>
  <c r="K9" i="4" s="1"/>
  <c r="K29" i="2" s="1"/>
  <c r="K36" i="2" s="1"/>
  <c r="K121" i="4"/>
  <c r="K132" i="4" s="1"/>
  <c r="I42" i="2"/>
  <c r="C26" i="8" l="1"/>
  <c r="C13" i="8" s="1"/>
  <c r="C14" i="8" s="1"/>
  <c r="H33" i="12"/>
  <c r="J13" i="12"/>
  <c r="H14" i="12"/>
  <c r="H42" i="12"/>
  <c r="H36" i="12"/>
  <c r="I42" i="12"/>
  <c r="I36" i="12"/>
  <c r="C31" i="8"/>
  <c r="C34" i="8" s="1"/>
  <c r="I183" i="3"/>
  <c r="J132" i="4"/>
  <c r="E25" i="8" s="1"/>
  <c r="J67" i="4"/>
  <c r="D4" i="8"/>
  <c r="J179" i="3"/>
  <c r="J182" i="3" s="1"/>
  <c r="I20" i="2"/>
  <c r="I21" i="2" s="1"/>
  <c r="J19" i="2"/>
  <c r="D26" i="8"/>
  <c r="F4" i="8"/>
  <c r="L179" i="3"/>
  <c r="L182" i="3" s="1"/>
  <c r="K20" i="2"/>
  <c r="K21" i="2" s="1"/>
  <c r="I67" i="2"/>
  <c r="H100" i="4"/>
  <c r="G102" i="4"/>
  <c r="G53" i="2"/>
  <c r="G55" i="2" s="1"/>
  <c r="E43" i="12" s="1"/>
  <c r="H71" i="2"/>
  <c r="H72" i="2" s="1"/>
  <c r="K42" i="2"/>
  <c r="K67" i="2"/>
  <c r="I24" i="12" s="1"/>
  <c r="G29" i="12" s="1"/>
  <c r="J42" i="2"/>
  <c r="K14" i="12" l="1"/>
  <c r="I14" i="12"/>
  <c r="E33" i="8"/>
  <c r="E20" i="8"/>
  <c r="E22" i="8" s="1"/>
  <c r="E32" i="12"/>
  <c r="F20" i="8"/>
  <c r="F22" i="8" s="1"/>
  <c r="F33" i="8"/>
  <c r="D13" i="8"/>
  <c r="D14" i="8" s="1"/>
  <c r="F25" i="8"/>
  <c r="J67" i="2"/>
  <c r="H24" i="12" s="1"/>
  <c r="F29" i="12" s="1"/>
  <c r="F31" i="8"/>
  <c r="L183" i="3"/>
  <c r="I71" i="2"/>
  <c r="I72" i="2" s="1"/>
  <c r="G24" i="12"/>
  <c r="E29" i="12" s="1"/>
  <c r="C52" i="8"/>
  <c r="F5" i="11" s="1"/>
  <c r="F6" i="11" s="1"/>
  <c r="E5" i="11"/>
  <c r="D31" i="8"/>
  <c r="J183" i="3"/>
  <c r="F37" i="12"/>
  <c r="F39" i="12" s="1"/>
  <c r="E26" i="8"/>
  <c r="E13" i="8" s="1"/>
  <c r="E14" i="8" s="1"/>
  <c r="K179" i="3"/>
  <c r="K182" i="3" s="1"/>
  <c r="E4" i="8"/>
  <c r="J20" i="2"/>
  <c r="J21" i="2" s="1"/>
  <c r="G73" i="2"/>
  <c r="I100" i="4"/>
  <c r="H53" i="2"/>
  <c r="H55" i="2" s="1"/>
  <c r="F43" i="12" s="1"/>
  <c r="H102" i="4"/>
  <c r="K71" i="2"/>
  <c r="K72" i="2" s="1"/>
  <c r="J71" i="2" l="1"/>
  <c r="J72" i="2" s="1"/>
  <c r="F26" i="8"/>
  <c r="F13" i="8" s="1"/>
  <c r="F14" i="8" s="1"/>
  <c r="F34" i="8" s="1"/>
  <c r="F52" i="8" s="1"/>
  <c r="I5" i="11" s="1"/>
  <c r="I6" i="11" s="1"/>
  <c r="E8" i="11" s="1"/>
  <c r="E9" i="11" s="1"/>
  <c r="J14" i="12"/>
  <c r="D34" i="8"/>
  <c r="D52" i="8" s="1"/>
  <c r="G5" i="11" s="1"/>
  <c r="G6" i="11" s="1"/>
  <c r="F32" i="12"/>
  <c r="E31" i="8"/>
  <c r="E34" i="8" s="1"/>
  <c r="E52" i="8" s="1"/>
  <c r="H5" i="11" s="1"/>
  <c r="H6" i="11" s="1"/>
  <c r="K183" i="3"/>
  <c r="G37" i="12"/>
  <c r="G39" i="12" s="1"/>
  <c r="I37" i="12"/>
  <c r="I39" i="12" s="1"/>
  <c r="H73" i="2"/>
  <c r="I53" i="2"/>
  <c r="I55" i="2" s="1"/>
  <c r="J100" i="4"/>
  <c r="I102" i="4"/>
  <c r="G32" i="12" l="1"/>
  <c r="G43" i="12"/>
  <c r="H37" i="12"/>
  <c r="H39" i="12" s="1"/>
  <c r="J102" i="4"/>
  <c r="K100" i="4"/>
  <c r="J53" i="2"/>
  <c r="J55" i="2" s="1"/>
  <c r="I73" i="2"/>
  <c r="H32" i="12" l="1"/>
  <c r="H43" i="12"/>
  <c r="J73" i="2"/>
  <c r="K53" i="2"/>
  <c r="K55" i="2" s="1"/>
  <c r="I43" i="12" s="1"/>
  <c r="K102" i="4"/>
  <c r="I32" i="12" l="1"/>
  <c r="K73" i="2"/>
  <c r="E6" i="11" l="1"/>
  <c r="E10" i="11" s="1"/>
  <c r="E13" i="11" s="1"/>
  <c r="E15" i="11" s="1"/>
  <c r="B24" i="11" s="1"/>
  <c r="C56" i="8" l="1"/>
  <c r="C53" i="8" s="1"/>
  <c r="C54" i="8" s="1"/>
  <c r="H90" i="4" s="1"/>
  <c r="B56" i="8"/>
  <c r="B53" i="8" s="1"/>
  <c r="B54" i="8" s="1"/>
  <c r="G90" i="4" l="1"/>
  <c r="H45" i="2"/>
  <c r="H47" i="2" s="1"/>
  <c r="H92" i="4"/>
  <c r="D56" i="8"/>
  <c r="D53" i="8" s="1"/>
  <c r="D54" i="8" s="1"/>
  <c r="I90" i="4" s="1"/>
  <c r="C58" i="8" l="1"/>
  <c r="G92" i="4"/>
  <c r="G45" i="2"/>
  <c r="G47" i="2" s="1"/>
  <c r="H76" i="2"/>
  <c r="F28" i="12"/>
  <c r="F27" i="12"/>
  <c r="H7" i="12"/>
  <c r="I45" i="2"/>
  <c r="I47" i="2" s="1"/>
  <c r="I92" i="4"/>
  <c r="H48" i="2"/>
  <c r="E56" i="8"/>
  <c r="E53" i="8" s="1"/>
  <c r="E54" i="8" s="1"/>
  <c r="J90" i="4" s="1"/>
  <c r="H74" i="2" l="1"/>
  <c r="F41" i="12"/>
  <c r="E27" i="12"/>
  <c r="B58" i="8"/>
  <c r="G27" i="12"/>
  <c r="D58" i="8"/>
  <c r="F48" i="12"/>
  <c r="H6" i="12"/>
  <c r="F46" i="12" s="1"/>
  <c r="H25" i="12"/>
  <c r="H40" i="12" s="1"/>
  <c r="H77" i="2"/>
  <c r="F31" i="12"/>
  <c r="J45" i="2"/>
  <c r="J47" i="2" s="1"/>
  <c r="J92" i="4"/>
  <c r="I48" i="2"/>
  <c r="F56" i="8"/>
  <c r="F53" i="8" s="1"/>
  <c r="F54" i="8" s="1"/>
  <c r="K90" i="4" s="1"/>
  <c r="I74" i="2" l="1"/>
  <c r="G41" i="12"/>
  <c r="I7" i="12"/>
  <c r="G48" i="12" s="1"/>
  <c r="G48" i="2"/>
  <c r="E41" i="12" s="1"/>
  <c r="G28" i="12"/>
  <c r="G76" i="2"/>
  <c r="E31" i="12" s="1"/>
  <c r="G7" i="12"/>
  <c r="G6" i="12" s="1"/>
  <c r="E46" i="12" s="1"/>
  <c r="I76" i="2"/>
  <c r="G31" i="12" s="1"/>
  <c r="E28" i="12"/>
  <c r="H28" i="12"/>
  <c r="E58" i="8"/>
  <c r="I25" i="12"/>
  <c r="I40" i="12" s="1"/>
  <c r="J7" i="12"/>
  <c r="K45" i="2"/>
  <c r="K47" i="2" s="1"/>
  <c r="K92" i="4"/>
  <c r="J48" i="2"/>
  <c r="J74" i="2" l="1"/>
  <c r="H41" i="12"/>
  <c r="G25" i="12"/>
  <c r="G40" i="12" s="1"/>
  <c r="G74" i="2"/>
  <c r="I77" i="2"/>
  <c r="E48" i="12"/>
  <c r="I6" i="12"/>
  <c r="G46" i="12" s="1"/>
  <c r="J76" i="2"/>
  <c r="H31" i="12" s="1"/>
  <c r="H27" i="12"/>
  <c r="G77" i="2"/>
  <c r="I28" i="12"/>
  <c r="F58" i="8"/>
  <c r="H48" i="12"/>
  <c r="J6" i="12"/>
  <c r="H46" i="12" s="1"/>
  <c r="J77" i="2" l="1"/>
  <c r="K7" i="12"/>
  <c r="K6" i="12" s="1"/>
  <c r="I46" i="12" s="1"/>
  <c r="K76" i="2"/>
  <c r="I31" i="12" s="1"/>
  <c r="I27" i="12"/>
  <c r="K48" i="2"/>
  <c r="K77" i="2"/>
  <c r="K74" i="2" l="1"/>
  <c r="I41" i="12"/>
  <c r="I48" i="12"/>
</calcChain>
</file>

<file path=xl/sharedStrings.xml><?xml version="1.0" encoding="utf-8"?>
<sst xmlns="http://schemas.openxmlformats.org/spreadsheetml/2006/main" count="9837" uniqueCount="469">
  <si>
    <t>Name</t>
  </si>
  <si>
    <t>Aashish Kumar</t>
  </si>
  <si>
    <t>Company</t>
  </si>
  <si>
    <t>Pakistan Refinery Limited</t>
  </si>
  <si>
    <t>Net sales</t>
  </si>
  <si>
    <t>Cost of sales</t>
  </si>
  <si>
    <t>Gross profit/ (loss)</t>
  </si>
  <si>
    <t>Distribution cost</t>
  </si>
  <si>
    <t>Loss allowance on trade receivables</t>
  </si>
  <si>
    <t>Other operating expenses</t>
  </si>
  <si>
    <t>Other income</t>
  </si>
  <si>
    <t>Operating profit/ (loss)</t>
  </si>
  <si>
    <t>Finance cost- net</t>
  </si>
  <si>
    <t>Share of income of associate</t>
  </si>
  <si>
    <t>Profit/ (loss) before taxation</t>
  </si>
  <si>
    <t>Taxation</t>
  </si>
  <si>
    <t>Profit/ (loss) after taxation</t>
  </si>
  <si>
    <t>Statement of Profit and Loss</t>
  </si>
  <si>
    <t>Statement of Financial Position</t>
  </si>
  <si>
    <t xml:space="preserve">ASSETS </t>
  </si>
  <si>
    <t>NON-CURRENT ASSETS</t>
  </si>
  <si>
    <t>Fixed Assets</t>
  </si>
  <si>
    <t>Intangible assets</t>
  </si>
  <si>
    <t>Right of use assets</t>
  </si>
  <si>
    <t>Investment in associate</t>
  </si>
  <si>
    <t>Long term loans, advances and deposits</t>
  </si>
  <si>
    <t>Retirement benefit prepayments</t>
  </si>
  <si>
    <t>CURRENT ASSETS</t>
  </si>
  <si>
    <t>Inventories</t>
  </si>
  <si>
    <t>Trade debts</t>
  </si>
  <si>
    <t>Trade loans, advances, deposits and short term prepayments</t>
  </si>
  <si>
    <t>Other recievables</t>
  </si>
  <si>
    <t>Taxation- payments less provision</t>
  </si>
  <si>
    <t>Cash and bank balances</t>
  </si>
  <si>
    <t>Total Assets</t>
  </si>
  <si>
    <t>EQUITY</t>
  </si>
  <si>
    <t>Share capital</t>
  </si>
  <si>
    <t>Subscription money against rights issue</t>
  </si>
  <si>
    <t>Accumulated loss/ Profit</t>
  </si>
  <si>
    <t>Reserves</t>
  </si>
  <si>
    <t>LIABILITIES</t>
  </si>
  <si>
    <t>Non-Current liabilities</t>
  </si>
  <si>
    <t>Long term borrowing</t>
  </si>
  <si>
    <t>Deferred tax liability</t>
  </si>
  <si>
    <t>Employee benefit obligations</t>
  </si>
  <si>
    <t>Unearned income</t>
  </si>
  <si>
    <t>Long term lease liability</t>
  </si>
  <si>
    <t>Current Liabilities</t>
  </si>
  <si>
    <t>Trade and other payables</t>
  </si>
  <si>
    <t>Short term borrowings</t>
  </si>
  <si>
    <t>Current portion of long term lease liability</t>
  </si>
  <si>
    <t>Total equity and liabilities</t>
  </si>
  <si>
    <t>Deferred tax asset</t>
  </si>
  <si>
    <t>Unclaimed dividend</t>
  </si>
  <si>
    <t>Special reserve</t>
  </si>
  <si>
    <t>Revaluation surplus on property, plant and equipment</t>
  </si>
  <si>
    <t>Other reserves</t>
  </si>
  <si>
    <t>Unearned revenue</t>
  </si>
  <si>
    <t>Income Taxes - Payable - Short-Term</t>
  </si>
  <si>
    <t>Local sales</t>
  </si>
  <si>
    <t>Barrels sold</t>
  </si>
  <si>
    <t>Average price per barrel(USD)</t>
  </si>
  <si>
    <t>Exchange rate</t>
  </si>
  <si>
    <t>Average price per barrel(PKR)</t>
  </si>
  <si>
    <t>Exports</t>
  </si>
  <si>
    <t>Sales growth%</t>
  </si>
  <si>
    <t>Adjusted sales for exchange rates</t>
  </si>
  <si>
    <t>Total gross sales</t>
  </si>
  <si>
    <t>Direct cost</t>
  </si>
  <si>
    <t>Sales tax(%)</t>
  </si>
  <si>
    <t>Sales tax</t>
  </si>
  <si>
    <t>Excise duty and petroleum levy</t>
  </si>
  <si>
    <t>Surplus price differential</t>
  </si>
  <si>
    <t>regulatory duty</t>
  </si>
  <si>
    <t>Consumption</t>
  </si>
  <si>
    <t>Salaries and wages</t>
  </si>
  <si>
    <t>retirement benefits</t>
  </si>
  <si>
    <t>Depreciation</t>
  </si>
  <si>
    <t>Stores, spares and chemicals</t>
  </si>
  <si>
    <t>Repairs and maintenance</t>
  </si>
  <si>
    <t>Exchange (gain)/ loss</t>
  </si>
  <si>
    <t>Rents, rates and taxes</t>
  </si>
  <si>
    <t>Insurance</t>
  </si>
  <si>
    <t>Security expense</t>
  </si>
  <si>
    <t>Staff transport</t>
  </si>
  <si>
    <t>Consultancy</t>
  </si>
  <si>
    <t>Amortisation of intangible assets</t>
  </si>
  <si>
    <t>Subscriptions</t>
  </si>
  <si>
    <t>Rentals under ijarah arrangements</t>
  </si>
  <si>
    <t>Travelling and entertainment</t>
  </si>
  <si>
    <t>Other expenses</t>
  </si>
  <si>
    <t>Opening inventory of finished goods</t>
  </si>
  <si>
    <t>Closing inventory of finished goods</t>
  </si>
  <si>
    <t>Cost of goods sold</t>
  </si>
  <si>
    <t>Sales growth(%)</t>
  </si>
  <si>
    <t>No of employees</t>
  </si>
  <si>
    <t>Average salary per employee</t>
  </si>
  <si>
    <t>Fuel, power and water per barrel</t>
  </si>
  <si>
    <t>Stores, spares and chemicals per barrel</t>
  </si>
  <si>
    <t>Repairs and maintenance per barrel</t>
  </si>
  <si>
    <t>staff transport per employee</t>
  </si>
  <si>
    <t>Consumption per $ of revenue</t>
  </si>
  <si>
    <t>Closing inventory per $ of revenue</t>
  </si>
  <si>
    <t>Staff transport per employee</t>
  </si>
  <si>
    <t>Distribution costs</t>
  </si>
  <si>
    <t>Retirement benefits</t>
  </si>
  <si>
    <t>Rent, rates and taxes</t>
  </si>
  <si>
    <t>Transportation and handling charges</t>
  </si>
  <si>
    <t>Fuel, power and water</t>
  </si>
  <si>
    <t>Security expenses</t>
  </si>
  <si>
    <t xml:space="preserve">Staff transport </t>
  </si>
  <si>
    <t>Subscription</t>
  </si>
  <si>
    <t>transportation charges per barrel</t>
  </si>
  <si>
    <t>Fuel and power per barrel</t>
  </si>
  <si>
    <t>Repairs and maintennace per barrel</t>
  </si>
  <si>
    <t>Total market size in barrels</t>
  </si>
  <si>
    <t>Average sales tax</t>
  </si>
  <si>
    <t>Average selling price per barrel of PRL</t>
  </si>
  <si>
    <t>Price of crude oil per barrel</t>
  </si>
  <si>
    <t>Price of barrel in PKR</t>
  </si>
  <si>
    <t>Profit margin</t>
  </si>
  <si>
    <t>Increase in consumption</t>
  </si>
  <si>
    <t>Barrel consumption in Pakistan (per day) (https://www.ceicdata.com/en/indicator/pakistan/oil-consumption)</t>
  </si>
  <si>
    <t>Unadjusted sales</t>
  </si>
  <si>
    <t>Administrative expenses</t>
  </si>
  <si>
    <t>Communication</t>
  </si>
  <si>
    <t>Legal and professional charges</t>
  </si>
  <si>
    <t>Auditors remuneration</t>
  </si>
  <si>
    <t>Printing and stationary</t>
  </si>
  <si>
    <t>Directors' fee</t>
  </si>
  <si>
    <t>Software maintenance expenses</t>
  </si>
  <si>
    <t>Cleaning services</t>
  </si>
  <si>
    <t>Advertising</t>
  </si>
  <si>
    <t>Training expenses</t>
  </si>
  <si>
    <t>Stamp duty charges</t>
  </si>
  <si>
    <t>Othere expenses</t>
  </si>
  <si>
    <t>travelling and entertainment per employee</t>
  </si>
  <si>
    <t>Training expense per employee</t>
  </si>
  <si>
    <t>Advertising per $ of revenue</t>
  </si>
  <si>
    <t>Donations</t>
  </si>
  <si>
    <t>Workers' profits and participation funds</t>
  </si>
  <si>
    <t>Workers' welfare fund</t>
  </si>
  <si>
    <t>Penalty</t>
  </si>
  <si>
    <t>Research cost</t>
  </si>
  <si>
    <t>Workers' profits funds per employee</t>
  </si>
  <si>
    <t>Workers' welfare fund per employee</t>
  </si>
  <si>
    <t>Research cost per $ of revenue</t>
  </si>
  <si>
    <t>Profit on savings account</t>
  </si>
  <si>
    <t>Rent of equipment</t>
  </si>
  <si>
    <t>Exchange gain</t>
  </si>
  <si>
    <t>Insurance commission</t>
  </si>
  <si>
    <t>Insurance claim</t>
  </si>
  <si>
    <t>Interest on late payments</t>
  </si>
  <si>
    <t>Sale of scrap</t>
  </si>
  <si>
    <t>Gain on disposal</t>
  </si>
  <si>
    <t>Liabilities written off</t>
  </si>
  <si>
    <t>Reversal of WWF</t>
  </si>
  <si>
    <t>Crude testing services</t>
  </si>
  <si>
    <t>Others</t>
  </si>
  <si>
    <t>Rent of equipment per barrel</t>
  </si>
  <si>
    <t>Reversal of WWF per employee</t>
  </si>
  <si>
    <t>Crude testing services per $ of revenue</t>
  </si>
  <si>
    <t>Finance cost - Net</t>
  </si>
  <si>
    <t>Markup on running finance</t>
  </si>
  <si>
    <t>Markup on short term loans</t>
  </si>
  <si>
    <t>Markup on long term loans</t>
  </si>
  <si>
    <t>Exchage loss</t>
  </si>
  <si>
    <t>Bank charges</t>
  </si>
  <si>
    <t>Markup on lease liability</t>
  </si>
  <si>
    <t>Markup on salary refinancing</t>
  </si>
  <si>
    <t>Markup on salary refinancing per employee</t>
  </si>
  <si>
    <t>Lease liability is assumed to have a tenure of 10 years and consequently is reduced at 10% per annum</t>
  </si>
  <si>
    <t>Income tax expense</t>
  </si>
  <si>
    <t>Current for the year</t>
  </si>
  <si>
    <t>Deferred taxation</t>
  </si>
  <si>
    <t>Prior year</t>
  </si>
  <si>
    <t>Coorpoerate tax rate</t>
  </si>
  <si>
    <t>% of COGS depreciation</t>
  </si>
  <si>
    <t>% of distribution depreciation</t>
  </si>
  <si>
    <t>% of admin depreciation</t>
  </si>
  <si>
    <t>Total depreciation expense</t>
  </si>
  <si>
    <t>Total depreciation expense for 2023</t>
  </si>
  <si>
    <t>Non-current assets</t>
  </si>
  <si>
    <t>Property, plant and equipment</t>
  </si>
  <si>
    <t>Operating assets</t>
  </si>
  <si>
    <t>Major spare parts and stand-by equipments</t>
  </si>
  <si>
    <t>Capital work in progress</t>
  </si>
  <si>
    <t>Capital work in progress per $ of COGS</t>
  </si>
  <si>
    <t>Deprecitaion</t>
  </si>
  <si>
    <t>Right of use asset is depreciated at 10% per annum using straight line method</t>
  </si>
  <si>
    <t>Opening balance</t>
  </si>
  <si>
    <t>Share income/(loss) for the year</t>
  </si>
  <si>
    <t>Change in fair value of available for sale in investments</t>
  </si>
  <si>
    <t>Dividend received</t>
  </si>
  <si>
    <t>Long term loans and advances</t>
  </si>
  <si>
    <t>Loang term loans to employees</t>
  </si>
  <si>
    <t>Long term deposits</t>
  </si>
  <si>
    <t>Long term loan to employees per employee</t>
  </si>
  <si>
    <t>Current assets</t>
  </si>
  <si>
    <t>Stores spares and chemicals</t>
  </si>
  <si>
    <t>Raw material</t>
  </si>
  <si>
    <t>Finished products</t>
  </si>
  <si>
    <t>Raw material per $ of consumption</t>
  </si>
  <si>
    <t>Finished product per $ of revenue</t>
  </si>
  <si>
    <t>Receivables</t>
  </si>
  <si>
    <t>Loans advances and short term prepayments</t>
  </si>
  <si>
    <t>Loans to employees</t>
  </si>
  <si>
    <t>Advances for supplies and services</t>
  </si>
  <si>
    <t>Trade deposits</t>
  </si>
  <si>
    <t>Short term prepayments</t>
  </si>
  <si>
    <t>Loans to employees per employee</t>
  </si>
  <si>
    <t>Advances to supplies per dollar of consumption</t>
  </si>
  <si>
    <t>Short term pre payments per $ of admin and dist cost</t>
  </si>
  <si>
    <t>Trade deposits per dollar of COGS</t>
  </si>
  <si>
    <t>Other receivables</t>
  </si>
  <si>
    <t>Receivable from refinery</t>
  </si>
  <si>
    <t>Insurance claim receivable</t>
  </si>
  <si>
    <t>others</t>
  </si>
  <si>
    <t>Receivable from refinery per $ of local sales</t>
  </si>
  <si>
    <t>Taxation - payments less provision</t>
  </si>
  <si>
    <t>Cash in hand</t>
  </si>
  <si>
    <t>Total</t>
  </si>
  <si>
    <t>Paid up capital</t>
  </si>
  <si>
    <t>Accumulated loss</t>
  </si>
  <si>
    <t>Subscription of rights issue</t>
  </si>
  <si>
    <t>NON-CURRENT LIABILITIES</t>
  </si>
  <si>
    <t>Long term borrowings</t>
  </si>
  <si>
    <t>Lease liability</t>
  </si>
  <si>
    <t>Employee benefit schemes</t>
  </si>
  <si>
    <t>Deferred taxation (% decrease)</t>
  </si>
  <si>
    <t>Employee benefit per employee</t>
  </si>
  <si>
    <t>Lease liability is amortised at 10% per annum using the straight line method</t>
  </si>
  <si>
    <t>CURRENT LIABILITIES</t>
  </si>
  <si>
    <t>Creditors</t>
  </si>
  <si>
    <t>Accrued liabilities</t>
  </si>
  <si>
    <t>sales tax payable</t>
  </si>
  <si>
    <t>Advances from customers</t>
  </si>
  <si>
    <t>Payable to governmnet</t>
  </si>
  <si>
    <t>Surplus price differential payable</t>
  </si>
  <si>
    <t>Accrued markup</t>
  </si>
  <si>
    <t>Retention money</t>
  </si>
  <si>
    <t>WWF</t>
  </si>
  <si>
    <t>Tax deducted at source</t>
  </si>
  <si>
    <t>Workers' profit participation fund</t>
  </si>
  <si>
    <t>Payable turnover per $ of COGS</t>
  </si>
  <si>
    <t>Payable days</t>
  </si>
  <si>
    <t>Accrued liability with respect to admin and dist cost</t>
  </si>
  <si>
    <t>Sales tax payable per $ of revenue</t>
  </si>
  <si>
    <t>WWF per employee</t>
  </si>
  <si>
    <t>Advances from customers per $ of recievables</t>
  </si>
  <si>
    <t>Accrued markup as a % of markup on long term loans</t>
  </si>
  <si>
    <t>Workers's profit participation fund per employee</t>
  </si>
  <si>
    <t>Current portion of long term lease libility</t>
  </si>
  <si>
    <t>ASSETS</t>
  </si>
  <si>
    <t>It is assumed that the company has aquired intangible assets in 2024 and is amortised at 33% per annum using reducing balance method</t>
  </si>
  <si>
    <t>Receivable turnover</t>
  </si>
  <si>
    <t>Receivable days</t>
  </si>
  <si>
    <t>Cash in bank</t>
  </si>
  <si>
    <t>OPERATING ASSETS</t>
  </si>
  <si>
    <t>NET BOOK VALUE</t>
  </si>
  <si>
    <t>Freehold land</t>
  </si>
  <si>
    <t>Buildings</t>
  </si>
  <si>
    <t>Processing plant</t>
  </si>
  <si>
    <t>Korangi tank farm</t>
  </si>
  <si>
    <t>Keamari pipeline</t>
  </si>
  <si>
    <t>Pipelines</t>
  </si>
  <si>
    <t>Steam generation plant</t>
  </si>
  <si>
    <t>Power gneration, transmission and distributuin</t>
  </si>
  <si>
    <t xml:space="preserve">Water treatment and cooling system </t>
  </si>
  <si>
    <t>Equipment including furniture</t>
  </si>
  <si>
    <t>Firefighting and telecommunication systems</t>
  </si>
  <si>
    <t>Vehicles and other automotive equipment</t>
  </si>
  <si>
    <t>$ increase</t>
  </si>
  <si>
    <t>Historical cost</t>
  </si>
  <si>
    <t>Depreciation rate</t>
  </si>
  <si>
    <t>Depreciation method</t>
  </si>
  <si>
    <t>N/A</t>
  </si>
  <si>
    <t>Straight line</t>
  </si>
  <si>
    <t>Reducing balance</t>
  </si>
  <si>
    <t>Reducing blance</t>
  </si>
  <si>
    <t>straight line</t>
  </si>
  <si>
    <t>Additions(% of NBV)</t>
  </si>
  <si>
    <t>Cost:</t>
  </si>
  <si>
    <t>Additions (at cost)</t>
  </si>
  <si>
    <t>Disposal (at NBV)</t>
  </si>
  <si>
    <t>Accumulated Depreciation:</t>
  </si>
  <si>
    <t>Charge for the year</t>
  </si>
  <si>
    <t>Additions</t>
  </si>
  <si>
    <t>As at 30th Jun 2022</t>
  </si>
  <si>
    <t>As at 30th Jun 2023</t>
  </si>
  <si>
    <t>Net book value at 30th June 2023</t>
  </si>
  <si>
    <t>As at 30th Jun 2024</t>
  </si>
  <si>
    <t>Net book value at 30th June 2024</t>
  </si>
  <si>
    <t>As at 30th Jun 2025</t>
  </si>
  <si>
    <t>Net book value at 30th June 2025</t>
  </si>
  <si>
    <t>As at 30th Jun 2026</t>
  </si>
  <si>
    <t>Net book value at 30th June 2026</t>
  </si>
  <si>
    <t>Assumptions for loan schedule</t>
  </si>
  <si>
    <t>Total additions of NCA in the next five years</t>
  </si>
  <si>
    <t>Long term loan required for financing</t>
  </si>
  <si>
    <t>Existing long term long</t>
  </si>
  <si>
    <t>Total long term loan</t>
  </si>
  <si>
    <t>Principle amount</t>
  </si>
  <si>
    <t>KIBOR</t>
  </si>
  <si>
    <t>Effective interest rate</t>
  </si>
  <si>
    <t>Tenure(years)</t>
  </si>
  <si>
    <t>PMT</t>
  </si>
  <si>
    <t>LOAN SCHEDULE</t>
  </si>
  <si>
    <t>Year</t>
  </si>
  <si>
    <t>Balance b/d</t>
  </si>
  <si>
    <t xml:space="preserve">Principle repayment </t>
  </si>
  <si>
    <t>Balance c/d</t>
  </si>
  <si>
    <t>note: Pakistan refinery limted is planning an expansion project in 2025 to increase its overall capacity epecially for exports and is planning to finance the project majorly through debt</t>
  </si>
  <si>
    <t>AMMSUMPTIONS FOR SPECIFIC LOAN</t>
  </si>
  <si>
    <t>Tenure (years)</t>
  </si>
  <si>
    <t>Spread</t>
  </si>
  <si>
    <t>Interest rate</t>
  </si>
  <si>
    <t>SPECIFIC LOAN SCHEDULE</t>
  </si>
  <si>
    <t>YEAR</t>
  </si>
  <si>
    <t>Bal b/d</t>
  </si>
  <si>
    <t>Interest paid</t>
  </si>
  <si>
    <t>Principle repayment</t>
  </si>
  <si>
    <t>Net book value at 30th June 2027</t>
  </si>
  <si>
    <t>Net book value at 30th June 2028</t>
  </si>
  <si>
    <t>As at 30th Jun 2027</t>
  </si>
  <si>
    <t>As at 30th Jun 2028</t>
  </si>
  <si>
    <t xml:space="preserve">Interest paid </t>
  </si>
  <si>
    <t>Administrative expense</t>
  </si>
  <si>
    <t>Cash flows from operating activities</t>
  </si>
  <si>
    <t>Cash generated from operations</t>
  </si>
  <si>
    <t>Adjustments for Non-cash items and other charges:</t>
  </si>
  <si>
    <t>Markup expense</t>
  </si>
  <si>
    <t>Depreciation and amortisation</t>
  </si>
  <si>
    <t>Provision for employee benefit obligations</t>
  </si>
  <si>
    <t>Share of loss/ (income) of. Associate</t>
  </si>
  <si>
    <t>Gain on disposal of operating assets</t>
  </si>
  <si>
    <t>Profit on deposits</t>
  </si>
  <si>
    <t>Working capital changes</t>
  </si>
  <si>
    <t>Working capital changes:</t>
  </si>
  <si>
    <t>trade receivables</t>
  </si>
  <si>
    <t>Trade deposits, loans, advances and short-term prepayments</t>
  </si>
  <si>
    <t>Other receibables</t>
  </si>
  <si>
    <t>Increase/ (decrease) in current liabilities</t>
  </si>
  <si>
    <t>Mark up paid</t>
  </si>
  <si>
    <t>Income tax paid</t>
  </si>
  <si>
    <t>Contribution to retirement benefit plans</t>
  </si>
  <si>
    <t>(Increase)/ decrease in long term deposits and loans</t>
  </si>
  <si>
    <t>Net cash geerated form operating activities</t>
  </si>
  <si>
    <t>Cash flows from investing activities</t>
  </si>
  <si>
    <t>Acquisition of property, plant and equipment</t>
  </si>
  <si>
    <t>Proceeds from disposal of property, plant and equipment</t>
  </si>
  <si>
    <t>Return received on markup bearing savings account</t>
  </si>
  <si>
    <t>Net cash used in investing activities</t>
  </si>
  <si>
    <t>Cash flows form financing activities</t>
  </si>
  <si>
    <t>Long term borrowing repaid</t>
  </si>
  <si>
    <t>Long term loans</t>
  </si>
  <si>
    <t>Procceds/ (repayment) of short term borrowing</t>
  </si>
  <si>
    <t>Lease rentals paid</t>
  </si>
  <si>
    <t>Dividend paid</t>
  </si>
  <si>
    <t>Net cash generated from financing activities</t>
  </si>
  <si>
    <t>Net (decrease)/ increase in cash and cash equivalents</t>
  </si>
  <si>
    <t>Cash and cash equivalents at the beginning of the year</t>
  </si>
  <si>
    <t>Cash and cash equivalents at the end of the year</t>
  </si>
  <si>
    <t>Profit/ (loss) before income tax</t>
  </si>
  <si>
    <t>VALUATION</t>
  </si>
  <si>
    <t>Particulars</t>
  </si>
  <si>
    <t>Amount</t>
  </si>
  <si>
    <t>Risk free rate (10 years bond)</t>
  </si>
  <si>
    <t>Market risk premium</t>
  </si>
  <si>
    <t>Beta (5 years)</t>
  </si>
  <si>
    <t>Free Cash Flow</t>
  </si>
  <si>
    <t>Discounted cash flow</t>
  </si>
  <si>
    <t>Horizon value</t>
  </si>
  <si>
    <t>Cost of equity</t>
  </si>
  <si>
    <t>Discounted horizon value</t>
  </si>
  <si>
    <t>Cost of debt</t>
  </si>
  <si>
    <t>Valuation of Pakistan Refinery Limited</t>
  </si>
  <si>
    <t xml:space="preserve">Long term Growth rate </t>
  </si>
  <si>
    <t>Debt %</t>
  </si>
  <si>
    <t>Equity %</t>
  </si>
  <si>
    <t>WACC</t>
  </si>
  <si>
    <t>Tax rate</t>
  </si>
  <si>
    <t>(Increase)/ decrease in current assets</t>
  </si>
  <si>
    <t>Key Highlights</t>
  </si>
  <si>
    <t xml:space="preserve">EPS  </t>
  </si>
  <si>
    <t>Tables and Charts</t>
  </si>
  <si>
    <t>EPS Growth</t>
  </si>
  <si>
    <t>Stock Performance</t>
  </si>
  <si>
    <t>Key Data</t>
  </si>
  <si>
    <t>Symbol</t>
  </si>
  <si>
    <t>Date</t>
  </si>
  <si>
    <t>Close</t>
  </si>
  <si>
    <t>Volume</t>
  </si>
  <si>
    <t>12m Price Range (PKR)</t>
  </si>
  <si>
    <t>P/E</t>
  </si>
  <si>
    <t>BIFO</t>
  </si>
  <si>
    <t>Outstanding Shares</t>
  </si>
  <si>
    <t>P/B</t>
  </si>
  <si>
    <t>Market Cap (PKR mn)</t>
  </si>
  <si>
    <t>BV/Share (PKR)</t>
  </si>
  <si>
    <t>Avg. Daily Turnover</t>
  </si>
  <si>
    <t>Price (PKR)</t>
  </si>
  <si>
    <t>Year End</t>
  </si>
  <si>
    <t>June</t>
  </si>
  <si>
    <t>Source: Company Financials, Financial Model</t>
  </si>
  <si>
    <t>Managing Director</t>
  </si>
  <si>
    <t>Source: PSX Data Portal</t>
  </si>
  <si>
    <t>Gross Margin</t>
  </si>
  <si>
    <t>Operating Margin</t>
  </si>
  <si>
    <t>Net Margin</t>
  </si>
  <si>
    <t>Activity Ratios</t>
  </si>
  <si>
    <t>Days Inventory Outstanding</t>
  </si>
  <si>
    <t>Days Sales Outstanding</t>
  </si>
  <si>
    <t>Days Payables Outstanding</t>
  </si>
  <si>
    <t>Asset Turnover</t>
  </si>
  <si>
    <t>Liquidity Ratios</t>
  </si>
  <si>
    <t>Current Ratio</t>
  </si>
  <si>
    <t>Quick Ratio</t>
  </si>
  <si>
    <t>Cash Conversion Cycle</t>
  </si>
  <si>
    <t>Solvency Ratios</t>
  </si>
  <si>
    <t>Debt to Assets</t>
  </si>
  <si>
    <t>Debt to Equity</t>
  </si>
  <si>
    <t>Interest Coverage</t>
  </si>
  <si>
    <t>Profitability Ratios</t>
  </si>
  <si>
    <t>DuPont Analysis</t>
  </si>
  <si>
    <t>ROA</t>
  </si>
  <si>
    <t>Leverage Ratio</t>
  </si>
  <si>
    <t>ROE</t>
  </si>
  <si>
    <t>Valuation Ratios</t>
  </si>
  <si>
    <t>P/S</t>
  </si>
  <si>
    <t>BVPS</t>
  </si>
  <si>
    <t>PRL</t>
  </si>
  <si>
    <t>12.14 - 19.91</t>
  </si>
  <si>
    <t>Min</t>
  </si>
  <si>
    <t>Max</t>
  </si>
  <si>
    <t>Zahid Mir</t>
  </si>
  <si>
    <t>Debt</t>
  </si>
  <si>
    <t>Equity</t>
  </si>
  <si>
    <t>Source</t>
  </si>
  <si>
    <t xml:space="preserve">Pakistan CPI </t>
  </si>
  <si>
    <t>IMF</t>
  </si>
  <si>
    <t>USA CPI</t>
  </si>
  <si>
    <t>World Bank</t>
  </si>
  <si>
    <t>Difference</t>
  </si>
  <si>
    <t>Data for Beta Calculation</t>
  </si>
  <si>
    <t>Symbol2</t>
  </si>
  <si>
    <t>Close3</t>
  </si>
  <si>
    <t>Returns-KSE</t>
  </si>
  <si>
    <t>Returns-BIFO</t>
  </si>
  <si>
    <t>KSE-100</t>
  </si>
  <si>
    <t>Check</t>
  </si>
  <si>
    <t>Sensitivity Analysis</t>
  </si>
  <si>
    <t>Growth rates</t>
  </si>
  <si>
    <t>Firm Value</t>
  </si>
  <si>
    <t>Equity Value/Share</t>
  </si>
  <si>
    <t>Lowest Price</t>
  </si>
  <si>
    <t>Highest Price</t>
  </si>
  <si>
    <t>Average Price</t>
  </si>
  <si>
    <t>AFN</t>
  </si>
  <si>
    <t>PARCO</t>
  </si>
  <si>
    <t>ATRL</t>
  </si>
  <si>
    <t>NRL</t>
  </si>
  <si>
    <t>Cnergyico</t>
  </si>
  <si>
    <t>FY18</t>
  </si>
  <si>
    <t>FY19</t>
  </si>
  <si>
    <t>FY20</t>
  </si>
  <si>
    <t>FY21</t>
  </si>
  <si>
    <t>FY22</t>
  </si>
  <si>
    <t>FY23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</si>
</sst>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_(* #,##0_);_(* \(#,##0\);_(* &quot;-&quot;_);_(@_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(* #,##0.00_);_(* \(#,##0.00\);_(* &quot;-&quot;_);_(@_)"/>
    <numFmt numFmtId="168" formatCode="_(* #,##0.0_);_(* \(#,##0.0\);_(* &quot;-&quot;_);_(@_)"/>
    <numFmt numFmtId="169" formatCode="_(* #,##0_);_(* \(#,##0\);_(* &quot;-&quot;??_);_(@_)"/>
    <numFmt numFmtId="170" formatCode="0.00000%"/>
    <numFmt numFmtId="171" formatCode="0.000%"/>
    <numFmt numFmtId="172" formatCode="0.0%"/>
    <numFmt numFmtId="173" formatCode="0.0"/>
    <numFmt numFmtId="174" formatCode="0.0000%"/>
    <numFmt numFmtId="175" formatCode="_(* #,##0_);_(* \(#,##0\);_(* &quot;-&quot;?_);_(@_)"/>
    <numFmt numFmtId="176" formatCode="_(* #,##0.00000_);_(* \(#,##0.00000\);_(* &quot;-&quot;_);_(@_)"/>
  </numFmts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rgb="FF38B54A"/>
      <name val="Tahoma"/>
      <family val="2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u/>
      <sz val="14"/>
      <color theme="1"/>
      <name val="Times New Roman"/>
      <family val="1"/>
    </font>
    <font>
      <b/>
      <i/>
      <u/>
      <sz val="16"/>
      <color theme="1"/>
      <name val="Times New Roman"/>
      <family val="1"/>
    </font>
    <font>
      <b/>
      <i/>
      <u/>
      <sz val="18"/>
      <color theme="1"/>
      <name val="Times New Roman"/>
      <family val="1"/>
    </font>
    <font>
      <b/>
      <i/>
      <u/>
      <sz val="24"/>
      <color theme="1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name val="Times New Roman"/>
      <family val="1"/>
    </font>
    <font>
      <sz val="16"/>
      <name val="Times New Roman"/>
      <family val="1"/>
    </font>
    <font>
      <b/>
      <sz val="18"/>
      <name val="Times New Roman"/>
      <family val="1"/>
    </font>
    <font>
      <b/>
      <sz val="16"/>
      <name val="Times New Roman"/>
      <family val="1"/>
    </font>
    <font>
      <sz val="11"/>
      <name val="Times New Roman"/>
      <family val="1"/>
    </font>
    <font>
      <sz val="12"/>
      <color rgb="FF0070C0"/>
      <name val="Times New Roman"/>
      <family val="1"/>
    </font>
    <font>
      <sz val="12"/>
      <color theme="1" tint="0.499984740745262"/>
      <name val="Times New Roman"/>
      <family val="1"/>
    </font>
    <font>
      <sz val="11"/>
      <color theme="2" tint="-0.499984740745262"/>
      <name val="Times New Roman"/>
      <family val="1"/>
    </font>
    <font>
      <b/>
      <sz val="14"/>
      <color theme="1"/>
      <name val="Times New Roman"/>
      <family val="1"/>
    </font>
    <font>
      <sz val="12"/>
      <color theme="2" tint="-0.249977111117893"/>
      <name val="Times New Roman"/>
      <family val="1"/>
    </font>
    <font>
      <b/>
      <sz val="14"/>
      <color theme="2" tint="-0.499984740745262"/>
      <name val="Times New Roman"/>
      <family val="1"/>
    </font>
    <font>
      <sz val="12"/>
      <color theme="2" tint="-0.499984740745262"/>
      <name val="Times New Roman"/>
      <family val="1"/>
    </font>
    <font>
      <b/>
      <sz val="14"/>
      <name val="Times New Roman"/>
      <family val="1"/>
    </font>
    <font>
      <sz val="11"/>
      <color theme="0" tint="-0.34998626667073579"/>
      <name val="Times New Roman"/>
      <family val="1"/>
    </font>
    <font>
      <sz val="18"/>
      <color theme="1"/>
      <name val="Times New Roman"/>
      <family val="1"/>
    </font>
    <font>
      <sz val="20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0" tint="-0.34998626667073579"/>
      <name val="Times New Roman"/>
      <family val="1"/>
    </font>
    <font>
      <sz val="12"/>
      <color theme="1" tint="4.9989318521683403E-2"/>
      <name val="Times New Roman"/>
      <family val="1"/>
    </font>
    <font>
      <sz val="10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11"/>
      <color theme="0"/>
      <name val="Aptos"/>
      <family val="2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333333"/>
      <name val="Times New Roman"/>
      <family val="1"/>
    </font>
    <font>
      <i/>
      <sz val="8"/>
      <color theme="1"/>
      <name val="Times New Roman"/>
      <family val="1"/>
    </font>
    <font>
      <sz val="9"/>
      <color theme="1"/>
      <name val="Times New Roman"/>
      <family val="1"/>
    </font>
    <font>
      <sz val="11"/>
      <color theme="6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5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3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164" fontId="3" fillId="0" borderId="0" applyFill="0" applyBorder="0"/>
    <xf numFmtId="166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53">
    <xf numFmtId="0" fontId="0" fillId="0" borderId="0" xfId="0"/>
    <xf numFmtId="0" fontId="2" fillId="0" borderId="0" xfId="0" applyFont="1"/>
    <xf numFmtId="0" fontId="6" fillId="0" borderId="0" xfId="8"/>
    <xf numFmtId="0" fontId="5" fillId="0" borderId="2" xfId="8" applyFont="1" applyBorder="1"/>
    <xf numFmtId="0" fontId="6" fillId="0" borderId="5" xfId="8" applyBorder="1"/>
    <xf numFmtId="164" fontId="0" fillId="0" borderId="0" xfId="9" applyFont="1" applyBorder="1"/>
    <xf numFmtId="164" fontId="0" fillId="0" borderId="11" xfId="9" applyFont="1" applyBorder="1"/>
    <xf numFmtId="1" fontId="6" fillId="0" borderId="0" xfId="8" applyNumberFormat="1"/>
    <xf numFmtId="0" fontId="6" fillId="0" borderId="11" xfId="8" applyBorder="1"/>
    <xf numFmtId="0" fontId="6" fillId="0" borderId="2" xfId="8" applyBorder="1"/>
    <xf numFmtId="0" fontId="6" fillId="0" borderId="3" xfId="8" applyBorder="1"/>
    <xf numFmtId="0" fontId="6" fillId="0" borderId="10" xfId="8" applyBorder="1"/>
    <xf numFmtId="9" fontId="0" fillId="0" borderId="0" xfId="10" applyFont="1" applyBorder="1"/>
    <xf numFmtId="9" fontId="0" fillId="0" borderId="11" xfId="10" applyFont="1" applyBorder="1"/>
    <xf numFmtId="3" fontId="7" fillId="0" borderId="0" xfId="8" applyNumberFormat="1" applyFont="1" applyAlignment="1">
      <alignment vertical="top" shrinkToFit="1"/>
    </xf>
    <xf numFmtId="3" fontId="7" fillId="0" borderId="0" xfId="8" applyNumberFormat="1" applyFont="1" applyAlignment="1">
      <alignment horizontal="right" vertical="top" shrinkToFit="1"/>
    </xf>
    <xf numFmtId="0" fontId="6" fillId="0" borderId="6" xfId="8" applyBorder="1"/>
    <xf numFmtId="9" fontId="0" fillId="0" borderId="7" xfId="10" applyFont="1" applyBorder="1"/>
    <xf numFmtId="9" fontId="0" fillId="0" borderId="12" xfId="10" applyFont="1" applyBorder="1"/>
    <xf numFmtId="0" fontId="6" fillId="0" borderId="3" xfId="8" applyBorder="1" applyAlignment="1">
      <alignment horizontal="center"/>
    </xf>
    <xf numFmtId="3" fontId="7" fillId="0" borderId="0" xfId="8" applyNumberFormat="1" applyFont="1" applyAlignment="1">
      <alignment horizontal="right" vertical="top" indent="1" shrinkToFit="1"/>
    </xf>
    <xf numFmtId="164" fontId="0" fillId="0" borderId="0" xfId="9" applyFont="1" applyBorder="1" applyAlignment="1"/>
    <xf numFmtId="10" fontId="6" fillId="0" borderId="11" xfId="8" applyNumberFormat="1" applyBorder="1" applyAlignment="1">
      <alignment vertical="center"/>
    </xf>
    <xf numFmtId="0" fontId="6" fillId="0" borderId="0" xfId="8" applyAlignment="1">
      <alignment vertical="center"/>
    </xf>
    <xf numFmtId="0" fontId="6" fillId="0" borderId="0" xfId="8" applyAlignment="1">
      <alignment horizontal="center"/>
    </xf>
    <xf numFmtId="9" fontId="6" fillId="0" borderId="11" xfId="8" applyNumberFormat="1" applyBorder="1"/>
    <xf numFmtId="10" fontId="6" fillId="0" borderId="11" xfId="8" applyNumberFormat="1" applyBorder="1"/>
    <xf numFmtId="172" fontId="0" fillId="0" borderId="11" xfId="10" applyNumberFormat="1" applyFont="1" applyBorder="1"/>
    <xf numFmtId="164" fontId="0" fillId="0" borderId="7" xfId="9" applyFont="1" applyBorder="1" applyAlignment="1"/>
    <xf numFmtId="9" fontId="6" fillId="0" borderId="12" xfId="8" applyNumberFormat="1" applyBorder="1"/>
    <xf numFmtId="0" fontId="1" fillId="0" borderId="0" xfId="8" applyFont="1" applyAlignment="1">
      <alignment horizontal="center"/>
    </xf>
    <xf numFmtId="10" fontId="6" fillId="0" borderId="0" xfId="8" applyNumberFormat="1" applyAlignment="1">
      <alignment horizontal="center" vertical="center"/>
    </xf>
    <xf numFmtId="9" fontId="6" fillId="0" borderId="0" xfId="8" applyNumberFormat="1" applyAlignment="1">
      <alignment horizontal="center"/>
    </xf>
    <xf numFmtId="10" fontId="6" fillId="0" borderId="0" xfId="8" applyNumberFormat="1" applyAlignment="1">
      <alignment horizontal="center"/>
    </xf>
    <xf numFmtId="172" fontId="0" fillId="0" borderId="0" xfId="10" applyNumberFormat="1" applyFont="1" applyBorder="1" applyAlignment="1">
      <alignment horizontal="center"/>
    </xf>
    <xf numFmtId="0" fontId="6" fillId="0" borderId="12" xfId="8" applyBorder="1"/>
    <xf numFmtId="17" fontId="8" fillId="0" borderId="2" xfId="8" applyNumberFormat="1" applyFont="1" applyBorder="1" applyAlignment="1">
      <alignment horizontal="center"/>
    </xf>
    <xf numFmtId="0" fontId="9" fillId="0" borderId="5" xfId="8" applyFont="1" applyBorder="1"/>
    <xf numFmtId="164" fontId="0" fillId="0" borderId="0" xfId="9" applyFont="1" applyBorder="1" applyAlignment="1">
      <alignment horizontal="right" vertical="top" shrinkToFit="1"/>
    </xf>
    <xf numFmtId="3" fontId="6" fillId="0" borderId="11" xfId="8" applyNumberFormat="1" applyBorder="1" applyAlignment="1">
      <alignment vertical="top" shrinkToFit="1"/>
    </xf>
    <xf numFmtId="164" fontId="0" fillId="0" borderId="0" xfId="9" applyFont="1" applyBorder="1" applyAlignment="1">
      <alignment horizontal="right"/>
    </xf>
    <xf numFmtId="164" fontId="10" fillId="0" borderId="0" xfId="9" applyFont="1" applyBorder="1" applyAlignment="1">
      <alignment horizontal="right" vertical="top" shrinkToFit="1"/>
    </xf>
    <xf numFmtId="0" fontId="10" fillId="0" borderId="6" xfId="8" applyFont="1" applyBorder="1"/>
    <xf numFmtId="164" fontId="0" fillId="0" borderId="7" xfId="9" applyFont="1" applyBorder="1" applyAlignment="1">
      <alignment horizontal="right" vertical="top" shrinkToFit="1"/>
    </xf>
    <xf numFmtId="3" fontId="6" fillId="0" borderId="12" xfId="8" applyNumberFormat="1" applyBorder="1" applyAlignment="1">
      <alignment vertical="top" shrinkToFit="1"/>
    </xf>
    <xf numFmtId="164" fontId="7" fillId="0" borderId="3" xfId="9" applyFont="1" applyBorder="1" applyAlignment="1">
      <alignment vertical="top" shrinkToFit="1"/>
    </xf>
    <xf numFmtId="164" fontId="0" fillId="0" borderId="3" xfId="9" applyFont="1" applyBorder="1"/>
    <xf numFmtId="3" fontId="6" fillId="0" borderId="10" xfId="8" applyNumberFormat="1" applyBorder="1" applyAlignment="1">
      <alignment vertical="top" shrinkToFit="1"/>
    </xf>
    <xf numFmtId="164" fontId="0" fillId="0" borderId="0" xfId="9" applyFont="1" applyBorder="1" applyAlignment="1">
      <alignment vertical="top" shrinkToFit="1"/>
    </xf>
    <xf numFmtId="164" fontId="7" fillId="0" borderId="0" xfId="9" applyFont="1" applyBorder="1" applyAlignment="1">
      <alignment vertical="top" shrinkToFit="1"/>
    </xf>
    <xf numFmtId="164" fontId="0" fillId="0" borderId="7" xfId="9" applyFont="1" applyBorder="1"/>
    <xf numFmtId="0" fontId="10" fillId="0" borderId="5" xfId="8" applyFont="1" applyBorder="1"/>
    <xf numFmtId="17" fontId="8" fillId="0" borderId="5" xfId="8" applyNumberFormat="1" applyFont="1" applyBorder="1" applyAlignment="1">
      <alignment horizontal="center"/>
    </xf>
    <xf numFmtId="3" fontId="6" fillId="0" borderId="11" xfId="8" applyNumberFormat="1" applyBorder="1"/>
    <xf numFmtId="164" fontId="6" fillId="0" borderId="11" xfId="8" applyNumberFormat="1" applyBorder="1"/>
    <xf numFmtId="169" fontId="0" fillId="0" borderId="11" xfId="11" applyNumberFormat="1" applyFont="1" applyBorder="1"/>
    <xf numFmtId="0" fontId="6" fillId="0" borderId="5" xfId="8" applyBorder="1" applyAlignment="1">
      <alignment horizontal="center"/>
    </xf>
    <xf numFmtId="164" fontId="6" fillId="0" borderId="0" xfId="8" applyNumberFormat="1"/>
    <xf numFmtId="0" fontId="6" fillId="0" borderId="6" xfId="8" applyBorder="1" applyAlignment="1">
      <alignment horizontal="center"/>
    </xf>
    <xf numFmtId="164" fontId="6" fillId="0" borderId="7" xfId="8" applyNumberFormat="1" applyBorder="1"/>
    <xf numFmtId="164" fontId="6" fillId="0" borderId="12" xfId="8" applyNumberFormat="1" applyBorder="1"/>
    <xf numFmtId="164" fontId="0" fillId="0" borderId="0" xfId="9" applyFont="1"/>
    <xf numFmtId="10" fontId="6" fillId="0" borderId="0" xfId="8" applyNumberFormat="1"/>
    <xf numFmtId="0" fontId="6" fillId="0" borderId="11" xfId="8" applyBorder="1" applyAlignment="1">
      <alignment horizontal="center"/>
    </xf>
    <xf numFmtId="164" fontId="6" fillId="0" borderId="0" xfId="8" applyNumberFormat="1" applyAlignment="1">
      <alignment horizontal="center"/>
    </xf>
    <xf numFmtId="169" fontId="6" fillId="0" borderId="0" xfId="8" applyNumberFormat="1" applyAlignment="1">
      <alignment horizontal="center"/>
    </xf>
    <xf numFmtId="164" fontId="6" fillId="0" borderId="11" xfId="8" applyNumberFormat="1" applyBorder="1" applyAlignment="1">
      <alignment horizontal="center"/>
    </xf>
    <xf numFmtId="164" fontId="6" fillId="0" borderId="7" xfId="8" applyNumberFormat="1" applyBorder="1" applyAlignment="1">
      <alignment horizontal="center"/>
    </xf>
    <xf numFmtId="169" fontId="6" fillId="0" borderId="7" xfId="8" applyNumberFormat="1" applyBorder="1" applyAlignment="1">
      <alignment horizontal="center"/>
    </xf>
    <xf numFmtId="164" fontId="6" fillId="0" borderId="12" xfId="8" applyNumberFormat="1" applyBorder="1" applyAlignment="1">
      <alignment horizontal="center"/>
    </xf>
    <xf numFmtId="0" fontId="6" fillId="0" borderId="7" xfId="8" applyBorder="1"/>
    <xf numFmtId="164" fontId="6" fillId="0" borderId="20" xfId="8" applyNumberFormat="1" applyBorder="1"/>
    <xf numFmtId="164" fontId="6" fillId="0" borderId="31" xfId="8" applyNumberFormat="1" applyBorder="1"/>
    <xf numFmtId="0" fontId="11" fillId="0" borderId="0" xfId="8" applyFont="1"/>
    <xf numFmtId="0" fontId="11" fillId="0" borderId="5" xfId="8" applyFont="1" applyBorder="1"/>
    <xf numFmtId="10" fontId="12" fillId="0" borderId="0" xfId="10" applyNumberFormat="1" applyFont="1" applyBorder="1"/>
    <xf numFmtId="10" fontId="12" fillId="0" borderId="11" xfId="10" applyNumberFormat="1" applyFont="1" applyBorder="1"/>
    <xf numFmtId="0" fontId="11" fillId="0" borderId="6" xfId="8" applyFont="1" applyBorder="1"/>
    <xf numFmtId="10" fontId="11" fillId="0" borderId="11" xfId="10" applyNumberFormat="1" applyFont="1" applyBorder="1"/>
    <xf numFmtId="0" fontId="11" fillId="4" borderId="2" xfId="8" applyFont="1" applyFill="1" applyBorder="1"/>
    <xf numFmtId="0" fontId="11" fillId="4" borderId="3" xfId="8" applyFont="1" applyFill="1" applyBorder="1" applyAlignment="1">
      <alignment horizontal="center"/>
    </xf>
    <xf numFmtId="0" fontId="11" fillId="4" borderId="10" xfId="8" applyFont="1" applyFill="1" applyBorder="1" applyAlignment="1">
      <alignment horizontal="center"/>
    </xf>
    <xf numFmtId="0" fontId="11" fillId="0" borderId="40" xfId="8" applyFont="1" applyBorder="1"/>
    <xf numFmtId="0" fontId="11" fillId="0" borderId="9" xfId="8" applyFont="1" applyBorder="1" applyAlignment="1">
      <alignment horizontal="center"/>
    </xf>
    <xf numFmtId="0" fontId="11" fillId="0" borderId="41" xfId="8" applyFont="1" applyBorder="1" applyAlignment="1">
      <alignment horizontal="center"/>
    </xf>
    <xf numFmtId="0" fontId="11" fillId="0" borderId="0" xfId="8" applyFont="1" applyAlignment="1">
      <alignment horizontal="center"/>
    </xf>
    <xf numFmtId="0" fontId="11" fillId="0" borderId="11" xfId="8" applyFont="1" applyBorder="1" applyAlignment="1">
      <alignment horizontal="center"/>
    </xf>
    <xf numFmtId="164" fontId="11" fillId="0" borderId="0" xfId="8" applyNumberFormat="1" applyFont="1" applyAlignment="1">
      <alignment horizontal="center"/>
    </xf>
    <xf numFmtId="164" fontId="11" fillId="0" borderId="11" xfId="8" applyNumberFormat="1" applyFont="1" applyBorder="1" applyAlignment="1">
      <alignment horizontal="center"/>
    </xf>
    <xf numFmtId="10" fontId="11" fillId="0" borderId="11" xfId="8" applyNumberFormat="1" applyFont="1" applyBorder="1"/>
    <xf numFmtId="169" fontId="11" fillId="0" borderId="0" xfId="8" applyNumberFormat="1" applyFont="1" applyAlignment="1">
      <alignment horizontal="center"/>
    </xf>
    <xf numFmtId="169" fontId="11" fillId="0" borderId="11" xfId="8" applyNumberFormat="1" applyFont="1" applyBorder="1" applyAlignment="1">
      <alignment horizontal="center"/>
    </xf>
    <xf numFmtId="9" fontId="11" fillId="0" borderId="11" xfId="8" applyNumberFormat="1" applyFont="1" applyBorder="1"/>
    <xf numFmtId="9" fontId="12" fillId="0" borderId="11" xfId="10" applyFont="1" applyBorder="1"/>
    <xf numFmtId="169" fontId="11" fillId="0" borderId="7" xfId="8" applyNumberFormat="1" applyFont="1" applyBorder="1" applyAlignment="1">
      <alignment horizontal="center"/>
    </xf>
    <xf numFmtId="0" fontId="11" fillId="0" borderId="7" xfId="8" applyFont="1" applyBorder="1" applyAlignment="1">
      <alignment horizontal="center"/>
    </xf>
    <xf numFmtId="0" fontId="11" fillId="0" borderId="12" xfId="8" applyFont="1" applyBorder="1" applyAlignment="1">
      <alignment horizontal="center"/>
    </xf>
    <xf numFmtId="9" fontId="11" fillId="0" borderId="11" xfId="10" applyFont="1" applyBorder="1"/>
    <xf numFmtId="9" fontId="11" fillId="0" borderId="12" xfId="10" applyFont="1" applyBorder="1"/>
    <xf numFmtId="1" fontId="11" fillId="0" borderId="0" xfId="10" applyNumberFormat="1" applyFont="1"/>
    <xf numFmtId="164" fontId="12" fillId="0" borderId="5" xfId="9" applyFont="1" applyBorder="1"/>
    <xf numFmtId="164" fontId="12" fillId="0" borderId="0" xfId="9" applyFont="1" applyBorder="1"/>
    <xf numFmtId="164" fontId="12" fillId="0" borderId="11" xfId="9" applyFont="1" applyBorder="1"/>
    <xf numFmtId="164" fontId="12" fillId="0" borderId="6" xfId="9" applyFont="1" applyBorder="1"/>
    <xf numFmtId="164" fontId="12" fillId="0" borderId="7" xfId="9" applyFont="1" applyBorder="1"/>
    <xf numFmtId="164" fontId="12" fillId="0" borderId="12" xfId="9" applyFont="1" applyBorder="1"/>
    <xf numFmtId="0" fontId="19" fillId="0" borderId="2" xfId="8" applyFont="1" applyBorder="1"/>
    <xf numFmtId="17" fontId="20" fillId="4" borderId="3" xfId="8" applyNumberFormat="1" applyFont="1" applyFill="1" applyBorder="1"/>
    <xf numFmtId="0" fontId="19" fillId="0" borderId="10" xfId="8" applyFont="1" applyBorder="1"/>
    <xf numFmtId="0" fontId="19" fillId="0" borderId="0" xfId="8" applyFont="1"/>
    <xf numFmtId="0" fontId="21" fillId="0" borderId="5" xfId="8" applyFont="1" applyBorder="1"/>
    <xf numFmtId="17" fontId="19" fillId="0" borderId="0" xfId="8" applyNumberFormat="1" applyFont="1"/>
    <xf numFmtId="0" fontId="19" fillId="0" borderId="11" xfId="8" applyFont="1" applyBorder="1"/>
    <xf numFmtId="0" fontId="22" fillId="0" borderId="5" xfId="7" applyFont="1" applyBorder="1"/>
    <xf numFmtId="0" fontId="19" fillId="0" borderId="5" xfId="8" applyFont="1" applyBorder="1"/>
    <xf numFmtId="164" fontId="19" fillId="0" borderId="2" xfId="8" applyNumberFormat="1" applyFont="1" applyBorder="1"/>
    <xf numFmtId="164" fontId="19" fillId="0" borderId="3" xfId="8" applyNumberFormat="1" applyFont="1" applyBorder="1"/>
    <xf numFmtId="164" fontId="19" fillId="0" borderId="10" xfId="8" applyNumberFormat="1" applyFont="1" applyBorder="1"/>
    <xf numFmtId="164" fontId="19" fillId="0" borderId="5" xfId="8" applyNumberFormat="1" applyFont="1" applyBorder="1"/>
    <xf numFmtId="164" fontId="19" fillId="0" borderId="0" xfId="8" applyNumberFormat="1" applyFont="1"/>
    <xf numFmtId="164" fontId="19" fillId="0" borderId="11" xfId="8" applyNumberFormat="1" applyFont="1" applyBorder="1"/>
    <xf numFmtId="164" fontId="19" fillId="0" borderId="6" xfId="8" applyNumberFormat="1" applyFont="1" applyBorder="1"/>
    <xf numFmtId="164" fontId="19" fillId="0" borderId="7" xfId="8" applyNumberFormat="1" applyFont="1" applyBorder="1"/>
    <xf numFmtId="164" fontId="19" fillId="0" borderId="12" xfId="8" applyNumberFormat="1" applyFont="1" applyBorder="1"/>
    <xf numFmtId="0" fontId="19" fillId="0" borderId="5" xfId="7" applyFont="1" applyBorder="1"/>
    <xf numFmtId="164" fontId="19" fillId="0" borderId="39" xfId="8" applyNumberFormat="1" applyFont="1" applyBorder="1"/>
    <xf numFmtId="164" fontId="19" fillId="0" borderId="20" xfId="8" applyNumberFormat="1" applyFont="1" applyBorder="1"/>
    <xf numFmtId="164" fontId="19" fillId="0" borderId="31" xfId="8" applyNumberFormat="1" applyFont="1" applyBorder="1"/>
    <xf numFmtId="0" fontId="19" fillId="0" borderId="6" xfId="8" applyFont="1" applyBorder="1"/>
    <xf numFmtId="169" fontId="19" fillId="0" borderId="5" xfId="8" applyNumberFormat="1" applyFont="1" applyBorder="1"/>
    <xf numFmtId="169" fontId="19" fillId="0" borderId="0" xfId="8" applyNumberFormat="1" applyFont="1"/>
    <xf numFmtId="169" fontId="19" fillId="0" borderId="11" xfId="8" applyNumberFormat="1" applyFont="1" applyBorder="1"/>
    <xf numFmtId="164" fontId="23" fillId="0" borderId="2" xfId="9" applyFont="1" applyBorder="1"/>
    <xf numFmtId="164" fontId="23" fillId="0" borderId="3" xfId="9" applyFont="1" applyBorder="1"/>
    <xf numFmtId="164" fontId="23" fillId="0" borderId="10" xfId="9" applyFont="1" applyBorder="1"/>
    <xf numFmtId="164" fontId="23" fillId="0" borderId="5" xfId="9" applyFont="1" applyBorder="1"/>
    <xf numFmtId="164" fontId="23" fillId="0" borderId="0" xfId="9" applyFont="1" applyBorder="1"/>
    <xf numFmtId="164" fontId="23" fillId="0" borderId="11" xfId="9" applyFont="1" applyBorder="1"/>
    <xf numFmtId="0" fontId="21" fillId="0" borderId="5" xfId="7" applyFont="1" applyBorder="1"/>
    <xf numFmtId="169" fontId="19" fillId="0" borderId="2" xfId="8" applyNumberFormat="1" applyFont="1" applyBorder="1"/>
    <xf numFmtId="169" fontId="19" fillId="0" borderId="3" xfId="8" applyNumberFormat="1" applyFont="1" applyBorder="1"/>
    <xf numFmtId="169" fontId="19" fillId="0" borderId="10" xfId="8" applyNumberFormat="1" applyFont="1" applyBorder="1"/>
    <xf numFmtId="166" fontId="19" fillId="0" borderId="5" xfId="8" applyNumberFormat="1" applyFont="1" applyBorder="1"/>
    <xf numFmtId="166" fontId="19" fillId="0" borderId="0" xfId="8" applyNumberFormat="1" applyFont="1"/>
    <xf numFmtId="166" fontId="19" fillId="0" borderId="11" xfId="8" applyNumberFormat="1" applyFont="1" applyBorder="1"/>
    <xf numFmtId="164" fontId="23" fillId="0" borderId="6" xfId="9" applyFont="1" applyBorder="1"/>
    <xf numFmtId="164" fontId="23" fillId="0" borderId="7" xfId="9" applyFont="1" applyBorder="1"/>
    <xf numFmtId="164" fontId="23" fillId="0" borderId="12" xfId="9" applyFont="1" applyBorder="1"/>
    <xf numFmtId="0" fontId="19" fillId="0" borderId="7" xfId="8" applyFont="1" applyBorder="1"/>
    <xf numFmtId="0" fontId="19" fillId="0" borderId="12" xfId="8" applyFont="1" applyBorder="1"/>
    <xf numFmtId="164" fontId="24" fillId="0" borderId="38" xfId="8" applyNumberFormat="1" applyFont="1" applyBorder="1"/>
    <xf numFmtId="164" fontId="24" fillId="0" borderId="7" xfId="8" applyNumberFormat="1" applyFont="1" applyBorder="1"/>
    <xf numFmtId="164" fontId="24" fillId="0" borderId="12" xfId="8" applyNumberFormat="1" applyFont="1" applyBorder="1"/>
    <xf numFmtId="17" fontId="6" fillId="5" borderId="3" xfId="8" applyNumberFormat="1" applyFill="1" applyBorder="1"/>
    <xf numFmtId="17" fontId="6" fillId="5" borderId="10" xfId="8" applyNumberFormat="1" applyFill="1" applyBorder="1"/>
    <xf numFmtId="0" fontId="1" fillId="5" borderId="3" xfId="8" applyFont="1" applyFill="1" applyBorder="1" applyAlignment="1">
      <alignment horizontal="center"/>
    </xf>
    <xf numFmtId="0" fontId="6" fillId="5" borderId="3" xfId="8" applyFill="1" applyBorder="1" applyAlignment="1">
      <alignment horizontal="center"/>
    </xf>
    <xf numFmtId="0" fontId="1" fillId="5" borderId="10" xfId="8" applyFont="1" applyFill="1" applyBorder="1" applyAlignment="1">
      <alignment horizontal="center"/>
    </xf>
    <xf numFmtId="0" fontId="12" fillId="0" borderId="0" xfId="0" applyFont="1"/>
    <xf numFmtId="0" fontId="12" fillId="0" borderId="22" xfId="0" applyFont="1" applyBorder="1"/>
    <xf numFmtId="0" fontId="12" fillId="0" borderId="18" xfId="0" applyFont="1" applyBorder="1"/>
    <xf numFmtId="3" fontId="12" fillId="0" borderId="18" xfId="0" applyNumberFormat="1" applyFont="1" applyBorder="1"/>
    <xf numFmtId="0" fontId="12" fillId="0" borderId="18" xfId="0" applyFont="1" applyBorder="1" applyAlignment="1">
      <alignment horizontal="center"/>
    </xf>
    <xf numFmtId="3" fontId="12" fillId="0" borderId="0" xfId="0" applyNumberFormat="1" applyFont="1"/>
    <xf numFmtId="169" fontId="12" fillId="0" borderId="0" xfId="6" applyNumberFormat="1" applyFont="1"/>
    <xf numFmtId="9" fontId="12" fillId="0" borderId="18" xfId="0" applyNumberFormat="1" applyFont="1" applyBorder="1" applyAlignment="1">
      <alignment horizontal="right"/>
    </xf>
    <xf numFmtId="0" fontId="12" fillId="0" borderId="2" xfId="0" applyFont="1" applyBorder="1"/>
    <xf numFmtId="0" fontId="12" fillId="0" borderId="4" xfId="0" applyFont="1" applyBorder="1"/>
    <xf numFmtId="17" fontId="12" fillId="5" borderId="3" xfId="4" applyNumberFormat="1" applyFont="1" applyFill="1" applyBorder="1"/>
    <xf numFmtId="17" fontId="12" fillId="5" borderId="4" xfId="4" applyNumberFormat="1" applyFont="1" applyFill="1" applyBorder="1"/>
    <xf numFmtId="17" fontId="12" fillId="4" borderId="35" xfId="4" applyNumberFormat="1" applyFont="1" applyFill="1" applyBorder="1"/>
    <xf numFmtId="17" fontId="12" fillId="4" borderId="4" xfId="4" applyNumberFormat="1" applyFont="1" applyFill="1" applyBorder="1"/>
    <xf numFmtId="1" fontId="12" fillId="0" borderId="18" xfId="0" applyNumberFormat="1" applyFont="1" applyBorder="1" applyAlignment="1">
      <alignment horizontal="right"/>
    </xf>
    <xf numFmtId="0" fontId="12" fillId="0" borderId="5" xfId="0" applyFont="1" applyBorder="1"/>
    <xf numFmtId="0" fontId="12" fillId="0" borderId="1" xfId="0" applyFont="1" applyBorder="1"/>
    <xf numFmtId="164" fontId="25" fillId="0" borderId="0" xfId="5" applyFont="1" applyBorder="1"/>
    <xf numFmtId="164" fontId="25" fillId="0" borderId="1" xfId="5" applyFont="1" applyBorder="1"/>
    <xf numFmtId="164" fontId="25" fillId="0" borderId="0" xfId="5" applyFont="1" applyFill="1" applyBorder="1"/>
    <xf numFmtId="164" fontId="12" fillId="0" borderId="22" xfId="0" applyNumberFormat="1" applyFont="1" applyBorder="1"/>
    <xf numFmtId="164" fontId="12" fillId="0" borderId="0" xfId="0" applyNumberFormat="1" applyFont="1"/>
    <xf numFmtId="0" fontId="12" fillId="0" borderId="5" xfId="0" applyFont="1" applyBorder="1" applyAlignment="1">
      <alignment horizontal="left"/>
    </xf>
    <xf numFmtId="168" fontId="12" fillId="0" borderId="18" xfId="0" applyNumberFormat="1" applyFont="1" applyBorder="1" applyAlignment="1">
      <alignment horizontal="right"/>
    </xf>
    <xf numFmtId="164" fontId="25" fillId="3" borderId="0" xfId="5" applyFont="1" applyFill="1" applyBorder="1"/>
    <xf numFmtId="166" fontId="12" fillId="0" borderId="22" xfId="6" applyFont="1" applyBorder="1"/>
    <xf numFmtId="164" fontId="12" fillId="0" borderId="18" xfId="0" applyNumberFormat="1" applyFont="1" applyBorder="1" applyAlignment="1">
      <alignment horizontal="right"/>
    </xf>
    <xf numFmtId="166" fontId="12" fillId="0" borderId="22" xfId="0" applyNumberFormat="1" applyFont="1" applyBorder="1"/>
    <xf numFmtId="164" fontId="19" fillId="0" borderId="1" xfId="5" applyFont="1" applyBorder="1"/>
    <xf numFmtId="10" fontId="25" fillId="0" borderId="0" xfId="3" applyNumberFormat="1" applyFont="1" applyBorder="1"/>
    <xf numFmtId="10" fontId="25" fillId="0" borderId="1" xfId="3" applyNumberFormat="1" applyFont="1" applyBorder="1"/>
    <xf numFmtId="164" fontId="25" fillId="0" borderId="20" xfId="5" applyFont="1" applyBorder="1"/>
    <xf numFmtId="164" fontId="25" fillId="0" borderId="21" xfId="5" applyFont="1" applyBorder="1"/>
    <xf numFmtId="17" fontId="12" fillId="0" borderId="4" xfId="4" applyNumberFormat="1" applyFont="1" applyFill="1" applyBorder="1"/>
    <xf numFmtId="10" fontId="25" fillId="0" borderId="0" xfId="3" applyNumberFormat="1" applyFont="1" applyFill="1" applyBorder="1"/>
    <xf numFmtId="0" fontId="12" fillId="0" borderId="6" xfId="0" applyFont="1" applyBorder="1"/>
    <xf numFmtId="0" fontId="12" fillId="0" borderId="8" xfId="0" applyFont="1" applyBorder="1"/>
    <xf numFmtId="164" fontId="25" fillId="0" borderId="25" xfId="5" applyFont="1" applyBorder="1"/>
    <xf numFmtId="164" fontId="25" fillId="0" borderId="26" xfId="5" applyFont="1" applyBorder="1"/>
    <xf numFmtId="164" fontId="25" fillId="0" borderId="27" xfId="5" applyFont="1" applyBorder="1"/>
    <xf numFmtId="164" fontId="25" fillId="0" borderId="28" xfId="5" applyFont="1" applyBorder="1"/>
    <xf numFmtId="164" fontId="19" fillId="0" borderId="43" xfId="5" applyFont="1" applyBorder="1"/>
    <xf numFmtId="164" fontId="19" fillId="0" borderId="28" xfId="5" applyFont="1" applyBorder="1"/>
    <xf numFmtId="167" fontId="25" fillId="0" borderId="0" xfId="5" applyNumberFormat="1" applyFont="1" applyBorder="1"/>
    <xf numFmtId="167" fontId="25" fillId="0" borderId="0" xfId="1" applyNumberFormat="1" applyFont="1" applyBorder="1"/>
    <xf numFmtId="167" fontId="25" fillId="0" borderId="7" xfId="1" applyNumberFormat="1" applyFont="1" applyBorder="1"/>
    <xf numFmtId="164" fontId="25" fillId="0" borderId="0" xfId="1" applyFont="1" applyBorder="1"/>
    <xf numFmtId="164" fontId="25" fillId="0" borderId="1" xfId="1" applyFont="1" applyBorder="1"/>
    <xf numFmtId="164" fontId="25" fillId="0" borderId="7" xfId="1" applyFont="1" applyBorder="1"/>
    <xf numFmtId="164" fontId="25" fillId="0" borderId="8" xfId="1" applyFont="1" applyBorder="1"/>
    <xf numFmtId="17" fontId="23" fillId="4" borderId="4" xfId="4" applyNumberFormat="1" applyFont="1" applyFill="1" applyBorder="1"/>
    <xf numFmtId="169" fontId="26" fillId="0" borderId="0" xfId="6" applyNumberFormat="1" applyFont="1"/>
    <xf numFmtId="170" fontId="25" fillId="0" borderId="0" xfId="3" applyNumberFormat="1" applyFont="1" applyBorder="1"/>
    <xf numFmtId="164" fontId="25" fillId="0" borderId="7" xfId="5" applyFont="1" applyBorder="1"/>
    <xf numFmtId="164" fontId="25" fillId="0" borderId="8" xfId="5" applyFont="1" applyBorder="1"/>
    <xf numFmtId="171" fontId="25" fillId="0" borderId="7" xfId="3" applyNumberFormat="1" applyFont="1" applyBorder="1"/>
    <xf numFmtId="17" fontId="12" fillId="4" borderId="10" xfId="4" applyNumberFormat="1" applyFont="1" applyFill="1" applyBorder="1"/>
    <xf numFmtId="0" fontId="12" fillId="0" borderId="11" xfId="0" applyFont="1" applyBorder="1"/>
    <xf numFmtId="164" fontId="12" fillId="0" borderId="11" xfId="0" applyNumberFormat="1" applyFont="1" applyBorder="1"/>
    <xf numFmtId="166" fontId="12" fillId="0" borderId="0" xfId="0" applyNumberFormat="1" applyFont="1"/>
    <xf numFmtId="166" fontId="12" fillId="0" borderId="11" xfId="0" applyNumberFormat="1" applyFont="1" applyBorder="1"/>
    <xf numFmtId="164" fontId="19" fillId="0" borderId="30" xfId="5" applyFont="1" applyBorder="1"/>
    <xf numFmtId="0" fontId="12" fillId="0" borderId="7" xfId="0" applyFont="1" applyBorder="1"/>
    <xf numFmtId="164" fontId="12" fillId="0" borderId="37" xfId="0" applyNumberFormat="1" applyFont="1" applyBorder="1"/>
    <xf numFmtId="164" fontId="12" fillId="0" borderId="7" xfId="0" applyNumberFormat="1" applyFont="1" applyBorder="1"/>
    <xf numFmtId="164" fontId="12" fillId="0" borderId="12" xfId="0" applyNumberFormat="1" applyFont="1" applyBorder="1"/>
    <xf numFmtId="0" fontId="12" fillId="0" borderId="0" xfId="0" applyFont="1" applyAlignment="1">
      <alignment horizontal="center"/>
    </xf>
    <xf numFmtId="169" fontId="23" fillId="0" borderId="22" xfId="0" applyNumberFormat="1" applyFont="1" applyBorder="1"/>
    <xf numFmtId="169" fontId="23" fillId="0" borderId="0" xfId="0" applyNumberFormat="1" applyFont="1"/>
    <xf numFmtId="169" fontId="23" fillId="0" borderId="11" xfId="0" applyNumberFormat="1" applyFont="1" applyBorder="1"/>
    <xf numFmtId="164" fontId="19" fillId="0" borderId="22" xfId="5" applyFont="1" applyFill="1" applyBorder="1"/>
    <xf numFmtId="164" fontId="19" fillId="0" borderId="0" xfId="5" applyFont="1" applyFill="1" applyBorder="1"/>
    <xf numFmtId="164" fontId="19" fillId="0" borderId="11" xfId="5" applyFont="1" applyFill="1" applyBorder="1"/>
    <xf numFmtId="9" fontId="12" fillId="0" borderId="7" xfId="0" applyNumberFormat="1" applyFont="1" applyBorder="1"/>
    <xf numFmtId="0" fontId="12" fillId="0" borderId="37" xfId="0" applyFont="1" applyBorder="1"/>
    <xf numFmtId="0" fontId="12" fillId="0" borderId="12" xfId="0" applyFont="1" applyBorder="1"/>
    <xf numFmtId="0" fontId="12" fillId="0" borderId="3" xfId="0" applyFont="1" applyBorder="1"/>
    <xf numFmtId="164" fontId="12" fillId="0" borderId="3" xfId="0" applyNumberFormat="1" applyFont="1" applyBorder="1"/>
    <xf numFmtId="0" fontId="12" fillId="0" borderId="10" xfId="0" applyFont="1" applyBorder="1"/>
    <xf numFmtId="9" fontId="12" fillId="0" borderId="0" xfId="3" applyFont="1" applyBorder="1"/>
    <xf numFmtId="17" fontId="12" fillId="0" borderId="0" xfId="0" applyNumberFormat="1" applyFont="1"/>
    <xf numFmtId="17" fontId="12" fillId="0" borderId="11" xfId="0" applyNumberFormat="1" applyFont="1" applyBorder="1"/>
    <xf numFmtId="0" fontId="12" fillId="0" borderId="0" xfId="0" applyFont="1" applyAlignment="1">
      <alignment horizontal="left"/>
    </xf>
    <xf numFmtId="169" fontId="12" fillId="0" borderId="0" xfId="0" applyNumberFormat="1" applyFont="1"/>
    <xf numFmtId="166" fontId="12" fillId="0" borderId="0" xfId="6" applyFont="1" applyBorder="1"/>
    <xf numFmtId="10" fontId="12" fillId="0" borderId="0" xfId="0" applyNumberFormat="1" applyFont="1"/>
    <xf numFmtId="17" fontId="12" fillId="5" borderId="2" xfId="4" applyNumberFormat="1" applyFont="1" applyFill="1" applyBorder="1"/>
    <xf numFmtId="17" fontId="12" fillId="5" borderId="10" xfId="4" applyNumberFormat="1" applyFont="1" applyFill="1" applyBorder="1"/>
    <xf numFmtId="164" fontId="25" fillId="0" borderId="5" xfId="5" applyFont="1" applyBorder="1"/>
    <xf numFmtId="164" fontId="25" fillId="0" borderId="11" xfId="5" applyFont="1" applyFill="1" applyBorder="1"/>
    <xf numFmtId="164" fontId="25" fillId="0" borderId="11" xfId="5" applyFont="1" applyBorder="1"/>
    <xf numFmtId="164" fontId="25" fillId="3" borderId="5" xfId="5" applyFont="1" applyFill="1" applyBorder="1"/>
    <xf numFmtId="10" fontId="25" fillId="0" borderId="5" xfId="3" applyNumberFormat="1" applyFont="1" applyBorder="1"/>
    <xf numFmtId="10" fontId="25" fillId="0" borderId="11" xfId="3" applyNumberFormat="1" applyFont="1" applyFill="1" applyBorder="1"/>
    <xf numFmtId="164" fontId="25" fillId="0" borderId="39" xfId="5" applyFont="1" applyBorder="1"/>
    <xf numFmtId="164" fontId="25" fillId="0" borderId="31" xfId="5" applyFont="1" applyBorder="1"/>
    <xf numFmtId="164" fontId="25" fillId="0" borderId="42" xfId="5" applyFont="1" applyBorder="1"/>
    <xf numFmtId="164" fontId="25" fillId="0" borderId="32" xfId="5" applyFont="1" applyBorder="1"/>
    <xf numFmtId="164" fontId="25" fillId="0" borderId="14" xfId="5" applyFont="1" applyBorder="1"/>
    <xf numFmtId="164" fontId="25" fillId="0" borderId="15" xfId="5" applyFont="1" applyBorder="1"/>
    <xf numFmtId="164" fontId="25" fillId="0" borderId="29" xfId="5" applyFont="1" applyBorder="1"/>
    <xf numFmtId="164" fontId="25" fillId="0" borderId="16" xfId="5" applyFont="1" applyBorder="1"/>
    <xf numFmtId="164" fontId="19" fillId="0" borderId="29" xfId="5" applyFont="1" applyBorder="1"/>
    <xf numFmtId="164" fontId="19" fillId="0" borderId="16" xfId="5" applyFont="1" applyBorder="1"/>
    <xf numFmtId="17" fontId="12" fillId="4" borderId="44" xfId="4" applyNumberFormat="1" applyFont="1" applyFill="1" applyBorder="1"/>
    <xf numFmtId="164" fontId="12" fillId="0" borderId="5" xfId="0" applyNumberFormat="1" applyFont="1" applyBorder="1"/>
    <xf numFmtId="169" fontId="12" fillId="0" borderId="5" xfId="0" applyNumberFormat="1" applyFont="1" applyBorder="1"/>
    <xf numFmtId="166" fontId="12" fillId="0" borderId="5" xfId="6" applyFont="1" applyBorder="1"/>
    <xf numFmtId="167" fontId="12" fillId="0" borderId="0" xfId="0" applyNumberFormat="1" applyFont="1"/>
    <xf numFmtId="167" fontId="12" fillId="0" borderId="11" xfId="0" applyNumberFormat="1" applyFont="1" applyBorder="1"/>
    <xf numFmtId="166" fontId="12" fillId="0" borderId="5" xfId="0" applyNumberFormat="1" applyFont="1" applyBorder="1"/>
    <xf numFmtId="164" fontId="19" fillId="0" borderId="11" xfId="5" applyFont="1" applyBorder="1"/>
    <xf numFmtId="10" fontId="12" fillId="0" borderId="5" xfId="0" applyNumberFormat="1" applyFont="1" applyBorder="1"/>
    <xf numFmtId="10" fontId="12" fillId="0" borderId="11" xfId="0" applyNumberFormat="1" applyFont="1" applyBorder="1"/>
    <xf numFmtId="17" fontId="12" fillId="0" borderId="44" xfId="4" applyNumberFormat="1" applyFont="1" applyFill="1" applyBorder="1"/>
    <xf numFmtId="17" fontId="12" fillId="0" borderId="10" xfId="4" applyNumberFormat="1" applyFont="1" applyFill="1" applyBorder="1"/>
    <xf numFmtId="164" fontId="19" fillId="0" borderId="45" xfId="5" applyFont="1" applyBorder="1"/>
    <xf numFmtId="164" fontId="19" fillId="0" borderId="26" xfId="5" applyFont="1" applyBorder="1"/>
    <xf numFmtId="164" fontId="19" fillId="0" borderId="32" xfId="5" applyFont="1" applyBorder="1"/>
    <xf numFmtId="0" fontId="23" fillId="0" borderId="0" xfId="0" applyFont="1"/>
    <xf numFmtId="167" fontId="19" fillId="0" borderId="0" xfId="5" applyNumberFormat="1" applyFont="1" applyBorder="1"/>
    <xf numFmtId="169" fontId="12" fillId="0" borderId="11" xfId="0" applyNumberFormat="1" applyFont="1" applyBorder="1"/>
    <xf numFmtId="169" fontId="12" fillId="0" borderId="5" xfId="6" applyNumberFormat="1" applyFont="1" applyBorder="1"/>
    <xf numFmtId="169" fontId="12" fillId="0" borderId="0" xfId="6" applyNumberFormat="1" applyFont="1" applyBorder="1"/>
    <xf numFmtId="169" fontId="12" fillId="0" borderId="11" xfId="6" applyNumberFormat="1" applyFont="1" applyBorder="1"/>
    <xf numFmtId="164" fontId="19" fillId="0" borderId="46" xfId="5" applyFont="1" applyBorder="1"/>
    <xf numFmtId="167" fontId="19" fillId="0" borderId="11" xfId="5" applyNumberFormat="1" applyFont="1" applyBorder="1"/>
    <xf numFmtId="1" fontId="12" fillId="0" borderId="0" xfId="0" applyNumberFormat="1" applyFont="1"/>
    <xf numFmtId="1" fontId="12" fillId="0" borderId="11" xfId="0" applyNumberFormat="1" applyFont="1" applyBorder="1"/>
    <xf numFmtId="167" fontId="12" fillId="0" borderId="5" xfId="0" applyNumberFormat="1" applyFont="1" applyBorder="1"/>
    <xf numFmtId="167" fontId="12" fillId="0" borderId="7" xfId="0" applyNumberFormat="1" applyFont="1" applyBorder="1"/>
    <xf numFmtId="167" fontId="12" fillId="0" borderId="12" xfId="0" applyNumberFormat="1" applyFont="1" applyBorder="1"/>
    <xf numFmtId="164" fontId="12" fillId="0" borderId="6" xfId="0" applyNumberFormat="1" applyFont="1" applyBorder="1"/>
    <xf numFmtId="17" fontId="23" fillId="4" borderId="44" xfId="4" applyNumberFormat="1" applyFont="1" applyFill="1" applyBorder="1"/>
    <xf numFmtId="17" fontId="23" fillId="4" borderId="10" xfId="4" applyNumberFormat="1" applyFont="1" applyFill="1" applyBorder="1"/>
    <xf numFmtId="170" fontId="12" fillId="0" borderId="5" xfId="3" applyNumberFormat="1" applyFont="1" applyBorder="1"/>
    <xf numFmtId="170" fontId="12" fillId="0" borderId="0" xfId="3" applyNumberFormat="1" applyFont="1" applyBorder="1"/>
    <xf numFmtId="170" fontId="12" fillId="0" borderId="11" xfId="3" applyNumberFormat="1" applyFont="1" applyBorder="1"/>
    <xf numFmtId="171" fontId="12" fillId="0" borderId="6" xfId="3" applyNumberFormat="1" applyFont="1" applyBorder="1"/>
    <xf numFmtId="171" fontId="12" fillId="0" borderId="7" xfId="3" applyNumberFormat="1" applyFont="1" applyBorder="1"/>
    <xf numFmtId="171" fontId="12" fillId="0" borderId="12" xfId="3" applyNumberFormat="1" applyFont="1" applyBorder="1"/>
    <xf numFmtId="171" fontId="12" fillId="0" borderId="6" xfId="0" applyNumberFormat="1" applyFont="1" applyBorder="1"/>
    <xf numFmtId="171" fontId="12" fillId="0" borderId="7" xfId="0" applyNumberFormat="1" applyFont="1" applyBorder="1"/>
    <xf numFmtId="171" fontId="12" fillId="0" borderId="12" xfId="0" applyNumberFormat="1" applyFont="1" applyBorder="1"/>
    <xf numFmtId="164" fontId="12" fillId="0" borderId="47" xfId="0" applyNumberFormat="1" applyFont="1" applyBorder="1"/>
    <xf numFmtId="164" fontId="12" fillId="0" borderId="27" xfId="0" applyNumberFormat="1" applyFont="1" applyBorder="1"/>
    <xf numFmtId="164" fontId="12" fillId="0" borderId="30" xfId="0" applyNumberFormat="1" applyFont="1" applyBorder="1"/>
    <xf numFmtId="167" fontId="25" fillId="0" borderId="5" xfId="5" applyNumberFormat="1" applyFont="1" applyBorder="1"/>
    <xf numFmtId="167" fontId="25" fillId="0" borderId="11" xfId="5" applyNumberFormat="1" applyFont="1" applyBorder="1"/>
    <xf numFmtId="167" fontId="25" fillId="0" borderId="5" xfId="1" applyNumberFormat="1" applyFont="1" applyBorder="1"/>
    <xf numFmtId="167" fontId="25" fillId="0" borderId="11" xfId="1" applyNumberFormat="1" applyFont="1" applyBorder="1"/>
    <xf numFmtId="167" fontId="25" fillId="0" borderId="6" xfId="1" applyNumberFormat="1" applyFont="1" applyBorder="1"/>
    <xf numFmtId="167" fontId="25" fillId="0" borderId="12" xfId="1" applyNumberFormat="1" applyFont="1" applyBorder="1"/>
    <xf numFmtId="164" fontId="19" fillId="0" borderId="0" xfId="5" applyFont="1" applyBorder="1"/>
    <xf numFmtId="164" fontId="19" fillId="0" borderId="5" xfId="5" applyFont="1" applyBorder="1"/>
    <xf numFmtId="0" fontId="15" fillId="0" borderId="0" xfId="0" applyFont="1"/>
    <xf numFmtId="0" fontId="27" fillId="0" borderId="2" xfId="0" applyFont="1" applyBorder="1"/>
    <xf numFmtId="0" fontId="27" fillId="0" borderId="5" xfId="0" applyFont="1" applyBorder="1"/>
    <xf numFmtId="164" fontId="28" fillId="0" borderId="0" xfId="1" applyFont="1" applyBorder="1"/>
    <xf numFmtId="164" fontId="28" fillId="0" borderId="0" xfId="1" applyFont="1" applyFill="1" applyBorder="1"/>
    <xf numFmtId="3" fontId="12" fillId="0" borderId="5" xfId="0" applyNumberFormat="1" applyFont="1" applyBorder="1"/>
    <xf numFmtId="3" fontId="12" fillId="0" borderId="11" xfId="0" applyNumberFormat="1" applyFont="1" applyBorder="1"/>
    <xf numFmtId="164" fontId="28" fillId="0" borderId="0" xfId="0" applyNumberFormat="1" applyFont="1"/>
    <xf numFmtId="0" fontId="28" fillId="0" borderId="0" xfId="0" applyFont="1"/>
    <xf numFmtId="10" fontId="28" fillId="0" borderId="7" xfId="3" applyNumberFormat="1" applyFont="1" applyBorder="1"/>
    <xf numFmtId="10" fontId="12" fillId="0" borderId="6" xfId="3" applyNumberFormat="1" applyFont="1" applyBorder="1"/>
    <xf numFmtId="10" fontId="12" fillId="0" borderId="7" xfId="3" applyNumberFormat="1" applyFont="1" applyBorder="1"/>
    <xf numFmtId="10" fontId="12" fillId="0" borderId="12" xfId="3" applyNumberFormat="1" applyFont="1" applyBorder="1"/>
    <xf numFmtId="10" fontId="28" fillId="0" borderId="0" xfId="3" applyNumberFormat="1" applyFont="1" applyBorder="1"/>
    <xf numFmtId="164" fontId="28" fillId="0" borderId="3" xfId="1" applyFont="1" applyFill="1" applyBorder="1"/>
    <xf numFmtId="164" fontId="19" fillId="0" borderId="2" xfId="1" applyFont="1" applyFill="1" applyBorder="1"/>
    <xf numFmtId="1" fontId="12" fillId="0" borderId="3" xfId="0" applyNumberFormat="1" applyFont="1" applyBorder="1"/>
    <xf numFmtId="1" fontId="12" fillId="0" borderId="10" xfId="0" applyNumberFormat="1" applyFont="1" applyBorder="1"/>
    <xf numFmtId="164" fontId="12" fillId="0" borderId="7" xfId="1" applyFont="1" applyFill="1" applyBorder="1"/>
    <xf numFmtId="164" fontId="12" fillId="0" borderId="0" xfId="1" applyFont="1" applyFill="1" applyBorder="1"/>
    <xf numFmtId="164" fontId="28" fillId="0" borderId="3" xfId="1" applyFont="1" applyBorder="1"/>
    <xf numFmtId="169" fontId="12" fillId="0" borderId="3" xfId="6" applyNumberFormat="1" applyFont="1" applyBorder="1"/>
    <xf numFmtId="164" fontId="19" fillId="0" borderId="2" xfId="0" applyNumberFormat="1" applyFont="1" applyBorder="1"/>
    <xf numFmtId="164" fontId="19" fillId="0" borderId="3" xfId="0" applyNumberFormat="1" applyFont="1" applyBorder="1"/>
    <xf numFmtId="164" fontId="19" fillId="0" borderId="10" xfId="0" applyNumberFormat="1" applyFont="1" applyBorder="1"/>
    <xf numFmtId="164" fontId="12" fillId="0" borderId="0" xfId="1" applyFont="1" applyBorder="1"/>
    <xf numFmtId="164" fontId="23" fillId="0" borderId="5" xfId="0" applyNumberFormat="1" applyFont="1" applyBorder="1"/>
    <xf numFmtId="164" fontId="23" fillId="0" borderId="0" xfId="0" applyNumberFormat="1" applyFont="1"/>
    <xf numFmtId="164" fontId="23" fillId="0" borderId="11" xfId="0" applyNumberFormat="1" applyFont="1" applyBorder="1"/>
    <xf numFmtId="164" fontId="23" fillId="0" borderId="5" xfId="9" applyFont="1" applyFill="1" applyBorder="1"/>
    <xf numFmtId="164" fontId="23" fillId="0" borderId="0" xfId="9" applyFont="1" applyFill="1" applyBorder="1"/>
    <xf numFmtId="164" fontId="23" fillId="0" borderId="11" xfId="9" applyFont="1" applyFill="1" applyBorder="1"/>
    <xf numFmtId="164" fontId="19" fillId="0" borderId="15" xfId="0" applyNumberFormat="1" applyFont="1" applyBorder="1"/>
    <xf numFmtId="0" fontId="28" fillId="0" borderId="3" xfId="0" applyFont="1" applyBorder="1"/>
    <xf numFmtId="164" fontId="19" fillId="0" borderId="5" xfId="0" applyNumberFormat="1" applyFont="1" applyBorder="1"/>
    <xf numFmtId="164" fontId="19" fillId="0" borderId="0" xfId="0" applyNumberFormat="1" applyFont="1"/>
    <xf numFmtId="164" fontId="19" fillId="0" borderId="11" xfId="0" applyNumberFormat="1" applyFont="1" applyBorder="1"/>
    <xf numFmtId="164" fontId="28" fillId="0" borderId="7" xfId="1" applyFont="1" applyBorder="1"/>
    <xf numFmtId="0" fontId="29" fillId="0" borderId="14" xfId="0" applyFont="1" applyBorder="1"/>
    <xf numFmtId="164" fontId="30" fillId="0" borderId="15" xfId="1" applyFont="1" applyBorder="1"/>
    <xf numFmtId="164" fontId="26" fillId="0" borderId="15" xfId="0" applyNumberFormat="1" applyFont="1" applyBorder="1"/>
    <xf numFmtId="164" fontId="30" fillId="0" borderId="15" xfId="1" applyFont="1" applyFill="1" applyBorder="1"/>
    <xf numFmtId="164" fontId="19" fillId="0" borderId="14" xfId="0" applyNumberFormat="1" applyFont="1" applyBorder="1"/>
    <xf numFmtId="164" fontId="19" fillId="0" borderId="16" xfId="0" applyNumberFormat="1" applyFont="1" applyBorder="1"/>
    <xf numFmtId="0" fontId="14" fillId="0" borderId="0" xfId="0" applyFont="1"/>
    <xf numFmtId="164" fontId="28" fillId="0" borderId="20" xfId="1" applyFont="1" applyBorder="1"/>
    <xf numFmtId="10" fontId="12" fillId="0" borderId="5" xfId="10" applyNumberFormat="1" applyFont="1" applyBorder="1"/>
    <xf numFmtId="10" fontId="12" fillId="0" borderId="6" xfId="10" applyNumberFormat="1" applyFont="1" applyBorder="1"/>
    <xf numFmtId="10" fontId="12" fillId="0" borderId="7" xfId="10" applyNumberFormat="1" applyFont="1" applyBorder="1"/>
    <xf numFmtId="10" fontId="12" fillId="0" borderId="12" xfId="10" applyNumberFormat="1" applyFont="1" applyBorder="1"/>
    <xf numFmtId="169" fontId="12" fillId="0" borderId="2" xfId="6" applyNumberFormat="1" applyFont="1" applyBorder="1"/>
    <xf numFmtId="169" fontId="12" fillId="0" borderId="10" xfId="6" applyNumberFormat="1" applyFont="1" applyBorder="1"/>
    <xf numFmtId="1" fontId="28" fillId="0" borderId="0" xfId="0" applyNumberFormat="1" applyFont="1"/>
    <xf numFmtId="164" fontId="28" fillId="0" borderId="20" xfId="0" applyNumberFormat="1" applyFont="1" applyBorder="1"/>
    <xf numFmtId="171" fontId="28" fillId="0" borderId="0" xfId="3" applyNumberFormat="1" applyFont="1" applyBorder="1"/>
    <xf numFmtId="10" fontId="12" fillId="0" borderId="5" xfId="3" applyNumberFormat="1" applyFont="1" applyBorder="1"/>
    <xf numFmtId="10" fontId="12" fillId="0" borderId="0" xfId="3" applyNumberFormat="1" applyFont="1" applyBorder="1"/>
    <xf numFmtId="10" fontId="12" fillId="0" borderId="11" xfId="3" applyNumberFormat="1" applyFont="1" applyBorder="1"/>
    <xf numFmtId="172" fontId="28" fillId="0" borderId="0" xfId="3" applyNumberFormat="1" applyFont="1" applyBorder="1"/>
    <xf numFmtId="171" fontId="28" fillId="0" borderId="7" xfId="3" applyNumberFormat="1" applyFont="1" applyBorder="1"/>
    <xf numFmtId="169" fontId="31" fillId="0" borderId="2" xfId="6" applyNumberFormat="1" applyFont="1" applyBorder="1"/>
    <xf numFmtId="169" fontId="30" fillId="0" borderId="3" xfId="6" applyNumberFormat="1" applyFont="1" applyBorder="1"/>
    <xf numFmtId="169" fontId="26" fillId="0" borderId="3" xfId="6" applyNumberFormat="1" applyFont="1" applyBorder="1"/>
    <xf numFmtId="169" fontId="30" fillId="0" borderId="0" xfId="6" applyNumberFormat="1" applyFont="1" applyBorder="1"/>
    <xf numFmtId="169" fontId="30" fillId="0" borderId="0" xfId="6" applyNumberFormat="1" applyFont="1" applyFill="1" applyBorder="1"/>
    <xf numFmtId="169" fontId="26" fillId="0" borderId="0" xfId="6" applyNumberFormat="1" applyFont="1" applyBorder="1"/>
    <xf numFmtId="169" fontId="30" fillId="0" borderId="20" xfId="6" applyNumberFormat="1" applyFont="1" applyBorder="1"/>
    <xf numFmtId="169" fontId="19" fillId="0" borderId="39" xfId="6" applyNumberFormat="1" applyFont="1" applyBorder="1"/>
    <xf numFmtId="169" fontId="19" fillId="0" borderId="20" xfId="6" applyNumberFormat="1" applyFont="1" applyBorder="1"/>
    <xf numFmtId="169" fontId="19" fillId="0" borderId="31" xfId="6" applyNumberFormat="1" applyFont="1" applyBorder="1"/>
    <xf numFmtId="174" fontId="30" fillId="0" borderId="7" xfId="3" applyNumberFormat="1" applyFont="1" applyBorder="1"/>
    <xf numFmtId="174" fontId="12" fillId="0" borderId="6" xfId="0" applyNumberFormat="1" applyFont="1" applyBorder="1"/>
    <xf numFmtId="174" fontId="12" fillId="0" borderId="7" xfId="0" applyNumberFormat="1" applyFont="1" applyBorder="1"/>
    <xf numFmtId="174" fontId="12" fillId="0" borderId="12" xfId="0" applyNumberFormat="1" applyFont="1" applyBorder="1"/>
    <xf numFmtId="0" fontId="27" fillId="0" borderId="14" xfId="0" applyFont="1" applyBorder="1"/>
    <xf numFmtId="164" fontId="28" fillId="0" borderId="15" xfId="1" applyFont="1" applyFill="1" applyBorder="1"/>
    <xf numFmtId="164" fontId="12" fillId="0" borderId="14" xfId="0" applyNumberFormat="1" applyFont="1" applyBorder="1"/>
    <xf numFmtId="164" fontId="12" fillId="0" borderId="15" xfId="0" applyNumberFormat="1" applyFont="1" applyBorder="1"/>
    <xf numFmtId="164" fontId="12" fillId="0" borderId="16" xfId="0" applyNumberFormat="1" applyFont="1" applyBorder="1"/>
    <xf numFmtId="169" fontId="27" fillId="0" borderId="2" xfId="6" applyNumberFormat="1" applyFont="1" applyBorder="1"/>
    <xf numFmtId="169" fontId="28" fillId="0" borderId="3" xfId="6" applyNumberFormat="1" applyFont="1" applyBorder="1"/>
    <xf numFmtId="0" fontId="23" fillId="0" borderId="2" xfId="0" applyFont="1" applyBorder="1"/>
    <xf numFmtId="0" fontId="23" fillId="0" borderId="3" xfId="0" applyFont="1" applyBorder="1"/>
    <xf numFmtId="0" fontId="23" fillId="0" borderId="10" xfId="0" applyFont="1" applyBorder="1"/>
    <xf numFmtId="169" fontId="28" fillId="0" borderId="0" xfId="6" applyNumberFormat="1" applyFont="1" applyBorder="1"/>
    <xf numFmtId="169" fontId="32" fillId="0" borderId="0" xfId="6" applyNumberFormat="1" applyFont="1" applyBorder="1"/>
    <xf numFmtId="164" fontId="23" fillId="0" borderId="22" xfId="0" applyNumberFormat="1" applyFont="1" applyBorder="1"/>
    <xf numFmtId="164" fontId="23" fillId="0" borderId="48" xfId="0" applyNumberFormat="1" applyFont="1" applyBorder="1"/>
    <xf numFmtId="169" fontId="28" fillId="0" borderId="0" xfId="6" applyNumberFormat="1" applyFont="1" applyFill="1" applyBorder="1"/>
    <xf numFmtId="169" fontId="19" fillId="0" borderId="5" xfId="6" applyNumberFormat="1" applyFont="1" applyFill="1" applyBorder="1"/>
    <xf numFmtId="169" fontId="19" fillId="0" borderId="0" xfId="6" applyNumberFormat="1" applyFont="1" applyFill="1" applyBorder="1"/>
    <xf numFmtId="169" fontId="19" fillId="0" borderId="11" xfId="6" applyNumberFormat="1" applyFont="1" applyFill="1" applyBorder="1"/>
    <xf numFmtId="169" fontId="12" fillId="0" borderId="6" xfId="6" applyNumberFormat="1" applyFont="1" applyBorder="1"/>
    <xf numFmtId="169" fontId="28" fillId="0" borderId="25" xfId="6" applyNumberFormat="1" applyFont="1" applyBorder="1"/>
    <xf numFmtId="169" fontId="19" fillId="0" borderId="42" xfId="6" applyNumberFormat="1" applyFont="1" applyBorder="1"/>
    <xf numFmtId="169" fontId="19" fillId="0" borderId="25" xfId="6" applyNumberFormat="1" applyFont="1" applyBorder="1"/>
    <xf numFmtId="169" fontId="19" fillId="0" borderId="32" xfId="6" applyNumberFormat="1" applyFont="1" applyBorder="1"/>
    <xf numFmtId="164" fontId="19" fillId="0" borderId="5" xfId="1" applyFont="1" applyFill="1" applyBorder="1"/>
    <xf numFmtId="164" fontId="19" fillId="0" borderId="0" xfId="1" applyFont="1" applyFill="1" applyBorder="1"/>
    <xf numFmtId="164" fontId="19" fillId="0" borderId="11" xfId="1" applyFont="1" applyFill="1" applyBorder="1"/>
    <xf numFmtId="164" fontId="28" fillId="0" borderId="25" xfId="0" applyNumberFormat="1" applyFont="1" applyBorder="1"/>
    <xf numFmtId="164" fontId="19" fillId="0" borderId="42" xfId="0" applyNumberFormat="1" applyFont="1" applyBorder="1"/>
    <xf numFmtId="164" fontId="19" fillId="0" borderId="25" xfId="0" applyNumberFormat="1" applyFont="1" applyBorder="1"/>
    <xf numFmtId="164" fontId="19" fillId="0" borderId="32" xfId="0" applyNumberFormat="1" applyFont="1" applyBorder="1"/>
    <xf numFmtId="0" fontId="18" fillId="0" borderId="0" xfId="0" applyFont="1"/>
    <xf numFmtId="164" fontId="12" fillId="0" borderId="2" xfId="0" applyNumberFormat="1" applyFont="1" applyBorder="1"/>
    <xf numFmtId="164" fontId="12" fillId="0" borderId="10" xfId="0" applyNumberFormat="1" applyFont="1" applyBorder="1"/>
    <xf numFmtId="164" fontId="12" fillId="0" borderId="5" xfId="1" applyFont="1" applyBorder="1"/>
    <xf numFmtId="164" fontId="19" fillId="0" borderId="39" xfId="1" applyFont="1" applyBorder="1"/>
    <xf numFmtId="164" fontId="19" fillId="0" borderId="20" xfId="1" applyFont="1" applyBorder="1"/>
    <xf numFmtId="164" fontId="19" fillId="0" borderId="31" xfId="1" applyFont="1" applyBorder="1"/>
    <xf numFmtId="9" fontId="28" fillId="0" borderId="0" xfId="3" applyFont="1" applyBorder="1"/>
    <xf numFmtId="9" fontId="12" fillId="0" borderId="5" xfId="10" applyFont="1" applyBorder="1"/>
    <xf numFmtId="9" fontId="12" fillId="0" borderId="0" xfId="10" applyFont="1" applyBorder="1"/>
    <xf numFmtId="169" fontId="12" fillId="0" borderId="7" xfId="6" applyNumberFormat="1" applyFont="1" applyBorder="1"/>
    <xf numFmtId="169" fontId="12" fillId="0" borderId="12" xfId="6" applyNumberFormat="1" applyFont="1" applyBorder="1"/>
    <xf numFmtId="169" fontId="12" fillId="0" borderId="6" xfId="0" applyNumberFormat="1" applyFont="1" applyBorder="1"/>
    <xf numFmtId="169" fontId="12" fillId="0" borderId="7" xfId="0" applyNumberFormat="1" applyFont="1" applyBorder="1"/>
    <xf numFmtId="169" fontId="12" fillId="0" borderId="12" xfId="0" applyNumberFormat="1" applyFont="1" applyBorder="1"/>
    <xf numFmtId="164" fontId="28" fillId="0" borderId="21" xfId="0" applyNumberFormat="1" applyFont="1" applyBorder="1"/>
    <xf numFmtId="167" fontId="28" fillId="0" borderId="0" xfId="1" applyNumberFormat="1" applyFont="1" applyBorder="1"/>
    <xf numFmtId="166" fontId="28" fillId="0" borderId="0" xfId="0" applyNumberFormat="1" applyFont="1"/>
    <xf numFmtId="166" fontId="12" fillId="0" borderId="2" xfId="0" applyNumberFormat="1" applyFont="1" applyBorder="1"/>
    <xf numFmtId="166" fontId="12" fillId="0" borderId="3" xfId="0" applyNumberFormat="1" applyFont="1" applyBorder="1"/>
    <xf numFmtId="166" fontId="12" fillId="0" borderId="10" xfId="0" applyNumberFormat="1" applyFont="1" applyBorder="1"/>
    <xf numFmtId="10" fontId="12" fillId="0" borderId="0" xfId="3" applyNumberFormat="1" applyFont="1"/>
    <xf numFmtId="175" fontId="19" fillId="0" borderId="36" xfId="0" applyNumberFormat="1" applyFont="1" applyBorder="1"/>
    <xf numFmtId="175" fontId="19" fillId="0" borderId="3" xfId="0" applyNumberFormat="1" applyFont="1" applyBorder="1"/>
    <xf numFmtId="175" fontId="19" fillId="0" borderId="10" xfId="0" applyNumberFormat="1" applyFont="1" applyBorder="1"/>
    <xf numFmtId="164" fontId="19" fillId="0" borderId="22" xfId="0" applyNumberFormat="1" applyFont="1" applyBorder="1"/>
    <xf numFmtId="0" fontId="27" fillId="0" borderId="6" xfId="0" applyFont="1" applyBorder="1"/>
    <xf numFmtId="164" fontId="19" fillId="0" borderId="37" xfId="0" applyNumberFormat="1" applyFont="1" applyBorder="1"/>
    <xf numFmtId="164" fontId="19" fillId="0" borderId="7" xfId="0" applyNumberFormat="1" applyFont="1" applyBorder="1"/>
    <xf numFmtId="164" fontId="19" fillId="0" borderId="12" xfId="0" applyNumberFormat="1" applyFont="1" applyBorder="1"/>
    <xf numFmtId="17" fontId="33" fillId="5" borderId="0" xfId="0" applyNumberFormat="1" applyFont="1" applyFill="1"/>
    <xf numFmtId="17" fontId="33" fillId="4" borderId="0" xfId="4" applyNumberFormat="1" applyFont="1" applyFill="1" applyBorder="1"/>
    <xf numFmtId="0" fontId="34" fillId="0" borderId="0" xfId="0" applyFont="1"/>
    <xf numFmtId="164" fontId="28" fillId="0" borderId="9" xfId="1" applyFont="1" applyBorder="1"/>
    <xf numFmtId="164" fontId="36" fillId="0" borderId="9" xfId="2" applyNumberFormat="1" applyFont="1" applyBorder="1"/>
    <xf numFmtId="0" fontId="13" fillId="0" borderId="0" xfId="0" applyFont="1"/>
    <xf numFmtId="164" fontId="19" fillId="0" borderId="0" xfId="1" applyFont="1" applyBorder="1"/>
    <xf numFmtId="164" fontId="28" fillId="0" borderId="11" xfId="1" applyFont="1" applyFill="1" applyBorder="1"/>
    <xf numFmtId="164" fontId="28" fillId="0" borderId="7" xfId="1" applyFont="1" applyFill="1" applyBorder="1"/>
    <xf numFmtId="164" fontId="28" fillId="0" borderId="12" xfId="1" applyFont="1" applyFill="1" applyBorder="1"/>
    <xf numFmtId="164" fontId="28" fillId="0" borderId="9" xfId="1" applyFont="1" applyFill="1" applyBorder="1"/>
    <xf numFmtId="164" fontId="37" fillId="0" borderId="0" xfId="9" applyFont="1"/>
    <xf numFmtId="164" fontId="28" fillId="0" borderId="15" xfId="1" applyFont="1" applyBorder="1"/>
    <xf numFmtId="164" fontId="19" fillId="0" borderId="14" xfId="1" applyFont="1" applyBorder="1"/>
    <xf numFmtId="164" fontId="19" fillId="0" borderId="15" xfId="1" applyFont="1" applyBorder="1"/>
    <xf numFmtId="164" fontId="19" fillId="0" borderId="16" xfId="1" applyFont="1" applyBorder="1"/>
    <xf numFmtId="0" fontId="27" fillId="0" borderId="0" xfId="0" applyFont="1"/>
    <xf numFmtId="164" fontId="28" fillId="0" borderId="20" xfId="1" applyFont="1" applyFill="1" applyBorder="1"/>
    <xf numFmtId="164" fontId="28" fillId="0" borderId="21" xfId="1" applyFont="1" applyFill="1" applyBorder="1"/>
    <xf numFmtId="164" fontId="28" fillId="0" borderId="1" xfId="1" applyFont="1" applyFill="1" applyBorder="1"/>
    <xf numFmtId="164" fontId="19" fillId="0" borderId="20" xfId="0" applyNumberFormat="1" applyFont="1" applyBorder="1"/>
    <xf numFmtId="164" fontId="28" fillId="0" borderId="18" xfId="0" applyNumberFormat="1" applyFont="1" applyBorder="1"/>
    <xf numFmtId="164" fontId="19" fillId="0" borderId="18" xfId="0" applyNumberFormat="1" applyFont="1" applyBorder="1"/>
    <xf numFmtId="164" fontId="12" fillId="0" borderId="0" xfId="1" applyFont="1"/>
    <xf numFmtId="164" fontId="28" fillId="0" borderId="24" xfId="1" applyFont="1" applyFill="1" applyBorder="1"/>
    <xf numFmtId="0" fontId="28" fillId="0" borderId="20" xfId="0" applyFont="1" applyBorder="1"/>
    <xf numFmtId="0" fontId="28" fillId="0" borderId="21" xfId="0" applyFont="1" applyBorder="1"/>
    <xf numFmtId="0" fontId="28" fillId="0" borderId="1" xfId="0" applyFont="1" applyBorder="1"/>
    <xf numFmtId="3" fontId="38" fillId="0" borderId="17" xfId="0" applyNumberFormat="1" applyFont="1" applyBorder="1" applyAlignment="1">
      <alignment horizontal="right" vertical="center" wrapText="1"/>
    </xf>
    <xf numFmtId="0" fontId="28" fillId="0" borderId="9" xfId="0" applyFont="1" applyBorder="1"/>
    <xf numFmtId="0" fontId="28" fillId="0" borderId="24" xfId="0" applyFont="1" applyBorder="1"/>
    <xf numFmtId="0" fontId="38" fillId="0" borderId="17" xfId="0" applyFont="1" applyBorder="1" applyAlignment="1">
      <alignment vertical="center" wrapText="1"/>
    </xf>
    <xf numFmtId="0" fontId="17" fillId="0" borderId="0" xfId="0" applyFont="1"/>
    <xf numFmtId="164" fontId="28" fillId="0" borderId="15" xfId="0" applyNumberFormat="1" applyFont="1" applyBorder="1"/>
    <xf numFmtId="17" fontId="35" fillId="5" borderId="0" xfId="0" applyNumberFormat="1" applyFont="1" applyFill="1"/>
    <xf numFmtId="164" fontId="28" fillId="0" borderId="14" xfId="0" applyNumberFormat="1" applyFont="1" applyBorder="1"/>
    <xf numFmtId="164" fontId="28" fillId="0" borderId="16" xfId="0" applyNumberFormat="1" applyFont="1" applyBorder="1"/>
    <xf numFmtId="0" fontId="28" fillId="0" borderId="19" xfId="0" applyFont="1" applyBorder="1"/>
    <xf numFmtId="0" fontId="28" fillId="0" borderId="22" xfId="0" applyFont="1" applyBorder="1"/>
    <xf numFmtId="0" fontId="28" fillId="0" borderId="23" xfId="0" applyFont="1" applyBorder="1"/>
    <xf numFmtId="3" fontId="12" fillId="0" borderId="19" xfId="0" applyNumberFormat="1" applyFont="1" applyBorder="1"/>
    <xf numFmtId="3" fontId="12" fillId="0" borderId="20" xfId="0" applyNumberFormat="1" applyFont="1" applyBorder="1"/>
    <xf numFmtId="3" fontId="12" fillId="0" borderId="21" xfId="0" applyNumberFormat="1" applyFont="1" applyBorder="1"/>
    <xf numFmtId="3" fontId="12" fillId="0" borderId="22" xfId="0" applyNumberFormat="1" applyFont="1" applyBorder="1"/>
    <xf numFmtId="3" fontId="12" fillId="0" borderId="1" xfId="0" applyNumberFormat="1" applyFont="1" applyBorder="1"/>
    <xf numFmtId="3" fontId="12" fillId="0" borderId="23" xfId="0" applyNumberFormat="1" applyFont="1" applyBorder="1"/>
    <xf numFmtId="3" fontId="12" fillId="0" borderId="9" xfId="0" applyNumberFormat="1" applyFont="1" applyBorder="1"/>
    <xf numFmtId="3" fontId="12" fillId="0" borderId="24" xfId="0" applyNumberFormat="1" applyFont="1" applyBorder="1"/>
    <xf numFmtId="164" fontId="28" fillId="0" borderId="19" xfId="1" applyFont="1" applyFill="1" applyBorder="1"/>
    <xf numFmtId="164" fontId="28" fillId="0" borderId="22" xfId="1" applyFont="1" applyFill="1" applyBorder="1"/>
    <xf numFmtId="164" fontId="28" fillId="0" borderId="23" xfId="1" applyFont="1" applyFill="1" applyBorder="1"/>
    <xf numFmtId="166" fontId="12" fillId="0" borderId="1" xfId="6" applyFont="1" applyBorder="1"/>
    <xf numFmtId="164" fontId="19" fillId="0" borderId="22" xfId="1" applyFont="1" applyFill="1" applyBorder="1"/>
    <xf numFmtId="164" fontId="19" fillId="0" borderId="1" xfId="1" applyFont="1" applyFill="1" applyBorder="1"/>
    <xf numFmtId="164" fontId="19" fillId="0" borderId="49" xfId="0" applyNumberFormat="1" applyFont="1" applyBorder="1"/>
    <xf numFmtId="164" fontId="28" fillId="0" borderId="49" xfId="0" applyNumberFormat="1" applyFont="1" applyBorder="1"/>
    <xf numFmtId="164" fontId="28" fillId="0" borderId="50" xfId="0" applyNumberFormat="1" applyFont="1" applyBorder="1"/>
    <xf numFmtId="164" fontId="28" fillId="0" borderId="51" xfId="0" applyNumberFormat="1" applyFont="1" applyBorder="1"/>
    <xf numFmtId="164" fontId="28" fillId="0" borderId="52" xfId="0" applyNumberFormat="1" applyFont="1" applyBorder="1"/>
    <xf numFmtId="164" fontId="19" fillId="0" borderId="51" xfId="0" applyNumberFormat="1" applyFont="1" applyBorder="1"/>
    <xf numFmtId="17" fontId="35" fillId="4" borderId="0" xfId="4" applyNumberFormat="1" applyFont="1" applyFill="1" applyBorder="1"/>
    <xf numFmtId="164" fontId="19" fillId="0" borderId="9" xfId="1" applyFont="1" applyBorder="1"/>
    <xf numFmtId="164" fontId="12" fillId="0" borderId="19" xfId="0" applyNumberFormat="1" applyFont="1" applyBorder="1"/>
    <xf numFmtId="164" fontId="12" fillId="0" borderId="20" xfId="0" applyNumberFormat="1" applyFont="1" applyBorder="1"/>
    <xf numFmtId="164" fontId="12" fillId="0" borderId="21" xfId="0" applyNumberFormat="1" applyFont="1" applyBorder="1"/>
    <xf numFmtId="164" fontId="12" fillId="0" borderId="1" xfId="0" applyNumberFormat="1" applyFont="1" applyBorder="1"/>
    <xf numFmtId="164" fontId="28" fillId="0" borderId="22" xfId="1" applyFont="1" applyBorder="1"/>
    <xf numFmtId="164" fontId="28" fillId="0" borderId="1" xfId="1" applyFont="1" applyBorder="1"/>
    <xf numFmtId="164" fontId="12" fillId="0" borderId="23" xfId="0" applyNumberFormat="1" applyFont="1" applyBorder="1"/>
    <xf numFmtId="164" fontId="12" fillId="0" borderId="9" xfId="0" applyNumberFormat="1" applyFont="1" applyBorder="1"/>
    <xf numFmtId="164" fontId="12" fillId="0" borderId="24" xfId="0" applyNumberFormat="1" applyFont="1" applyBorder="1"/>
    <xf numFmtId="164" fontId="28" fillId="0" borderId="19" xfId="1" applyFont="1" applyBorder="1"/>
    <xf numFmtId="164" fontId="36" fillId="0" borderId="20" xfId="0" applyNumberFormat="1" applyFont="1" applyBorder="1"/>
    <xf numFmtId="164" fontId="36" fillId="0" borderId="1" xfId="0" applyNumberFormat="1" applyFont="1" applyBorder="1"/>
    <xf numFmtId="164" fontId="28" fillId="0" borderId="23" xfId="1" applyFont="1" applyBorder="1"/>
    <xf numFmtId="164" fontId="28" fillId="0" borderId="5" xfId="1" applyFont="1" applyBorder="1"/>
    <xf numFmtId="164" fontId="28" fillId="0" borderId="6" xfId="1" applyFont="1" applyBorder="1"/>
    <xf numFmtId="0" fontId="40" fillId="3" borderId="0" xfId="0" applyFont="1" applyFill="1"/>
    <xf numFmtId="10" fontId="40" fillId="3" borderId="0" xfId="0" applyNumberFormat="1" applyFont="1" applyFill="1"/>
    <xf numFmtId="14" fontId="0" fillId="0" borderId="0" xfId="0" applyNumberFormat="1"/>
    <xf numFmtId="164" fontId="19" fillId="0" borderId="21" xfId="5" applyFont="1" applyBorder="1"/>
    <xf numFmtId="164" fontId="19" fillId="0" borderId="31" xfId="5" applyFont="1" applyBorder="1"/>
    <xf numFmtId="164" fontId="19" fillId="0" borderId="14" xfId="5" applyFont="1" applyBorder="1"/>
    <xf numFmtId="164" fontId="19" fillId="0" borderId="15" xfId="5" applyFont="1" applyBorder="1"/>
    <xf numFmtId="164" fontId="12" fillId="0" borderId="39" xfId="0" applyNumberFormat="1" applyFont="1" applyBorder="1"/>
    <xf numFmtId="164" fontId="12" fillId="0" borderId="31" xfId="0" applyNumberFormat="1" applyFont="1" applyBorder="1"/>
    <xf numFmtId="164" fontId="25" fillId="0" borderId="14" xfId="0" applyNumberFormat="1" applyFont="1" applyBorder="1"/>
    <xf numFmtId="164" fontId="25" fillId="0" borderId="15" xfId="0" applyNumberFormat="1" applyFont="1" applyBorder="1"/>
    <xf numFmtId="164" fontId="25" fillId="0" borderId="16" xfId="0" applyNumberFormat="1" applyFont="1" applyBorder="1"/>
    <xf numFmtId="164" fontId="19" fillId="0" borderId="53" xfId="5" applyFont="1" applyBorder="1"/>
    <xf numFmtId="164" fontId="11" fillId="0" borderId="14" xfId="0" applyNumberFormat="1" applyFont="1" applyBorder="1"/>
    <xf numFmtId="164" fontId="11" fillId="0" borderId="15" xfId="0" applyNumberFormat="1" applyFont="1" applyBorder="1"/>
    <xf numFmtId="164" fontId="11" fillId="0" borderId="16" xfId="0" applyNumberFormat="1" applyFont="1" applyBorder="1"/>
    <xf numFmtId="0" fontId="42" fillId="6" borderId="0" xfId="0" applyFont="1" applyFill="1"/>
    <xf numFmtId="0" fontId="43" fillId="5" borderId="0" xfId="0" applyFont="1" applyFill="1"/>
    <xf numFmtId="0" fontId="43" fillId="4" borderId="0" xfId="0" applyFont="1" applyFill="1"/>
    <xf numFmtId="0" fontId="12" fillId="3" borderId="0" xfId="0" applyFont="1" applyFill="1"/>
    <xf numFmtId="0" fontId="44" fillId="3" borderId="0" xfId="0" applyFont="1" applyFill="1" applyAlignment="1">
      <alignment horizontal="right" vertical="center" wrapText="1"/>
    </xf>
    <xf numFmtId="2" fontId="12" fillId="9" borderId="0" xfId="0" applyNumberFormat="1" applyFont="1" applyFill="1"/>
    <xf numFmtId="0" fontId="43" fillId="3" borderId="0" xfId="0" applyFont="1" applyFill="1"/>
    <xf numFmtId="166" fontId="12" fillId="3" borderId="0" xfId="0" applyNumberFormat="1" applyFont="1" applyFill="1"/>
    <xf numFmtId="172" fontId="12" fillId="3" borderId="0" xfId="0" applyNumberFormat="1" applyFont="1" applyFill="1"/>
    <xf numFmtId="172" fontId="12" fillId="9" borderId="0" xfId="0" applyNumberFormat="1" applyFont="1" applyFill="1"/>
    <xf numFmtId="2" fontId="12" fillId="3" borderId="0" xfId="0" applyNumberFormat="1" applyFont="1" applyFill="1"/>
    <xf numFmtId="0" fontId="45" fillId="6" borderId="0" xfId="0" applyFont="1" applyFill="1"/>
    <xf numFmtId="173" fontId="12" fillId="3" borderId="0" xfId="0" applyNumberFormat="1" applyFont="1" applyFill="1"/>
    <xf numFmtId="173" fontId="12" fillId="9" borderId="0" xfId="0" applyNumberFormat="1" applyFont="1" applyFill="1"/>
    <xf numFmtId="0" fontId="12" fillId="3" borderId="0" xfId="0" applyFont="1" applyFill="1" applyAlignment="1">
      <alignment horizontal="right"/>
    </xf>
    <xf numFmtId="14" fontId="12" fillId="0" borderId="0" xfId="0" applyNumberFormat="1" applyFont="1"/>
    <xf numFmtId="169" fontId="12" fillId="3" borderId="0" xfId="6" applyNumberFormat="1" applyFont="1" applyFill="1"/>
    <xf numFmtId="0" fontId="12" fillId="3" borderId="9" xfId="0" applyFont="1" applyFill="1" applyBorder="1"/>
    <xf numFmtId="2" fontId="12" fillId="3" borderId="9" xfId="0" applyNumberFormat="1" applyFont="1" applyFill="1" applyBorder="1"/>
    <xf numFmtId="2" fontId="12" fillId="9" borderId="9" xfId="0" applyNumberFormat="1" applyFont="1" applyFill="1" applyBorder="1"/>
    <xf numFmtId="4" fontId="46" fillId="0" borderId="0" xfId="0" applyNumberFormat="1" applyFont="1"/>
    <xf numFmtId="0" fontId="47" fillId="3" borderId="0" xfId="0" applyFont="1" applyFill="1"/>
    <xf numFmtId="0" fontId="48" fillId="3" borderId="9" xfId="0" applyFont="1" applyFill="1" applyBorder="1"/>
    <xf numFmtId="10" fontId="12" fillId="3" borderId="0" xfId="0" applyNumberFormat="1" applyFont="1" applyFill="1"/>
    <xf numFmtId="10" fontId="12" fillId="9" borderId="0" xfId="0" applyNumberFormat="1" applyFont="1" applyFill="1"/>
    <xf numFmtId="10" fontId="12" fillId="3" borderId="9" xfId="0" applyNumberFormat="1" applyFont="1" applyFill="1" applyBorder="1"/>
    <xf numFmtId="10" fontId="12" fillId="9" borderId="9" xfId="0" applyNumberFormat="1" applyFont="1" applyFill="1" applyBorder="1"/>
    <xf numFmtId="0" fontId="43" fillId="7" borderId="0" xfId="0" applyFont="1" applyFill="1"/>
    <xf numFmtId="166" fontId="12" fillId="3" borderId="0" xfId="6" applyFont="1" applyFill="1"/>
    <xf numFmtId="9" fontId="49" fillId="0" borderId="2" xfId="3" applyFont="1" applyBorder="1"/>
    <xf numFmtId="9" fontId="49" fillId="0" borderId="3" xfId="3" applyFont="1" applyBorder="1"/>
    <xf numFmtId="9" fontId="49" fillId="0" borderId="10" xfId="3" applyFont="1" applyBorder="1"/>
    <xf numFmtId="9" fontId="49" fillId="0" borderId="6" xfId="0" applyNumberFormat="1" applyFont="1" applyBorder="1"/>
    <xf numFmtId="9" fontId="49" fillId="0" borderId="7" xfId="0" applyNumberFormat="1" applyFont="1" applyBorder="1"/>
    <xf numFmtId="9" fontId="49" fillId="0" borderId="12" xfId="0" applyNumberFormat="1" applyFont="1" applyBorder="1"/>
    <xf numFmtId="9" fontId="12" fillId="0" borderId="2" xfId="3" applyFont="1" applyBorder="1"/>
    <xf numFmtId="9" fontId="12" fillId="0" borderId="3" xfId="3" applyFont="1" applyBorder="1"/>
    <xf numFmtId="9" fontId="12" fillId="0" borderId="10" xfId="3" applyFont="1" applyBorder="1"/>
    <xf numFmtId="9" fontId="12" fillId="0" borderId="6" xfId="0" applyNumberFormat="1" applyFont="1" applyBorder="1"/>
    <xf numFmtId="9" fontId="12" fillId="0" borderId="12" xfId="0" applyNumberFormat="1" applyFont="1" applyBorder="1"/>
    <xf numFmtId="169" fontId="23" fillId="0" borderId="5" xfId="6" applyNumberFormat="1" applyFont="1" applyBorder="1"/>
    <xf numFmtId="169" fontId="23" fillId="0" borderId="6" xfId="6" applyNumberFormat="1" applyFont="1" applyBorder="1"/>
    <xf numFmtId="0" fontId="39" fillId="0" borderId="0" xfId="0" applyFont="1"/>
    <xf numFmtId="0" fontId="39" fillId="10" borderId="0" xfId="0" applyFont="1" applyFill="1"/>
    <xf numFmtId="10" fontId="0" fillId="0" borderId="0" xfId="0" applyNumberFormat="1" applyAlignment="1">
      <alignment horizontal="right"/>
    </xf>
    <xf numFmtId="10" fontId="0" fillId="10" borderId="0" xfId="12" applyNumberFormat="1" applyFont="1" applyFill="1"/>
    <xf numFmtId="10" fontId="0" fillId="0" borderId="0" xfId="12" applyNumberFormat="1" applyFont="1"/>
    <xf numFmtId="9" fontId="0" fillId="0" borderId="0" xfId="12" applyFont="1"/>
    <xf numFmtId="10" fontId="0" fillId="0" borderId="0" xfId="0" applyNumberFormat="1"/>
    <xf numFmtId="17" fontId="41" fillId="3" borderId="0" xfId="0" applyNumberFormat="1" applyFont="1" applyFill="1" applyAlignment="1">
      <alignment horizontal="right"/>
    </xf>
    <xf numFmtId="0" fontId="41" fillId="3" borderId="0" xfId="0" applyFont="1" applyFill="1"/>
    <xf numFmtId="0" fontId="41" fillId="3" borderId="0" xfId="0" applyFont="1" applyFill="1" applyAlignment="1">
      <alignment horizontal="center"/>
    </xf>
    <xf numFmtId="10" fontId="41" fillId="3" borderId="0" xfId="0" applyNumberFormat="1" applyFont="1" applyFill="1"/>
    <xf numFmtId="9" fontId="11" fillId="0" borderId="0" xfId="10" applyFont="1" applyBorder="1"/>
    <xf numFmtId="17" fontId="45" fillId="3" borderId="0" xfId="0" applyNumberFormat="1" applyFont="1" applyFill="1" applyAlignment="1">
      <alignment horizontal="right"/>
    </xf>
    <xf numFmtId="0" fontId="45" fillId="3" borderId="0" xfId="0" applyFont="1" applyFill="1"/>
    <xf numFmtId="0" fontId="45" fillId="3" borderId="0" xfId="0" applyFont="1" applyFill="1" applyAlignment="1">
      <alignment horizontal="center"/>
    </xf>
    <xf numFmtId="10" fontId="45" fillId="3" borderId="0" xfId="0" applyNumberFormat="1" applyFont="1" applyFill="1"/>
    <xf numFmtId="2" fontId="11" fillId="0" borderId="11" xfId="8" applyNumberFormat="1" applyFont="1" applyBorder="1"/>
    <xf numFmtId="17" fontId="42" fillId="4" borderId="0" xfId="0" applyNumberFormat="1" applyFont="1" applyFill="1" applyAlignment="1">
      <alignment horizontal="left"/>
    </xf>
    <xf numFmtId="17" fontId="50" fillId="4" borderId="0" xfId="0" applyNumberFormat="1" applyFont="1" applyFill="1" applyAlignment="1">
      <alignment horizontal="left"/>
    </xf>
    <xf numFmtId="0" fontId="50" fillId="8" borderId="0" xfId="0" applyFont="1" applyFill="1"/>
    <xf numFmtId="169" fontId="11" fillId="0" borderId="11" xfId="6" applyNumberFormat="1" applyFont="1" applyBorder="1"/>
    <xf numFmtId="164" fontId="19" fillId="0" borderId="15" xfId="8" applyNumberFormat="1" applyFont="1" applyBorder="1"/>
    <xf numFmtId="164" fontId="19" fillId="0" borderId="16" xfId="8" applyNumberFormat="1" applyFont="1" applyBorder="1"/>
    <xf numFmtId="0" fontId="22" fillId="0" borderId="14" xfId="8" applyFont="1" applyBorder="1"/>
    <xf numFmtId="164" fontId="19" fillId="0" borderId="14" xfId="8" applyNumberFormat="1" applyFont="1" applyBorder="1"/>
    <xf numFmtId="164" fontId="24" fillId="0" borderId="14" xfId="8" applyNumberFormat="1" applyFont="1" applyBorder="1"/>
    <xf numFmtId="164" fontId="24" fillId="0" borderId="15" xfId="8" applyNumberFormat="1" applyFont="1" applyBorder="1"/>
    <xf numFmtId="164" fontId="24" fillId="0" borderId="16" xfId="8" applyNumberFormat="1" applyFont="1" applyBorder="1"/>
    <xf numFmtId="0" fontId="11" fillId="0" borderId="18" xfId="8" applyFont="1" applyBorder="1"/>
    <xf numFmtId="176" fontId="11" fillId="0" borderId="18" xfId="8" applyNumberFormat="1" applyFont="1" applyBorder="1"/>
    <xf numFmtId="9" fontId="11" fillId="0" borderId="18" xfId="8" applyNumberFormat="1" applyFont="1" applyBorder="1" applyAlignment="1">
      <alignment horizontal="center"/>
    </xf>
    <xf numFmtId="9" fontId="11" fillId="0" borderId="18" xfId="8" applyNumberFormat="1" applyFont="1" applyBorder="1"/>
    <xf numFmtId="0" fontId="11" fillId="0" borderId="18" xfId="8" applyFont="1" applyBorder="1" applyAlignment="1">
      <alignment horizontal="center"/>
    </xf>
    <xf numFmtId="169" fontId="11" fillId="0" borderId="18" xfId="8" applyNumberFormat="1" applyFont="1" applyBorder="1" applyAlignment="1">
      <alignment horizontal="center"/>
    </xf>
    <xf numFmtId="0" fontId="12" fillId="3" borderId="18" xfId="0" applyFont="1" applyFill="1" applyBorder="1"/>
    <xf numFmtId="169" fontId="12" fillId="3" borderId="18" xfId="6" applyNumberFormat="1" applyFont="1" applyFill="1" applyBorder="1"/>
    <xf numFmtId="176" fontId="11" fillId="0" borderId="18" xfId="8" applyNumberFormat="1" applyFont="1" applyBorder="1" applyAlignment="1">
      <alignment horizontal="center"/>
    </xf>
    <xf numFmtId="0" fontId="51" fillId="0" borderId="0" xfId="8" applyFont="1"/>
    <xf numFmtId="169" fontId="11" fillId="0" borderId="0" xfId="8" applyNumberFormat="1" applyFont="1"/>
    <xf numFmtId="0" fontId="39" fillId="5" borderId="2" xfId="0" applyFont="1" applyFill="1" applyBorder="1" applyAlignment="1">
      <alignment horizontal="center" vertical="center" wrapText="1"/>
    </xf>
    <xf numFmtId="0" fontId="39" fillId="5" borderId="3" xfId="0" applyFont="1" applyFill="1" applyBorder="1" applyAlignment="1">
      <alignment horizontal="center" vertical="center" wrapText="1"/>
    </xf>
    <xf numFmtId="0" fontId="39" fillId="5" borderId="10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9" fontId="0" fillId="0" borderId="0" xfId="0" applyNumberFormat="1" applyAlignment="1">
      <alignment vertical="center" wrapText="1"/>
    </xf>
    <xf numFmtId="9" fontId="0" fillId="0" borderId="11" xfId="0" applyNumberForma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9" fontId="0" fillId="0" borderId="7" xfId="0" applyNumberFormat="1" applyBorder="1" applyAlignment="1">
      <alignment vertical="center" wrapText="1"/>
    </xf>
    <xf numFmtId="9" fontId="0" fillId="0" borderId="12" xfId="0" applyNumberFormat="1" applyBorder="1" applyAlignment="1">
      <alignment vertical="center" wrapText="1"/>
    </xf>
    <xf numFmtId="0" fontId="11" fillId="5" borderId="33" xfId="8" applyFont="1" applyFill="1" applyBorder="1"/>
    <xf numFmtId="0" fontId="11" fillId="5" borderId="34" xfId="8" applyFont="1" applyFill="1" applyBorder="1"/>
    <xf numFmtId="0" fontId="12" fillId="0" borderId="5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6" xfId="0" applyFont="1" applyBorder="1" applyAlignment="1">
      <alignment horizontal="left"/>
    </xf>
    <xf numFmtId="0" fontId="12" fillId="0" borderId="7" xfId="0" applyFont="1" applyBorder="1" applyAlignment="1">
      <alignment horizontal="left"/>
    </xf>
    <xf numFmtId="0" fontId="12" fillId="0" borderId="6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6" fillId="0" borderId="5" xfId="8" applyBorder="1" applyAlignment="1">
      <alignment horizontal="center"/>
    </xf>
    <xf numFmtId="0" fontId="6" fillId="0" borderId="0" xfId="8" applyAlignment="1">
      <alignment horizontal="center"/>
    </xf>
    <xf numFmtId="0" fontId="6" fillId="0" borderId="33" xfId="8" applyBorder="1" applyAlignment="1">
      <alignment horizontal="center"/>
    </xf>
    <xf numFmtId="0" fontId="6" fillId="0" borderId="13" xfId="8" applyBorder="1" applyAlignment="1">
      <alignment horizontal="center"/>
    </xf>
    <xf numFmtId="0" fontId="6" fillId="0" borderId="34" xfId="8" applyBorder="1" applyAlignment="1">
      <alignment horizontal="center"/>
    </xf>
    <xf numFmtId="3" fontId="10" fillId="0" borderId="0" xfId="8" applyNumberFormat="1" applyFont="1" applyAlignment="1">
      <alignment horizontal="center" vertical="top" shrinkToFit="1"/>
    </xf>
    <xf numFmtId="0" fontId="6" fillId="0" borderId="2" xfId="8" applyBorder="1" applyAlignment="1">
      <alignment horizontal="center"/>
    </xf>
    <xf numFmtId="0" fontId="6" fillId="0" borderId="10" xfId="8" applyBorder="1" applyAlignment="1">
      <alignment horizontal="center"/>
    </xf>
    <xf numFmtId="0" fontId="6" fillId="0" borderId="3" xfId="8" applyBorder="1" applyAlignment="1">
      <alignment horizontal="center"/>
    </xf>
    <xf numFmtId="17" fontId="6" fillId="0" borderId="0" xfId="8" applyNumberFormat="1" applyAlignment="1">
      <alignment horizontal="center"/>
    </xf>
    <xf numFmtId="17" fontId="6" fillId="0" borderId="11" xfId="8" applyNumberFormat="1" applyBorder="1" applyAlignment="1">
      <alignment horizontal="center"/>
    </xf>
    <xf numFmtId="0" fontId="6" fillId="0" borderId="0" xfId="8" applyAlignment="1">
      <alignment horizontal="center" vertical="center"/>
    </xf>
    <xf numFmtId="0" fontId="16" fillId="0" borderId="0" xfId="8" applyFont="1" applyAlignment="1">
      <alignment horizontal="center"/>
    </xf>
    <xf numFmtId="0" fontId="11" fillId="4" borderId="18" xfId="8" applyFont="1" applyFill="1" applyBorder="1" applyAlignment="1">
      <alignment horizontal="center"/>
    </xf>
    <xf numFmtId="0" fontId="11" fillId="5" borderId="18" xfId="8" applyFont="1" applyFill="1" applyBorder="1" applyAlignment="1">
      <alignment horizontal="center" vertical="center"/>
    </xf>
  </cellXfs>
  <cellStyles count="13">
    <cellStyle name="20% - Accent1" xfId="4" builtinId="30"/>
    <cellStyle name="Comma" xfId="6" builtinId="3"/>
    <cellStyle name="Comma [0]" xfId="1" builtinId="6"/>
    <cellStyle name="Comma [0] 2" xfId="9" xr:uid="{81E0A4F3-4706-4C3E-80E3-3E4A1BCD2471}"/>
    <cellStyle name="Comma 2" xfId="11" xr:uid="{69011E4C-C11D-46E8-9DF9-5243BAF7F290}"/>
    <cellStyle name="Currency" xfId="2" builtinId="4"/>
    <cellStyle name="Heading 4" xfId="7" builtinId="19"/>
    <cellStyle name="Historical Data" xfId="5" xr:uid="{FEC72D72-9AC2-40C1-9F4C-BAADF3DE4C24}"/>
    <cellStyle name="Normal" xfId="0" builtinId="0"/>
    <cellStyle name="Normal 2" xfId="8" xr:uid="{8021B98C-423E-4A5F-801B-045A13EEC340}"/>
    <cellStyle name="Percent" xfId="3" builtinId="5"/>
    <cellStyle name="Percent 2" xfId="10" xr:uid="{6E2C7FAF-0450-4C45-B77E-BF21C570C088}"/>
    <cellStyle name="Percent 2 2" xfId="12" xr:uid="{490674DC-7074-4900-9EF3-BCDDB4A848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r>
              <a:rPr lang="en-US"/>
              <a:t>Stock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ptos" panose="020B00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'Ratios (2)'!$P$6</c:f>
              <c:strCache>
                <c:ptCount val="1"/>
                <c:pt idx="0">
                  <c:v>Volume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'Ratios (2)'!$N$7:$N$252</c:f>
              <c:numCache>
                <c:formatCode>m/d/yyyy</c:formatCode>
                <c:ptCount val="246"/>
                <c:pt idx="0">
                  <c:v>44743</c:v>
                </c:pt>
                <c:pt idx="1">
                  <c:v>44746</c:v>
                </c:pt>
                <c:pt idx="2">
                  <c:v>44747</c:v>
                </c:pt>
                <c:pt idx="3">
                  <c:v>44748</c:v>
                </c:pt>
                <c:pt idx="4">
                  <c:v>44749</c:v>
                </c:pt>
                <c:pt idx="5">
                  <c:v>44755</c:v>
                </c:pt>
                <c:pt idx="6">
                  <c:v>44756</c:v>
                </c:pt>
                <c:pt idx="7">
                  <c:v>44757</c:v>
                </c:pt>
                <c:pt idx="8">
                  <c:v>44760</c:v>
                </c:pt>
                <c:pt idx="9">
                  <c:v>44761</c:v>
                </c:pt>
                <c:pt idx="10">
                  <c:v>44762</c:v>
                </c:pt>
                <c:pt idx="11">
                  <c:v>44763</c:v>
                </c:pt>
                <c:pt idx="12">
                  <c:v>44764</c:v>
                </c:pt>
                <c:pt idx="13">
                  <c:v>44767</c:v>
                </c:pt>
                <c:pt idx="14">
                  <c:v>44768</c:v>
                </c:pt>
                <c:pt idx="15">
                  <c:v>44769</c:v>
                </c:pt>
                <c:pt idx="16">
                  <c:v>44770</c:v>
                </c:pt>
                <c:pt idx="17">
                  <c:v>44771</c:v>
                </c:pt>
                <c:pt idx="18">
                  <c:v>44774</c:v>
                </c:pt>
                <c:pt idx="19">
                  <c:v>44775</c:v>
                </c:pt>
                <c:pt idx="20">
                  <c:v>44776</c:v>
                </c:pt>
                <c:pt idx="21">
                  <c:v>44777</c:v>
                </c:pt>
                <c:pt idx="22">
                  <c:v>44778</c:v>
                </c:pt>
                <c:pt idx="23">
                  <c:v>44783</c:v>
                </c:pt>
                <c:pt idx="24">
                  <c:v>44784</c:v>
                </c:pt>
                <c:pt idx="25">
                  <c:v>44785</c:v>
                </c:pt>
                <c:pt idx="26">
                  <c:v>44788</c:v>
                </c:pt>
                <c:pt idx="27">
                  <c:v>44789</c:v>
                </c:pt>
                <c:pt idx="28">
                  <c:v>44790</c:v>
                </c:pt>
                <c:pt idx="29">
                  <c:v>44791</c:v>
                </c:pt>
                <c:pt idx="30">
                  <c:v>44792</c:v>
                </c:pt>
                <c:pt idx="31">
                  <c:v>44795</c:v>
                </c:pt>
                <c:pt idx="32">
                  <c:v>44796</c:v>
                </c:pt>
                <c:pt idx="33">
                  <c:v>44797</c:v>
                </c:pt>
                <c:pt idx="34">
                  <c:v>44798</c:v>
                </c:pt>
                <c:pt idx="35">
                  <c:v>44799</c:v>
                </c:pt>
                <c:pt idx="36">
                  <c:v>44802</c:v>
                </c:pt>
                <c:pt idx="37">
                  <c:v>44803</c:v>
                </c:pt>
                <c:pt idx="38">
                  <c:v>44804</c:v>
                </c:pt>
                <c:pt idx="39">
                  <c:v>44805</c:v>
                </c:pt>
                <c:pt idx="40">
                  <c:v>44806</c:v>
                </c:pt>
                <c:pt idx="41">
                  <c:v>44809</c:v>
                </c:pt>
                <c:pt idx="42">
                  <c:v>44810</c:v>
                </c:pt>
                <c:pt idx="43">
                  <c:v>44811</c:v>
                </c:pt>
                <c:pt idx="44">
                  <c:v>44812</c:v>
                </c:pt>
                <c:pt idx="45">
                  <c:v>44813</c:v>
                </c:pt>
                <c:pt idx="46">
                  <c:v>44816</c:v>
                </c:pt>
                <c:pt idx="47">
                  <c:v>44817</c:v>
                </c:pt>
                <c:pt idx="48">
                  <c:v>44818</c:v>
                </c:pt>
                <c:pt idx="49">
                  <c:v>44819</c:v>
                </c:pt>
                <c:pt idx="50">
                  <c:v>44820</c:v>
                </c:pt>
                <c:pt idx="51">
                  <c:v>44823</c:v>
                </c:pt>
                <c:pt idx="52">
                  <c:v>44824</c:v>
                </c:pt>
                <c:pt idx="53">
                  <c:v>44825</c:v>
                </c:pt>
                <c:pt idx="54">
                  <c:v>44826</c:v>
                </c:pt>
                <c:pt idx="55">
                  <c:v>44827</c:v>
                </c:pt>
                <c:pt idx="56">
                  <c:v>44830</c:v>
                </c:pt>
                <c:pt idx="57">
                  <c:v>44831</c:v>
                </c:pt>
                <c:pt idx="58">
                  <c:v>44832</c:v>
                </c:pt>
                <c:pt idx="59">
                  <c:v>44833</c:v>
                </c:pt>
                <c:pt idx="60">
                  <c:v>44834</c:v>
                </c:pt>
                <c:pt idx="61">
                  <c:v>44837</c:v>
                </c:pt>
                <c:pt idx="62">
                  <c:v>44838</c:v>
                </c:pt>
                <c:pt idx="63">
                  <c:v>44839</c:v>
                </c:pt>
                <c:pt idx="64">
                  <c:v>44840</c:v>
                </c:pt>
                <c:pt idx="65">
                  <c:v>44841</c:v>
                </c:pt>
                <c:pt idx="66">
                  <c:v>44844</c:v>
                </c:pt>
                <c:pt idx="67">
                  <c:v>44845</c:v>
                </c:pt>
                <c:pt idx="68">
                  <c:v>44846</c:v>
                </c:pt>
                <c:pt idx="69">
                  <c:v>44847</c:v>
                </c:pt>
                <c:pt idx="70">
                  <c:v>44848</c:v>
                </c:pt>
                <c:pt idx="71">
                  <c:v>44851</c:v>
                </c:pt>
                <c:pt idx="72">
                  <c:v>44852</c:v>
                </c:pt>
                <c:pt idx="73">
                  <c:v>44853</c:v>
                </c:pt>
                <c:pt idx="74">
                  <c:v>44854</c:v>
                </c:pt>
                <c:pt idx="75">
                  <c:v>44855</c:v>
                </c:pt>
                <c:pt idx="76">
                  <c:v>44858</c:v>
                </c:pt>
                <c:pt idx="77">
                  <c:v>44859</c:v>
                </c:pt>
                <c:pt idx="78">
                  <c:v>44860</c:v>
                </c:pt>
                <c:pt idx="79">
                  <c:v>44861</c:v>
                </c:pt>
                <c:pt idx="80">
                  <c:v>44862</c:v>
                </c:pt>
                <c:pt idx="81">
                  <c:v>44865</c:v>
                </c:pt>
                <c:pt idx="82">
                  <c:v>44866</c:v>
                </c:pt>
                <c:pt idx="83">
                  <c:v>44867</c:v>
                </c:pt>
                <c:pt idx="84">
                  <c:v>44868</c:v>
                </c:pt>
                <c:pt idx="85">
                  <c:v>44869</c:v>
                </c:pt>
                <c:pt idx="86">
                  <c:v>44872</c:v>
                </c:pt>
                <c:pt idx="87">
                  <c:v>44873</c:v>
                </c:pt>
                <c:pt idx="88">
                  <c:v>44875</c:v>
                </c:pt>
                <c:pt idx="89">
                  <c:v>44876</c:v>
                </c:pt>
                <c:pt idx="90">
                  <c:v>44879</c:v>
                </c:pt>
                <c:pt idx="91">
                  <c:v>44880</c:v>
                </c:pt>
                <c:pt idx="92">
                  <c:v>44881</c:v>
                </c:pt>
                <c:pt idx="93">
                  <c:v>44882</c:v>
                </c:pt>
                <c:pt idx="94">
                  <c:v>44883</c:v>
                </c:pt>
                <c:pt idx="95">
                  <c:v>44886</c:v>
                </c:pt>
                <c:pt idx="96">
                  <c:v>44887</c:v>
                </c:pt>
                <c:pt idx="97">
                  <c:v>44888</c:v>
                </c:pt>
                <c:pt idx="98">
                  <c:v>44889</c:v>
                </c:pt>
                <c:pt idx="99">
                  <c:v>44890</c:v>
                </c:pt>
                <c:pt idx="100">
                  <c:v>44893</c:v>
                </c:pt>
                <c:pt idx="101">
                  <c:v>44894</c:v>
                </c:pt>
                <c:pt idx="102">
                  <c:v>44895</c:v>
                </c:pt>
                <c:pt idx="103">
                  <c:v>44896</c:v>
                </c:pt>
                <c:pt idx="104">
                  <c:v>44897</c:v>
                </c:pt>
                <c:pt idx="105">
                  <c:v>44900</c:v>
                </c:pt>
                <c:pt idx="106">
                  <c:v>44901</c:v>
                </c:pt>
                <c:pt idx="107">
                  <c:v>44902</c:v>
                </c:pt>
                <c:pt idx="108">
                  <c:v>44903</c:v>
                </c:pt>
                <c:pt idx="109">
                  <c:v>44904</c:v>
                </c:pt>
                <c:pt idx="110">
                  <c:v>44907</c:v>
                </c:pt>
                <c:pt idx="111">
                  <c:v>44908</c:v>
                </c:pt>
                <c:pt idx="112">
                  <c:v>44909</c:v>
                </c:pt>
                <c:pt idx="113">
                  <c:v>44910</c:v>
                </c:pt>
                <c:pt idx="114">
                  <c:v>44911</c:v>
                </c:pt>
                <c:pt idx="115">
                  <c:v>44914</c:v>
                </c:pt>
                <c:pt idx="116">
                  <c:v>44915</c:v>
                </c:pt>
                <c:pt idx="117">
                  <c:v>44916</c:v>
                </c:pt>
                <c:pt idx="118">
                  <c:v>44917</c:v>
                </c:pt>
                <c:pt idx="119">
                  <c:v>44918</c:v>
                </c:pt>
                <c:pt idx="120">
                  <c:v>44921</c:v>
                </c:pt>
                <c:pt idx="121">
                  <c:v>44922</c:v>
                </c:pt>
                <c:pt idx="122">
                  <c:v>44923</c:v>
                </c:pt>
                <c:pt idx="123">
                  <c:v>44924</c:v>
                </c:pt>
                <c:pt idx="124">
                  <c:v>44925</c:v>
                </c:pt>
                <c:pt idx="125">
                  <c:v>44928</c:v>
                </c:pt>
                <c:pt idx="126">
                  <c:v>44929</c:v>
                </c:pt>
                <c:pt idx="127">
                  <c:v>44930</c:v>
                </c:pt>
                <c:pt idx="128">
                  <c:v>44931</c:v>
                </c:pt>
                <c:pt idx="129">
                  <c:v>44932</c:v>
                </c:pt>
                <c:pt idx="130">
                  <c:v>44935</c:v>
                </c:pt>
                <c:pt idx="131">
                  <c:v>44936</c:v>
                </c:pt>
                <c:pt idx="132">
                  <c:v>44937</c:v>
                </c:pt>
                <c:pt idx="133">
                  <c:v>44938</c:v>
                </c:pt>
                <c:pt idx="134">
                  <c:v>44939</c:v>
                </c:pt>
                <c:pt idx="135">
                  <c:v>44942</c:v>
                </c:pt>
                <c:pt idx="136">
                  <c:v>44943</c:v>
                </c:pt>
                <c:pt idx="137">
                  <c:v>44944</c:v>
                </c:pt>
                <c:pt idx="138">
                  <c:v>44945</c:v>
                </c:pt>
                <c:pt idx="139">
                  <c:v>44946</c:v>
                </c:pt>
                <c:pt idx="140">
                  <c:v>44949</c:v>
                </c:pt>
                <c:pt idx="141">
                  <c:v>44950</c:v>
                </c:pt>
                <c:pt idx="142">
                  <c:v>44951</c:v>
                </c:pt>
                <c:pt idx="143">
                  <c:v>44952</c:v>
                </c:pt>
                <c:pt idx="144">
                  <c:v>44953</c:v>
                </c:pt>
                <c:pt idx="145">
                  <c:v>44956</c:v>
                </c:pt>
                <c:pt idx="146">
                  <c:v>44957</c:v>
                </c:pt>
                <c:pt idx="147">
                  <c:v>44958</c:v>
                </c:pt>
                <c:pt idx="148">
                  <c:v>44959</c:v>
                </c:pt>
                <c:pt idx="149">
                  <c:v>44960</c:v>
                </c:pt>
                <c:pt idx="150">
                  <c:v>44963</c:v>
                </c:pt>
                <c:pt idx="151">
                  <c:v>44964</c:v>
                </c:pt>
                <c:pt idx="152">
                  <c:v>44965</c:v>
                </c:pt>
                <c:pt idx="153">
                  <c:v>44966</c:v>
                </c:pt>
                <c:pt idx="154">
                  <c:v>44967</c:v>
                </c:pt>
                <c:pt idx="155">
                  <c:v>44970</c:v>
                </c:pt>
                <c:pt idx="156">
                  <c:v>44971</c:v>
                </c:pt>
                <c:pt idx="157">
                  <c:v>44972</c:v>
                </c:pt>
                <c:pt idx="158">
                  <c:v>44973</c:v>
                </c:pt>
                <c:pt idx="159">
                  <c:v>44974</c:v>
                </c:pt>
                <c:pt idx="160">
                  <c:v>44977</c:v>
                </c:pt>
                <c:pt idx="161">
                  <c:v>44978</c:v>
                </c:pt>
                <c:pt idx="162">
                  <c:v>44979</c:v>
                </c:pt>
                <c:pt idx="163">
                  <c:v>44980</c:v>
                </c:pt>
                <c:pt idx="164">
                  <c:v>44981</c:v>
                </c:pt>
                <c:pt idx="165">
                  <c:v>44984</c:v>
                </c:pt>
                <c:pt idx="166">
                  <c:v>44985</c:v>
                </c:pt>
                <c:pt idx="167">
                  <c:v>44986</c:v>
                </c:pt>
                <c:pt idx="168">
                  <c:v>44987</c:v>
                </c:pt>
                <c:pt idx="169">
                  <c:v>44988</c:v>
                </c:pt>
                <c:pt idx="170">
                  <c:v>44991</c:v>
                </c:pt>
                <c:pt idx="171">
                  <c:v>44992</c:v>
                </c:pt>
                <c:pt idx="172">
                  <c:v>44993</c:v>
                </c:pt>
                <c:pt idx="173">
                  <c:v>44994</c:v>
                </c:pt>
                <c:pt idx="174">
                  <c:v>44995</c:v>
                </c:pt>
                <c:pt idx="175">
                  <c:v>44998</c:v>
                </c:pt>
                <c:pt idx="176">
                  <c:v>44999</c:v>
                </c:pt>
                <c:pt idx="177">
                  <c:v>45000</c:v>
                </c:pt>
                <c:pt idx="178">
                  <c:v>45001</c:v>
                </c:pt>
                <c:pt idx="179">
                  <c:v>45002</c:v>
                </c:pt>
                <c:pt idx="180">
                  <c:v>45005</c:v>
                </c:pt>
                <c:pt idx="181">
                  <c:v>45006</c:v>
                </c:pt>
                <c:pt idx="182">
                  <c:v>45007</c:v>
                </c:pt>
                <c:pt idx="183">
                  <c:v>45009</c:v>
                </c:pt>
                <c:pt idx="184">
                  <c:v>45012</c:v>
                </c:pt>
                <c:pt idx="185">
                  <c:v>45013</c:v>
                </c:pt>
                <c:pt idx="186">
                  <c:v>45014</c:v>
                </c:pt>
                <c:pt idx="187">
                  <c:v>45015</c:v>
                </c:pt>
                <c:pt idx="188">
                  <c:v>45016</c:v>
                </c:pt>
                <c:pt idx="189">
                  <c:v>45019</c:v>
                </c:pt>
                <c:pt idx="190">
                  <c:v>45020</c:v>
                </c:pt>
                <c:pt idx="191">
                  <c:v>45021</c:v>
                </c:pt>
                <c:pt idx="192">
                  <c:v>45022</c:v>
                </c:pt>
                <c:pt idx="193">
                  <c:v>45023</c:v>
                </c:pt>
                <c:pt idx="194">
                  <c:v>45026</c:v>
                </c:pt>
                <c:pt idx="195">
                  <c:v>45027</c:v>
                </c:pt>
                <c:pt idx="196">
                  <c:v>45028</c:v>
                </c:pt>
                <c:pt idx="197">
                  <c:v>45029</c:v>
                </c:pt>
                <c:pt idx="198">
                  <c:v>45033</c:v>
                </c:pt>
                <c:pt idx="199">
                  <c:v>45034</c:v>
                </c:pt>
                <c:pt idx="200">
                  <c:v>45035</c:v>
                </c:pt>
                <c:pt idx="201">
                  <c:v>45036</c:v>
                </c:pt>
                <c:pt idx="202">
                  <c:v>45042</c:v>
                </c:pt>
                <c:pt idx="203">
                  <c:v>45043</c:v>
                </c:pt>
                <c:pt idx="204">
                  <c:v>45044</c:v>
                </c:pt>
                <c:pt idx="205">
                  <c:v>45048</c:v>
                </c:pt>
                <c:pt idx="206">
                  <c:v>45049</c:v>
                </c:pt>
                <c:pt idx="207">
                  <c:v>45050</c:v>
                </c:pt>
                <c:pt idx="208">
                  <c:v>45051</c:v>
                </c:pt>
                <c:pt idx="209">
                  <c:v>45054</c:v>
                </c:pt>
                <c:pt idx="210">
                  <c:v>45055</c:v>
                </c:pt>
                <c:pt idx="211">
                  <c:v>45056</c:v>
                </c:pt>
                <c:pt idx="212">
                  <c:v>45057</c:v>
                </c:pt>
                <c:pt idx="213">
                  <c:v>45058</c:v>
                </c:pt>
                <c:pt idx="214">
                  <c:v>45061</c:v>
                </c:pt>
                <c:pt idx="215">
                  <c:v>45062</c:v>
                </c:pt>
                <c:pt idx="216">
                  <c:v>45063</c:v>
                </c:pt>
                <c:pt idx="217">
                  <c:v>45064</c:v>
                </c:pt>
                <c:pt idx="218">
                  <c:v>45065</c:v>
                </c:pt>
                <c:pt idx="219">
                  <c:v>45068</c:v>
                </c:pt>
                <c:pt idx="220">
                  <c:v>45069</c:v>
                </c:pt>
                <c:pt idx="221">
                  <c:v>45070</c:v>
                </c:pt>
                <c:pt idx="222">
                  <c:v>45071</c:v>
                </c:pt>
                <c:pt idx="223">
                  <c:v>45072</c:v>
                </c:pt>
                <c:pt idx="224">
                  <c:v>45075</c:v>
                </c:pt>
                <c:pt idx="225">
                  <c:v>45076</c:v>
                </c:pt>
                <c:pt idx="226">
                  <c:v>45077</c:v>
                </c:pt>
                <c:pt idx="227">
                  <c:v>45078</c:v>
                </c:pt>
                <c:pt idx="228">
                  <c:v>45079</c:v>
                </c:pt>
                <c:pt idx="229">
                  <c:v>45082</c:v>
                </c:pt>
                <c:pt idx="230">
                  <c:v>45083</c:v>
                </c:pt>
                <c:pt idx="231">
                  <c:v>45084</c:v>
                </c:pt>
                <c:pt idx="232">
                  <c:v>45085</c:v>
                </c:pt>
                <c:pt idx="233">
                  <c:v>45086</c:v>
                </c:pt>
                <c:pt idx="234">
                  <c:v>45089</c:v>
                </c:pt>
                <c:pt idx="235">
                  <c:v>45090</c:v>
                </c:pt>
                <c:pt idx="236">
                  <c:v>45091</c:v>
                </c:pt>
                <c:pt idx="237">
                  <c:v>45092</c:v>
                </c:pt>
                <c:pt idx="238">
                  <c:v>45093</c:v>
                </c:pt>
                <c:pt idx="239">
                  <c:v>45096</c:v>
                </c:pt>
                <c:pt idx="240">
                  <c:v>45097</c:v>
                </c:pt>
                <c:pt idx="241">
                  <c:v>45098</c:v>
                </c:pt>
                <c:pt idx="242">
                  <c:v>45099</c:v>
                </c:pt>
                <c:pt idx="243">
                  <c:v>45100</c:v>
                </c:pt>
                <c:pt idx="244">
                  <c:v>45103</c:v>
                </c:pt>
                <c:pt idx="245">
                  <c:v>45104</c:v>
                </c:pt>
              </c:numCache>
            </c:numRef>
          </c:cat>
          <c:val>
            <c:numRef>
              <c:f>'Ratios (2)'!$P$7:$P$252</c:f>
              <c:numCache>
                <c:formatCode>General</c:formatCode>
                <c:ptCount val="246"/>
                <c:pt idx="0">
                  <c:v>7296053</c:v>
                </c:pt>
                <c:pt idx="1">
                  <c:v>4387325</c:v>
                </c:pt>
                <c:pt idx="2">
                  <c:v>3742527</c:v>
                </c:pt>
                <c:pt idx="3">
                  <c:v>2651222</c:v>
                </c:pt>
                <c:pt idx="4">
                  <c:v>5075212</c:v>
                </c:pt>
                <c:pt idx="5">
                  <c:v>6560614</c:v>
                </c:pt>
                <c:pt idx="6">
                  <c:v>7255157</c:v>
                </c:pt>
                <c:pt idx="7">
                  <c:v>5219907</c:v>
                </c:pt>
                <c:pt idx="8">
                  <c:v>8161599</c:v>
                </c:pt>
                <c:pt idx="9">
                  <c:v>5762948</c:v>
                </c:pt>
                <c:pt idx="10">
                  <c:v>5226190</c:v>
                </c:pt>
                <c:pt idx="11">
                  <c:v>5676084</c:v>
                </c:pt>
                <c:pt idx="12">
                  <c:v>6650440</c:v>
                </c:pt>
                <c:pt idx="13">
                  <c:v>2729670</c:v>
                </c:pt>
                <c:pt idx="14">
                  <c:v>6410056</c:v>
                </c:pt>
                <c:pt idx="15">
                  <c:v>3629525</c:v>
                </c:pt>
                <c:pt idx="16">
                  <c:v>8062618</c:v>
                </c:pt>
                <c:pt idx="17">
                  <c:v>5399429</c:v>
                </c:pt>
                <c:pt idx="18">
                  <c:v>2451239</c:v>
                </c:pt>
                <c:pt idx="19">
                  <c:v>13181520</c:v>
                </c:pt>
                <c:pt idx="20">
                  <c:v>20252150</c:v>
                </c:pt>
                <c:pt idx="21">
                  <c:v>11419870</c:v>
                </c:pt>
                <c:pt idx="22">
                  <c:v>29939090</c:v>
                </c:pt>
                <c:pt idx="23">
                  <c:v>27682779</c:v>
                </c:pt>
                <c:pt idx="24">
                  <c:v>11957500</c:v>
                </c:pt>
                <c:pt idx="25">
                  <c:v>27001240</c:v>
                </c:pt>
                <c:pt idx="26">
                  <c:v>38745078</c:v>
                </c:pt>
                <c:pt idx="27">
                  <c:v>29365789</c:v>
                </c:pt>
                <c:pt idx="28">
                  <c:v>11091080</c:v>
                </c:pt>
                <c:pt idx="29">
                  <c:v>41240160</c:v>
                </c:pt>
                <c:pt idx="30">
                  <c:v>19455090</c:v>
                </c:pt>
                <c:pt idx="31">
                  <c:v>17526930</c:v>
                </c:pt>
                <c:pt idx="32">
                  <c:v>15827020</c:v>
                </c:pt>
                <c:pt idx="33">
                  <c:v>10438600</c:v>
                </c:pt>
                <c:pt idx="34">
                  <c:v>7365276</c:v>
                </c:pt>
                <c:pt idx="35">
                  <c:v>16788029</c:v>
                </c:pt>
                <c:pt idx="36">
                  <c:v>10336830</c:v>
                </c:pt>
                <c:pt idx="37">
                  <c:v>10943390</c:v>
                </c:pt>
                <c:pt idx="38">
                  <c:v>5373801</c:v>
                </c:pt>
                <c:pt idx="39">
                  <c:v>11114760</c:v>
                </c:pt>
                <c:pt idx="40">
                  <c:v>6485030</c:v>
                </c:pt>
                <c:pt idx="41">
                  <c:v>12792470</c:v>
                </c:pt>
                <c:pt idx="42">
                  <c:v>8934389</c:v>
                </c:pt>
                <c:pt idx="43">
                  <c:v>6239656</c:v>
                </c:pt>
                <c:pt idx="44">
                  <c:v>2410252</c:v>
                </c:pt>
                <c:pt idx="45">
                  <c:v>5095034</c:v>
                </c:pt>
                <c:pt idx="46">
                  <c:v>2441664</c:v>
                </c:pt>
                <c:pt idx="47">
                  <c:v>2224830</c:v>
                </c:pt>
                <c:pt idx="48">
                  <c:v>4516670</c:v>
                </c:pt>
                <c:pt idx="49">
                  <c:v>5191075</c:v>
                </c:pt>
                <c:pt idx="50">
                  <c:v>3089884</c:v>
                </c:pt>
                <c:pt idx="51">
                  <c:v>2196208</c:v>
                </c:pt>
                <c:pt idx="52">
                  <c:v>2716991</c:v>
                </c:pt>
                <c:pt idx="53">
                  <c:v>2381426</c:v>
                </c:pt>
                <c:pt idx="54">
                  <c:v>7700936</c:v>
                </c:pt>
                <c:pt idx="55">
                  <c:v>2909060</c:v>
                </c:pt>
                <c:pt idx="56">
                  <c:v>8558752</c:v>
                </c:pt>
                <c:pt idx="57">
                  <c:v>6808060</c:v>
                </c:pt>
                <c:pt idx="58">
                  <c:v>9329718</c:v>
                </c:pt>
                <c:pt idx="59">
                  <c:v>3362953</c:v>
                </c:pt>
                <c:pt idx="60">
                  <c:v>4096723</c:v>
                </c:pt>
                <c:pt idx="61">
                  <c:v>4020774</c:v>
                </c:pt>
                <c:pt idx="62">
                  <c:v>4650860</c:v>
                </c:pt>
                <c:pt idx="63">
                  <c:v>3323534</c:v>
                </c:pt>
                <c:pt idx="64">
                  <c:v>12692230</c:v>
                </c:pt>
                <c:pt idx="65">
                  <c:v>5041766</c:v>
                </c:pt>
                <c:pt idx="66">
                  <c:v>6442381</c:v>
                </c:pt>
                <c:pt idx="67">
                  <c:v>32408789</c:v>
                </c:pt>
                <c:pt idx="68">
                  <c:v>9522696</c:v>
                </c:pt>
                <c:pt idx="69">
                  <c:v>9604598</c:v>
                </c:pt>
                <c:pt idx="70">
                  <c:v>3989671</c:v>
                </c:pt>
                <c:pt idx="71">
                  <c:v>2075618</c:v>
                </c:pt>
                <c:pt idx="72">
                  <c:v>6587883</c:v>
                </c:pt>
                <c:pt idx="73">
                  <c:v>3918379</c:v>
                </c:pt>
                <c:pt idx="74">
                  <c:v>7057063</c:v>
                </c:pt>
                <c:pt idx="75">
                  <c:v>21049551</c:v>
                </c:pt>
                <c:pt idx="76">
                  <c:v>9543550</c:v>
                </c:pt>
                <c:pt idx="77">
                  <c:v>4945667</c:v>
                </c:pt>
                <c:pt idx="78">
                  <c:v>6484119</c:v>
                </c:pt>
                <c:pt idx="79">
                  <c:v>6666159</c:v>
                </c:pt>
                <c:pt idx="80">
                  <c:v>7041498</c:v>
                </c:pt>
                <c:pt idx="81">
                  <c:v>1766355</c:v>
                </c:pt>
                <c:pt idx="82">
                  <c:v>7171777</c:v>
                </c:pt>
                <c:pt idx="83">
                  <c:v>5252572</c:v>
                </c:pt>
                <c:pt idx="84">
                  <c:v>3442339</c:v>
                </c:pt>
                <c:pt idx="85">
                  <c:v>4772708</c:v>
                </c:pt>
                <c:pt idx="86">
                  <c:v>1740478</c:v>
                </c:pt>
                <c:pt idx="87">
                  <c:v>7154012</c:v>
                </c:pt>
                <c:pt idx="88">
                  <c:v>8819766</c:v>
                </c:pt>
                <c:pt idx="89">
                  <c:v>14858830</c:v>
                </c:pt>
                <c:pt idx="90">
                  <c:v>4693848</c:v>
                </c:pt>
                <c:pt idx="91">
                  <c:v>5476393</c:v>
                </c:pt>
                <c:pt idx="92">
                  <c:v>2260428</c:v>
                </c:pt>
                <c:pt idx="93">
                  <c:v>3442012</c:v>
                </c:pt>
                <c:pt idx="94">
                  <c:v>3339276</c:v>
                </c:pt>
                <c:pt idx="95">
                  <c:v>2584238</c:v>
                </c:pt>
                <c:pt idx="96">
                  <c:v>1910484</c:v>
                </c:pt>
                <c:pt idx="97">
                  <c:v>875065</c:v>
                </c:pt>
                <c:pt idx="98">
                  <c:v>1793959</c:v>
                </c:pt>
                <c:pt idx="99">
                  <c:v>5587847</c:v>
                </c:pt>
                <c:pt idx="100">
                  <c:v>4010277</c:v>
                </c:pt>
                <c:pt idx="101">
                  <c:v>1210824</c:v>
                </c:pt>
                <c:pt idx="102">
                  <c:v>2102538</c:v>
                </c:pt>
                <c:pt idx="103">
                  <c:v>1685067</c:v>
                </c:pt>
                <c:pt idx="104">
                  <c:v>1708932</c:v>
                </c:pt>
                <c:pt idx="105">
                  <c:v>703029</c:v>
                </c:pt>
                <c:pt idx="106">
                  <c:v>860576</c:v>
                </c:pt>
                <c:pt idx="107">
                  <c:v>2519453</c:v>
                </c:pt>
                <c:pt idx="108">
                  <c:v>1099019</c:v>
                </c:pt>
                <c:pt idx="109">
                  <c:v>1058502</c:v>
                </c:pt>
                <c:pt idx="110">
                  <c:v>1175505</c:v>
                </c:pt>
                <c:pt idx="111">
                  <c:v>2949529</c:v>
                </c:pt>
                <c:pt idx="112">
                  <c:v>1691824</c:v>
                </c:pt>
                <c:pt idx="113">
                  <c:v>2045233</c:v>
                </c:pt>
                <c:pt idx="114">
                  <c:v>1370906</c:v>
                </c:pt>
                <c:pt idx="115">
                  <c:v>1608835</c:v>
                </c:pt>
                <c:pt idx="116">
                  <c:v>5022575</c:v>
                </c:pt>
                <c:pt idx="117">
                  <c:v>5046845</c:v>
                </c:pt>
                <c:pt idx="118">
                  <c:v>13016810</c:v>
                </c:pt>
                <c:pt idx="119">
                  <c:v>6114135</c:v>
                </c:pt>
                <c:pt idx="120">
                  <c:v>6337078</c:v>
                </c:pt>
                <c:pt idx="121">
                  <c:v>3477810</c:v>
                </c:pt>
                <c:pt idx="122">
                  <c:v>8319319</c:v>
                </c:pt>
                <c:pt idx="123">
                  <c:v>7532863</c:v>
                </c:pt>
                <c:pt idx="124">
                  <c:v>3271012</c:v>
                </c:pt>
                <c:pt idx="125">
                  <c:v>12733240</c:v>
                </c:pt>
                <c:pt idx="126">
                  <c:v>3398373</c:v>
                </c:pt>
                <c:pt idx="127">
                  <c:v>3410789</c:v>
                </c:pt>
                <c:pt idx="128">
                  <c:v>2226895</c:v>
                </c:pt>
                <c:pt idx="129">
                  <c:v>16077000</c:v>
                </c:pt>
                <c:pt idx="130">
                  <c:v>17570449</c:v>
                </c:pt>
                <c:pt idx="131">
                  <c:v>14030580</c:v>
                </c:pt>
                <c:pt idx="132">
                  <c:v>5956990</c:v>
                </c:pt>
                <c:pt idx="133">
                  <c:v>9803463</c:v>
                </c:pt>
                <c:pt idx="134">
                  <c:v>4792020</c:v>
                </c:pt>
                <c:pt idx="135">
                  <c:v>3890615</c:v>
                </c:pt>
                <c:pt idx="136">
                  <c:v>3486882</c:v>
                </c:pt>
                <c:pt idx="137">
                  <c:v>4320865</c:v>
                </c:pt>
                <c:pt idx="138">
                  <c:v>4918102</c:v>
                </c:pt>
                <c:pt idx="139">
                  <c:v>2813920</c:v>
                </c:pt>
                <c:pt idx="140">
                  <c:v>1242546</c:v>
                </c:pt>
                <c:pt idx="141">
                  <c:v>3006215</c:v>
                </c:pt>
                <c:pt idx="142">
                  <c:v>6727002</c:v>
                </c:pt>
                <c:pt idx="143">
                  <c:v>10375510</c:v>
                </c:pt>
                <c:pt idx="144">
                  <c:v>14225350</c:v>
                </c:pt>
                <c:pt idx="145">
                  <c:v>21142830</c:v>
                </c:pt>
                <c:pt idx="146">
                  <c:v>7748506</c:v>
                </c:pt>
                <c:pt idx="147">
                  <c:v>4715810</c:v>
                </c:pt>
                <c:pt idx="148">
                  <c:v>2200792</c:v>
                </c:pt>
                <c:pt idx="149">
                  <c:v>1864672</c:v>
                </c:pt>
                <c:pt idx="150">
                  <c:v>2862000</c:v>
                </c:pt>
                <c:pt idx="151">
                  <c:v>7382807</c:v>
                </c:pt>
                <c:pt idx="152">
                  <c:v>7891245</c:v>
                </c:pt>
                <c:pt idx="153">
                  <c:v>11272140</c:v>
                </c:pt>
                <c:pt idx="154">
                  <c:v>5757564</c:v>
                </c:pt>
                <c:pt idx="155">
                  <c:v>1474053</c:v>
                </c:pt>
                <c:pt idx="156">
                  <c:v>1594345</c:v>
                </c:pt>
                <c:pt idx="157">
                  <c:v>3309941</c:v>
                </c:pt>
                <c:pt idx="158">
                  <c:v>2703634</c:v>
                </c:pt>
                <c:pt idx="159">
                  <c:v>580875</c:v>
                </c:pt>
                <c:pt idx="160">
                  <c:v>3591351</c:v>
                </c:pt>
                <c:pt idx="161">
                  <c:v>2635492</c:v>
                </c:pt>
                <c:pt idx="162">
                  <c:v>1566504</c:v>
                </c:pt>
                <c:pt idx="163">
                  <c:v>1510282</c:v>
                </c:pt>
                <c:pt idx="164">
                  <c:v>4122000</c:v>
                </c:pt>
                <c:pt idx="165">
                  <c:v>1876949</c:v>
                </c:pt>
                <c:pt idx="166">
                  <c:v>1080001</c:v>
                </c:pt>
                <c:pt idx="167">
                  <c:v>2654273</c:v>
                </c:pt>
                <c:pt idx="168">
                  <c:v>1309373</c:v>
                </c:pt>
                <c:pt idx="169">
                  <c:v>5690568</c:v>
                </c:pt>
                <c:pt idx="170">
                  <c:v>5208413</c:v>
                </c:pt>
                <c:pt idx="171">
                  <c:v>846165</c:v>
                </c:pt>
                <c:pt idx="172">
                  <c:v>2515660</c:v>
                </c:pt>
                <c:pt idx="173">
                  <c:v>4598800</c:v>
                </c:pt>
                <c:pt idx="174">
                  <c:v>5244268</c:v>
                </c:pt>
                <c:pt idx="175">
                  <c:v>3208979</c:v>
                </c:pt>
                <c:pt idx="176">
                  <c:v>1718672</c:v>
                </c:pt>
                <c:pt idx="177">
                  <c:v>3299817</c:v>
                </c:pt>
                <c:pt idx="178">
                  <c:v>5642567</c:v>
                </c:pt>
                <c:pt idx="179">
                  <c:v>708031</c:v>
                </c:pt>
                <c:pt idx="180">
                  <c:v>896768</c:v>
                </c:pt>
                <c:pt idx="181">
                  <c:v>2079305</c:v>
                </c:pt>
                <c:pt idx="182">
                  <c:v>1321070</c:v>
                </c:pt>
                <c:pt idx="183">
                  <c:v>350292</c:v>
                </c:pt>
                <c:pt idx="184">
                  <c:v>641444</c:v>
                </c:pt>
                <c:pt idx="185">
                  <c:v>345598</c:v>
                </c:pt>
                <c:pt idx="186">
                  <c:v>1047312</c:v>
                </c:pt>
                <c:pt idx="187">
                  <c:v>837114</c:v>
                </c:pt>
                <c:pt idx="188">
                  <c:v>1081579</c:v>
                </c:pt>
                <c:pt idx="189">
                  <c:v>1322532</c:v>
                </c:pt>
                <c:pt idx="190">
                  <c:v>779074</c:v>
                </c:pt>
                <c:pt idx="191">
                  <c:v>449282</c:v>
                </c:pt>
                <c:pt idx="192">
                  <c:v>1530741</c:v>
                </c:pt>
                <c:pt idx="193">
                  <c:v>632106</c:v>
                </c:pt>
                <c:pt idx="194">
                  <c:v>250468</c:v>
                </c:pt>
                <c:pt idx="195">
                  <c:v>456428</c:v>
                </c:pt>
                <c:pt idx="196">
                  <c:v>1124226</c:v>
                </c:pt>
                <c:pt idx="197">
                  <c:v>495463</c:v>
                </c:pt>
                <c:pt idx="198">
                  <c:v>357221</c:v>
                </c:pt>
                <c:pt idx="199">
                  <c:v>132465</c:v>
                </c:pt>
                <c:pt idx="200">
                  <c:v>2497386</c:v>
                </c:pt>
                <c:pt idx="201">
                  <c:v>11539530</c:v>
                </c:pt>
                <c:pt idx="202">
                  <c:v>16012170</c:v>
                </c:pt>
                <c:pt idx="203">
                  <c:v>6884986</c:v>
                </c:pt>
                <c:pt idx="204">
                  <c:v>22176199</c:v>
                </c:pt>
                <c:pt idx="205">
                  <c:v>7163884</c:v>
                </c:pt>
                <c:pt idx="206">
                  <c:v>8542194</c:v>
                </c:pt>
                <c:pt idx="207">
                  <c:v>4407502</c:v>
                </c:pt>
                <c:pt idx="208">
                  <c:v>1194615</c:v>
                </c:pt>
                <c:pt idx="209">
                  <c:v>11367780</c:v>
                </c:pt>
                <c:pt idx="210">
                  <c:v>4824902</c:v>
                </c:pt>
                <c:pt idx="211">
                  <c:v>1541839</c:v>
                </c:pt>
                <c:pt idx="212">
                  <c:v>2205332</c:v>
                </c:pt>
                <c:pt idx="213">
                  <c:v>2329070</c:v>
                </c:pt>
                <c:pt idx="214">
                  <c:v>1339225</c:v>
                </c:pt>
                <c:pt idx="215">
                  <c:v>1144273</c:v>
                </c:pt>
                <c:pt idx="216">
                  <c:v>1492862</c:v>
                </c:pt>
                <c:pt idx="217">
                  <c:v>7526334</c:v>
                </c:pt>
                <c:pt idx="218">
                  <c:v>2934030</c:v>
                </c:pt>
                <c:pt idx="219">
                  <c:v>939525</c:v>
                </c:pt>
                <c:pt idx="220">
                  <c:v>1536342</c:v>
                </c:pt>
                <c:pt idx="221">
                  <c:v>2665354</c:v>
                </c:pt>
                <c:pt idx="222">
                  <c:v>8370529</c:v>
                </c:pt>
                <c:pt idx="223">
                  <c:v>4312807</c:v>
                </c:pt>
                <c:pt idx="224">
                  <c:v>4364495</c:v>
                </c:pt>
                <c:pt idx="225">
                  <c:v>2160354</c:v>
                </c:pt>
                <c:pt idx="226">
                  <c:v>1939279</c:v>
                </c:pt>
                <c:pt idx="227">
                  <c:v>4031577</c:v>
                </c:pt>
                <c:pt idx="228">
                  <c:v>1070343</c:v>
                </c:pt>
                <c:pt idx="229">
                  <c:v>5738026</c:v>
                </c:pt>
                <c:pt idx="230">
                  <c:v>20519211</c:v>
                </c:pt>
                <c:pt idx="231">
                  <c:v>11614230</c:v>
                </c:pt>
                <c:pt idx="232">
                  <c:v>9600621</c:v>
                </c:pt>
                <c:pt idx="233">
                  <c:v>1740428</c:v>
                </c:pt>
                <c:pt idx="234">
                  <c:v>10796480</c:v>
                </c:pt>
                <c:pt idx="235">
                  <c:v>6148570</c:v>
                </c:pt>
                <c:pt idx="236">
                  <c:v>3592139</c:v>
                </c:pt>
                <c:pt idx="237">
                  <c:v>3324031</c:v>
                </c:pt>
                <c:pt idx="238">
                  <c:v>1574847</c:v>
                </c:pt>
                <c:pt idx="239">
                  <c:v>4088360</c:v>
                </c:pt>
                <c:pt idx="240">
                  <c:v>1822469</c:v>
                </c:pt>
                <c:pt idx="241">
                  <c:v>992910</c:v>
                </c:pt>
                <c:pt idx="242">
                  <c:v>1270424</c:v>
                </c:pt>
                <c:pt idx="243">
                  <c:v>2268473</c:v>
                </c:pt>
                <c:pt idx="244">
                  <c:v>4886457</c:v>
                </c:pt>
                <c:pt idx="245">
                  <c:v>3267734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4D-468B-BC6E-B1A9942C0B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0764511"/>
        <c:axId val="1515340415"/>
      </c:lineChart>
      <c:lineChart>
        <c:grouping val="standard"/>
        <c:varyColors val="0"/>
        <c:ser>
          <c:idx val="0"/>
          <c:order val="0"/>
          <c:tx>
            <c:strRef>
              <c:f>'Ratios (2)'!$O$6</c:f>
              <c:strCache>
                <c:ptCount val="1"/>
                <c:pt idx="0">
                  <c:v>Close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'Ratios (2)'!$N$7:$N$252</c:f>
              <c:numCache>
                <c:formatCode>m/d/yyyy</c:formatCode>
                <c:ptCount val="246"/>
                <c:pt idx="0">
                  <c:v>44743</c:v>
                </c:pt>
                <c:pt idx="1">
                  <c:v>44746</c:v>
                </c:pt>
                <c:pt idx="2">
                  <c:v>44747</c:v>
                </c:pt>
                <c:pt idx="3">
                  <c:v>44748</c:v>
                </c:pt>
                <c:pt idx="4">
                  <c:v>44749</c:v>
                </c:pt>
                <c:pt idx="5">
                  <c:v>44755</c:v>
                </c:pt>
                <c:pt idx="6">
                  <c:v>44756</c:v>
                </c:pt>
                <c:pt idx="7">
                  <c:v>44757</c:v>
                </c:pt>
                <c:pt idx="8">
                  <c:v>44760</c:v>
                </c:pt>
                <c:pt idx="9">
                  <c:v>44761</c:v>
                </c:pt>
                <c:pt idx="10">
                  <c:v>44762</c:v>
                </c:pt>
                <c:pt idx="11">
                  <c:v>44763</c:v>
                </c:pt>
                <c:pt idx="12">
                  <c:v>44764</c:v>
                </c:pt>
                <c:pt idx="13">
                  <c:v>44767</c:v>
                </c:pt>
                <c:pt idx="14">
                  <c:v>44768</c:v>
                </c:pt>
                <c:pt idx="15">
                  <c:v>44769</c:v>
                </c:pt>
                <c:pt idx="16">
                  <c:v>44770</c:v>
                </c:pt>
                <c:pt idx="17">
                  <c:v>44771</c:v>
                </c:pt>
                <c:pt idx="18">
                  <c:v>44774</c:v>
                </c:pt>
                <c:pt idx="19">
                  <c:v>44775</c:v>
                </c:pt>
                <c:pt idx="20">
                  <c:v>44776</c:v>
                </c:pt>
                <c:pt idx="21">
                  <c:v>44777</c:v>
                </c:pt>
                <c:pt idx="22">
                  <c:v>44778</c:v>
                </c:pt>
                <c:pt idx="23">
                  <c:v>44783</c:v>
                </c:pt>
                <c:pt idx="24">
                  <c:v>44784</c:v>
                </c:pt>
                <c:pt idx="25">
                  <c:v>44785</c:v>
                </c:pt>
                <c:pt idx="26">
                  <c:v>44788</c:v>
                </c:pt>
                <c:pt idx="27">
                  <c:v>44789</c:v>
                </c:pt>
                <c:pt idx="28">
                  <c:v>44790</c:v>
                </c:pt>
                <c:pt idx="29">
                  <c:v>44791</c:v>
                </c:pt>
                <c:pt idx="30">
                  <c:v>44792</c:v>
                </c:pt>
                <c:pt idx="31">
                  <c:v>44795</c:v>
                </c:pt>
                <c:pt idx="32">
                  <c:v>44796</c:v>
                </c:pt>
                <c:pt idx="33">
                  <c:v>44797</c:v>
                </c:pt>
                <c:pt idx="34">
                  <c:v>44798</c:v>
                </c:pt>
                <c:pt idx="35">
                  <c:v>44799</c:v>
                </c:pt>
                <c:pt idx="36">
                  <c:v>44802</c:v>
                </c:pt>
                <c:pt idx="37">
                  <c:v>44803</c:v>
                </c:pt>
                <c:pt idx="38">
                  <c:v>44804</c:v>
                </c:pt>
                <c:pt idx="39">
                  <c:v>44805</c:v>
                </c:pt>
                <c:pt idx="40">
                  <c:v>44806</c:v>
                </c:pt>
                <c:pt idx="41">
                  <c:v>44809</c:v>
                </c:pt>
                <c:pt idx="42">
                  <c:v>44810</c:v>
                </c:pt>
                <c:pt idx="43">
                  <c:v>44811</c:v>
                </c:pt>
                <c:pt idx="44">
                  <c:v>44812</c:v>
                </c:pt>
                <c:pt idx="45">
                  <c:v>44813</c:v>
                </c:pt>
                <c:pt idx="46">
                  <c:v>44816</c:v>
                </c:pt>
                <c:pt idx="47">
                  <c:v>44817</c:v>
                </c:pt>
                <c:pt idx="48">
                  <c:v>44818</c:v>
                </c:pt>
                <c:pt idx="49">
                  <c:v>44819</c:v>
                </c:pt>
                <c:pt idx="50">
                  <c:v>44820</c:v>
                </c:pt>
                <c:pt idx="51">
                  <c:v>44823</c:v>
                </c:pt>
                <c:pt idx="52">
                  <c:v>44824</c:v>
                </c:pt>
                <c:pt idx="53">
                  <c:v>44825</c:v>
                </c:pt>
                <c:pt idx="54">
                  <c:v>44826</c:v>
                </c:pt>
                <c:pt idx="55">
                  <c:v>44827</c:v>
                </c:pt>
                <c:pt idx="56">
                  <c:v>44830</c:v>
                </c:pt>
                <c:pt idx="57">
                  <c:v>44831</c:v>
                </c:pt>
                <c:pt idx="58">
                  <c:v>44832</c:v>
                </c:pt>
                <c:pt idx="59">
                  <c:v>44833</c:v>
                </c:pt>
                <c:pt idx="60">
                  <c:v>44834</c:v>
                </c:pt>
                <c:pt idx="61">
                  <c:v>44837</c:v>
                </c:pt>
                <c:pt idx="62">
                  <c:v>44838</c:v>
                </c:pt>
                <c:pt idx="63">
                  <c:v>44839</c:v>
                </c:pt>
                <c:pt idx="64">
                  <c:v>44840</c:v>
                </c:pt>
                <c:pt idx="65">
                  <c:v>44841</c:v>
                </c:pt>
                <c:pt idx="66">
                  <c:v>44844</c:v>
                </c:pt>
                <c:pt idx="67">
                  <c:v>44845</c:v>
                </c:pt>
                <c:pt idx="68">
                  <c:v>44846</c:v>
                </c:pt>
                <c:pt idx="69">
                  <c:v>44847</c:v>
                </c:pt>
                <c:pt idx="70">
                  <c:v>44848</c:v>
                </c:pt>
                <c:pt idx="71">
                  <c:v>44851</c:v>
                </c:pt>
                <c:pt idx="72">
                  <c:v>44852</c:v>
                </c:pt>
                <c:pt idx="73">
                  <c:v>44853</c:v>
                </c:pt>
                <c:pt idx="74">
                  <c:v>44854</c:v>
                </c:pt>
                <c:pt idx="75">
                  <c:v>44855</c:v>
                </c:pt>
                <c:pt idx="76">
                  <c:v>44858</c:v>
                </c:pt>
                <c:pt idx="77">
                  <c:v>44859</c:v>
                </c:pt>
                <c:pt idx="78">
                  <c:v>44860</c:v>
                </c:pt>
                <c:pt idx="79">
                  <c:v>44861</c:v>
                </c:pt>
                <c:pt idx="80">
                  <c:v>44862</c:v>
                </c:pt>
                <c:pt idx="81">
                  <c:v>44865</c:v>
                </c:pt>
                <c:pt idx="82">
                  <c:v>44866</c:v>
                </c:pt>
                <c:pt idx="83">
                  <c:v>44867</c:v>
                </c:pt>
                <c:pt idx="84">
                  <c:v>44868</c:v>
                </c:pt>
                <c:pt idx="85">
                  <c:v>44869</c:v>
                </c:pt>
                <c:pt idx="86">
                  <c:v>44872</c:v>
                </c:pt>
                <c:pt idx="87">
                  <c:v>44873</c:v>
                </c:pt>
                <c:pt idx="88">
                  <c:v>44875</c:v>
                </c:pt>
                <c:pt idx="89">
                  <c:v>44876</c:v>
                </c:pt>
                <c:pt idx="90">
                  <c:v>44879</c:v>
                </c:pt>
                <c:pt idx="91">
                  <c:v>44880</c:v>
                </c:pt>
                <c:pt idx="92">
                  <c:v>44881</c:v>
                </c:pt>
                <c:pt idx="93">
                  <c:v>44882</c:v>
                </c:pt>
                <c:pt idx="94">
                  <c:v>44883</c:v>
                </c:pt>
                <c:pt idx="95">
                  <c:v>44886</c:v>
                </c:pt>
                <c:pt idx="96">
                  <c:v>44887</c:v>
                </c:pt>
                <c:pt idx="97">
                  <c:v>44888</c:v>
                </c:pt>
                <c:pt idx="98">
                  <c:v>44889</c:v>
                </c:pt>
                <c:pt idx="99">
                  <c:v>44890</c:v>
                </c:pt>
                <c:pt idx="100">
                  <c:v>44893</c:v>
                </c:pt>
                <c:pt idx="101">
                  <c:v>44894</c:v>
                </c:pt>
                <c:pt idx="102">
                  <c:v>44895</c:v>
                </c:pt>
                <c:pt idx="103">
                  <c:v>44896</c:v>
                </c:pt>
                <c:pt idx="104">
                  <c:v>44897</c:v>
                </c:pt>
                <c:pt idx="105">
                  <c:v>44900</c:v>
                </c:pt>
                <c:pt idx="106">
                  <c:v>44901</c:v>
                </c:pt>
                <c:pt idx="107">
                  <c:v>44902</c:v>
                </c:pt>
                <c:pt idx="108">
                  <c:v>44903</c:v>
                </c:pt>
                <c:pt idx="109">
                  <c:v>44904</c:v>
                </c:pt>
                <c:pt idx="110">
                  <c:v>44907</c:v>
                </c:pt>
                <c:pt idx="111">
                  <c:v>44908</c:v>
                </c:pt>
                <c:pt idx="112">
                  <c:v>44909</c:v>
                </c:pt>
                <c:pt idx="113">
                  <c:v>44910</c:v>
                </c:pt>
                <c:pt idx="114">
                  <c:v>44911</c:v>
                </c:pt>
                <c:pt idx="115">
                  <c:v>44914</c:v>
                </c:pt>
                <c:pt idx="116">
                  <c:v>44915</c:v>
                </c:pt>
                <c:pt idx="117">
                  <c:v>44916</c:v>
                </c:pt>
                <c:pt idx="118">
                  <c:v>44917</c:v>
                </c:pt>
                <c:pt idx="119">
                  <c:v>44918</c:v>
                </c:pt>
                <c:pt idx="120">
                  <c:v>44921</c:v>
                </c:pt>
                <c:pt idx="121">
                  <c:v>44922</c:v>
                </c:pt>
                <c:pt idx="122">
                  <c:v>44923</c:v>
                </c:pt>
                <c:pt idx="123">
                  <c:v>44924</c:v>
                </c:pt>
                <c:pt idx="124">
                  <c:v>44925</c:v>
                </c:pt>
                <c:pt idx="125">
                  <c:v>44928</c:v>
                </c:pt>
                <c:pt idx="126">
                  <c:v>44929</c:v>
                </c:pt>
                <c:pt idx="127">
                  <c:v>44930</c:v>
                </c:pt>
                <c:pt idx="128">
                  <c:v>44931</c:v>
                </c:pt>
                <c:pt idx="129">
                  <c:v>44932</c:v>
                </c:pt>
                <c:pt idx="130">
                  <c:v>44935</c:v>
                </c:pt>
                <c:pt idx="131">
                  <c:v>44936</c:v>
                </c:pt>
                <c:pt idx="132">
                  <c:v>44937</c:v>
                </c:pt>
                <c:pt idx="133">
                  <c:v>44938</c:v>
                </c:pt>
                <c:pt idx="134">
                  <c:v>44939</c:v>
                </c:pt>
                <c:pt idx="135">
                  <c:v>44942</c:v>
                </c:pt>
                <c:pt idx="136">
                  <c:v>44943</c:v>
                </c:pt>
                <c:pt idx="137">
                  <c:v>44944</c:v>
                </c:pt>
                <c:pt idx="138">
                  <c:v>44945</c:v>
                </c:pt>
                <c:pt idx="139">
                  <c:v>44946</c:v>
                </c:pt>
                <c:pt idx="140">
                  <c:v>44949</c:v>
                </c:pt>
                <c:pt idx="141">
                  <c:v>44950</c:v>
                </c:pt>
                <c:pt idx="142">
                  <c:v>44951</c:v>
                </c:pt>
                <c:pt idx="143">
                  <c:v>44952</c:v>
                </c:pt>
                <c:pt idx="144">
                  <c:v>44953</c:v>
                </c:pt>
                <c:pt idx="145">
                  <c:v>44956</c:v>
                </c:pt>
                <c:pt idx="146">
                  <c:v>44957</c:v>
                </c:pt>
                <c:pt idx="147">
                  <c:v>44958</c:v>
                </c:pt>
                <c:pt idx="148">
                  <c:v>44959</c:v>
                </c:pt>
                <c:pt idx="149">
                  <c:v>44960</c:v>
                </c:pt>
                <c:pt idx="150">
                  <c:v>44963</c:v>
                </c:pt>
                <c:pt idx="151">
                  <c:v>44964</c:v>
                </c:pt>
                <c:pt idx="152">
                  <c:v>44965</c:v>
                </c:pt>
                <c:pt idx="153">
                  <c:v>44966</c:v>
                </c:pt>
                <c:pt idx="154">
                  <c:v>44967</c:v>
                </c:pt>
                <c:pt idx="155">
                  <c:v>44970</c:v>
                </c:pt>
                <c:pt idx="156">
                  <c:v>44971</c:v>
                </c:pt>
                <c:pt idx="157">
                  <c:v>44972</c:v>
                </c:pt>
                <c:pt idx="158">
                  <c:v>44973</c:v>
                </c:pt>
                <c:pt idx="159">
                  <c:v>44974</c:v>
                </c:pt>
                <c:pt idx="160">
                  <c:v>44977</c:v>
                </c:pt>
                <c:pt idx="161">
                  <c:v>44978</c:v>
                </c:pt>
                <c:pt idx="162">
                  <c:v>44979</c:v>
                </c:pt>
                <c:pt idx="163">
                  <c:v>44980</c:v>
                </c:pt>
                <c:pt idx="164">
                  <c:v>44981</c:v>
                </c:pt>
                <c:pt idx="165">
                  <c:v>44984</c:v>
                </c:pt>
                <c:pt idx="166">
                  <c:v>44985</c:v>
                </c:pt>
                <c:pt idx="167">
                  <c:v>44986</c:v>
                </c:pt>
                <c:pt idx="168">
                  <c:v>44987</c:v>
                </c:pt>
                <c:pt idx="169">
                  <c:v>44988</c:v>
                </c:pt>
                <c:pt idx="170">
                  <c:v>44991</c:v>
                </c:pt>
                <c:pt idx="171">
                  <c:v>44992</c:v>
                </c:pt>
                <c:pt idx="172">
                  <c:v>44993</c:v>
                </c:pt>
                <c:pt idx="173">
                  <c:v>44994</c:v>
                </c:pt>
                <c:pt idx="174">
                  <c:v>44995</c:v>
                </c:pt>
                <c:pt idx="175">
                  <c:v>44998</c:v>
                </c:pt>
                <c:pt idx="176">
                  <c:v>44999</c:v>
                </c:pt>
                <c:pt idx="177">
                  <c:v>45000</c:v>
                </c:pt>
                <c:pt idx="178">
                  <c:v>45001</c:v>
                </c:pt>
                <c:pt idx="179">
                  <c:v>45002</c:v>
                </c:pt>
                <c:pt idx="180">
                  <c:v>45005</c:v>
                </c:pt>
                <c:pt idx="181">
                  <c:v>45006</c:v>
                </c:pt>
                <c:pt idx="182">
                  <c:v>45007</c:v>
                </c:pt>
                <c:pt idx="183">
                  <c:v>45009</c:v>
                </c:pt>
                <c:pt idx="184">
                  <c:v>45012</c:v>
                </c:pt>
                <c:pt idx="185">
                  <c:v>45013</c:v>
                </c:pt>
                <c:pt idx="186">
                  <c:v>45014</c:v>
                </c:pt>
                <c:pt idx="187">
                  <c:v>45015</c:v>
                </c:pt>
                <c:pt idx="188">
                  <c:v>45016</c:v>
                </c:pt>
                <c:pt idx="189">
                  <c:v>45019</c:v>
                </c:pt>
                <c:pt idx="190">
                  <c:v>45020</c:v>
                </c:pt>
                <c:pt idx="191">
                  <c:v>45021</c:v>
                </c:pt>
                <c:pt idx="192">
                  <c:v>45022</c:v>
                </c:pt>
                <c:pt idx="193">
                  <c:v>45023</c:v>
                </c:pt>
                <c:pt idx="194">
                  <c:v>45026</c:v>
                </c:pt>
                <c:pt idx="195">
                  <c:v>45027</c:v>
                </c:pt>
                <c:pt idx="196">
                  <c:v>45028</c:v>
                </c:pt>
                <c:pt idx="197">
                  <c:v>45029</c:v>
                </c:pt>
                <c:pt idx="198">
                  <c:v>45033</c:v>
                </c:pt>
                <c:pt idx="199">
                  <c:v>45034</c:v>
                </c:pt>
                <c:pt idx="200">
                  <c:v>45035</c:v>
                </c:pt>
                <c:pt idx="201">
                  <c:v>45036</c:v>
                </c:pt>
                <c:pt idx="202">
                  <c:v>45042</c:v>
                </c:pt>
                <c:pt idx="203">
                  <c:v>45043</c:v>
                </c:pt>
                <c:pt idx="204">
                  <c:v>45044</c:v>
                </c:pt>
                <c:pt idx="205">
                  <c:v>45048</c:v>
                </c:pt>
                <c:pt idx="206">
                  <c:v>45049</c:v>
                </c:pt>
                <c:pt idx="207">
                  <c:v>45050</c:v>
                </c:pt>
                <c:pt idx="208">
                  <c:v>45051</c:v>
                </c:pt>
                <c:pt idx="209">
                  <c:v>45054</c:v>
                </c:pt>
                <c:pt idx="210">
                  <c:v>45055</c:v>
                </c:pt>
                <c:pt idx="211">
                  <c:v>45056</c:v>
                </c:pt>
                <c:pt idx="212">
                  <c:v>45057</c:v>
                </c:pt>
                <c:pt idx="213">
                  <c:v>45058</c:v>
                </c:pt>
                <c:pt idx="214">
                  <c:v>45061</c:v>
                </c:pt>
                <c:pt idx="215">
                  <c:v>45062</c:v>
                </c:pt>
                <c:pt idx="216">
                  <c:v>45063</c:v>
                </c:pt>
                <c:pt idx="217">
                  <c:v>45064</c:v>
                </c:pt>
                <c:pt idx="218">
                  <c:v>45065</c:v>
                </c:pt>
                <c:pt idx="219">
                  <c:v>45068</c:v>
                </c:pt>
                <c:pt idx="220">
                  <c:v>45069</c:v>
                </c:pt>
                <c:pt idx="221">
                  <c:v>45070</c:v>
                </c:pt>
                <c:pt idx="222">
                  <c:v>45071</c:v>
                </c:pt>
                <c:pt idx="223">
                  <c:v>45072</c:v>
                </c:pt>
                <c:pt idx="224">
                  <c:v>45075</c:v>
                </c:pt>
                <c:pt idx="225">
                  <c:v>45076</c:v>
                </c:pt>
                <c:pt idx="226">
                  <c:v>45077</c:v>
                </c:pt>
                <c:pt idx="227">
                  <c:v>45078</c:v>
                </c:pt>
                <c:pt idx="228">
                  <c:v>45079</c:v>
                </c:pt>
                <c:pt idx="229">
                  <c:v>45082</c:v>
                </c:pt>
                <c:pt idx="230">
                  <c:v>45083</c:v>
                </c:pt>
                <c:pt idx="231">
                  <c:v>45084</c:v>
                </c:pt>
                <c:pt idx="232">
                  <c:v>45085</c:v>
                </c:pt>
                <c:pt idx="233">
                  <c:v>45086</c:v>
                </c:pt>
                <c:pt idx="234">
                  <c:v>45089</c:v>
                </c:pt>
                <c:pt idx="235">
                  <c:v>45090</c:v>
                </c:pt>
                <c:pt idx="236">
                  <c:v>45091</c:v>
                </c:pt>
                <c:pt idx="237">
                  <c:v>45092</c:v>
                </c:pt>
                <c:pt idx="238">
                  <c:v>45093</c:v>
                </c:pt>
                <c:pt idx="239">
                  <c:v>45096</c:v>
                </c:pt>
                <c:pt idx="240">
                  <c:v>45097</c:v>
                </c:pt>
                <c:pt idx="241">
                  <c:v>45098</c:v>
                </c:pt>
                <c:pt idx="242">
                  <c:v>45099</c:v>
                </c:pt>
                <c:pt idx="243">
                  <c:v>45100</c:v>
                </c:pt>
                <c:pt idx="244">
                  <c:v>45103</c:v>
                </c:pt>
                <c:pt idx="245">
                  <c:v>45104</c:v>
                </c:pt>
              </c:numCache>
            </c:numRef>
          </c:cat>
          <c:val>
            <c:numRef>
              <c:f>'Ratios (2)'!$O$7:$O$252</c:f>
              <c:numCache>
                <c:formatCode>General</c:formatCode>
                <c:ptCount val="246"/>
                <c:pt idx="0">
                  <c:v>17.47</c:v>
                </c:pt>
                <c:pt idx="1">
                  <c:v>16.91</c:v>
                </c:pt>
                <c:pt idx="2">
                  <c:v>17.100000000000001</c:v>
                </c:pt>
                <c:pt idx="3">
                  <c:v>17.2</c:v>
                </c:pt>
                <c:pt idx="4">
                  <c:v>17.079999999999998</c:v>
                </c:pt>
                <c:pt idx="5">
                  <c:v>17.86</c:v>
                </c:pt>
                <c:pt idx="6">
                  <c:v>17.75</c:v>
                </c:pt>
                <c:pt idx="7">
                  <c:v>17.36</c:v>
                </c:pt>
                <c:pt idx="8">
                  <c:v>16.579999999999998</c:v>
                </c:pt>
                <c:pt idx="9">
                  <c:v>16.05</c:v>
                </c:pt>
                <c:pt idx="10">
                  <c:v>16.059999999999999</c:v>
                </c:pt>
                <c:pt idx="11">
                  <c:v>15.09</c:v>
                </c:pt>
                <c:pt idx="12">
                  <c:v>15.51</c:v>
                </c:pt>
                <c:pt idx="13">
                  <c:v>15.64</c:v>
                </c:pt>
                <c:pt idx="14">
                  <c:v>15.83</c:v>
                </c:pt>
                <c:pt idx="15">
                  <c:v>15.71</c:v>
                </c:pt>
                <c:pt idx="16">
                  <c:v>15.85</c:v>
                </c:pt>
                <c:pt idx="17">
                  <c:v>15.46</c:v>
                </c:pt>
                <c:pt idx="18">
                  <c:v>15.3</c:v>
                </c:pt>
                <c:pt idx="19">
                  <c:v>16.07</c:v>
                </c:pt>
                <c:pt idx="20">
                  <c:v>17.02</c:v>
                </c:pt>
                <c:pt idx="21">
                  <c:v>16.84</c:v>
                </c:pt>
                <c:pt idx="22">
                  <c:v>18.010000000000002</c:v>
                </c:pt>
                <c:pt idx="23">
                  <c:v>18.100000000000001</c:v>
                </c:pt>
                <c:pt idx="24">
                  <c:v>18.11</c:v>
                </c:pt>
                <c:pt idx="25">
                  <c:v>19.46</c:v>
                </c:pt>
                <c:pt idx="26">
                  <c:v>19.72</c:v>
                </c:pt>
                <c:pt idx="27">
                  <c:v>19.04</c:v>
                </c:pt>
                <c:pt idx="28">
                  <c:v>18.989999999999998</c:v>
                </c:pt>
                <c:pt idx="29">
                  <c:v>19.91</c:v>
                </c:pt>
                <c:pt idx="30">
                  <c:v>19.829999999999998</c:v>
                </c:pt>
                <c:pt idx="31">
                  <c:v>19.14</c:v>
                </c:pt>
                <c:pt idx="32">
                  <c:v>19.21</c:v>
                </c:pt>
                <c:pt idx="33">
                  <c:v>19.190000000000001</c:v>
                </c:pt>
                <c:pt idx="34">
                  <c:v>18.86</c:v>
                </c:pt>
                <c:pt idx="35">
                  <c:v>19.079999999999998</c:v>
                </c:pt>
                <c:pt idx="36">
                  <c:v>18.98</c:v>
                </c:pt>
                <c:pt idx="37">
                  <c:v>18.91</c:v>
                </c:pt>
                <c:pt idx="38">
                  <c:v>18.829999999999998</c:v>
                </c:pt>
                <c:pt idx="39">
                  <c:v>19.14</c:v>
                </c:pt>
                <c:pt idx="40">
                  <c:v>18.82</c:v>
                </c:pt>
                <c:pt idx="41">
                  <c:v>17.91</c:v>
                </c:pt>
                <c:pt idx="42">
                  <c:v>17.93</c:v>
                </c:pt>
                <c:pt idx="43">
                  <c:v>17.95</c:v>
                </c:pt>
                <c:pt idx="44">
                  <c:v>17.920000000000002</c:v>
                </c:pt>
                <c:pt idx="45">
                  <c:v>17.78</c:v>
                </c:pt>
                <c:pt idx="46">
                  <c:v>17.739999999999998</c:v>
                </c:pt>
                <c:pt idx="47">
                  <c:v>17.649999999999999</c:v>
                </c:pt>
                <c:pt idx="48">
                  <c:v>17.559999999999999</c:v>
                </c:pt>
                <c:pt idx="49">
                  <c:v>17.510000000000002</c:v>
                </c:pt>
                <c:pt idx="50">
                  <c:v>17.46</c:v>
                </c:pt>
                <c:pt idx="51">
                  <c:v>17.239999999999998</c:v>
                </c:pt>
                <c:pt idx="52">
                  <c:v>17.11</c:v>
                </c:pt>
                <c:pt idx="53">
                  <c:v>16.739999999999998</c:v>
                </c:pt>
                <c:pt idx="54">
                  <c:v>16.55</c:v>
                </c:pt>
                <c:pt idx="55">
                  <c:v>16.18</c:v>
                </c:pt>
                <c:pt idx="56">
                  <c:v>17.34</c:v>
                </c:pt>
                <c:pt idx="57">
                  <c:v>17.579999999999998</c:v>
                </c:pt>
                <c:pt idx="58">
                  <c:v>17.600000000000001</c:v>
                </c:pt>
                <c:pt idx="59">
                  <c:v>17.38</c:v>
                </c:pt>
                <c:pt idx="60">
                  <c:v>17.22</c:v>
                </c:pt>
                <c:pt idx="61">
                  <c:v>16.98</c:v>
                </c:pt>
                <c:pt idx="62">
                  <c:v>16.95</c:v>
                </c:pt>
                <c:pt idx="63">
                  <c:v>16.95</c:v>
                </c:pt>
                <c:pt idx="64">
                  <c:v>17.45</c:v>
                </c:pt>
                <c:pt idx="65">
                  <c:v>17.13</c:v>
                </c:pt>
                <c:pt idx="66">
                  <c:v>17.46</c:v>
                </c:pt>
                <c:pt idx="67">
                  <c:v>18.22</c:v>
                </c:pt>
                <c:pt idx="68">
                  <c:v>17.82</c:v>
                </c:pt>
                <c:pt idx="69">
                  <c:v>17.98</c:v>
                </c:pt>
                <c:pt idx="70">
                  <c:v>17.62</c:v>
                </c:pt>
                <c:pt idx="71">
                  <c:v>17.23</c:v>
                </c:pt>
                <c:pt idx="72">
                  <c:v>16.97</c:v>
                </c:pt>
                <c:pt idx="73">
                  <c:v>17.329999999999998</c:v>
                </c:pt>
                <c:pt idx="74">
                  <c:v>17.43</c:v>
                </c:pt>
                <c:pt idx="75">
                  <c:v>17.809999999999999</c:v>
                </c:pt>
                <c:pt idx="76">
                  <c:v>17.91</c:v>
                </c:pt>
                <c:pt idx="77">
                  <c:v>17.57</c:v>
                </c:pt>
                <c:pt idx="78">
                  <c:v>16.8</c:v>
                </c:pt>
                <c:pt idx="79">
                  <c:v>16.96</c:v>
                </c:pt>
                <c:pt idx="80">
                  <c:v>16.260000000000002</c:v>
                </c:pt>
                <c:pt idx="81">
                  <c:v>16.399999999999999</c:v>
                </c:pt>
                <c:pt idx="82">
                  <c:v>17.16</c:v>
                </c:pt>
                <c:pt idx="83">
                  <c:v>17</c:v>
                </c:pt>
                <c:pt idx="84">
                  <c:v>17.07</c:v>
                </c:pt>
                <c:pt idx="85">
                  <c:v>16.739999999999998</c:v>
                </c:pt>
                <c:pt idx="86">
                  <c:v>16.920000000000002</c:v>
                </c:pt>
                <c:pt idx="87">
                  <c:v>17.190000000000001</c:v>
                </c:pt>
                <c:pt idx="88">
                  <c:v>17.82</c:v>
                </c:pt>
                <c:pt idx="89">
                  <c:v>17.940000000000001</c:v>
                </c:pt>
                <c:pt idx="90">
                  <c:v>17.350000000000001</c:v>
                </c:pt>
                <c:pt idx="91">
                  <c:v>17.53</c:v>
                </c:pt>
                <c:pt idx="92">
                  <c:v>17.510000000000002</c:v>
                </c:pt>
                <c:pt idx="93">
                  <c:v>17.2</c:v>
                </c:pt>
                <c:pt idx="94">
                  <c:v>17.239999999999998</c:v>
                </c:pt>
                <c:pt idx="95">
                  <c:v>17.23</c:v>
                </c:pt>
                <c:pt idx="96">
                  <c:v>17.28</c:v>
                </c:pt>
                <c:pt idx="97">
                  <c:v>17.190000000000001</c:v>
                </c:pt>
                <c:pt idx="98">
                  <c:v>17.29</c:v>
                </c:pt>
                <c:pt idx="99">
                  <c:v>17.010000000000002</c:v>
                </c:pt>
                <c:pt idx="100">
                  <c:v>16.37</c:v>
                </c:pt>
                <c:pt idx="101">
                  <c:v>16.48</c:v>
                </c:pt>
                <c:pt idx="102">
                  <c:v>16.27</c:v>
                </c:pt>
                <c:pt idx="103">
                  <c:v>16.309999999999999</c:v>
                </c:pt>
                <c:pt idx="104">
                  <c:v>16.100000000000001</c:v>
                </c:pt>
                <c:pt idx="105">
                  <c:v>15.8</c:v>
                </c:pt>
                <c:pt idx="106">
                  <c:v>15.75</c:v>
                </c:pt>
                <c:pt idx="107">
                  <c:v>16.079999999999998</c:v>
                </c:pt>
                <c:pt idx="108">
                  <c:v>15.86</c:v>
                </c:pt>
                <c:pt idx="109">
                  <c:v>15.66</c:v>
                </c:pt>
                <c:pt idx="110">
                  <c:v>15.51</c:v>
                </c:pt>
                <c:pt idx="111">
                  <c:v>15.64</c:v>
                </c:pt>
                <c:pt idx="112">
                  <c:v>15.63</c:v>
                </c:pt>
                <c:pt idx="113">
                  <c:v>15.43</c:v>
                </c:pt>
                <c:pt idx="114">
                  <c:v>15.36</c:v>
                </c:pt>
                <c:pt idx="115">
                  <c:v>15.14</c:v>
                </c:pt>
                <c:pt idx="116">
                  <c:v>14.01</c:v>
                </c:pt>
                <c:pt idx="117">
                  <c:v>12.96</c:v>
                </c:pt>
                <c:pt idx="118">
                  <c:v>13.23</c:v>
                </c:pt>
                <c:pt idx="119">
                  <c:v>12.63</c:v>
                </c:pt>
                <c:pt idx="120">
                  <c:v>13.32</c:v>
                </c:pt>
                <c:pt idx="121">
                  <c:v>13</c:v>
                </c:pt>
                <c:pt idx="122">
                  <c:v>13.02</c:v>
                </c:pt>
                <c:pt idx="123">
                  <c:v>12.9</c:v>
                </c:pt>
                <c:pt idx="124">
                  <c:v>12.97</c:v>
                </c:pt>
                <c:pt idx="125">
                  <c:v>13.56</c:v>
                </c:pt>
                <c:pt idx="126">
                  <c:v>13.26</c:v>
                </c:pt>
                <c:pt idx="127">
                  <c:v>13.07</c:v>
                </c:pt>
                <c:pt idx="128">
                  <c:v>13.01</c:v>
                </c:pt>
                <c:pt idx="129">
                  <c:v>13.81</c:v>
                </c:pt>
                <c:pt idx="130">
                  <c:v>13.75</c:v>
                </c:pt>
                <c:pt idx="131">
                  <c:v>14.11</c:v>
                </c:pt>
                <c:pt idx="132">
                  <c:v>14</c:v>
                </c:pt>
                <c:pt idx="133">
                  <c:v>14.02</c:v>
                </c:pt>
                <c:pt idx="134">
                  <c:v>13.5</c:v>
                </c:pt>
                <c:pt idx="135">
                  <c:v>12.94</c:v>
                </c:pt>
                <c:pt idx="136">
                  <c:v>12.18</c:v>
                </c:pt>
                <c:pt idx="137">
                  <c:v>12.43</c:v>
                </c:pt>
                <c:pt idx="138">
                  <c:v>12.51</c:v>
                </c:pt>
                <c:pt idx="139">
                  <c:v>12.23</c:v>
                </c:pt>
                <c:pt idx="140">
                  <c:v>12.25</c:v>
                </c:pt>
                <c:pt idx="141">
                  <c:v>12.49</c:v>
                </c:pt>
                <c:pt idx="142">
                  <c:v>12.66</c:v>
                </c:pt>
                <c:pt idx="143">
                  <c:v>13.66</c:v>
                </c:pt>
                <c:pt idx="144">
                  <c:v>13.61</c:v>
                </c:pt>
                <c:pt idx="145">
                  <c:v>13.66</c:v>
                </c:pt>
                <c:pt idx="146">
                  <c:v>13.65</c:v>
                </c:pt>
                <c:pt idx="147">
                  <c:v>13.69</c:v>
                </c:pt>
                <c:pt idx="148">
                  <c:v>13.6</c:v>
                </c:pt>
                <c:pt idx="149">
                  <c:v>13.4</c:v>
                </c:pt>
                <c:pt idx="150">
                  <c:v>13.64</c:v>
                </c:pt>
                <c:pt idx="151">
                  <c:v>13.23</c:v>
                </c:pt>
                <c:pt idx="152">
                  <c:v>13.26</c:v>
                </c:pt>
                <c:pt idx="153">
                  <c:v>13.66</c:v>
                </c:pt>
                <c:pt idx="154">
                  <c:v>13.35</c:v>
                </c:pt>
                <c:pt idx="155">
                  <c:v>13.3</c:v>
                </c:pt>
                <c:pt idx="156">
                  <c:v>13.07</c:v>
                </c:pt>
                <c:pt idx="157">
                  <c:v>13.19</c:v>
                </c:pt>
                <c:pt idx="158">
                  <c:v>13.2</c:v>
                </c:pt>
                <c:pt idx="159">
                  <c:v>13.15</c:v>
                </c:pt>
                <c:pt idx="160">
                  <c:v>12.99</c:v>
                </c:pt>
                <c:pt idx="161">
                  <c:v>13.26</c:v>
                </c:pt>
                <c:pt idx="162">
                  <c:v>13.23</c:v>
                </c:pt>
                <c:pt idx="163">
                  <c:v>12.99</c:v>
                </c:pt>
                <c:pt idx="164">
                  <c:v>12.7</c:v>
                </c:pt>
                <c:pt idx="165">
                  <c:v>12.73</c:v>
                </c:pt>
                <c:pt idx="166">
                  <c:v>12.48</c:v>
                </c:pt>
                <c:pt idx="167">
                  <c:v>12.41</c:v>
                </c:pt>
                <c:pt idx="168">
                  <c:v>12.21</c:v>
                </c:pt>
                <c:pt idx="169">
                  <c:v>12.67</c:v>
                </c:pt>
                <c:pt idx="170">
                  <c:v>12.8</c:v>
                </c:pt>
                <c:pt idx="171">
                  <c:v>12.66</c:v>
                </c:pt>
                <c:pt idx="172">
                  <c:v>12.67</c:v>
                </c:pt>
                <c:pt idx="173">
                  <c:v>13.09</c:v>
                </c:pt>
                <c:pt idx="174">
                  <c:v>13.28</c:v>
                </c:pt>
                <c:pt idx="175">
                  <c:v>13.07</c:v>
                </c:pt>
                <c:pt idx="176">
                  <c:v>13.14</c:v>
                </c:pt>
                <c:pt idx="177">
                  <c:v>13.28</c:v>
                </c:pt>
                <c:pt idx="178">
                  <c:v>13.28</c:v>
                </c:pt>
                <c:pt idx="179">
                  <c:v>13.27</c:v>
                </c:pt>
                <c:pt idx="180">
                  <c:v>13.11</c:v>
                </c:pt>
                <c:pt idx="181">
                  <c:v>13.22</c:v>
                </c:pt>
                <c:pt idx="182">
                  <c:v>12.92</c:v>
                </c:pt>
                <c:pt idx="183">
                  <c:v>12.74</c:v>
                </c:pt>
                <c:pt idx="184">
                  <c:v>12.48</c:v>
                </c:pt>
                <c:pt idx="185">
                  <c:v>12.63</c:v>
                </c:pt>
                <c:pt idx="186">
                  <c:v>12.46</c:v>
                </c:pt>
                <c:pt idx="187">
                  <c:v>12.26</c:v>
                </c:pt>
                <c:pt idx="188">
                  <c:v>12.14</c:v>
                </c:pt>
                <c:pt idx="189">
                  <c:v>12.23</c:v>
                </c:pt>
                <c:pt idx="190">
                  <c:v>12.23</c:v>
                </c:pt>
                <c:pt idx="191">
                  <c:v>12.26</c:v>
                </c:pt>
                <c:pt idx="192">
                  <c:v>12.48</c:v>
                </c:pt>
                <c:pt idx="193">
                  <c:v>12.35</c:v>
                </c:pt>
                <c:pt idx="194">
                  <c:v>12.19</c:v>
                </c:pt>
                <c:pt idx="195">
                  <c:v>12.3</c:v>
                </c:pt>
                <c:pt idx="196">
                  <c:v>12.4</c:v>
                </c:pt>
                <c:pt idx="197">
                  <c:v>12.34</c:v>
                </c:pt>
                <c:pt idx="198">
                  <c:v>12.3</c:v>
                </c:pt>
                <c:pt idx="199">
                  <c:v>12.27</c:v>
                </c:pt>
                <c:pt idx="200">
                  <c:v>12.55</c:v>
                </c:pt>
                <c:pt idx="201">
                  <c:v>13.52</c:v>
                </c:pt>
                <c:pt idx="202">
                  <c:v>14.22</c:v>
                </c:pt>
                <c:pt idx="203">
                  <c:v>13.91</c:v>
                </c:pt>
                <c:pt idx="204">
                  <c:v>14.68</c:v>
                </c:pt>
                <c:pt idx="205">
                  <c:v>14.26</c:v>
                </c:pt>
                <c:pt idx="206">
                  <c:v>13.91</c:v>
                </c:pt>
                <c:pt idx="207">
                  <c:v>14</c:v>
                </c:pt>
                <c:pt idx="208">
                  <c:v>14</c:v>
                </c:pt>
                <c:pt idx="209">
                  <c:v>14.16</c:v>
                </c:pt>
                <c:pt idx="210">
                  <c:v>13.87</c:v>
                </c:pt>
                <c:pt idx="211">
                  <c:v>13.63</c:v>
                </c:pt>
                <c:pt idx="212">
                  <c:v>13.86</c:v>
                </c:pt>
                <c:pt idx="213">
                  <c:v>13.88</c:v>
                </c:pt>
                <c:pt idx="214">
                  <c:v>13.69</c:v>
                </c:pt>
                <c:pt idx="215">
                  <c:v>13.83</c:v>
                </c:pt>
                <c:pt idx="216">
                  <c:v>13.79</c:v>
                </c:pt>
                <c:pt idx="217">
                  <c:v>13.96</c:v>
                </c:pt>
                <c:pt idx="218">
                  <c:v>13.83</c:v>
                </c:pt>
                <c:pt idx="219">
                  <c:v>13.69</c:v>
                </c:pt>
                <c:pt idx="220">
                  <c:v>13.69</c:v>
                </c:pt>
                <c:pt idx="221">
                  <c:v>13.77</c:v>
                </c:pt>
                <c:pt idx="222">
                  <c:v>14.1</c:v>
                </c:pt>
                <c:pt idx="223">
                  <c:v>13.96</c:v>
                </c:pt>
                <c:pt idx="224">
                  <c:v>13.9</c:v>
                </c:pt>
                <c:pt idx="225">
                  <c:v>14.15</c:v>
                </c:pt>
                <c:pt idx="226">
                  <c:v>14.01</c:v>
                </c:pt>
                <c:pt idx="227">
                  <c:v>14.22</c:v>
                </c:pt>
                <c:pt idx="228">
                  <c:v>14.06</c:v>
                </c:pt>
                <c:pt idx="229">
                  <c:v>14.36</c:v>
                </c:pt>
                <c:pt idx="230">
                  <c:v>15.06</c:v>
                </c:pt>
                <c:pt idx="231">
                  <c:v>14.79</c:v>
                </c:pt>
                <c:pt idx="232">
                  <c:v>14.47</c:v>
                </c:pt>
                <c:pt idx="233">
                  <c:v>14.45</c:v>
                </c:pt>
                <c:pt idx="234">
                  <c:v>14.67</c:v>
                </c:pt>
                <c:pt idx="235">
                  <c:v>14.51</c:v>
                </c:pt>
                <c:pt idx="236">
                  <c:v>14.22</c:v>
                </c:pt>
                <c:pt idx="237">
                  <c:v>14.25</c:v>
                </c:pt>
                <c:pt idx="238">
                  <c:v>14.14</c:v>
                </c:pt>
                <c:pt idx="239">
                  <c:v>13.93</c:v>
                </c:pt>
                <c:pt idx="240">
                  <c:v>13.72</c:v>
                </c:pt>
                <c:pt idx="241">
                  <c:v>13.39</c:v>
                </c:pt>
                <c:pt idx="242">
                  <c:v>13.36</c:v>
                </c:pt>
                <c:pt idx="243">
                  <c:v>13.16</c:v>
                </c:pt>
                <c:pt idx="244">
                  <c:v>13.69</c:v>
                </c:pt>
                <c:pt idx="245">
                  <c:v>13.56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4D-468B-BC6E-B1A9942C0B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7692447"/>
        <c:axId val="1362070303"/>
      </c:lineChart>
      <c:dateAx>
        <c:axId val="152076451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en-US"/>
          </a:p>
        </c:txPr>
        <c:crossAx val="1515340415"/>
        <c:crosses val="autoZero"/>
        <c:auto val="1"/>
        <c:lblOffset val="100"/>
        <c:baseTimeUnit val="days"/>
      </c:dateAx>
      <c:valAx>
        <c:axId val="151534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en-US"/>
          </a:p>
        </c:txPr>
        <c:crossAx val="1520764511"/>
        <c:crosses val="autoZero"/>
        <c:crossBetween val="between"/>
      </c:valAx>
      <c:valAx>
        <c:axId val="136207030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en-US"/>
          </a:p>
        </c:txPr>
        <c:crossAx val="1517692447"/>
        <c:crosses val="max"/>
        <c:crossBetween val="between"/>
      </c:valAx>
      <c:dateAx>
        <c:axId val="1517692447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36207030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ptos" panose="020B00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ptos" panose="020B00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r>
              <a:rPr lang="en-US" sz="1100"/>
              <a:t>Gross Profit (PKR) and Gross Margin (%)</a:t>
            </a:r>
          </a:p>
        </c:rich>
      </c:tx>
      <c:layout>
        <c:manualLayout>
          <c:xMode val="edge"/>
          <c:yMode val="edge"/>
          <c:x val="2.0715223097112854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ptos" panose="020B00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Financials!$A$7</c:f>
              <c:strCache>
                <c:ptCount val="1"/>
                <c:pt idx="0">
                  <c:v>Gross profit/ (loss)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'Ratios (2)'!$B$11:$K$11</c:f>
              <c:numCache>
                <c:formatCode>General</c:formatCode>
                <c:ptCount val="10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</c:numCache>
            </c:numRef>
          </c:cat>
          <c:val>
            <c:numRef>
              <c:f>Financials!$B$7:$K$7</c:f>
              <c:numCache>
                <c:formatCode>_(* #,##0_);_(* \(#,##0\);_(* "-"_);_(@_)</c:formatCode>
                <c:ptCount val="10"/>
                <c:pt idx="0">
                  <c:v>-3174495000</c:v>
                </c:pt>
                <c:pt idx="1">
                  <c:v>-4368347000</c:v>
                </c:pt>
                <c:pt idx="2">
                  <c:v>3241005000</c:v>
                </c:pt>
                <c:pt idx="3">
                  <c:v>20272408000</c:v>
                </c:pt>
                <c:pt idx="4">
                  <c:v>7300642000</c:v>
                </c:pt>
                <c:pt idx="5">
                  <c:v>29516897318.374786</c:v>
                </c:pt>
                <c:pt idx="6">
                  <c:v>40027696006.350708</c:v>
                </c:pt>
                <c:pt idx="7">
                  <c:v>55987683946.44458</c:v>
                </c:pt>
                <c:pt idx="8">
                  <c:v>89591035664.088074</c:v>
                </c:pt>
                <c:pt idx="9">
                  <c:v>150936677799.08801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80-466B-9761-E40E24B5C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61842495"/>
        <c:axId val="1371957391"/>
      </c:barChart>
      <c:lineChart>
        <c:grouping val="standard"/>
        <c:varyColors val="0"/>
        <c:ser>
          <c:idx val="0"/>
          <c:order val="0"/>
          <c:tx>
            <c:strRef>
              <c:f>'Ratios (2)'!$A$12</c:f>
              <c:strCache>
                <c:ptCount val="1"/>
                <c:pt idx="0">
                  <c:v>Gross Margin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'Ratios (2)'!$B$2</c:f>
              <c:numCache>
                <c:formatCode>General</c:formatCode>
                <c:ptCount val="1"/>
                <c:pt idx="0">
                  <c:v>2019</c:v>
                </c:pt>
              </c:numCache>
            </c:numRef>
          </c:cat>
          <c:val>
            <c:numRef>
              <c:f>'Ratios (2)'!$B$12:$K$12</c:f>
              <c:numCache>
                <c:formatCode>0.00%</c:formatCode>
                <c:ptCount val="10"/>
                <c:pt idx="0">
                  <c:v>-2.0926610410021865E-2</c:v>
                </c:pt>
                <c:pt idx="1">
                  <c:v>-3.3124671054467432E-2</c:v>
                </c:pt>
                <c:pt idx="2">
                  <c:v>2.3212561733787895E-2</c:v>
                </c:pt>
                <c:pt idx="3">
                  <c:v>9.056090150097787E-2</c:v>
                </c:pt>
                <c:pt idx="4">
                  <c:v>2.2426914639591639E-2</c:v>
                </c:pt>
                <c:pt idx="5">
                  <c:v>7.9597131504298674E-2</c:v>
                </c:pt>
                <c:pt idx="6">
                  <c:v>9.6585780790212697E-2</c:v>
                </c:pt>
                <c:pt idx="7">
                  <c:v>0.11740222821740089</c:v>
                </c:pt>
                <c:pt idx="8">
                  <c:v>0.14912997566395697</c:v>
                </c:pt>
                <c:pt idx="9">
                  <c:v>0.18185047436717072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80-466B-9761-E40E24B5C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7685247"/>
        <c:axId val="1429775455"/>
      </c:lineChart>
      <c:catAx>
        <c:axId val="2061842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en-US"/>
          </a:p>
        </c:txPr>
        <c:crossAx val="1371957391"/>
        <c:crosses val="autoZero"/>
        <c:auto val="1"/>
        <c:lblAlgn val="ctr"/>
        <c:lblOffset val="100"/>
        <c:noMultiLvlLbl val="0"/>
      </c:catAx>
      <c:valAx>
        <c:axId val="1371957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en-US"/>
          </a:p>
        </c:txPr>
        <c:crossAx val="2061842495"/>
        <c:crosses val="autoZero"/>
        <c:crossBetween val="between"/>
      </c:valAx>
      <c:valAx>
        <c:axId val="1429775455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en-US"/>
          </a:p>
        </c:txPr>
        <c:crossAx val="1517685247"/>
        <c:crosses val="max"/>
        <c:crossBetween val="between"/>
      </c:valAx>
      <c:catAx>
        <c:axId val="15176852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2977545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ptos" panose="020B00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ptos" panose="020B00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r>
              <a:rPr lang="en-US" sz="900"/>
              <a:t>Operating Profit (PKR) and Operating Margin (%)</a:t>
            </a:r>
          </a:p>
        </c:rich>
      </c:tx>
      <c:layout>
        <c:manualLayout>
          <c:xMode val="edge"/>
          <c:yMode val="edge"/>
          <c:x val="2.0715223097112854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ptos" panose="020B00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Financials!$A$15</c:f>
              <c:strCache>
                <c:ptCount val="1"/>
                <c:pt idx="0">
                  <c:v>Operating profit/ (loss)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'Ratios (2)'!$B$11:$K$11</c:f>
              <c:numCache>
                <c:formatCode>General</c:formatCode>
                <c:ptCount val="10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</c:numCache>
            </c:numRef>
          </c:cat>
          <c:val>
            <c:numRef>
              <c:f>Financials!$B$15:$K$15</c:f>
              <c:numCache>
                <c:formatCode>_(* #,##0_);_(* \(#,##0\);_(* "-"_);_(@_)</c:formatCode>
                <c:ptCount val="10"/>
                <c:pt idx="0">
                  <c:v>-3788521000</c:v>
                </c:pt>
                <c:pt idx="1">
                  <c:v>-4913347000</c:v>
                </c:pt>
                <c:pt idx="2">
                  <c:v>2956772000</c:v>
                </c:pt>
                <c:pt idx="3">
                  <c:v>17500927000</c:v>
                </c:pt>
                <c:pt idx="4">
                  <c:v>7448177000</c:v>
                </c:pt>
                <c:pt idx="5">
                  <c:v>28761754479.684021</c:v>
                </c:pt>
                <c:pt idx="6">
                  <c:v>39142620167.492798</c:v>
                </c:pt>
                <c:pt idx="7">
                  <c:v>54781915412.621346</c:v>
                </c:pt>
                <c:pt idx="8">
                  <c:v>87622102796.822937</c:v>
                </c:pt>
                <c:pt idx="9">
                  <c:v>148043328125.99905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C8-4AB1-AF49-FB9ECE77BA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61842495"/>
        <c:axId val="1371957391"/>
      </c:barChart>
      <c:lineChart>
        <c:grouping val="standard"/>
        <c:varyColors val="0"/>
        <c:ser>
          <c:idx val="0"/>
          <c:order val="0"/>
          <c:tx>
            <c:strRef>
              <c:f>'Ratios (2)'!$A$13</c:f>
              <c:strCache>
                <c:ptCount val="1"/>
                <c:pt idx="0">
                  <c:v>Operating Margin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'Ratios (2)'!$B$11:$K$11</c:f>
              <c:numCache>
                <c:formatCode>General</c:formatCode>
                <c:ptCount val="10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</c:numCache>
            </c:numRef>
          </c:cat>
          <c:val>
            <c:numRef>
              <c:f>'Ratios (2)'!$B$13:$K$13</c:f>
              <c:numCache>
                <c:formatCode>0.00%</c:formatCode>
                <c:ptCount val="10"/>
                <c:pt idx="0">
                  <c:v>-2.4974335444594004E-2</c:v>
                </c:pt>
                <c:pt idx="1">
                  <c:v>-3.7257343144089607E-2</c:v>
                </c:pt>
                <c:pt idx="2">
                  <c:v>2.1176842548140316E-2</c:v>
                </c:pt>
                <c:pt idx="3">
                  <c:v>7.818014151169432E-2</c:v>
                </c:pt>
                <c:pt idx="4">
                  <c:v>2.2880128870799273E-2</c:v>
                </c:pt>
                <c:pt idx="5">
                  <c:v>7.7560765581841759E-2</c:v>
                </c:pt>
                <c:pt idx="6">
                  <c:v>9.445011600098574E-2</c:v>
                </c:pt>
                <c:pt idx="7">
                  <c:v>0.11487381656313982</c:v>
                </c:pt>
                <c:pt idx="8">
                  <c:v>0.14585256170838962</c:v>
                </c:pt>
                <c:pt idx="9">
                  <c:v>0.17836452901423475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C8-4AB1-AF49-FB9ECE77BA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7685247"/>
        <c:axId val="1429775455"/>
      </c:lineChart>
      <c:catAx>
        <c:axId val="2061842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en-US"/>
          </a:p>
        </c:txPr>
        <c:crossAx val="1371957391"/>
        <c:crosses val="autoZero"/>
        <c:auto val="1"/>
        <c:lblAlgn val="ctr"/>
        <c:lblOffset val="100"/>
        <c:noMultiLvlLbl val="0"/>
      </c:catAx>
      <c:valAx>
        <c:axId val="1371957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en-US"/>
          </a:p>
        </c:txPr>
        <c:crossAx val="2061842495"/>
        <c:crosses val="autoZero"/>
        <c:crossBetween val="between"/>
      </c:valAx>
      <c:valAx>
        <c:axId val="1429775455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en-US"/>
          </a:p>
        </c:txPr>
        <c:crossAx val="1517685247"/>
        <c:crosses val="max"/>
        <c:crossBetween val="between"/>
      </c:valAx>
      <c:catAx>
        <c:axId val="15176852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2977545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ptos" panose="020B00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ptos" panose="020B00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r>
              <a:rPr lang="en-US" sz="1000"/>
              <a:t>Net Profit (PKR) and Net Margin (%)</a:t>
            </a:r>
          </a:p>
        </c:rich>
      </c:tx>
      <c:layout>
        <c:manualLayout>
          <c:xMode val="edge"/>
          <c:yMode val="edge"/>
          <c:x val="3.1225604996096799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ptos" panose="020B00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Financials!$A$21</c:f>
              <c:strCache>
                <c:ptCount val="1"/>
                <c:pt idx="0">
                  <c:v>Profit/ (loss) after taxation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'Ratios (2)'!$B$11:$K$11</c:f>
              <c:numCache>
                <c:formatCode>General</c:formatCode>
                <c:ptCount val="10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</c:numCache>
            </c:numRef>
          </c:cat>
          <c:val>
            <c:numRef>
              <c:f>Financials!$B$21:$K$21</c:f>
              <c:numCache>
                <c:formatCode>_(* #,##0_);_(* \(#,##0\);_(* "-"_);_(@_)</c:formatCode>
                <c:ptCount val="10"/>
                <c:pt idx="0">
                  <c:v>-5821123000</c:v>
                </c:pt>
                <c:pt idx="1">
                  <c:v>-7590726000</c:v>
                </c:pt>
                <c:pt idx="2">
                  <c:v>937156000</c:v>
                </c:pt>
                <c:pt idx="3">
                  <c:v>12573450000</c:v>
                </c:pt>
                <c:pt idx="4">
                  <c:v>1824967000</c:v>
                </c:pt>
                <c:pt idx="5">
                  <c:v>18864680401.343033</c:v>
                </c:pt>
                <c:pt idx="6">
                  <c:v>26167874290.218216</c:v>
                </c:pt>
                <c:pt idx="7">
                  <c:v>37251705878.778877</c:v>
                </c:pt>
                <c:pt idx="8">
                  <c:v>60492257089.559296</c:v>
                </c:pt>
                <c:pt idx="9">
                  <c:v>103307560976.11182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32-4600-8C15-309CD5093C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61842495"/>
        <c:axId val="1371957391"/>
      </c:barChart>
      <c:lineChart>
        <c:grouping val="standard"/>
        <c:varyColors val="0"/>
        <c:ser>
          <c:idx val="0"/>
          <c:order val="0"/>
          <c:tx>
            <c:strRef>
              <c:f>'Ratios (2)'!$A$14</c:f>
              <c:strCache>
                <c:ptCount val="1"/>
                <c:pt idx="0">
                  <c:v>Net Margin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'Ratios (2)'!$B$11:$K$11</c:f>
              <c:numCache>
                <c:formatCode>General</c:formatCode>
                <c:ptCount val="10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</c:numCache>
            </c:numRef>
          </c:cat>
          <c:val>
            <c:numRef>
              <c:f>'Ratios (2)'!$B$14:$K$14</c:f>
              <c:numCache>
                <c:formatCode>0.00%</c:formatCode>
                <c:ptCount val="10"/>
                <c:pt idx="0">
                  <c:v>-3.8373465124316684E-2</c:v>
                </c:pt>
                <c:pt idx="1">
                  <c:v>-5.7559599046182318E-2</c:v>
                </c:pt>
                <c:pt idx="2">
                  <c:v>6.712051201460574E-3</c:v>
                </c:pt>
                <c:pt idx="3">
                  <c:v>5.6168116139802937E-2</c:v>
                </c:pt>
                <c:pt idx="4">
                  <c:v>5.6061342453268678E-3</c:v>
                </c:pt>
                <c:pt idx="5">
                  <c:v>5.0871689883120297E-2</c:v>
                </c:pt>
                <c:pt idx="6">
                  <c:v>6.3142394444583083E-2</c:v>
                </c:pt>
                <c:pt idx="7">
                  <c:v>7.8114202388713402E-2</c:v>
                </c:pt>
                <c:pt idx="8">
                  <c:v>0.10069320843044895</c:v>
                </c:pt>
                <c:pt idx="9">
                  <c:v>0.1244662943637074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32-4600-8C15-309CD5093C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7685247"/>
        <c:axId val="1429775455"/>
      </c:lineChart>
      <c:catAx>
        <c:axId val="2061842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en-US"/>
          </a:p>
        </c:txPr>
        <c:crossAx val="1371957391"/>
        <c:crosses val="autoZero"/>
        <c:auto val="1"/>
        <c:lblAlgn val="ctr"/>
        <c:lblOffset val="100"/>
        <c:noMultiLvlLbl val="0"/>
      </c:catAx>
      <c:valAx>
        <c:axId val="1371957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en-US"/>
          </a:p>
        </c:txPr>
        <c:crossAx val="2061842495"/>
        <c:crosses val="autoZero"/>
        <c:crossBetween val="between"/>
      </c:valAx>
      <c:valAx>
        <c:axId val="1429775455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en-US"/>
          </a:p>
        </c:txPr>
        <c:crossAx val="1517685247"/>
        <c:crosses val="max"/>
        <c:crossBetween val="between"/>
      </c:valAx>
      <c:catAx>
        <c:axId val="15176852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2977545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ptos" panose="020B00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ptos" panose="020B00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r>
              <a:rPr lang="en-US"/>
              <a:t>CFO</a:t>
            </a:r>
            <a:r>
              <a:rPr lang="en-US" baseline="0"/>
              <a:t> and Short Term Borrowings</a:t>
            </a:r>
            <a:endParaRPr lang="en-US"/>
          </a:p>
        </c:rich>
      </c:tx>
      <c:layout>
        <c:manualLayout>
          <c:xMode val="edge"/>
          <c:yMode val="edge"/>
          <c:x val="2.7221441718125475E-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ptos" panose="020B00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Financials!$A$68</c:f>
              <c:strCache>
                <c:ptCount val="1"/>
                <c:pt idx="0">
                  <c:v>Short term borrowings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numRef>
              <c:f>Financials!$G$3:$K$3</c:f>
              <c:numCache>
                <c:formatCode>mmm\-yy</c:formatCode>
                <c:ptCount val="5"/>
                <c:pt idx="0">
                  <c:v>45444</c:v>
                </c:pt>
                <c:pt idx="1">
                  <c:v>45809</c:v>
                </c:pt>
                <c:pt idx="2">
                  <c:v>46174</c:v>
                </c:pt>
                <c:pt idx="3">
                  <c:v>46539</c:v>
                </c:pt>
                <c:pt idx="4">
                  <c:v>46905</c:v>
                </c:pt>
              </c:numCache>
            </c:numRef>
          </c:cat>
          <c:val>
            <c:numRef>
              <c:f>Financials!$G$68:$K$68</c:f>
              <c:numCache>
                <c:formatCode>#,##0</c:formatCode>
                <c:ptCount val="5"/>
                <c:pt idx="0">
                  <c:v>32817433000</c:v>
                </c:pt>
                <c:pt idx="1">
                  <c:v>36099176300</c:v>
                </c:pt>
                <c:pt idx="2">
                  <c:v>39709093930</c:v>
                </c:pt>
                <c:pt idx="3">
                  <c:v>43680003323</c:v>
                </c:pt>
                <c:pt idx="4">
                  <c:v>48048003655.300003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6C-41FA-8E37-1BCFECC3F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547690768"/>
        <c:axId val="556307680"/>
      </c:barChart>
      <c:lineChart>
        <c:grouping val="standard"/>
        <c:varyColors val="0"/>
        <c:ser>
          <c:idx val="1"/>
          <c:order val="1"/>
          <c:tx>
            <c:strRef>
              <c:f>'Cash Flow Statement'!$A$2</c:f>
              <c:strCache>
                <c:ptCount val="1"/>
                <c:pt idx="0">
                  <c:v>Cash flows from operating activities</c:v>
                </c:pt>
              </c:strCache>
            </c:strRef>
          </c:tx>
          <c:spPr>
            <a:ln w="28575" cap="rnd">
              <a:solidFill>
                <a:schemeClr val="accent1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Financials!$G$3:$K$3</c:f>
              <c:numCache>
                <c:formatCode>mmm\-yy</c:formatCode>
                <c:ptCount val="5"/>
                <c:pt idx="0">
                  <c:v>45444</c:v>
                </c:pt>
                <c:pt idx="1">
                  <c:v>45809</c:v>
                </c:pt>
                <c:pt idx="2">
                  <c:v>46174</c:v>
                </c:pt>
                <c:pt idx="3">
                  <c:v>46539</c:v>
                </c:pt>
                <c:pt idx="4">
                  <c:v>46905</c:v>
                </c:pt>
              </c:numCache>
            </c:numRef>
          </c:cat>
          <c:val>
            <c:numRef>
              <c:f>'Cash Flow Statement'!$B$14:$F$14</c:f>
              <c:numCache>
                <c:formatCode>_(* #,##0_);_(* \(#,##0\);_(* "-"_);_(@_)</c:formatCode>
                <c:ptCount val="5"/>
                <c:pt idx="0">
                  <c:v>19939032918.580048</c:v>
                </c:pt>
                <c:pt idx="1">
                  <c:v>13075636387.409189</c:v>
                </c:pt>
                <c:pt idx="2">
                  <c:v>18317961491.845211</c:v>
                </c:pt>
                <c:pt idx="3">
                  <c:v>40060762748.705872</c:v>
                </c:pt>
                <c:pt idx="4">
                  <c:v>52305721261.551521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6C-41FA-8E37-1BCFECC3F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7690768"/>
        <c:axId val="556307680"/>
      </c:lineChart>
      <c:catAx>
        <c:axId val="547690768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en-US"/>
          </a:p>
        </c:txPr>
        <c:crossAx val="556307680"/>
        <c:crosses val="autoZero"/>
        <c:auto val="0"/>
        <c:lblAlgn val="ctr"/>
        <c:lblOffset val="100"/>
        <c:noMultiLvlLbl val="0"/>
      </c:catAx>
      <c:valAx>
        <c:axId val="55630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en-US"/>
          </a:p>
        </c:txPr>
        <c:crossAx val="54769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ptos" panose="020B00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ptos" panose="020B00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Refineries Market Share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'Ratios (2)'!$B$53</c:f>
              <c:strCache>
                <c:ptCount val="1"/>
                <c:pt idx="0">
                  <c:v>PARCO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'Ratios (2)'!$A$54:$A$59</c:f>
              <c:strCache>
                <c:ptCount val="6"/>
                <c:pt idx="0">
                  <c:v>FY18</c:v>
                </c:pt>
                <c:pt idx="1">
                  <c:v>FY19</c:v>
                </c:pt>
                <c:pt idx="2">
                  <c:v>FY20</c:v>
                </c:pt>
                <c:pt idx="3">
                  <c:v>FY21</c:v>
                </c:pt>
                <c:pt idx="4">
                  <c:v>FY22</c:v>
                </c:pt>
                <c:pt idx="5">
                  <c:v>FY23</c:v>
                </c:pt>
              </c:strCache>
            </c:strRef>
          </c:cat>
          <c:val>
            <c:numRef>
              <c:f>'Ratios (2)'!$B$54:$B$59</c:f>
              <c:numCache>
                <c:formatCode>0%</c:formatCode>
                <c:ptCount val="6"/>
                <c:pt idx="0">
                  <c:v>0.28000000000000003</c:v>
                </c:pt>
                <c:pt idx="1">
                  <c:v>0.33</c:v>
                </c:pt>
                <c:pt idx="2">
                  <c:v>0.31</c:v>
                </c:pt>
                <c:pt idx="3">
                  <c:v>0.4</c:v>
                </c:pt>
                <c:pt idx="4">
                  <c:v>0.47</c:v>
                </c:pt>
                <c:pt idx="5">
                  <c:v>0.42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5F-4CA0-8DB0-3767FAD03EF4}"/>
            </c:ext>
          </c:extLst>
        </c:ser>
        <c:ser>
          <c:idx val="1"/>
          <c:order val="1"/>
          <c:tx>
            <c:strRef>
              <c:f>'Ratios (2)'!$C$53</c:f>
              <c:strCache>
                <c:ptCount val="1"/>
                <c:pt idx="0">
                  <c:v>ATRL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'Ratios (2)'!$A$54:$A$59</c:f>
              <c:strCache>
                <c:ptCount val="6"/>
                <c:pt idx="0">
                  <c:v>FY18</c:v>
                </c:pt>
                <c:pt idx="1">
                  <c:v>FY19</c:v>
                </c:pt>
                <c:pt idx="2">
                  <c:v>FY20</c:v>
                </c:pt>
                <c:pt idx="3">
                  <c:v>FY21</c:v>
                </c:pt>
                <c:pt idx="4">
                  <c:v>FY22</c:v>
                </c:pt>
                <c:pt idx="5">
                  <c:v>FY23</c:v>
                </c:pt>
              </c:strCache>
            </c:strRef>
          </c:cat>
          <c:val>
            <c:numRef>
              <c:f>'Ratios (2)'!$C$54:$C$59</c:f>
              <c:numCache>
                <c:formatCode>0%</c:formatCode>
                <c:ptCount val="6"/>
                <c:pt idx="0">
                  <c:v>0.18</c:v>
                </c:pt>
                <c:pt idx="1">
                  <c:v>0.18</c:v>
                </c:pt>
                <c:pt idx="2">
                  <c:v>0.17</c:v>
                </c:pt>
                <c:pt idx="3">
                  <c:v>0.16</c:v>
                </c:pt>
                <c:pt idx="4">
                  <c:v>0.16</c:v>
                </c:pt>
                <c:pt idx="5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5F-4CA0-8DB0-3767FAD03EF4}"/>
            </c:ext>
          </c:extLst>
        </c:ser>
        <c:ser>
          <c:idx val="2"/>
          <c:order val="2"/>
          <c:tx>
            <c:strRef>
              <c:f>'Ratios (2)'!$D$53</c:f>
              <c:strCache>
                <c:ptCount val="1"/>
                <c:pt idx="0">
                  <c:v>NRL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'Ratios (2)'!$A$54:$A$59</c:f>
              <c:strCache>
                <c:ptCount val="6"/>
                <c:pt idx="0">
                  <c:v>FY18</c:v>
                </c:pt>
                <c:pt idx="1">
                  <c:v>FY19</c:v>
                </c:pt>
                <c:pt idx="2">
                  <c:v>FY20</c:v>
                </c:pt>
                <c:pt idx="3">
                  <c:v>FY21</c:v>
                </c:pt>
                <c:pt idx="4">
                  <c:v>FY22</c:v>
                </c:pt>
                <c:pt idx="5">
                  <c:v>FY23</c:v>
                </c:pt>
              </c:strCache>
            </c:strRef>
          </c:cat>
          <c:val>
            <c:numRef>
              <c:f>'Ratios (2)'!$D$54:$D$59</c:f>
              <c:numCache>
                <c:formatCode>0%</c:formatCode>
                <c:ptCount val="6"/>
                <c:pt idx="0">
                  <c:v>0.19</c:v>
                </c:pt>
                <c:pt idx="1">
                  <c:v>0.17</c:v>
                </c:pt>
                <c:pt idx="2">
                  <c:v>0.17</c:v>
                </c:pt>
                <c:pt idx="3">
                  <c:v>0.16</c:v>
                </c:pt>
                <c:pt idx="4">
                  <c:v>0.15</c:v>
                </c:pt>
                <c:pt idx="5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5F-4CA0-8DB0-3767FAD03EF4}"/>
            </c:ext>
          </c:extLst>
        </c:ser>
        <c:ser>
          <c:idx val="3"/>
          <c:order val="3"/>
          <c:tx>
            <c:strRef>
              <c:f>'Ratios (2)'!$E$53</c:f>
              <c:strCache>
                <c:ptCount val="1"/>
                <c:pt idx="0">
                  <c:v>PRL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'Ratios (2)'!$A$54:$A$59</c:f>
              <c:strCache>
                <c:ptCount val="6"/>
                <c:pt idx="0">
                  <c:v>FY18</c:v>
                </c:pt>
                <c:pt idx="1">
                  <c:v>FY19</c:v>
                </c:pt>
                <c:pt idx="2">
                  <c:v>FY20</c:v>
                </c:pt>
                <c:pt idx="3">
                  <c:v>FY21</c:v>
                </c:pt>
                <c:pt idx="4">
                  <c:v>FY22</c:v>
                </c:pt>
                <c:pt idx="5">
                  <c:v>FY23</c:v>
                </c:pt>
              </c:strCache>
            </c:strRef>
          </c:cat>
          <c:val>
            <c:numRef>
              <c:f>'Ratios (2)'!$E$54:$E$59</c:f>
              <c:numCache>
                <c:formatCode>0%</c:formatCode>
                <c:ptCount val="6"/>
                <c:pt idx="0">
                  <c:v>0.13</c:v>
                </c:pt>
                <c:pt idx="1">
                  <c:v>0.12</c:v>
                </c:pt>
                <c:pt idx="2">
                  <c:v>0.13</c:v>
                </c:pt>
                <c:pt idx="3">
                  <c:v>0.11</c:v>
                </c:pt>
                <c:pt idx="4">
                  <c:v>0.12</c:v>
                </c:pt>
                <c:pt idx="5">
                  <c:v>0.14000000000000001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5F-4CA0-8DB0-3767FAD03EF4}"/>
            </c:ext>
          </c:extLst>
        </c:ser>
        <c:ser>
          <c:idx val="4"/>
          <c:order val="4"/>
          <c:tx>
            <c:strRef>
              <c:f>'Ratios (2)'!$F$53</c:f>
              <c:strCache>
                <c:ptCount val="1"/>
                <c:pt idx="0">
                  <c:v>Cnergyico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'Ratios (2)'!$A$54:$A$59</c:f>
              <c:strCache>
                <c:ptCount val="6"/>
                <c:pt idx="0">
                  <c:v>FY18</c:v>
                </c:pt>
                <c:pt idx="1">
                  <c:v>FY19</c:v>
                </c:pt>
                <c:pt idx="2">
                  <c:v>FY20</c:v>
                </c:pt>
                <c:pt idx="3">
                  <c:v>FY21</c:v>
                </c:pt>
                <c:pt idx="4">
                  <c:v>FY22</c:v>
                </c:pt>
                <c:pt idx="5">
                  <c:v>FY23</c:v>
                </c:pt>
              </c:strCache>
            </c:strRef>
          </c:cat>
          <c:val>
            <c:numRef>
              <c:f>'Ratios (2)'!$F$54:$F$59</c:f>
              <c:numCache>
                <c:formatCode>0%</c:formatCode>
                <c:ptCount val="6"/>
                <c:pt idx="0">
                  <c:v>0.22</c:v>
                </c:pt>
                <c:pt idx="1">
                  <c:v>0.2</c:v>
                </c:pt>
                <c:pt idx="2">
                  <c:v>0.23</c:v>
                </c:pt>
                <c:pt idx="3">
                  <c:v>0.17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25F-4CA0-8DB0-3767FAD03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8519423"/>
        <c:axId val="268530943"/>
      </c:barChart>
      <c:catAx>
        <c:axId val="268519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530943"/>
        <c:crosses val="autoZero"/>
        <c:auto val="1"/>
        <c:lblAlgn val="ctr"/>
        <c:lblOffset val="100"/>
        <c:noMultiLvlLbl val="0"/>
      </c:catAx>
      <c:valAx>
        <c:axId val="26853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519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175260</xdr:rowOff>
    </xdr:from>
    <xdr:to>
      <xdr:col>18</xdr:col>
      <xdr:colOff>1460</xdr:colOff>
      <xdr:row>5</xdr:row>
      <xdr:rowOff>129540</xdr:rowOff>
    </xdr:to>
    <xdr:pic>
      <xdr:nvPicPr>
        <xdr:cNvPr id="2" name="Picture 1" descr="PRL-Site-Logo">
          <a:extLst>
            <a:ext uri="{FF2B5EF4-FFF2-40B4-BE49-F238E27FC236}">
              <a16:creationId xmlns:a16="http://schemas.microsoft.com/office/drawing/2014/main" id="{241F9663-3765-41B1-9399-0F36A4256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8260" y="358140"/>
          <a:ext cx="6097460" cy="1325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457200</xdr:colOff>
      <xdr:row>1</xdr:row>
      <xdr:rowOff>40640</xdr:rowOff>
    </xdr:from>
    <xdr:to>
      <xdr:col>28</xdr:col>
      <xdr:colOff>198120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33E8AE-A7A5-448D-95EF-3CF63F0BC5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312420</xdr:colOff>
      <xdr:row>2</xdr:row>
      <xdr:rowOff>91440</xdr:rowOff>
    </xdr:from>
    <xdr:to>
      <xdr:col>33</xdr:col>
      <xdr:colOff>518160</xdr:colOff>
      <xdr:row>15</xdr:row>
      <xdr:rowOff>137160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2BB489A-B92D-4046-BE95-EDE9D779D7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312420</xdr:colOff>
      <xdr:row>16</xdr:row>
      <xdr:rowOff>22860</xdr:rowOff>
    </xdr:from>
    <xdr:to>
      <xdr:col>33</xdr:col>
      <xdr:colOff>518160</xdr:colOff>
      <xdr:row>29</xdr:row>
      <xdr:rowOff>68580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459F913-DC88-464A-BCFA-D8DE1C5BB8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312420</xdr:colOff>
      <xdr:row>29</xdr:row>
      <xdr:rowOff>167640</xdr:rowOff>
    </xdr:from>
    <xdr:to>
      <xdr:col>33</xdr:col>
      <xdr:colOff>518160</xdr:colOff>
      <xdr:row>43</xdr:row>
      <xdr:rowOff>30480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552863B-CF4C-4746-8EBF-A86506F2E5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467360</xdr:colOff>
      <xdr:row>33</xdr:row>
      <xdr:rowOff>22860</xdr:rowOff>
    </xdr:from>
    <xdr:to>
      <xdr:col>28</xdr:col>
      <xdr:colOff>160020</xdr:colOff>
      <xdr:row>50</xdr:row>
      <xdr:rowOff>91440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1FD704C-FD69-48AD-888D-4399D37DB1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457200</xdr:colOff>
      <xdr:row>16</xdr:row>
      <xdr:rowOff>132080</xdr:rowOff>
    </xdr:from>
    <xdr:to>
      <xdr:col>28</xdr:col>
      <xdr:colOff>152400</xdr:colOff>
      <xdr:row>32</xdr:row>
      <xdr:rowOff>81280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44AEFF8-4FF1-1E2E-CD3B-30F011B794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IBA\Security%20Analysis\Pakistan%20Refinary%20Reports\SECURITY%20ANALYSIS%20PROJECT%203.xlsx" TargetMode="External"/><Relationship Id="rId1" Type="http://schemas.openxmlformats.org/officeDocument/2006/relationships/externalLinkPath" Target="file:///D:\IBA\Security%20Analysis\Pakistan%20Refinary%20Reports\SECURITY%20ANALYSIS%20PROJECT%203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IBA\Security%20Analysis\Pakistan%20Refinary%20Reports\Financial%20Model%20-%20BIFO%20_version%201_%20(1).xlsx" TargetMode="External"/><Relationship Id="rId1" Type="http://schemas.openxmlformats.org/officeDocument/2006/relationships/externalLinkPath" Target="file:///D:\IBA\Security%20Analysis\Pakistan%20Refinary%20Reports\Financial%20Model%20-%20BIFO%20_version%201_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Financials"/>
      <sheetName val="IS_Assumptions"/>
      <sheetName val="BS_Assumptions"/>
      <sheetName val="Fixed Asset and Loan Schedule"/>
      <sheetName val="Cash Flow Statement"/>
      <sheetName val="Ratios"/>
      <sheetName val="Valuation"/>
    </sheetNames>
    <sheetDataSet>
      <sheetData sheetId="0"/>
      <sheetData sheetId="1">
        <row r="34">
          <cell r="G34">
            <v>21646106528.301426</v>
          </cell>
          <cell r="H34">
            <v>21755944104.63747</v>
          </cell>
          <cell r="I34">
            <v>22411710217.786518</v>
          </cell>
          <cell r="J34">
            <v>23402560530.616425</v>
          </cell>
          <cell r="K34">
            <v>24836573578.928535</v>
          </cell>
        </row>
        <row r="38">
          <cell r="G38">
            <v>8263992691.4614611</v>
          </cell>
          <cell r="H38">
            <v>7378564952.1999102</v>
          </cell>
          <cell r="I38">
            <v>7211154931.41959</v>
          </cell>
          <cell r="J38">
            <v>7620692243.1719408</v>
          </cell>
          <cell r="K38">
            <v>7484412678.3805122</v>
          </cell>
        </row>
        <row r="39">
          <cell r="G39">
            <v>9017903581.0205727</v>
          </cell>
          <cell r="H39">
            <v>8802926463.5462284</v>
          </cell>
          <cell r="I39">
            <v>8669182133.2428551</v>
          </cell>
          <cell r="J39">
            <v>9529124277.6399364</v>
          </cell>
          <cell r="K39">
            <v>11119708090.481243</v>
          </cell>
        </row>
        <row r="40">
          <cell r="G40">
            <v>102346795.78844842</v>
          </cell>
          <cell r="H40">
            <v>101984318.77732475</v>
          </cell>
          <cell r="I40">
            <v>111110795.00302583</v>
          </cell>
          <cell r="J40">
            <v>107921270.18256946</v>
          </cell>
          <cell r="K40">
            <v>124578534.34577823</v>
          </cell>
        </row>
        <row r="41">
          <cell r="G41">
            <v>1464235192.3813586</v>
          </cell>
          <cell r="H41">
            <v>1325736718.3422737</v>
          </cell>
          <cell r="I41">
            <v>1462171769.0450115</v>
          </cell>
          <cell r="J41">
            <v>1841467753.6834114</v>
          </cell>
          <cell r="K41">
            <v>2373345648.5238843</v>
          </cell>
        </row>
        <row r="42">
          <cell r="G42">
            <v>114392333.33333333</v>
          </cell>
          <cell r="H42">
            <v>97543111.111111104</v>
          </cell>
          <cell r="I42">
            <v>102544148.14814813</v>
          </cell>
          <cell r="J42">
            <v>104826530.86419751</v>
          </cell>
          <cell r="K42">
            <v>101637930.04115224</v>
          </cell>
        </row>
        <row r="70">
          <cell r="G70">
            <v>48229017058.350533</v>
          </cell>
          <cell r="H70">
            <v>51526875868.170776</v>
          </cell>
          <cell r="I70">
            <v>57276218096.009369</v>
          </cell>
          <cell r="J70">
            <v>68716464177.240837</v>
          </cell>
          <cell r="K70">
            <v>86050189940.115417</v>
          </cell>
        </row>
      </sheetData>
      <sheetData sheetId="2"/>
      <sheetData sheetId="3">
        <row r="108">
          <cell r="F108">
            <v>4193924000</v>
          </cell>
          <cell r="K108">
            <v>5977586352.9308891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Valuation"/>
      <sheetName val="Income Statement"/>
      <sheetName val="Financial Statements"/>
      <sheetName val="Macro Drivers"/>
      <sheetName val="Statement of Financial Position"/>
      <sheetName val="Cash Flow Statement"/>
      <sheetName val="Fixed Asset Schedule"/>
      <sheetName val="Ratios"/>
    </sheetNames>
    <sheetDataSet>
      <sheetData sheetId="0"/>
      <sheetData sheetId="1">
        <row r="20">
          <cell r="L20">
            <v>822466288.5823065</v>
          </cell>
          <cell r="M20">
            <v>885021637.2258296</v>
          </cell>
          <cell r="N20">
            <v>1065482109.4590344</v>
          </cell>
          <cell r="O20">
            <v>1125517421.8809156</v>
          </cell>
          <cell r="P20">
            <v>1328709551.8011963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7"/>
  <sheetViews>
    <sheetView tabSelected="1" zoomScale="70" zoomScaleNormal="70" workbookViewId="0">
      <selection activeCell="G18" sqref="G18"/>
    </sheetView>
  </sheetViews>
  <sheetFormatPr defaultRowHeight="14.5" x14ac:dyDescent="0.35"/>
  <cols>
    <col min="1" max="1" width="18.81640625" bestFit="1" customWidth="1"/>
    <col min="3" max="3" width="12.54296875" bestFit="1" customWidth="1"/>
  </cols>
  <sheetData>
    <row r="3" spans="1:3" ht="31" x14ac:dyDescent="0.7">
      <c r="A3" s="1" t="s">
        <v>0</v>
      </c>
      <c r="B3" s="1"/>
      <c r="C3" s="1" t="s">
        <v>1</v>
      </c>
    </row>
    <row r="4" spans="1:3" ht="31" x14ac:dyDescent="0.7">
      <c r="A4" s="1" t="s">
        <v>2</v>
      </c>
      <c r="B4" s="1"/>
      <c r="C4" s="1" t="s">
        <v>3</v>
      </c>
    </row>
    <row r="5" spans="1:3" ht="31" x14ac:dyDescent="0.7">
      <c r="A5" s="1"/>
      <c r="B5" s="1"/>
      <c r="C5" s="1"/>
    </row>
    <row r="6" spans="1:3" ht="31" x14ac:dyDescent="0.7">
      <c r="A6" s="1"/>
      <c r="B6" s="1"/>
      <c r="C6" s="1"/>
    </row>
    <row r="7" spans="1:3" ht="31" x14ac:dyDescent="0.7">
      <c r="B7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618D9-A927-4223-9DEE-A860237B0ADC}">
  <dimension ref="A1:AC77"/>
  <sheetViews>
    <sheetView zoomScale="68" zoomScaleNormal="68" workbookViewId="0">
      <selection activeCell="M11" sqref="M11"/>
    </sheetView>
  </sheetViews>
  <sheetFormatPr defaultColWidth="8.90625" defaultRowHeight="14" x14ac:dyDescent="0.3"/>
  <cols>
    <col min="1" max="1" width="51.6328125" style="158" bestFit="1" customWidth="1"/>
    <col min="2" max="2" width="19.1796875" style="158" bestFit="1" customWidth="1"/>
    <col min="3" max="4" width="17.90625" style="158" bestFit="1" customWidth="1"/>
    <col min="5" max="5" width="19.1796875" style="158" bestFit="1" customWidth="1"/>
    <col min="6" max="6" width="20.6328125" style="158" bestFit="1" customWidth="1"/>
    <col min="7" max="8" width="18.453125" style="158" bestFit="1" customWidth="1"/>
    <col min="9" max="11" width="18.54296875" style="158" bestFit="1" customWidth="1"/>
    <col min="12" max="21" width="8.90625" style="158"/>
    <col min="22" max="22" width="47.453125" style="158" customWidth="1"/>
    <col min="23" max="25" width="10.6328125" style="158" bestFit="1" customWidth="1"/>
    <col min="26" max="29" width="11.81640625" style="158" bestFit="1" customWidth="1"/>
    <col min="30" max="16384" width="8.90625" style="158"/>
  </cols>
  <sheetData>
    <row r="1" spans="1:11" ht="25.5" x14ac:dyDescent="0.55000000000000004">
      <c r="B1" s="449" t="s">
        <v>17</v>
      </c>
    </row>
    <row r="3" spans="1:11" ht="18" x14ac:dyDescent="0.4">
      <c r="B3" s="481">
        <v>43617</v>
      </c>
      <c r="C3" s="481">
        <v>43983</v>
      </c>
      <c r="D3" s="481">
        <v>44348</v>
      </c>
      <c r="E3" s="481">
        <v>44713</v>
      </c>
      <c r="F3" s="481">
        <v>45078</v>
      </c>
      <c r="G3" s="507">
        <v>45444</v>
      </c>
      <c r="H3" s="507">
        <v>45809</v>
      </c>
      <c r="I3" s="507">
        <v>46174</v>
      </c>
      <c r="J3" s="507">
        <v>46539</v>
      </c>
      <c r="K3" s="507">
        <v>46905</v>
      </c>
    </row>
    <row r="5" spans="1:11" ht="15.5" x14ac:dyDescent="0.35">
      <c r="A5" s="158" t="s">
        <v>4</v>
      </c>
      <c r="B5" s="316">
        <v>115740971000</v>
      </c>
      <c r="C5" s="316">
        <v>90524260000</v>
      </c>
      <c r="D5" s="316">
        <v>92084090000</v>
      </c>
      <c r="E5" s="316">
        <v>191316055000</v>
      </c>
      <c r="F5" s="316">
        <v>261860404000</v>
      </c>
      <c r="G5" s="163">
        <f>Assumptions_IS!H29</f>
        <v>291475885501.85736</v>
      </c>
      <c r="H5" s="163">
        <f>Assumptions_IS!I29</f>
        <v>332784781363.52649</v>
      </c>
      <c r="I5" s="163">
        <f>Assumptions_IS!J29</f>
        <v>392868421751.37939</v>
      </c>
      <c r="J5" s="163">
        <f>Assumptions_IS!K29</f>
        <v>509883782439.7843</v>
      </c>
      <c r="K5" s="163">
        <f>Assumptions_IS!L29</f>
        <v>735212738939.64563</v>
      </c>
    </row>
    <row r="6" spans="1:11" ht="15.5" x14ac:dyDescent="0.35">
      <c r="A6" s="158" t="s">
        <v>5</v>
      </c>
      <c r="B6" s="450">
        <v>-118915466000</v>
      </c>
      <c r="C6" s="450">
        <v>-94892607000</v>
      </c>
      <c r="D6" s="450">
        <v>-88843085000</v>
      </c>
      <c r="E6" s="450">
        <v>-171043647000</v>
      </c>
      <c r="F6" s="451">
        <v>-254559762000</v>
      </c>
      <c r="G6" s="179">
        <f>-Assumptions_IS!H35</f>
        <v>-261958988183.48257</v>
      </c>
      <c r="H6" s="179">
        <f>-Assumptions_IS!I35</f>
        <v>-292757085357.17578</v>
      </c>
      <c r="I6" s="179">
        <f>-Assumptions_IS!J35</f>
        <v>-336880737804.93481</v>
      </c>
      <c r="J6" s="179">
        <f>-Assumptions_IS!K35</f>
        <v>-420292746775.69623</v>
      </c>
      <c r="K6" s="179">
        <f>-Assumptions_IS!L35</f>
        <v>-584276061140.55762</v>
      </c>
    </row>
    <row r="7" spans="1:11" ht="17.5" x14ac:dyDescent="0.35">
      <c r="A7" s="452" t="s">
        <v>6</v>
      </c>
      <c r="B7" s="316">
        <f t="shared" ref="B7:K7" si="0">B5+B6</f>
        <v>-3174495000</v>
      </c>
      <c r="C7" s="316">
        <f t="shared" si="0"/>
        <v>-4368347000</v>
      </c>
      <c r="D7" s="316">
        <f t="shared" si="0"/>
        <v>3241005000</v>
      </c>
      <c r="E7" s="316">
        <f t="shared" si="0"/>
        <v>20272408000</v>
      </c>
      <c r="F7" s="316">
        <f>F5+F6</f>
        <v>7300642000</v>
      </c>
      <c r="G7" s="422">
        <f>G5+G6</f>
        <v>29516897318.374786</v>
      </c>
      <c r="H7" s="422">
        <f t="shared" si="0"/>
        <v>40027696006.350708</v>
      </c>
      <c r="I7" s="422">
        <f t="shared" si="0"/>
        <v>55987683946.44458</v>
      </c>
      <c r="J7" s="422">
        <f t="shared" si="0"/>
        <v>89591035664.088074</v>
      </c>
      <c r="K7" s="422">
        <f t="shared" si="0"/>
        <v>150936677799.08801</v>
      </c>
    </row>
    <row r="8" spans="1:11" ht="15.5" x14ac:dyDescent="0.35">
      <c r="B8" s="316"/>
      <c r="C8" s="316"/>
      <c r="D8" s="316"/>
    </row>
    <row r="9" spans="1:11" ht="15.5" x14ac:dyDescent="0.35">
      <c r="A9" s="158" t="s">
        <v>7</v>
      </c>
      <c r="B9" s="518">
        <v>-250171000</v>
      </c>
      <c r="C9" s="358">
        <v>-206096000</v>
      </c>
      <c r="D9" s="358">
        <v>-266280000</v>
      </c>
      <c r="E9" s="519">
        <v>-321270000</v>
      </c>
      <c r="F9" s="465">
        <v>-500583000</v>
      </c>
      <c r="G9" s="509">
        <f>-Assumptions_IS!H86</f>
        <v>-408444836.2439869</v>
      </c>
      <c r="H9" s="510">
        <f>-Assumptions_IS!I86</f>
        <v>-396660115.53360868</v>
      </c>
      <c r="I9" s="510">
        <f>-Assumptions_IS!J86</f>
        <v>-397318768.73010015</v>
      </c>
      <c r="J9" s="510">
        <f>-Assumptions_IS!K86</f>
        <v>-425803475.75013733</v>
      </c>
      <c r="K9" s="511">
        <f>-Assumptions_IS!L86</f>
        <v>-486011116.35998547</v>
      </c>
    </row>
    <row r="10" spans="1:11" ht="15.5" x14ac:dyDescent="0.35">
      <c r="A10" s="158" t="s">
        <v>327</v>
      </c>
      <c r="B10" s="513">
        <v>-485457000</v>
      </c>
      <c r="C10" s="316">
        <v>-459767000</v>
      </c>
      <c r="D10" s="316">
        <v>-478810000</v>
      </c>
      <c r="E10" s="317">
        <v>-552145000</v>
      </c>
      <c r="F10" s="466">
        <v>-975189000</v>
      </c>
      <c r="G10" s="178">
        <f>-Assumptions_IS!H118</f>
        <v>-624964321.30881751</v>
      </c>
      <c r="H10" s="179">
        <f>-Assumptions_IS!I118</f>
        <v>-675217265.57527542</v>
      </c>
      <c r="I10" s="179">
        <f>-Assumptions_IS!J118</f>
        <v>-764956521.85532367</v>
      </c>
      <c r="J10" s="179">
        <f>-Assumptions_IS!K118</f>
        <v>-930792650.71358609</v>
      </c>
      <c r="K10" s="512">
        <f>-Assumptions_IS!L118</f>
        <v>-1133424338.3113561</v>
      </c>
    </row>
    <row r="11" spans="1:11" ht="15.5" x14ac:dyDescent="0.35">
      <c r="A11" s="158" t="s">
        <v>8</v>
      </c>
      <c r="B11" s="513">
        <v>-121939000</v>
      </c>
      <c r="C11" s="316">
        <v>0</v>
      </c>
      <c r="D11" s="316">
        <v>0</v>
      </c>
      <c r="E11" s="316">
        <v>0</v>
      </c>
      <c r="F11" s="514">
        <v>0</v>
      </c>
      <c r="G11" s="513">
        <v>0</v>
      </c>
      <c r="H11" s="316">
        <v>0</v>
      </c>
      <c r="I11" s="316">
        <v>0</v>
      </c>
      <c r="J11" s="316">
        <v>0</v>
      </c>
      <c r="K11" s="514">
        <v>0</v>
      </c>
    </row>
    <row r="12" spans="1:11" ht="15.5" x14ac:dyDescent="0.35">
      <c r="A12" s="158" t="s">
        <v>9</v>
      </c>
      <c r="B12" s="513">
        <v>-23763000</v>
      </c>
      <c r="C12" s="316">
        <v>-43038000</v>
      </c>
      <c r="D12" s="316">
        <v>-176074000</v>
      </c>
      <c r="E12" s="317">
        <v>-2432894000</v>
      </c>
      <c r="F12" s="520">
        <v>-2443188000</v>
      </c>
      <c r="G12" s="178">
        <f>-Assumptions_IS!H134</f>
        <v>-961870599.8732121</v>
      </c>
      <c r="H12" s="179">
        <f>-Assumptions_IS!I134</f>
        <v>-1254314033.5117562</v>
      </c>
      <c r="I12" s="179">
        <f>-Assumptions_IS!J134</f>
        <v>-1689402744.029927</v>
      </c>
      <c r="J12" s="179">
        <f>-Assumptions_IS!K134</f>
        <v>-2471756961.68642</v>
      </c>
      <c r="K12" s="512">
        <f>-Assumptions_IS!L134</f>
        <v>-3435722887.0290599</v>
      </c>
    </row>
    <row r="13" spans="1:11" ht="15.5" x14ac:dyDescent="0.35">
      <c r="A13" s="158" t="s">
        <v>10</v>
      </c>
      <c r="B13" s="521">
        <v>267304000</v>
      </c>
      <c r="C13" s="450">
        <v>163901000</v>
      </c>
      <c r="D13" s="450">
        <v>636931000</v>
      </c>
      <c r="E13" s="457">
        <v>534828000</v>
      </c>
      <c r="F13" s="471">
        <v>4066495000</v>
      </c>
      <c r="G13" s="515">
        <f>Assumptions_IS!H155</f>
        <v>1240136918.7352521</v>
      </c>
      <c r="H13" s="516">
        <f>Assumptions_IS!I155</f>
        <v>1441115575.7627318</v>
      </c>
      <c r="I13" s="516">
        <f>Assumptions_IS!J155</f>
        <v>1645909500.7921126</v>
      </c>
      <c r="J13" s="516">
        <f>Assumptions_IS!K155</f>
        <v>1859420220.88501</v>
      </c>
      <c r="K13" s="517">
        <f>Assumptions_IS!L155</f>
        <v>2161808668.6114526</v>
      </c>
    </row>
    <row r="14" spans="1:11" ht="15.5" x14ac:dyDescent="0.35">
      <c r="B14" s="450">
        <f t="shared" ref="B14:F14" si="1">SUM(B9:B13)</f>
        <v>-614026000</v>
      </c>
      <c r="C14" s="450">
        <f t="shared" si="1"/>
        <v>-545000000</v>
      </c>
      <c r="D14" s="450">
        <f t="shared" si="1"/>
        <v>-284233000</v>
      </c>
      <c r="E14" s="450">
        <f t="shared" si="1"/>
        <v>-2771481000</v>
      </c>
      <c r="F14" s="450">
        <f t="shared" si="1"/>
        <v>147535000</v>
      </c>
      <c r="G14" s="508">
        <f t="shared" ref="G14:K14" si="2">SUM(G9:G13)</f>
        <v>-755142838.69076443</v>
      </c>
      <c r="H14" s="508">
        <f t="shared" si="2"/>
        <v>-885075838.85790849</v>
      </c>
      <c r="I14" s="508">
        <f t="shared" si="2"/>
        <v>-1205768533.8232381</v>
      </c>
      <c r="J14" s="508">
        <f t="shared" si="2"/>
        <v>-1968932867.2651336</v>
      </c>
      <c r="K14" s="508">
        <f t="shared" si="2"/>
        <v>-2893349673.0889487</v>
      </c>
    </row>
    <row r="15" spans="1:11" ht="17.5" x14ac:dyDescent="0.35">
      <c r="A15" s="452" t="s">
        <v>11</v>
      </c>
      <c r="B15" s="316">
        <f t="shared" ref="B15:F15" si="3">B7+B14</f>
        <v>-3788521000</v>
      </c>
      <c r="C15" s="316">
        <f t="shared" si="3"/>
        <v>-4913347000</v>
      </c>
      <c r="D15" s="316">
        <f t="shared" si="3"/>
        <v>2956772000</v>
      </c>
      <c r="E15" s="316">
        <f t="shared" si="3"/>
        <v>17500927000</v>
      </c>
      <c r="F15" s="316">
        <f t="shared" si="3"/>
        <v>7448177000</v>
      </c>
      <c r="G15" s="453">
        <f>G7+G14</f>
        <v>28761754479.684021</v>
      </c>
      <c r="H15" s="453">
        <f t="shared" ref="H15:K15" si="4">H7+H14</f>
        <v>39142620167.492798</v>
      </c>
      <c r="I15" s="453">
        <f t="shared" si="4"/>
        <v>54781915412.621346</v>
      </c>
      <c r="J15" s="453">
        <f t="shared" si="4"/>
        <v>87622102796.822937</v>
      </c>
      <c r="K15" s="453">
        <f t="shared" si="4"/>
        <v>148043328125.99905</v>
      </c>
    </row>
    <row r="16" spans="1:11" ht="15.5" x14ac:dyDescent="0.35">
      <c r="B16" s="316"/>
      <c r="C16" s="316"/>
      <c r="D16" s="316"/>
    </row>
    <row r="17" spans="1:11" ht="15.5" x14ac:dyDescent="0.35">
      <c r="A17" s="158" t="s">
        <v>12</v>
      </c>
      <c r="B17" s="316">
        <v>-1442624000</v>
      </c>
      <c r="C17" s="316">
        <v>-1995012000</v>
      </c>
      <c r="D17" s="316">
        <v>-1311384000</v>
      </c>
      <c r="E17" s="317">
        <v>-1579332000</v>
      </c>
      <c r="F17" s="317">
        <v>-4065998000</v>
      </c>
      <c r="G17" s="179">
        <f>-Assumptions_IS!H172</f>
        <v>-2185753083.4262309</v>
      </c>
      <c r="H17" s="179">
        <f>-Assumptions_IS!I172</f>
        <v>-2278572795.3544669</v>
      </c>
      <c r="I17" s="179">
        <f>-Assumptions_IS!J172</f>
        <v>-2308052954.0595493</v>
      </c>
      <c r="J17" s="179">
        <f>-Assumptions_IS!K172</f>
        <v>-2415008202.8521004</v>
      </c>
      <c r="K17" s="179">
        <f>-Assumptions_IS!L172</f>
        <v>-2532325322.1908603</v>
      </c>
    </row>
    <row r="18" spans="1:11" ht="15.5" x14ac:dyDescent="0.35">
      <c r="A18" s="158" t="s">
        <v>13</v>
      </c>
      <c r="B18" s="450">
        <v>-13963000</v>
      </c>
      <c r="C18" s="450">
        <v>3258000</v>
      </c>
      <c r="D18" s="450">
        <v>-6364000</v>
      </c>
      <c r="E18" s="457">
        <v>-3416000</v>
      </c>
      <c r="F18" s="457">
        <v>-9660000</v>
      </c>
      <c r="G18" s="179">
        <f>Assumptions_BS!G25</f>
        <v>-6029000</v>
      </c>
      <c r="H18" s="179">
        <f>Assumptions_BS!H25</f>
        <v>-7886400</v>
      </c>
      <c r="I18" s="179">
        <f>Assumptions_BS!I25</f>
        <v>-6671080</v>
      </c>
      <c r="J18" s="179">
        <f>Assumptions_BS!J25</f>
        <v>-6732496</v>
      </c>
      <c r="K18" s="179">
        <f>Assumptions_BS!K25</f>
        <v>-7395795.2000000002</v>
      </c>
    </row>
    <row r="19" spans="1:11" ht="17.5" x14ac:dyDescent="0.35">
      <c r="A19" s="452" t="s">
        <v>14</v>
      </c>
      <c r="B19" s="316">
        <f t="shared" ref="B19:K19" si="5">B15+B17+B18</f>
        <v>-5245108000</v>
      </c>
      <c r="C19" s="316">
        <f t="shared" si="5"/>
        <v>-6905101000</v>
      </c>
      <c r="D19" s="316">
        <f t="shared" si="5"/>
        <v>1639024000</v>
      </c>
      <c r="E19" s="316">
        <f t="shared" si="5"/>
        <v>15918179000</v>
      </c>
      <c r="F19" s="316">
        <f t="shared" si="5"/>
        <v>3372519000</v>
      </c>
      <c r="G19" s="422">
        <f>G15+G17+G18</f>
        <v>26569972396.25779</v>
      </c>
      <c r="H19" s="422">
        <f t="shared" si="5"/>
        <v>36856160972.138329</v>
      </c>
      <c r="I19" s="422">
        <f t="shared" si="5"/>
        <v>52467191378.561798</v>
      </c>
      <c r="J19" s="422">
        <f t="shared" si="5"/>
        <v>85200362097.97084</v>
      </c>
      <c r="K19" s="422">
        <f t="shared" si="5"/>
        <v>145503607008.60818</v>
      </c>
    </row>
    <row r="20" spans="1:11" ht="16" thickBot="1" x14ac:dyDescent="0.4">
      <c r="A20" s="158" t="s">
        <v>15</v>
      </c>
      <c r="B20" s="316">
        <v>-576015000</v>
      </c>
      <c r="C20" s="316">
        <v>-685625000</v>
      </c>
      <c r="D20" s="316">
        <v>-701868000</v>
      </c>
      <c r="E20" s="317">
        <v>-3344729000</v>
      </c>
      <c r="F20" s="317">
        <v>-1547552000</v>
      </c>
      <c r="G20" s="458">
        <f>-(G19*0.29)</f>
        <v>-7705291994.9147587</v>
      </c>
      <c r="H20" s="458">
        <f t="shared" ref="H20:K20" si="6">-(H19*0.29)</f>
        <v>-10688286681.920115</v>
      </c>
      <c r="I20" s="458">
        <f t="shared" si="6"/>
        <v>-15215485499.782921</v>
      </c>
      <c r="J20" s="458">
        <f t="shared" si="6"/>
        <v>-24708105008.411541</v>
      </c>
      <c r="K20" s="458">
        <f t="shared" si="6"/>
        <v>-42196046032.496368</v>
      </c>
    </row>
    <row r="21" spans="1:11" ht="18" thickBot="1" x14ac:dyDescent="0.4">
      <c r="A21" s="452" t="s">
        <v>16</v>
      </c>
      <c r="B21" s="459">
        <f t="shared" ref="B21:K21" si="7">B19+B20</f>
        <v>-5821123000</v>
      </c>
      <c r="C21" s="459">
        <f t="shared" si="7"/>
        <v>-7590726000</v>
      </c>
      <c r="D21" s="459">
        <f t="shared" si="7"/>
        <v>937156000</v>
      </c>
      <c r="E21" s="459">
        <f t="shared" si="7"/>
        <v>12573450000</v>
      </c>
      <c r="F21" s="459">
        <f t="shared" si="7"/>
        <v>1824967000</v>
      </c>
      <c r="G21" s="460">
        <f t="shared" si="7"/>
        <v>18864680401.343033</v>
      </c>
      <c r="H21" s="461">
        <f t="shared" si="7"/>
        <v>26167874290.218216</v>
      </c>
      <c r="I21" s="461">
        <f t="shared" si="7"/>
        <v>37251705878.778877</v>
      </c>
      <c r="J21" s="461">
        <f t="shared" si="7"/>
        <v>60492257089.559296</v>
      </c>
      <c r="K21" s="462">
        <f t="shared" si="7"/>
        <v>103307560976.11182</v>
      </c>
    </row>
    <row r="25" spans="1:11" ht="25.5" x14ac:dyDescent="0.55000000000000004">
      <c r="B25" s="449" t="s">
        <v>18</v>
      </c>
    </row>
    <row r="27" spans="1:11" ht="22.5" x14ac:dyDescent="0.45">
      <c r="A27" s="313" t="s">
        <v>19</v>
      </c>
      <c r="B27" s="481">
        <v>43617</v>
      </c>
      <c r="C27" s="481">
        <v>43983</v>
      </c>
      <c r="D27" s="481">
        <v>44348</v>
      </c>
      <c r="E27" s="481">
        <v>44713</v>
      </c>
      <c r="F27" s="481">
        <v>45078</v>
      </c>
      <c r="G27" s="507">
        <v>45444</v>
      </c>
      <c r="H27" s="507">
        <v>45809</v>
      </c>
      <c r="I27" s="507">
        <v>46174</v>
      </c>
      <c r="J27" s="507">
        <v>46539</v>
      </c>
      <c r="K27" s="507">
        <v>46905</v>
      </c>
    </row>
    <row r="28" spans="1:11" ht="17.5" x14ac:dyDescent="0.35">
      <c r="A28" s="463" t="s">
        <v>20</v>
      </c>
    </row>
    <row r="29" spans="1:11" ht="15.5" x14ac:dyDescent="0.35">
      <c r="A29" s="158" t="s">
        <v>21</v>
      </c>
      <c r="B29" s="495">
        <v>18975232000</v>
      </c>
      <c r="C29" s="464">
        <v>21208088000</v>
      </c>
      <c r="D29" s="464">
        <v>20414353000</v>
      </c>
      <c r="E29" s="464">
        <v>28981489000</v>
      </c>
      <c r="F29" s="465">
        <v>28449521000</v>
      </c>
      <c r="G29" s="487">
        <f>Assumptions_BS!G9</f>
        <v>28774968537.117996</v>
      </c>
      <c r="H29" s="488">
        <f>Assumptions_BS!H9</f>
        <v>30021897576.290264</v>
      </c>
      <c r="I29" s="488">
        <f>Assumptions_BS!I9</f>
        <v>32002396989.729118</v>
      </c>
      <c r="J29" s="488">
        <f>Assumptions_BS!J9</f>
        <v>34669884613.766472</v>
      </c>
      <c r="K29" s="489">
        <f>Assumptions_BS!K9</f>
        <v>38060862593.14135</v>
      </c>
    </row>
    <row r="30" spans="1:11" ht="15.5" x14ac:dyDescent="0.35">
      <c r="A30" s="158" t="s">
        <v>22</v>
      </c>
      <c r="B30" s="496">
        <v>108000</v>
      </c>
      <c r="C30" s="317">
        <v>0</v>
      </c>
      <c r="D30" s="317">
        <v>0</v>
      </c>
      <c r="E30" s="317">
        <v>0</v>
      </c>
      <c r="F30" s="466">
        <v>6736000</v>
      </c>
      <c r="G30" s="490">
        <f>Assumptions_BS!G14</f>
        <v>6736000</v>
      </c>
      <c r="H30" s="163">
        <f>Assumptions_BS!H14</f>
        <v>4513119.9999999991</v>
      </c>
      <c r="I30" s="163">
        <f>Assumptions_BS!I14</f>
        <v>3023790.399999999</v>
      </c>
      <c r="J30" s="163">
        <f>Assumptions_BS!J14</f>
        <v>2025939.567999999</v>
      </c>
      <c r="K30" s="491">
        <f>Assumptions_BS!K14</f>
        <v>1357379.5105599992</v>
      </c>
    </row>
    <row r="31" spans="1:11" ht="15.5" x14ac:dyDescent="0.35">
      <c r="A31" s="158" t="s">
        <v>23</v>
      </c>
      <c r="B31" s="496">
        <v>0</v>
      </c>
      <c r="C31" s="317">
        <v>163075000</v>
      </c>
      <c r="D31" s="317">
        <v>147165000</v>
      </c>
      <c r="E31" s="317">
        <v>131255000</v>
      </c>
      <c r="F31" s="466">
        <v>115345000</v>
      </c>
      <c r="G31" s="490">
        <f>Assumptions_BS!G18</f>
        <v>103810500</v>
      </c>
      <c r="H31" s="163">
        <f>Assumptions_BS!H18</f>
        <v>92276000</v>
      </c>
      <c r="I31" s="163">
        <f>Assumptions_BS!I18</f>
        <v>80741500</v>
      </c>
      <c r="J31" s="163">
        <f>Assumptions_BS!J18</f>
        <v>69207000</v>
      </c>
      <c r="K31" s="491">
        <f>Assumptions_BS!K18</f>
        <v>57672500</v>
      </c>
    </row>
    <row r="32" spans="1:11" ht="15.5" x14ac:dyDescent="0.35">
      <c r="A32" s="158" t="s">
        <v>24</v>
      </c>
      <c r="B32" s="496">
        <v>62036000</v>
      </c>
      <c r="C32" s="317">
        <v>65294000</v>
      </c>
      <c r="D32" s="317">
        <v>58930000</v>
      </c>
      <c r="E32" s="317">
        <v>55514000</v>
      </c>
      <c r="F32" s="466">
        <v>45854000</v>
      </c>
      <c r="G32" s="490">
        <f>Assumptions_BS!G28</f>
        <v>39825000</v>
      </c>
      <c r="H32" s="163">
        <f>Assumptions_BS!H28</f>
        <v>31938600</v>
      </c>
      <c r="I32" s="163">
        <f>Assumptions_BS!I28</f>
        <v>25267520</v>
      </c>
      <c r="J32" s="163">
        <f>Assumptions_BS!J28</f>
        <v>18535024</v>
      </c>
      <c r="K32" s="491">
        <f>Assumptions_BS!K28</f>
        <v>11139228.800000001</v>
      </c>
    </row>
    <row r="33" spans="1:11" ht="15.5" x14ac:dyDescent="0.35">
      <c r="A33" s="158" t="s">
        <v>25</v>
      </c>
      <c r="B33" s="496">
        <v>29352000</v>
      </c>
      <c r="C33" s="317">
        <v>25946000</v>
      </c>
      <c r="D33" s="317">
        <v>27240000</v>
      </c>
      <c r="E33" s="317">
        <v>30897000</v>
      </c>
      <c r="F33" s="466">
        <v>28222000</v>
      </c>
      <c r="G33" s="490">
        <f>Assumptions_BS!G34</f>
        <v>29473145.682019737</v>
      </c>
      <c r="H33" s="163">
        <f>Assumptions_BS!H34</f>
        <v>30220070.443794653</v>
      </c>
      <c r="I33" s="163">
        <f>Assumptions_BS!I34</f>
        <v>32237285.104796834</v>
      </c>
      <c r="J33" s="163">
        <f>Assumptions_BS!J34</f>
        <v>35584743.505022392</v>
      </c>
      <c r="K33" s="491">
        <f>Assumptions_BS!K34</f>
        <v>39891810.582919657</v>
      </c>
    </row>
    <row r="34" spans="1:11" ht="15.5" x14ac:dyDescent="0.35">
      <c r="A34" s="158" t="s">
        <v>52</v>
      </c>
      <c r="B34" s="496">
        <v>0</v>
      </c>
      <c r="C34" s="317">
        <v>0</v>
      </c>
      <c r="D34" s="317">
        <v>0</v>
      </c>
      <c r="E34" s="317">
        <v>0</v>
      </c>
      <c r="F34" s="466">
        <v>161484000</v>
      </c>
      <c r="G34" s="499">
        <v>0</v>
      </c>
      <c r="K34" s="174"/>
    </row>
    <row r="35" spans="1:11" ht="15.5" x14ac:dyDescent="0.35">
      <c r="A35" s="158" t="s">
        <v>26</v>
      </c>
      <c r="B35" s="497">
        <v>17622000</v>
      </c>
      <c r="C35" s="457">
        <v>30257000</v>
      </c>
      <c r="D35" s="457">
        <v>25580000</v>
      </c>
      <c r="E35" s="457">
        <v>32584000</v>
      </c>
      <c r="F35" s="471">
        <v>19105000</v>
      </c>
      <c r="G35" s="492">
        <f>Assumptions_BS!G40</f>
        <v>25029600</v>
      </c>
      <c r="H35" s="493">
        <f>Assumptions_BS!H40</f>
        <v>26511120</v>
      </c>
      <c r="I35" s="493">
        <f>Assumptions_BS!I40</f>
        <v>25761944</v>
      </c>
      <c r="J35" s="493">
        <f>Assumptions_BS!J40</f>
        <v>25798332.800000001</v>
      </c>
      <c r="K35" s="494">
        <f>Assumptions_BS!K40</f>
        <v>24441199.359999999</v>
      </c>
    </row>
    <row r="36" spans="1:11" ht="15.5" x14ac:dyDescent="0.35">
      <c r="B36" s="366">
        <f t="shared" ref="B36:K36" si="8">SUM(B29:B35)</f>
        <v>19084350000</v>
      </c>
      <c r="C36" s="366">
        <f t="shared" si="8"/>
        <v>21492660000</v>
      </c>
      <c r="D36" s="366">
        <f t="shared" si="8"/>
        <v>20673268000</v>
      </c>
      <c r="E36" s="366">
        <f t="shared" si="8"/>
        <v>29231739000</v>
      </c>
      <c r="F36" s="366">
        <f t="shared" si="8"/>
        <v>28826267000</v>
      </c>
      <c r="G36" s="467">
        <f t="shared" si="8"/>
        <v>28979842782.800014</v>
      </c>
      <c r="H36" s="467">
        <f t="shared" si="8"/>
        <v>30207356486.734058</v>
      </c>
      <c r="I36" s="467">
        <f t="shared" si="8"/>
        <v>32169429029.233917</v>
      </c>
      <c r="J36" s="467">
        <f t="shared" si="8"/>
        <v>34821035653.639496</v>
      </c>
      <c r="K36" s="467">
        <f t="shared" si="8"/>
        <v>38195364711.394829</v>
      </c>
    </row>
    <row r="37" spans="1:11" ht="15.5" x14ac:dyDescent="0.35">
      <c r="B37" s="320"/>
      <c r="C37" s="320"/>
      <c r="D37" s="320"/>
    </row>
    <row r="38" spans="1:11" ht="15.5" x14ac:dyDescent="0.35">
      <c r="B38" s="320"/>
      <c r="C38" s="320"/>
      <c r="D38" s="320"/>
    </row>
    <row r="39" spans="1:11" ht="17.5" x14ac:dyDescent="0.35">
      <c r="A39" s="463" t="s">
        <v>27</v>
      </c>
      <c r="B39" s="321"/>
      <c r="C39" s="321"/>
      <c r="D39" s="321"/>
    </row>
    <row r="40" spans="1:11" ht="15.5" x14ac:dyDescent="0.35">
      <c r="A40" s="158" t="s">
        <v>28</v>
      </c>
      <c r="B40" s="495">
        <v>9447424000</v>
      </c>
      <c r="C40" s="464">
        <v>7964392000</v>
      </c>
      <c r="D40" s="464">
        <v>10415407000</v>
      </c>
      <c r="E40" s="464">
        <v>24056915000</v>
      </c>
      <c r="F40" s="465">
        <v>35460884000</v>
      </c>
      <c r="G40" s="488">
        <f>Assumptions_BS!G48</f>
        <v>24270691477.393402</v>
      </c>
      <c r="H40" s="488">
        <f>Assumptions_BS!H48</f>
        <v>27601528562.376114</v>
      </c>
      <c r="I40" s="488">
        <f>Assumptions_BS!I48</f>
        <v>32193124415.302895</v>
      </c>
      <c r="J40" s="488">
        <f>Assumptions_BS!J48</f>
        <v>47927013455.361038</v>
      </c>
      <c r="K40" s="489">
        <f>Assumptions_BS!K48</f>
        <v>62491433046.225174</v>
      </c>
    </row>
    <row r="41" spans="1:11" ht="15.5" x14ac:dyDescent="0.35">
      <c r="A41" s="158" t="s">
        <v>29</v>
      </c>
      <c r="B41" s="496">
        <v>13195089000</v>
      </c>
      <c r="C41" s="317">
        <v>3667153000</v>
      </c>
      <c r="D41" s="317">
        <v>6588913000</v>
      </c>
      <c r="E41" s="317">
        <v>11305849000</v>
      </c>
      <c r="F41" s="466">
        <v>19912335000</v>
      </c>
      <c r="G41" s="163">
        <f>Assumptions_BS!G55</f>
        <v>17482663289.443451</v>
      </c>
      <c r="H41" s="163">
        <f>Assumptions_BS!H55</f>
        <v>17798790456.254265</v>
      </c>
      <c r="I41" s="163">
        <f>Assumptions_BS!I55</f>
        <v>21222975292.535049</v>
      </c>
      <c r="J41" s="163">
        <f>Assumptions_BS!J55</f>
        <v>27416447122.789845</v>
      </c>
      <c r="K41" s="491">
        <f>Assumptions_BS!K55</f>
        <v>37398411694.925018</v>
      </c>
    </row>
    <row r="42" spans="1:11" ht="15.5" x14ac:dyDescent="0.35">
      <c r="A42" s="158" t="s">
        <v>30</v>
      </c>
      <c r="B42" s="496">
        <v>181427000</v>
      </c>
      <c r="C42" s="317">
        <v>49340000</v>
      </c>
      <c r="D42" s="317">
        <v>75293000</v>
      </c>
      <c r="E42" s="317">
        <v>228579000</v>
      </c>
      <c r="F42" s="466">
        <v>174300000</v>
      </c>
      <c r="G42" s="163">
        <f>Assumptions_BS!G67</f>
        <v>243698412.36935785</v>
      </c>
      <c r="H42" s="163">
        <f>Assumptions_BS!H67</f>
        <v>235619048.52626511</v>
      </c>
      <c r="I42" s="163">
        <f>Assumptions_BS!I67</f>
        <v>295674155.03358829</v>
      </c>
      <c r="J42" s="163">
        <f>Assumptions_BS!J67</f>
        <v>381196363.25550306</v>
      </c>
      <c r="K42" s="491">
        <f>Assumptions_BS!K67</f>
        <v>475539482.10496348</v>
      </c>
    </row>
    <row r="43" spans="1:11" ht="15.5" x14ac:dyDescent="0.35">
      <c r="A43" s="158" t="s">
        <v>31</v>
      </c>
      <c r="B43" s="496">
        <v>553503000</v>
      </c>
      <c r="C43" s="317">
        <v>6556000</v>
      </c>
      <c r="D43" s="317">
        <v>3072762000</v>
      </c>
      <c r="E43" s="317">
        <v>2585239000</v>
      </c>
      <c r="F43" s="466">
        <v>9427538000</v>
      </c>
      <c r="G43" s="163">
        <f>Assumptions_BS!G80</f>
        <v>4070342582.3576727</v>
      </c>
      <c r="H43" s="163">
        <f>Assumptions_BS!H80</f>
        <v>4710858996.517355</v>
      </c>
      <c r="I43" s="163">
        <f>Assumptions_BS!I80</f>
        <v>5733739277.6191616</v>
      </c>
      <c r="J43" s="163">
        <f>Assumptions_BS!J80</f>
        <v>5434022689.8331976</v>
      </c>
      <c r="K43" s="491">
        <f>Assumptions_BS!K80</f>
        <v>6153057158.9864845</v>
      </c>
    </row>
    <row r="44" spans="1:11" ht="15.5" x14ac:dyDescent="0.35">
      <c r="A44" s="158" t="s">
        <v>32</v>
      </c>
      <c r="B44" s="496">
        <v>164940000</v>
      </c>
      <c r="C44" s="317">
        <v>82540000</v>
      </c>
      <c r="D44" s="317">
        <v>95697000</v>
      </c>
      <c r="E44" s="317">
        <v>0</v>
      </c>
      <c r="F44" s="466">
        <v>0</v>
      </c>
      <c r="G44" s="163">
        <f>Assumptions_BS!G86</f>
        <v>68635400</v>
      </c>
      <c r="H44" s="163">
        <f>Assumptions_BS!H86</f>
        <v>49374480</v>
      </c>
      <c r="I44" s="163">
        <f>Assumptions_BS!I86</f>
        <v>42741376</v>
      </c>
      <c r="J44" s="163">
        <f>Assumptions_BS!J86</f>
        <v>32150251.199999999</v>
      </c>
      <c r="K44" s="491">
        <f>Assumptions_BS!K86</f>
        <v>38580301.439999998</v>
      </c>
    </row>
    <row r="45" spans="1:11" ht="15.5" x14ac:dyDescent="0.35">
      <c r="A45" s="158" t="s">
        <v>33</v>
      </c>
      <c r="B45" s="496">
        <v>253889000</v>
      </c>
      <c r="C45" s="317">
        <v>2189707000</v>
      </c>
      <c r="D45" s="317">
        <v>72680000</v>
      </c>
      <c r="E45" s="317">
        <v>23538605000</v>
      </c>
      <c r="F45" s="466">
        <v>11670607000</v>
      </c>
      <c r="G45" s="163">
        <f>Assumptions_BS!G90</f>
        <v>7620039936.0639267</v>
      </c>
      <c r="H45" s="163">
        <f>Assumptions_BS!H90</f>
        <v>12064176199.556458</v>
      </c>
      <c r="I45" s="163">
        <f>Assumptions_BS!I90</f>
        <v>17308344101.36422</v>
      </c>
      <c r="J45" s="163">
        <f>Assumptions_BS!J90</f>
        <v>26109871571.082359</v>
      </c>
      <c r="K45" s="491">
        <f>Assumptions_BS!K90</f>
        <v>40009933479.414307</v>
      </c>
    </row>
    <row r="46" spans="1:11" ht="15.5" x14ac:dyDescent="0.35">
      <c r="A46" s="158" t="s">
        <v>458</v>
      </c>
      <c r="B46" s="496">
        <v>0</v>
      </c>
      <c r="C46" s="317">
        <v>0</v>
      </c>
      <c r="D46" s="317">
        <v>0</v>
      </c>
      <c r="E46" s="317">
        <v>0</v>
      </c>
      <c r="F46" s="466">
        <v>0</v>
      </c>
      <c r="G46" s="163">
        <v>36257353056</v>
      </c>
      <c r="H46" s="163">
        <v>66057473013</v>
      </c>
      <c r="I46" s="163">
        <v>96552670804</v>
      </c>
      <c r="J46" s="163">
        <v>139216690911</v>
      </c>
      <c r="K46" s="491">
        <v>228242909844</v>
      </c>
    </row>
    <row r="47" spans="1:11" ht="15.5" x14ac:dyDescent="0.35">
      <c r="B47" s="503">
        <f t="shared" ref="B47:G47" si="9">SUM(B40:B46)</f>
        <v>23796272000</v>
      </c>
      <c r="C47" s="504">
        <f t="shared" si="9"/>
        <v>13959688000</v>
      </c>
      <c r="D47" s="504">
        <f t="shared" si="9"/>
        <v>20320752000</v>
      </c>
      <c r="E47" s="504">
        <f t="shared" si="9"/>
        <v>61715187000</v>
      </c>
      <c r="F47" s="505">
        <f t="shared" si="9"/>
        <v>76645664000</v>
      </c>
      <c r="G47" s="506">
        <f t="shared" si="9"/>
        <v>90013424153.627808</v>
      </c>
      <c r="H47" s="506">
        <f t="shared" ref="H47:K47" si="10">SUM(H40:H46)</f>
        <v>128517820756.23047</v>
      </c>
      <c r="I47" s="506">
        <f t="shared" si="10"/>
        <v>173349269421.85492</v>
      </c>
      <c r="J47" s="506">
        <f t="shared" si="10"/>
        <v>246517392364.52194</v>
      </c>
      <c r="K47" s="506">
        <f t="shared" si="10"/>
        <v>374809865007.09595</v>
      </c>
    </row>
    <row r="48" spans="1:11" ht="17.5" x14ac:dyDescent="0.35">
      <c r="A48" s="463" t="s">
        <v>34</v>
      </c>
      <c r="B48" s="502">
        <f t="shared" ref="B48:K48" si="11">B36+B47</f>
        <v>42880622000</v>
      </c>
      <c r="C48" s="502">
        <f t="shared" si="11"/>
        <v>35452348000</v>
      </c>
      <c r="D48" s="502">
        <f t="shared" si="11"/>
        <v>40994020000</v>
      </c>
      <c r="E48" s="502">
        <f>E36+E47</f>
        <v>90946926000</v>
      </c>
      <c r="F48" s="502">
        <f t="shared" si="11"/>
        <v>105471931000</v>
      </c>
      <c r="G48" s="501">
        <f t="shared" si="11"/>
        <v>118993266936.42783</v>
      </c>
      <c r="H48" s="501">
        <f t="shared" si="11"/>
        <v>158725177242.96454</v>
      </c>
      <c r="I48" s="501">
        <f t="shared" si="11"/>
        <v>205518698451.08884</v>
      </c>
      <c r="J48" s="501">
        <f t="shared" si="11"/>
        <v>281338428018.16144</v>
      </c>
      <c r="K48" s="501">
        <f t="shared" si="11"/>
        <v>413005229718.49078</v>
      </c>
    </row>
    <row r="49" spans="1:29" ht="15.5" x14ac:dyDescent="0.35">
      <c r="B49" s="321"/>
      <c r="C49" s="321"/>
      <c r="D49" s="321"/>
      <c r="G49" s="179"/>
      <c r="H49" s="179"/>
      <c r="I49" s="179"/>
      <c r="J49" s="179"/>
      <c r="K49" s="179"/>
    </row>
    <row r="50" spans="1:29" ht="22.5" x14ac:dyDescent="0.45">
      <c r="A50" s="313" t="s">
        <v>35</v>
      </c>
      <c r="B50" s="321"/>
      <c r="C50" s="321"/>
      <c r="D50" s="321"/>
    </row>
    <row r="51" spans="1:29" ht="15.5" x14ac:dyDescent="0.35">
      <c r="A51" s="158" t="s">
        <v>36</v>
      </c>
      <c r="B51" s="495">
        <v>2940000000</v>
      </c>
      <c r="C51" s="464">
        <v>3150000000</v>
      </c>
      <c r="D51" s="464">
        <v>6300000000</v>
      </c>
      <c r="E51" s="464">
        <v>6300000000</v>
      </c>
      <c r="F51" s="465">
        <v>6300000000</v>
      </c>
      <c r="G51" s="487">
        <f>Assumptions_BS!G98</f>
        <v>6300000000</v>
      </c>
      <c r="H51" s="488">
        <f>Assumptions_BS!H98</f>
        <v>6300000000</v>
      </c>
      <c r="I51" s="488">
        <f>Assumptions_BS!I98</f>
        <v>6300000000</v>
      </c>
      <c r="J51" s="488">
        <f>Assumptions_BS!J98</f>
        <v>6300000000</v>
      </c>
      <c r="K51" s="489">
        <f>Assumptions_BS!K98</f>
        <v>6300000000</v>
      </c>
      <c r="W51" s="158">
        <v>2017</v>
      </c>
      <c r="X51" s="158">
        <v>2018</v>
      </c>
      <c r="Y51" s="158">
        <v>2019</v>
      </c>
      <c r="Z51" s="158">
        <v>2020</v>
      </c>
      <c r="AA51" s="158">
        <v>2021</v>
      </c>
      <c r="AB51" s="158">
        <v>2022</v>
      </c>
      <c r="AC51" s="158">
        <v>2023</v>
      </c>
    </row>
    <row r="52" spans="1:29" ht="15.5" x14ac:dyDescent="0.35">
      <c r="A52" s="158" t="s">
        <v>37</v>
      </c>
      <c r="B52" s="496">
        <v>0</v>
      </c>
      <c r="C52" s="317">
        <v>1943175000</v>
      </c>
      <c r="D52" s="317">
        <v>0</v>
      </c>
      <c r="E52" s="317">
        <v>0</v>
      </c>
      <c r="F52" s="466">
        <v>0</v>
      </c>
      <c r="G52" s="499">
        <v>0</v>
      </c>
      <c r="H52" s="411">
        <v>0</v>
      </c>
      <c r="I52" s="411">
        <v>0</v>
      </c>
      <c r="J52" s="411">
        <v>0</v>
      </c>
      <c r="K52" s="500">
        <v>0</v>
      </c>
      <c r="V52" s="158" t="s">
        <v>54</v>
      </c>
      <c r="W52" s="470">
        <v>1405313</v>
      </c>
      <c r="X52" s="470">
        <v>1943476</v>
      </c>
      <c r="Y52" s="470">
        <v>1943476</v>
      </c>
      <c r="Z52" s="470">
        <v>1943476</v>
      </c>
      <c r="AA52" s="470">
        <v>2780632</v>
      </c>
      <c r="AB52" s="470">
        <v>15254082</v>
      </c>
      <c r="AC52" s="470">
        <v>16979049</v>
      </c>
    </row>
    <row r="53" spans="1:29" ht="15.5" x14ac:dyDescent="0.35">
      <c r="A53" s="158" t="s">
        <v>38</v>
      </c>
      <c r="B53" s="496">
        <v>-10666517000</v>
      </c>
      <c r="C53" s="317">
        <v>-18362739000</v>
      </c>
      <c r="D53" s="317">
        <v>-18184869000</v>
      </c>
      <c r="E53" s="317">
        <v>-18285559000</v>
      </c>
      <c r="F53" s="466">
        <v>-18249656000</v>
      </c>
      <c r="G53" s="490">
        <f>Assumptions_BS!G100</f>
        <v>615024401.34303284</v>
      </c>
      <c r="H53" s="163">
        <f>Assumptions_BS!H100</f>
        <v>26782898691.561249</v>
      </c>
      <c r="I53" s="163">
        <f>Assumptions_BS!I100</f>
        <v>64034604570.340126</v>
      </c>
      <c r="J53" s="163">
        <f>Assumptions_BS!J100</f>
        <v>124526861659.89941</v>
      </c>
      <c r="K53" s="491">
        <f>Assumptions_BS!K100</f>
        <v>227834422636.01123</v>
      </c>
      <c r="V53" s="158" t="s">
        <v>55</v>
      </c>
      <c r="W53" s="470">
        <v>3497928</v>
      </c>
      <c r="X53" s="470">
        <v>3997928</v>
      </c>
      <c r="Y53" s="470">
        <v>9290728</v>
      </c>
      <c r="Z53" s="470">
        <v>11149288</v>
      </c>
      <c r="AA53" s="470">
        <v>11149288</v>
      </c>
      <c r="AB53" s="470">
        <v>20325928</v>
      </c>
      <c r="AC53" s="470">
        <v>20325928</v>
      </c>
    </row>
    <row r="54" spans="1:29" ht="15.5" x14ac:dyDescent="0.35">
      <c r="A54" s="158" t="s">
        <v>39</v>
      </c>
      <c r="B54" s="497">
        <f t="shared" ref="B54:D54" si="12">(SUM(Y52:Y55))*1000</f>
        <v>11235758000</v>
      </c>
      <c r="C54" s="457">
        <f t="shared" si="12"/>
        <v>13094711000</v>
      </c>
      <c r="D54" s="457">
        <f t="shared" si="12"/>
        <v>13931867000</v>
      </c>
      <c r="E54" s="457">
        <f t="shared" ref="E54" si="13">(SUM(AB52:AB55))*1000</f>
        <v>35581957000</v>
      </c>
      <c r="F54" s="471">
        <f t="shared" ref="F54" si="14">(SUM(AC52:AC55))*1000</f>
        <v>37306924000</v>
      </c>
      <c r="G54" s="492">
        <f>Assumptions_BS!G99</f>
        <v>28940249333.333332</v>
      </c>
      <c r="H54" s="493">
        <f>Assumptions_BS!H99</f>
        <v>33943043444.444443</v>
      </c>
      <c r="I54" s="493">
        <f>Assumptions_BS!I99</f>
        <v>33396738925.925922</v>
      </c>
      <c r="J54" s="493">
        <f>Assumptions_BS!J99</f>
        <v>32093343901.234562</v>
      </c>
      <c r="K54" s="494">
        <f>Assumptions_BS!K99</f>
        <v>33144375423.868305</v>
      </c>
      <c r="W54" s="470">
        <v>300</v>
      </c>
      <c r="X54" s="470">
        <v>0</v>
      </c>
      <c r="Y54" s="470">
        <v>0</v>
      </c>
      <c r="Z54" s="470">
        <v>0</v>
      </c>
      <c r="AA54" s="470">
        <v>0</v>
      </c>
    </row>
    <row r="55" spans="1:29" ht="15.5" x14ac:dyDescent="0.35">
      <c r="B55" s="468">
        <f t="shared" ref="B55:D55" si="15">SUM(B51:B54)</f>
        <v>3509241000</v>
      </c>
      <c r="C55" s="468">
        <f t="shared" si="15"/>
        <v>-174853000</v>
      </c>
      <c r="D55" s="468">
        <f t="shared" si="15"/>
        <v>2046998000</v>
      </c>
      <c r="E55" s="468">
        <f>SUM(E51:E54)</f>
        <v>23596398000</v>
      </c>
      <c r="F55" s="468">
        <f>SUM(F51:F54)</f>
        <v>25357268000</v>
      </c>
      <c r="G55" s="469">
        <f t="shared" ref="G55:K55" si="16">SUM(G51:G54)</f>
        <v>35855273734.676361</v>
      </c>
      <c r="H55" s="469">
        <f t="shared" si="16"/>
        <v>67025942136.005692</v>
      </c>
      <c r="I55" s="469">
        <f t="shared" si="16"/>
        <v>103731343496.26604</v>
      </c>
      <c r="J55" s="469">
        <f t="shared" si="16"/>
        <v>162920205561.13397</v>
      </c>
      <c r="K55" s="469">
        <f t="shared" si="16"/>
        <v>267278798059.87955</v>
      </c>
      <c r="V55" s="158" t="s">
        <v>56</v>
      </c>
      <c r="W55" s="158">
        <f>(897+1050)</f>
        <v>1947</v>
      </c>
      <c r="X55" s="470">
        <v>-2023</v>
      </c>
      <c r="Y55" s="470">
        <v>1554</v>
      </c>
      <c r="Z55" s="470">
        <v>1947</v>
      </c>
      <c r="AA55" s="470">
        <v>1947</v>
      </c>
      <c r="AB55" s="470">
        <v>1947</v>
      </c>
      <c r="AC55" s="470">
        <v>1947</v>
      </c>
    </row>
    <row r="56" spans="1:29" ht="15.5" x14ac:dyDescent="0.35">
      <c r="B56" s="321"/>
      <c r="C56" s="321"/>
      <c r="D56" s="321"/>
    </row>
    <row r="57" spans="1:29" ht="22.5" x14ac:dyDescent="0.45">
      <c r="A57" s="313" t="s">
        <v>40</v>
      </c>
      <c r="B57" s="321"/>
      <c r="C57" s="321"/>
      <c r="D57" s="321"/>
    </row>
    <row r="58" spans="1:29" ht="17.5" x14ac:dyDescent="0.35">
      <c r="A58" s="463" t="s">
        <v>41</v>
      </c>
      <c r="B58" s="321"/>
      <c r="C58" s="321"/>
      <c r="D58" s="321"/>
    </row>
    <row r="59" spans="1:29" ht="15.5" x14ac:dyDescent="0.35">
      <c r="A59" s="158" t="s">
        <v>42</v>
      </c>
      <c r="B59" s="495">
        <v>4300000000</v>
      </c>
      <c r="C59" s="464">
        <v>4215146000</v>
      </c>
      <c r="D59" s="464">
        <v>293924000</v>
      </c>
      <c r="E59" s="464">
        <v>0</v>
      </c>
      <c r="F59" s="465">
        <v>2000000000</v>
      </c>
      <c r="G59" s="487">
        <f>Assumptions_BS!G108</f>
        <v>1815552325.9684825</v>
      </c>
      <c r="H59" s="488">
        <f>Assumptions_BS!H108</f>
        <v>1587759448.5395584</v>
      </c>
      <c r="I59" s="488">
        <f>Assumptions_BS!I108</f>
        <v>1306435244.9148371</v>
      </c>
      <c r="J59" s="488">
        <f>Assumptions_BS!J108</f>
        <v>958999853.43830633</v>
      </c>
      <c r="K59" s="489">
        <f>Assumptions_BS!K108</f>
        <v>529917144.96479082</v>
      </c>
    </row>
    <row r="60" spans="1:29" ht="15.5" x14ac:dyDescent="0.35">
      <c r="A60" s="158" t="s">
        <v>43</v>
      </c>
      <c r="B60" s="496">
        <v>13304000</v>
      </c>
      <c r="C60" s="317">
        <v>9922000</v>
      </c>
      <c r="D60" s="317">
        <v>4902000</v>
      </c>
      <c r="E60" s="317">
        <v>284315000</v>
      </c>
      <c r="F60" s="466">
        <v>0</v>
      </c>
      <c r="G60" s="183">
        <f>Assumptions_BS!G110</f>
        <v>0</v>
      </c>
      <c r="H60" s="242">
        <f>Assumptions_BS!H110</f>
        <v>0</v>
      </c>
      <c r="I60" s="242">
        <f>Assumptions_BS!I110</f>
        <v>0</v>
      </c>
      <c r="J60" s="242">
        <f>Assumptions_BS!J110</f>
        <v>0</v>
      </c>
      <c r="K60" s="498">
        <f>Assumptions_BS!K110</f>
        <v>0</v>
      </c>
    </row>
    <row r="61" spans="1:29" ht="15.5" x14ac:dyDescent="0.35">
      <c r="A61" s="158" t="s">
        <v>44</v>
      </c>
      <c r="B61" s="496">
        <v>367090000</v>
      </c>
      <c r="C61" s="317">
        <v>450323000</v>
      </c>
      <c r="D61" s="317">
        <v>377551000</v>
      </c>
      <c r="E61" s="317">
        <v>586749000</v>
      </c>
      <c r="F61" s="466">
        <v>636518000</v>
      </c>
      <c r="G61" s="490">
        <f>Assumptions_BS!G111</f>
        <v>596288299.07383406</v>
      </c>
      <c r="H61" s="163">
        <f>Assumptions_BS!H111</f>
        <v>687098297.4016999</v>
      </c>
      <c r="I61" s="163">
        <f>Assumptions_BS!I111</f>
        <v>846038291.4015739</v>
      </c>
      <c r="J61" s="163">
        <f>Assumptions_BS!J111</f>
        <v>1050627864.7640671</v>
      </c>
      <c r="K61" s="491">
        <f>Assumptions_BS!K111</f>
        <v>1408695450.5142283</v>
      </c>
    </row>
    <row r="62" spans="1:29" ht="15.5" x14ac:dyDescent="0.35">
      <c r="A62" s="158" t="s">
        <v>45</v>
      </c>
      <c r="B62" s="496">
        <v>0</v>
      </c>
      <c r="C62" s="317">
        <v>0</v>
      </c>
      <c r="D62" s="317">
        <v>0</v>
      </c>
      <c r="E62" s="317">
        <v>0</v>
      </c>
      <c r="F62" s="466">
        <v>0</v>
      </c>
      <c r="G62" s="499">
        <v>0</v>
      </c>
      <c r="H62" s="411">
        <v>0</v>
      </c>
      <c r="I62" s="411">
        <v>0</v>
      </c>
      <c r="J62" s="411">
        <v>0</v>
      </c>
      <c r="K62" s="500">
        <v>0</v>
      </c>
    </row>
    <row r="63" spans="1:29" ht="15.5" x14ac:dyDescent="0.35">
      <c r="A63" s="158" t="s">
        <v>46</v>
      </c>
      <c r="B63" s="497">
        <v>0</v>
      </c>
      <c r="C63" s="457">
        <v>152448000</v>
      </c>
      <c r="D63" s="457">
        <v>148237000</v>
      </c>
      <c r="E63" s="457">
        <v>141745000</v>
      </c>
      <c r="F63" s="471">
        <v>133054000</v>
      </c>
      <c r="G63" s="492">
        <f>Assumptions_BS!G109</f>
        <v>119748600</v>
      </c>
      <c r="H63" s="493">
        <f>Assumptions_BS!H109</f>
        <v>106443200</v>
      </c>
      <c r="I63" s="493">
        <f>Assumptions_BS!I109</f>
        <v>93137800</v>
      </c>
      <c r="J63" s="493">
        <f>Assumptions_BS!J109</f>
        <v>79832400</v>
      </c>
      <c r="K63" s="494">
        <f>Assumptions_BS!K109</f>
        <v>66527000</v>
      </c>
    </row>
    <row r="64" spans="1:29" ht="15.5" x14ac:dyDescent="0.35">
      <c r="B64" s="366">
        <f t="shared" ref="B64:C64" si="17">SUM(B59:B63)</f>
        <v>4680394000</v>
      </c>
      <c r="C64" s="366">
        <f t="shared" si="17"/>
        <v>4827839000</v>
      </c>
      <c r="D64" s="366">
        <f>SUM(D59:D63)</f>
        <v>824614000</v>
      </c>
      <c r="E64" s="366">
        <f>SUM(E59:E63)</f>
        <v>1012809000</v>
      </c>
      <c r="F64" s="366">
        <f>SUM(F59:F63)</f>
        <v>2769572000</v>
      </c>
      <c r="G64" s="467">
        <f t="shared" ref="G64:K64" si="18">SUM(G59:G63)</f>
        <v>2531589225.0423164</v>
      </c>
      <c r="H64" s="467">
        <f t="shared" si="18"/>
        <v>2381300945.9412584</v>
      </c>
      <c r="I64" s="467">
        <f t="shared" si="18"/>
        <v>2245611336.316411</v>
      </c>
      <c r="J64" s="467">
        <f t="shared" si="18"/>
        <v>2089460118.2023735</v>
      </c>
      <c r="K64" s="467">
        <f t="shared" si="18"/>
        <v>2005139595.4790192</v>
      </c>
    </row>
    <row r="65" spans="1:29" ht="15.5" x14ac:dyDescent="0.35">
      <c r="B65" s="321"/>
      <c r="C65" s="321"/>
      <c r="D65" s="321"/>
    </row>
    <row r="66" spans="1:29" ht="17.5" x14ac:dyDescent="0.35">
      <c r="A66" s="463" t="s">
        <v>47</v>
      </c>
      <c r="B66" s="321"/>
      <c r="C66" s="321"/>
      <c r="D66" s="321"/>
    </row>
    <row r="67" spans="1:29" ht="15.5" x14ac:dyDescent="0.35">
      <c r="A67" s="158" t="s">
        <v>48</v>
      </c>
      <c r="B67" s="484">
        <v>19967440000</v>
      </c>
      <c r="C67" s="472">
        <v>18036132000</v>
      </c>
      <c r="D67" s="472">
        <v>20509338000</v>
      </c>
      <c r="E67" s="472">
        <v>46297714000</v>
      </c>
      <c r="F67" s="473">
        <v>46432882000</v>
      </c>
      <c r="G67" s="487">
        <f>Assumptions_BS!G132</f>
        <v>47755810077.183197</v>
      </c>
      <c r="H67" s="488">
        <f>Assumptions_BS!H132</f>
        <v>53185599586.271156</v>
      </c>
      <c r="I67" s="488">
        <f>Assumptions_BS!I132</f>
        <v>59799491194.262413</v>
      </c>
      <c r="J67" s="488">
        <f>Assumptions_BS!J132</f>
        <v>72615600248.66748</v>
      </c>
      <c r="K67" s="489">
        <f>Assumptions_BS!K132</f>
        <v>95586907698.537933</v>
      </c>
    </row>
    <row r="68" spans="1:29" ht="15.5" x14ac:dyDescent="0.35">
      <c r="A68" s="158" t="s">
        <v>49</v>
      </c>
      <c r="B68" s="485">
        <v>14701779000</v>
      </c>
      <c r="C68" s="321">
        <v>12599469000</v>
      </c>
      <c r="D68" s="321">
        <v>17573548000</v>
      </c>
      <c r="E68" s="321">
        <v>18901244000</v>
      </c>
      <c r="F68" s="474">
        <v>29834030000</v>
      </c>
      <c r="G68" s="490">
        <f>Assumptions_BS!G144</f>
        <v>32817433000</v>
      </c>
      <c r="H68" s="163">
        <f>Assumptions_BS!H144</f>
        <v>36099176300</v>
      </c>
      <c r="I68" s="163">
        <f>Assumptions_BS!I144</f>
        <v>39709093930</v>
      </c>
      <c r="J68" s="163">
        <f>Assumptions_BS!J144</f>
        <v>43680003323</v>
      </c>
      <c r="K68" s="491">
        <f>Assumptions_BS!K144</f>
        <v>48048003655.300003</v>
      </c>
    </row>
    <row r="69" spans="1:29" ht="15.5" x14ac:dyDescent="0.35">
      <c r="A69" s="158" t="s">
        <v>50</v>
      </c>
      <c r="B69" s="485">
        <v>0</v>
      </c>
      <c r="C69" s="321">
        <v>3370000</v>
      </c>
      <c r="D69" s="321">
        <v>4586000</v>
      </c>
      <c r="E69" s="321">
        <v>6460000</v>
      </c>
      <c r="F69" s="474">
        <v>8723000</v>
      </c>
      <c r="G69" s="490">
        <f>Assumptions_BS!G145</f>
        <v>13305400</v>
      </c>
      <c r="H69" s="163">
        <f>Assumptions_BS!H145</f>
        <v>13305400</v>
      </c>
      <c r="I69" s="163">
        <f>Assumptions_BS!I145</f>
        <v>13305400</v>
      </c>
      <c r="J69" s="163">
        <f>Assumptions_BS!J145</f>
        <v>13305400</v>
      </c>
      <c r="K69" s="491">
        <f>Assumptions_BS!K145</f>
        <v>66527000</v>
      </c>
      <c r="V69" s="158" t="s">
        <v>57</v>
      </c>
      <c r="W69" s="475">
        <v>1362092</v>
      </c>
      <c r="X69" s="475">
        <v>2902249</v>
      </c>
      <c r="Y69" s="475">
        <v>1948915</v>
      </c>
      <c r="Z69" s="475">
        <v>140525</v>
      </c>
      <c r="AA69" s="475">
        <v>15084</v>
      </c>
      <c r="AB69" s="475">
        <v>6465</v>
      </c>
      <c r="AC69" s="475"/>
    </row>
    <row r="70" spans="1:29" ht="15.5" x14ac:dyDescent="0.35">
      <c r="A70" s="158" t="s">
        <v>53</v>
      </c>
      <c r="B70" s="486">
        <v>21768000</v>
      </c>
      <c r="C70" s="476">
        <v>19866000</v>
      </c>
      <c r="D70" s="476">
        <v>19852000</v>
      </c>
      <c r="E70" s="476">
        <v>19852000</v>
      </c>
      <c r="F70" s="477">
        <v>19852000</v>
      </c>
      <c r="G70" s="492">
        <f>Assumptions_BS!G146</f>
        <v>19855500</v>
      </c>
      <c r="H70" s="493">
        <f>Assumptions_BS!H146</f>
        <v>19852875</v>
      </c>
      <c r="I70" s="493">
        <f>Assumptions_BS!I146</f>
        <v>19853093.75</v>
      </c>
      <c r="J70" s="493">
        <f>Assumptions_BS!J146</f>
        <v>19853367.1875</v>
      </c>
      <c r="K70" s="494">
        <f>Assumptions_BS!K146</f>
        <v>19853708.984375</v>
      </c>
      <c r="V70" s="478" t="s">
        <v>58</v>
      </c>
      <c r="AB70" s="158">
        <f>1105984*1000</f>
        <v>1105984000</v>
      </c>
      <c r="AC70" s="158">
        <f>1049604*1000</f>
        <v>1049604000</v>
      </c>
    </row>
    <row r="71" spans="1:29" ht="15.5" x14ac:dyDescent="0.35">
      <c r="B71" s="317">
        <f>SUM(B67:B70)</f>
        <v>34690987000</v>
      </c>
      <c r="C71" s="317">
        <f t="shared" ref="C71" si="19">SUM(C67:C70)+(Z69*1000)</f>
        <v>30799362000</v>
      </c>
      <c r="D71" s="317">
        <f>SUM(D67:D70)+(AA69*1000)</f>
        <v>38122408000</v>
      </c>
      <c r="E71" s="317">
        <f>SUM(E67:E70)+(AB69*1000)+AB70</f>
        <v>66337719000</v>
      </c>
      <c r="F71" s="317">
        <f>SUM(F67:F70)+(AC69*1000)+AC70</f>
        <v>77345091000</v>
      </c>
      <c r="G71" s="411">
        <f t="shared" ref="G71:K71" si="20">SUM(G67:G70)+(AD69*1000)+AD70</f>
        <v>80606403977.183197</v>
      </c>
      <c r="H71" s="411">
        <f t="shared" si="20"/>
        <v>89317934161.271149</v>
      </c>
      <c r="I71" s="411">
        <f t="shared" si="20"/>
        <v>99541743618.012421</v>
      </c>
      <c r="J71" s="411">
        <f t="shared" si="20"/>
        <v>116328762338.85498</v>
      </c>
      <c r="K71" s="411">
        <f t="shared" si="20"/>
        <v>143721292062.82233</v>
      </c>
    </row>
    <row r="72" spans="1:29" ht="16" thickBot="1" x14ac:dyDescent="0.4">
      <c r="B72" s="320">
        <f>B64+B71</f>
        <v>39371381000</v>
      </c>
      <c r="C72" s="320">
        <f t="shared" ref="C72" si="21">C64+C71</f>
        <v>35627201000</v>
      </c>
      <c r="D72" s="320">
        <f>D64+D71</f>
        <v>38947022000</v>
      </c>
      <c r="E72" s="320">
        <f>E64+E71</f>
        <v>67350528000</v>
      </c>
      <c r="F72" s="320">
        <f>F64+F71</f>
        <v>80114663000</v>
      </c>
      <c r="G72" s="348">
        <f t="shared" ref="G72:K72" si="22">G64+G71</f>
        <v>83137993202.22551</v>
      </c>
      <c r="H72" s="348">
        <f t="shared" si="22"/>
        <v>91699235107.212402</v>
      </c>
      <c r="I72" s="348">
        <f t="shared" si="22"/>
        <v>101787354954.32883</v>
      </c>
      <c r="J72" s="348">
        <f t="shared" si="22"/>
        <v>118418222457.05736</v>
      </c>
      <c r="K72" s="348">
        <f t="shared" si="22"/>
        <v>145726431658.30133</v>
      </c>
    </row>
    <row r="73" spans="1:29" ht="23" thickBot="1" x14ac:dyDescent="0.5">
      <c r="A73" s="479" t="s">
        <v>51</v>
      </c>
      <c r="B73" s="482">
        <f t="shared" ref="B73:F73" si="23">B55+B72</f>
        <v>42880622000</v>
      </c>
      <c r="C73" s="480">
        <f t="shared" si="23"/>
        <v>35452348000</v>
      </c>
      <c r="D73" s="480">
        <f t="shared" si="23"/>
        <v>40994020000</v>
      </c>
      <c r="E73" s="480">
        <f>E55+E72</f>
        <v>90946926000</v>
      </c>
      <c r="F73" s="483">
        <f t="shared" si="23"/>
        <v>105471931000</v>
      </c>
      <c r="G73" s="355">
        <f t="shared" ref="G73:K73" si="24">G55+G72</f>
        <v>118993266936.90187</v>
      </c>
      <c r="H73" s="345">
        <f t="shared" si="24"/>
        <v>158725177243.21808</v>
      </c>
      <c r="I73" s="345">
        <f t="shared" si="24"/>
        <v>205518698450.59485</v>
      </c>
      <c r="J73" s="345">
        <f t="shared" si="24"/>
        <v>281338428018.19135</v>
      </c>
      <c r="K73" s="356">
        <f t="shared" si="24"/>
        <v>413005229718.18091</v>
      </c>
    </row>
    <row r="74" spans="1:29" x14ac:dyDescent="0.3">
      <c r="A74" s="158" t="s">
        <v>450</v>
      </c>
      <c r="B74" s="179">
        <f>B48-B73</f>
        <v>0</v>
      </c>
      <c r="C74" s="179">
        <f t="shared" ref="C74:F74" si="25">C48-C73</f>
        <v>0</v>
      </c>
      <c r="D74" s="179">
        <f t="shared" si="25"/>
        <v>0</v>
      </c>
      <c r="E74" s="179">
        <f t="shared" si="25"/>
        <v>0</v>
      </c>
      <c r="F74" s="179">
        <f t="shared" si="25"/>
        <v>0</v>
      </c>
      <c r="G74" s="285">
        <f t="shared" ref="G74" si="26">G48-G73</f>
        <v>-0.4740447998046875</v>
      </c>
      <c r="H74" s="285">
        <f t="shared" ref="H74" si="27">H48-H73</f>
        <v>-0.2535400390625</v>
      </c>
      <c r="I74" s="285">
        <f t="shared" ref="I74" si="28">I48-I73</f>
        <v>0.493988037109375</v>
      </c>
      <c r="J74" s="285">
        <f t="shared" ref="J74" si="29">J48-J73</f>
        <v>-2.99072265625E-2</v>
      </c>
      <c r="K74" s="285">
        <f t="shared" ref="K74" si="30">K48-K73</f>
        <v>0.30987548828125</v>
      </c>
    </row>
    <row r="75" spans="1:29" ht="14.5" thickBot="1" x14ac:dyDescent="0.35"/>
    <row r="76" spans="1:29" x14ac:dyDescent="0.3">
      <c r="A76" s="158" t="s">
        <v>436</v>
      </c>
      <c r="B76" s="569">
        <f>(B68+B59)/(B47+B36)</f>
        <v>0.44313207490320455</v>
      </c>
      <c r="C76" s="570">
        <f t="shared" ref="C76:K76" si="31">(C68+C59)/(C47+C36)</f>
        <v>0.47428776790750221</v>
      </c>
      <c r="D76" s="570">
        <f t="shared" si="31"/>
        <v>0.43585557112964279</v>
      </c>
      <c r="E76" s="570">
        <f t="shared" si="31"/>
        <v>0.20782718923342169</v>
      </c>
      <c r="F76" s="571">
        <f t="shared" si="31"/>
        <v>0.30182466271523939</v>
      </c>
      <c r="G76" s="575">
        <f t="shared" si="31"/>
        <v>0.2910499578473727</v>
      </c>
      <c r="H76" s="576">
        <f t="shared" si="31"/>
        <v>0.23743514673069943</v>
      </c>
      <c r="I76" s="576">
        <f t="shared" si="31"/>
        <v>0.19957079080410817</v>
      </c>
      <c r="J76" s="576">
        <f t="shared" si="31"/>
        <v>0.15866656926638084</v>
      </c>
      <c r="K76" s="577">
        <f t="shared" si="31"/>
        <v>0.11762059486117421</v>
      </c>
    </row>
    <row r="77" spans="1:29" ht="14.5" thickBot="1" x14ac:dyDescent="0.35">
      <c r="A77" s="158" t="s">
        <v>437</v>
      </c>
      <c r="B77" s="572">
        <f>1-B76</f>
        <v>0.55686792509679539</v>
      </c>
      <c r="C77" s="573">
        <f t="shared" ref="C77:K77" si="32">1-C76</f>
        <v>0.52571223209249784</v>
      </c>
      <c r="D77" s="573">
        <f t="shared" si="32"/>
        <v>0.56414442887035721</v>
      </c>
      <c r="E77" s="573">
        <f t="shared" si="32"/>
        <v>0.79217281076657831</v>
      </c>
      <c r="F77" s="574">
        <f t="shared" si="32"/>
        <v>0.69817533728476056</v>
      </c>
      <c r="G77" s="578">
        <f t="shared" si="32"/>
        <v>0.70895004215262736</v>
      </c>
      <c r="H77" s="231">
        <f t="shared" si="32"/>
        <v>0.76256485326930057</v>
      </c>
      <c r="I77" s="231">
        <f t="shared" si="32"/>
        <v>0.80042920919589178</v>
      </c>
      <c r="J77" s="231">
        <f t="shared" si="32"/>
        <v>0.8413334307336191</v>
      </c>
      <c r="K77" s="579">
        <f t="shared" si="32"/>
        <v>0.88237940513882585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8B90-AC2C-4CAB-8AAC-AD5578778D0E}">
  <dimension ref="A1:T193"/>
  <sheetViews>
    <sheetView topLeftCell="A165" zoomScale="87" zoomScaleNormal="85" workbookViewId="0">
      <pane xSplit="1" topLeftCell="B1" activePane="topRight" state="frozen"/>
      <selection pane="topRight" activeCell="Q6" sqref="Q6"/>
    </sheetView>
  </sheetViews>
  <sheetFormatPr defaultColWidth="8.90625" defaultRowHeight="14" x14ac:dyDescent="0.3"/>
  <cols>
    <col min="1" max="1" width="28.453125" style="158" bestFit="1" customWidth="1"/>
    <col min="2" max="2" width="8.90625" style="158"/>
    <col min="3" max="4" width="17.54296875" style="158" customWidth="1"/>
    <col min="5" max="5" width="18.1796875" style="158" bestFit="1" customWidth="1"/>
    <col min="6" max="7" width="17.54296875" style="158" customWidth="1"/>
    <col min="8" max="8" width="19.6328125" style="158" bestFit="1" customWidth="1"/>
    <col min="9" max="9" width="18.90625" style="158" bestFit="1" customWidth="1"/>
    <col min="10" max="12" width="20.36328125" style="158" bestFit="1" customWidth="1"/>
    <col min="13" max="13" width="8.90625" style="158"/>
    <col min="14" max="15" width="11.6328125" style="158" bestFit="1" customWidth="1"/>
    <col min="16" max="16" width="37" style="158" bestFit="1" customWidth="1"/>
    <col min="17" max="17" width="11.36328125" style="158" bestFit="1" customWidth="1"/>
    <col min="18" max="19" width="8.90625" style="158"/>
    <col min="20" max="20" width="13" style="158" bestFit="1" customWidth="1"/>
    <col min="21" max="23" width="8.90625" style="158"/>
    <col min="24" max="25" width="10" style="158" bestFit="1" customWidth="1"/>
    <col min="26" max="16384" width="8.90625" style="158"/>
  </cols>
  <sheetData>
    <row r="1" spans="1:20" x14ac:dyDescent="0.3">
      <c r="H1" s="159"/>
    </row>
    <row r="2" spans="1:20" x14ac:dyDescent="0.3">
      <c r="H2" s="159"/>
      <c r="P2" s="160" t="s">
        <v>122</v>
      </c>
      <c r="Q2" s="161">
        <v>526000</v>
      </c>
    </row>
    <row r="3" spans="1:20" x14ac:dyDescent="0.3">
      <c r="H3" s="159"/>
      <c r="P3" s="162" t="s">
        <v>115</v>
      </c>
      <c r="Q3" s="160">
        <f>Q2*30*12</f>
        <v>189360000</v>
      </c>
      <c r="S3" s="163"/>
      <c r="T3" s="164"/>
    </row>
    <row r="4" spans="1:20" ht="14.5" thickBot="1" x14ac:dyDescent="0.35">
      <c r="H4" s="159"/>
      <c r="P4" s="162" t="s">
        <v>116</v>
      </c>
      <c r="Q4" s="165">
        <f>AVERAGE(C22:G22)</f>
        <v>0.18552879203865164</v>
      </c>
    </row>
    <row r="5" spans="1:20" x14ac:dyDescent="0.3">
      <c r="A5" s="166"/>
      <c r="B5" s="234"/>
      <c r="C5" s="244">
        <v>43617</v>
      </c>
      <c r="D5" s="168">
        <v>43983</v>
      </c>
      <c r="E5" s="168">
        <v>44348</v>
      </c>
      <c r="F5" s="168">
        <v>44713</v>
      </c>
      <c r="G5" s="168">
        <v>45078</v>
      </c>
      <c r="H5" s="262">
        <v>45444</v>
      </c>
      <c r="I5" s="171">
        <v>45809</v>
      </c>
      <c r="J5" s="171">
        <v>46174</v>
      </c>
      <c r="K5" s="171">
        <v>46539</v>
      </c>
      <c r="L5" s="214">
        <v>46905</v>
      </c>
      <c r="P5" s="162" t="s">
        <v>117</v>
      </c>
      <c r="Q5" s="172">
        <f>AVERAGE(C10:G10)</f>
        <v>15051.795300000002</v>
      </c>
    </row>
    <row r="6" spans="1:20" ht="15.5" x14ac:dyDescent="0.35">
      <c r="A6" s="173" t="s">
        <v>59</v>
      </c>
      <c r="C6" s="246">
        <v>145236819000</v>
      </c>
      <c r="D6" s="175">
        <v>128440772000</v>
      </c>
      <c r="E6" s="175">
        <v>134430879000</v>
      </c>
      <c r="F6" s="177">
        <v>216631159000</v>
      </c>
      <c r="G6" s="177">
        <v>304454022000</v>
      </c>
      <c r="H6" s="263">
        <f>H10*H7</f>
        <v>317672820984.89441</v>
      </c>
      <c r="I6" s="179">
        <f t="shared" ref="I6:L6" si="0">I10*I7</f>
        <v>330009629566.83203</v>
      </c>
      <c r="J6" s="179">
        <f t="shared" si="0"/>
        <v>342825537511.17505</v>
      </c>
      <c r="K6" s="179">
        <f t="shared" si="0"/>
        <v>364251844852.03534</v>
      </c>
      <c r="L6" s="216">
        <f t="shared" si="0"/>
        <v>402809482102.32043</v>
      </c>
      <c r="P6" s="162" t="s">
        <v>77</v>
      </c>
      <c r="Q6" s="165">
        <v>7.0000000000000007E-2</v>
      </c>
    </row>
    <row r="7" spans="1:20" ht="15.5" x14ac:dyDescent="0.35">
      <c r="A7" s="180" t="s">
        <v>60</v>
      </c>
      <c r="B7" s="240"/>
      <c r="C7" s="246">
        <f t="shared" ref="C7:F7" si="1">(D7/D6)*C6</f>
        <v>6772947.8973369477</v>
      </c>
      <c r="D7" s="175">
        <f t="shared" si="1"/>
        <v>5989684.039070935</v>
      </c>
      <c r="E7" s="175">
        <f>(F7/F6)*E6</f>
        <v>6269025.6198754096</v>
      </c>
      <c r="F7" s="175">
        <f t="shared" si="1"/>
        <v>10102338.807397841</v>
      </c>
      <c r="G7" s="175">
        <f>G6/G10</f>
        <v>14197854.527099473</v>
      </c>
      <c r="H7" s="264">
        <f>G7/(1+$Q$10)</f>
        <v>13784324.783591721</v>
      </c>
      <c r="I7" s="217">
        <f t="shared" ref="I7:L7" si="2">H7/(1+$Q$10)</f>
        <v>13382839.595720118</v>
      </c>
      <c r="J7" s="217">
        <f t="shared" si="2"/>
        <v>12993048.151184579</v>
      </c>
      <c r="K7" s="217">
        <f t="shared" si="2"/>
        <v>12614609.855519008</v>
      </c>
      <c r="L7" s="218">
        <f t="shared" si="2"/>
        <v>12247194.034484474</v>
      </c>
      <c r="P7" s="162" t="s">
        <v>118</v>
      </c>
      <c r="Q7" s="181">
        <f>G8</f>
        <v>74.8</v>
      </c>
    </row>
    <row r="8" spans="1:20" ht="15.5" x14ac:dyDescent="0.35">
      <c r="A8" s="173" t="s">
        <v>61</v>
      </c>
      <c r="C8" s="249">
        <v>63.15</v>
      </c>
      <c r="D8" s="182">
        <v>42.14</v>
      </c>
      <c r="E8" s="182">
        <v>73.56</v>
      </c>
      <c r="F8" s="182">
        <v>122</v>
      </c>
      <c r="G8" s="182">
        <v>74.8</v>
      </c>
      <c r="H8" s="265">
        <f>AVERAGE(C8:G8)</f>
        <v>75.13000000000001</v>
      </c>
      <c r="I8" s="266">
        <f>AVERAGE(C8:H8)</f>
        <v>75.13000000000001</v>
      </c>
      <c r="J8" s="266">
        <f t="shared" ref="J8:L8" si="3">AVERAGE(C8:I8)</f>
        <v>75.13000000000001</v>
      </c>
      <c r="K8" s="266">
        <f t="shared" si="3"/>
        <v>76.841428571428565</v>
      </c>
      <c r="L8" s="267">
        <f t="shared" si="3"/>
        <v>81.798775510204081</v>
      </c>
      <c r="P8" s="162" t="s">
        <v>119</v>
      </c>
      <c r="Q8" s="184">
        <f>G10</f>
        <v>21443.664000000001</v>
      </c>
    </row>
    <row r="9" spans="1:20" ht="15.5" x14ac:dyDescent="0.35">
      <c r="A9" s="173" t="s">
        <v>62</v>
      </c>
      <c r="C9" s="249">
        <v>157.35</v>
      </c>
      <c r="D9" s="182">
        <v>167.16</v>
      </c>
      <c r="E9" s="182">
        <v>161.46</v>
      </c>
      <c r="F9" s="182">
        <v>204.57</v>
      </c>
      <c r="G9" s="182">
        <v>286.68</v>
      </c>
      <c r="H9" s="268">
        <f>G9*(1+$Q$6)</f>
        <v>306.74760000000003</v>
      </c>
      <c r="I9" s="217">
        <f>H9*(1+$Q$6)</f>
        <v>328.21993200000003</v>
      </c>
      <c r="J9" s="217">
        <f>I9*(1+$Q$6)</f>
        <v>351.19532724000004</v>
      </c>
      <c r="K9" s="217">
        <f>J9*(1+$Q$6)</f>
        <v>375.77900014680006</v>
      </c>
      <c r="L9" s="218">
        <f>K9*(1+$Q$6)</f>
        <v>402.0835301570761</v>
      </c>
      <c r="P9" s="162" t="s">
        <v>120</v>
      </c>
      <c r="Q9" s="165">
        <v>0.3</v>
      </c>
    </row>
    <row r="10" spans="1:20" ht="15.5" x14ac:dyDescent="0.35">
      <c r="A10" s="173" t="s">
        <v>63</v>
      </c>
      <c r="C10" s="246">
        <f>C8*C9</f>
        <v>9936.6525000000001</v>
      </c>
      <c r="D10" s="175">
        <f t="shared" ref="D10" si="4">D8*D9</f>
        <v>7044.1224000000002</v>
      </c>
      <c r="E10" s="175">
        <f>E8*E9</f>
        <v>11876.997600000001</v>
      </c>
      <c r="F10" s="175">
        <f t="shared" ref="F10:L10" si="5">F8*F9</f>
        <v>24957.54</v>
      </c>
      <c r="G10" s="175">
        <f t="shared" si="5"/>
        <v>21443.664000000001</v>
      </c>
      <c r="H10" s="312">
        <f t="shared" si="5"/>
        <v>23045.947188000006</v>
      </c>
      <c r="I10" s="311">
        <f t="shared" si="5"/>
        <v>24659.163491160005</v>
      </c>
      <c r="J10" s="311">
        <f t="shared" si="5"/>
        <v>26385.304935541208</v>
      </c>
      <c r="K10" s="311">
        <f t="shared" si="5"/>
        <v>28875.395198423183</v>
      </c>
      <c r="L10" s="269">
        <f t="shared" si="5"/>
        <v>32889.940419669038</v>
      </c>
      <c r="P10" s="162" t="s">
        <v>121</v>
      </c>
      <c r="Q10" s="165">
        <v>0.03</v>
      </c>
    </row>
    <row r="11" spans="1:20" ht="15.5" x14ac:dyDescent="0.35">
      <c r="A11" s="173"/>
      <c r="C11" s="246"/>
      <c r="D11" s="175"/>
      <c r="E11" s="175"/>
      <c r="H11" s="173"/>
      <c r="L11" s="215"/>
    </row>
    <row r="12" spans="1:20" ht="15.5" x14ac:dyDescent="0.35">
      <c r="A12" s="173"/>
      <c r="C12" s="246"/>
      <c r="D12" s="175"/>
      <c r="E12" s="175"/>
      <c r="H12" s="173"/>
      <c r="L12" s="215"/>
    </row>
    <row r="13" spans="1:20" ht="15.5" x14ac:dyDescent="0.35">
      <c r="A13" s="173" t="s">
        <v>64</v>
      </c>
      <c r="C13" s="246">
        <v>6459750000</v>
      </c>
      <c r="D13" s="175">
        <v>3435164000</v>
      </c>
      <c r="E13" s="175">
        <v>5192013000</v>
      </c>
      <c r="F13" s="177">
        <v>7222708000</v>
      </c>
      <c r="G13" s="177">
        <v>21076356000</v>
      </c>
      <c r="H13" s="268">
        <f>H16</f>
        <v>53155835281.201241</v>
      </c>
      <c r="I13" s="217">
        <f t="shared" ref="I13:L13" si="6">I16</f>
        <v>84416755754.751694</v>
      </c>
      <c r="J13" s="217">
        <f t="shared" si="6"/>
        <v>134062208118.05409</v>
      </c>
      <c r="K13" s="217">
        <f t="shared" si="6"/>
        <v>236506220488.01831</v>
      </c>
      <c r="L13" s="218">
        <f t="shared" si="6"/>
        <v>427194829540.74249</v>
      </c>
    </row>
    <row r="14" spans="1:20" ht="15.5" x14ac:dyDescent="0.35">
      <c r="A14" s="173" t="s">
        <v>65</v>
      </c>
      <c r="C14" s="250"/>
      <c r="D14" s="187">
        <f t="shared" ref="D14" si="7">(D13-C13)/C13</f>
        <v>-0.46822028716281588</v>
      </c>
      <c r="E14" s="187">
        <f>(E13-D13)/D13</f>
        <v>0.51143089529349983</v>
      </c>
      <c r="F14" s="187">
        <f t="shared" ref="F14:G14" si="8">(F13-E13)/E13</f>
        <v>0.3911190129916855</v>
      </c>
      <c r="G14" s="187">
        <f t="shared" si="8"/>
        <v>1.9180684031529449</v>
      </c>
      <c r="H14" s="270">
        <f>AVERAGE(C14:G14)</f>
        <v>0.58809950606882855</v>
      </c>
      <c r="I14" s="243">
        <f t="shared" ref="I14:L14" si="9">AVERAGE(C14:H14)</f>
        <v>0.58809950606882855</v>
      </c>
      <c r="J14" s="243">
        <f t="shared" si="9"/>
        <v>0.58809950606882844</v>
      </c>
      <c r="K14" s="243">
        <f t="shared" si="9"/>
        <v>0.7641528049407692</v>
      </c>
      <c r="L14" s="271">
        <f t="shared" si="9"/>
        <v>0.80627312321531408</v>
      </c>
    </row>
    <row r="15" spans="1:20" ht="15.5" x14ac:dyDescent="0.35">
      <c r="A15" s="173" t="s">
        <v>123</v>
      </c>
      <c r="C15" s="246"/>
      <c r="D15" s="175"/>
      <c r="E15" s="175"/>
      <c r="H15" s="263">
        <f>G13*(1+H14)</f>
        <v>33471350553.330791</v>
      </c>
      <c r="I15" s="179">
        <f>H15*(1+H14)</f>
        <v>53155835281.201241</v>
      </c>
      <c r="J15" s="179">
        <f t="shared" ref="J15:L15" si="10">I15*(1+I14)</f>
        <v>84416755754.751694</v>
      </c>
      <c r="K15" s="179">
        <f t="shared" si="10"/>
        <v>134062208118.05409</v>
      </c>
      <c r="L15" s="216">
        <f t="shared" si="10"/>
        <v>236506220488.01831</v>
      </c>
    </row>
    <row r="16" spans="1:20" ht="15.5" x14ac:dyDescent="0.35">
      <c r="A16" s="173" t="s">
        <v>66</v>
      </c>
      <c r="C16" s="246"/>
      <c r="D16" s="175"/>
      <c r="E16" s="175"/>
      <c r="H16" s="268">
        <f>H15*(1+AVERAGE(C14:G14))</f>
        <v>53155835281.201241</v>
      </c>
      <c r="I16" s="217">
        <f t="shared" ref="I16:L16" si="11">I15*(1+AVERAGE(C14:H14))</f>
        <v>84416755754.751694</v>
      </c>
      <c r="J16" s="217">
        <f t="shared" si="11"/>
        <v>134062208118.05409</v>
      </c>
      <c r="K16" s="217">
        <f t="shared" si="11"/>
        <v>236506220488.01831</v>
      </c>
      <c r="L16" s="218">
        <f t="shared" si="11"/>
        <v>427194829540.74249</v>
      </c>
    </row>
    <row r="17" spans="1:12" ht="16" thickBot="1" x14ac:dyDescent="0.4">
      <c r="A17" s="173"/>
      <c r="C17" s="246"/>
      <c r="D17" s="175"/>
      <c r="E17" s="175"/>
      <c r="H17" s="193"/>
      <c r="I17" s="220"/>
      <c r="J17" s="220"/>
      <c r="K17" s="220"/>
      <c r="L17" s="233"/>
    </row>
    <row r="18" spans="1:12" ht="16" thickBot="1" x14ac:dyDescent="0.4">
      <c r="A18" s="173" t="s">
        <v>67</v>
      </c>
      <c r="C18" s="256">
        <f t="shared" ref="C18:F18" si="12">C6+C13</f>
        <v>151696569000</v>
      </c>
      <c r="D18" s="257">
        <f>D6+D13</f>
        <v>131875936000</v>
      </c>
      <c r="E18" s="258">
        <f>E6+E13</f>
        <v>139622892000</v>
      </c>
      <c r="F18" s="258">
        <f t="shared" si="12"/>
        <v>223853867000</v>
      </c>
      <c r="G18" s="259">
        <f>G6+G13</f>
        <v>325530378000</v>
      </c>
      <c r="H18" s="260">
        <f>H6+H13</f>
        <v>370828656266.09564</v>
      </c>
      <c r="I18" s="260">
        <f t="shared" ref="I18:L18" si="13">I6+I13</f>
        <v>414426385321.58374</v>
      </c>
      <c r="J18" s="260">
        <f t="shared" si="13"/>
        <v>476887745629.22913</v>
      </c>
      <c r="K18" s="260">
        <f t="shared" si="13"/>
        <v>600758065340.05371</v>
      </c>
      <c r="L18" s="261">
        <f t="shared" si="13"/>
        <v>830004311643.06299</v>
      </c>
    </row>
    <row r="19" spans="1:12" ht="16" thickBot="1" x14ac:dyDescent="0.4">
      <c r="A19" s="173"/>
      <c r="C19" s="246"/>
      <c r="D19" s="175"/>
      <c r="E19" s="176"/>
      <c r="G19" s="215"/>
    </row>
    <row r="20" spans="1:12" ht="15.5" x14ac:dyDescent="0.35">
      <c r="A20" s="173"/>
      <c r="C20" s="246">
        <v>43617</v>
      </c>
      <c r="D20" s="175">
        <v>43983</v>
      </c>
      <c r="E20" s="176">
        <v>44348</v>
      </c>
      <c r="F20" s="179">
        <f>AVERAGE(C20:E20)</f>
        <v>43982.666666666664</v>
      </c>
      <c r="G20" s="216">
        <f>AVERAGE(C20:F20)</f>
        <v>43982.666666666664</v>
      </c>
      <c r="H20" s="272">
        <v>45444</v>
      </c>
      <c r="I20" s="191">
        <v>45809</v>
      </c>
      <c r="J20" s="191">
        <v>46174</v>
      </c>
      <c r="K20" s="191">
        <v>46539</v>
      </c>
      <c r="L20" s="273">
        <v>46905</v>
      </c>
    </row>
    <row r="21" spans="1:12" ht="15.5" x14ac:dyDescent="0.35">
      <c r="A21" s="173" t="s">
        <v>68</v>
      </c>
      <c r="C21" s="246"/>
      <c r="D21" s="175"/>
      <c r="E21" s="176"/>
      <c r="G21" s="215"/>
      <c r="H21" s="173"/>
      <c r="L21" s="215"/>
    </row>
    <row r="22" spans="1:12" ht="15.5" x14ac:dyDescent="0.35">
      <c r="A22" s="173" t="s">
        <v>69</v>
      </c>
      <c r="C22" s="250">
        <v>0.13871481170349786</v>
      </c>
      <c r="D22" s="187">
        <v>0.29380000000000001</v>
      </c>
      <c r="E22" s="188">
        <v>0.1451291484897603</v>
      </c>
      <c r="F22" s="192">
        <v>0.17</v>
      </c>
      <c r="G22" s="251">
        <v>0.18</v>
      </c>
      <c r="H22" s="270">
        <f>AVERAGE(C22:G22)</f>
        <v>0.18552879203865164</v>
      </c>
      <c r="I22" s="243">
        <f>AVERAGE(C22:H22)</f>
        <v>0.18552879203865166</v>
      </c>
      <c r="J22" s="243">
        <f t="shared" ref="J22:L22" si="14">AVERAGE(C22:I22)</f>
        <v>0.18552879203865166</v>
      </c>
      <c r="K22" s="243">
        <f t="shared" si="14"/>
        <v>0.19221650351510219</v>
      </c>
      <c r="L22" s="271">
        <f t="shared" si="14"/>
        <v>0.17770457544583107</v>
      </c>
    </row>
    <row r="23" spans="1:12" ht="15.5" x14ac:dyDescent="0.35">
      <c r="A23" s="173" t="s">
        <v>70</v>
      </c>
      <c r="C23" s="246">
        <v>20146498000</v>
      </c>
      <c r="D23" s="175">
        <v>18677087000</v>
      </c>
      <c r="E23" s="176">
        <v>19509839000</v>
      </c>
      <c r="F23" s="177">
        <v>13483978000</v>
      </c>
      <c r="G23" s="247">
        <v>7201648000</v>
      </c>
      <c r="H23" s="268">
        <f>H6*H22</f>
        <v>58937454740.838287</v>
      </c>
      <c r="I23" s="217">
        <f t="shared" ref="I23:L23" si="15">I6*I22</f>
        <v>61226287934.657249</v>
      </c>
      <c r="J23" s="217">
        <f t="shared" si="15"/>
        <v>63604007854.449768</v>
      </c>
      <c r="K23" s="217">
        <f t="shared" si="15"/>
        <v>70015216016.383713</v>
      </c>
      <c r="L23" s="218">
        <f t="shared" si="15"/>
        <v>71581088002.547943</v>
      </c>
    </row>
    <row r="24" spans="1:12" ht="15.5" x14ac:dyDescent="0.35">
      <c r="A24" s="173" t="s">
        <v>71</v>
      </c>
      <c r="C24" s="246">
        <v>12429656000</v>
      </c>
      <c r="D24" s="175">
        <v>18153165</v>
      </c>
      <c r="E24" s="176">
        <v>23205952</v>
      </c>
      <c r="F24" s="177">
        <v>4857728000</v>
      </c>
      <c r="G24" s="247">
        <v>33739249000</v>
      </c>
      <c r="H24" s="263">
        <f>AVERAGE(C24:G24)</f>
        <v>10213598423.4</v>
      </c>
      <c r="I24" s="179">
        <f>AVERAGE(C24:H24)</f>
        <v>10213598423.4</v>
      </c>
      <c r="J24" s="179">
        <f t="shared" ref="J24:L24" si="16">AVERAGE(C24:I24)</f>
        <v>10213598423.4</v>
      </c>
      <c r="K24" s="179">
        <f t="shared" si="16"/>
        <v>9897018769.6000004</v>
      </c>
      <c r="L24" s="216">
        <f t="shared" si="16"/>
        <v>11308285284.542858</v>
      </c>
    </row>
    <row r="25" spans="1:12" ht="15.5" x14ac:dyDescent="0.35">
      <c r="A25" s="173" t="s">
        <v>72</v>
      </c>
      <c r="C25" s="246">
        <v>1481327000</v>
      </c>
      <c r="D25" s="175">
        <v>1332664000</v>
      </c>
      <c r="E25" s="176">
        <v>1407174000</v>
      </c>
      <c r="F25" s="177">
        <v>7848410000</v>
      </c>
      <c r="G25" s="247">
        <v>13803054000</v>
      </c>
      <c r="H25" s="263">
        <f>AVERAGE(C25:G25)</f>
        <v>5174525800</v>
      </c>
      <c r="I25" s="179">
        <f>AVERAGE(C25:H25)</f>
        <v>5174525800</v>
      </c>
      <c r="J25" s="179">
        <f t="shared" ref="J25:L25" si="17">AVERAGE(C25:I25)</f>
        <v>5174525800</v>
      </c>
      <c r="K25" s="179">
        <f t="shared" si="17"/>
        <v>5702125628.5714283</v>
      </c>
      <c r="L25" s="216">
        <f t="shared" si="17"/>
        <v>6326334432.6530609</v>
      </c>
    </row>
    <row r="26" spans="1:12" ht="15.5" x14ac:dyDescent="0.35">
      <c r="A26" s="173" t="s">
        <v>73</v>
      </c>
      <c r="C26" s="246">
        <v>3398077000</v>
      </c>
      <c r="D26" s="175">
        <v>3048325000</v>
      </c>
      <c r="E26" s="176">
        <v>3415838000</v>
      </c>
      <c r="F26" s="177">
        <v>6347696000</v>
      </c>
      <c r="G26" s="247">
        <v>8926023000</v>
      </c>
      <c r="H26" s="263">
        <f>AVERAGE(C26:G26)</f>
        <v>5027191800</v>
      </c>
      <c r="I26" s="179">
        <f>AVERAGE(C26:H26)</f>
        <v>5027191800</v>
      </c>
      <c r="J26" s="179">
        <f t="shared" ref="J26:L26" si="18">AVERAGE(C26:I26)</f>
        <v>5027191800</v>
      </c>
      <c r="K26" s="179">
        <f t="shared" si="18"/>
        <v>5259922485.7142859</v>
      </c>
      <c r="L26" s="216">
        <f t="shared" si="18"/>
        <v>5575864983.6734695</v>
      </c>
    </row>
    <row r="27" spans="1:12" ht="16" thickBot="1" x14ac:dyDescent="0.4">
      <c r="A27" s="173"/>
      <c r="C27" s="252">
        <f t="shared" ref="C27:D27" si="19">SUM(C23:C26)</f>
        <v>37455558000</v>
      </c>
      <c r="D27" s="189">
        <f t="shared" si="19"/>
        <v>23076229165</v>
      </c>
      <c r="E27" s="190">
        <f>SUM(E23:E26)</f>
        <v>24356056952</v>
      </c>
      <c r="F27" s="190">
        <f>SUM(F23:F26)</f>
        <v>32537812000</v>
      </c>
      <c r="G27" s="253">
        <f>SUM(G23:G26)</f>
        <v>63669974000</v>
      </c>
      <c r="H27" s="274">
        <f t="shared" ref="H27:L27" si="20">SUM(H23:H26)</f>
        <v>79352770764.238281</v>
      </c>
      <c r="I27" s="275">
        <f t="shared" si="20"/>
        <v>81641603958.057251</v>
      </c>
      <c r="J27" s="275">
        <f t="shared" si="20"/>
        <v>84019323877.849762</v>
      </c>
      <c r="K27" s="275">
        <f t="shared" si="20"/>
        <v>90874282900.269424</v>
      </c>
      <c r="L27" s="276">
        <f t="shared" si="20"/>
        <v>94791572703.417328</v>
      </c>
    </row>
    <row r="28" spans="1:12" ht="15.5" x14ac:dyDescent="0.35">
      <c r="A28" s="173"/>
      <c r="C28" s="246"/>
      <c r="D28" s="175"/>
      <c r="E28" s="176"/>
      <c r="G28" s="215"/>
      <c r="H28" s="277"/>
      <c r="I28" s="277"/>
      <c r="J28" s="277"/>
      <c r="K28" s="277"/>
      <c r="L28" s="277"/>
    </row>
    <row r="29" spans="1:12" ht="16" thickBot="1" x14ac:dyDescent="0.4">
      <c r="A29" s="193" t="s">
        <v>4</v>
      </c>
      <c r="B29" s="220"/>
      <c r="C29" s="254">
        <f>C18-C27</f>
        <v>114241011000</v>
      </c>
      <c r="D29" s="195">
        <f t="shared" ref="D29" si="21">D18-D27</f>
        <v>108799706835</v>
      </c>
      <c r="E29" s="196">
        <f>E18-E27</f>
        <v>115266835048</v>
      </c>
      <c r="F29" s="196">
        <f t="shared" ref="F29:L29" si="22">F18-F27</f>
        <v>191316055000</v>
      </c>
      <c r="G29" s="255">
        <f t="shared" si="22"/>
        <v>261860404000</v>
      </c>
      <c r="H29" s="275">
        <f>H18-H27</f>
        <v>291475885501.85736</v>
      </c>
      <c r="I29" s="275">
        <f t="shared" si="22"/>
        <v>332784781363.52649</v>
      </c>
      <c r="J29" s="275">
        <f t="shared" si="22"/>
        <v>392868421751.37939</v>
      </c>
      <c r="K29" s="275">
        <f t="shared" si="22"/>
        <v>509883782439.7843</v>
      </c>
      <c r="L29" s="275">
        <f t="shared" si="22"/>
        <v>735212738939.64563</v>
      </c>
    </row>
    <row r="30" spans="1:12" x14ac:dyDescent="0.3">
      <c r="H30" s="159"/>
    </row>
    <row r="31" spans="1:12" x14ac:dyDescent="0.3">
      <c r="H31" s="159"/>
    </row>
    <row r="32" spans="1:12" ht="14.5" thickBot="1" x14ac:dyDescent="0.35">
      <c r="H32" s="159"/>
    </row>
    <row r="33" spans="1:12" x14ac:dyDescent="0.3">
      <c r="A33" s="166"/>
      <c r="B33" s="234"/>
      <c r="C33" s="244">
        <v>43617</v>
      </c>
      <c r="D33" s="168">
        <v>43983</v>
      </c>
      <c r="E33" s="169">
        <v>44348</v>
      </c>
      <c r="F33" s="169">
        <v>44713</v>
      </c>
      <c r="G33" s="245">
        <v>45078</v>
      </c>
      <c r="H33" s="171">
        <v>45444</v>
      </c>
      <c r="I33" s="171">
        <v>45809</v>
      </c>
      <c r="J33" s="171">
        <v>46174</v>
      </c>
      <c r="K33" s="171">
        <v>46539</v>
      </c>
      <c r="L33" s="214">
        <v>46905</v>
      </c>
    </row>
    <row r="34" spans="1:12" x14ac:dyDescent="0.3">
      <c r="A34" s="173" t="s">
        <v>5</v>
      </c>
      <c r="C34" s="173"/>
      <c r="E34" s="174"/>
      <c r="G34" s="215"/>
      <c r="L34" s="215"/>
    </row>
    <row r="35" spans="1:12" ht="15.5" x14ac:dyDescent="0.35">
      <c r="A35" s="173" t="s">
        <v>74</v>
      </c>
      <c r="C35" s="246">
        <v>114393373000</v>
      </c>
      <c r="D35" s="175">
        <v>88255093000</v>
      </c>
      <c r="E35" s="176">
        <v>86380133000</v>
      </c>
      <c r="F35" s="177">
        <v>165185307000</v>
      </c>
      <c r="G35" s="247">
        <v>244854544000</v>
      </c>
      <c r="H35" s="179">
        <f>H68*H18</f>
        <v>261958988183.48257</v>
      </c>
      <c r="I35" s="179">
        <f t="shared" ref="I35:L35" si="23">I68*I18</f>
        <v>292757085357.17578</v>
      </c>
      <c r="J35" s="179">
        <f t="shared" si="23"/>
        <v>336880737804.93481</v>
      </c>
      <c r="K35" s="179">
        <f t="shared" si="23"/>
        <v>420292746775.69623</v>
      </c>
      <c r="L35" s="216">
        <f t="shared" si="23"/>
        <v>584276061140.55762</v>
      </c>
    </row>
    <row r="36" spans="1:12" ht="15.5" x14ac:dyDescent="0.35">
      <c r="A36" s="173"/>
      <c r="C36" s="246"/>
      <c r="D36" s="175"/>
      <c r="E36" s="176"/>
      <c r="G36" s="215"/>
      <c r="L36" s="215"/>
    </row>
    <row r="37" spans="1:12" ht="15.5" x14ac:dyDescent="0.35">
      <c r="A37" s="173" t="s">
        <v>75</v>
      </c>
      <c r="C37" s="246">
        <v>636806000</v>
      </c>
      <c r="D37" s="175">
        <v>611355000</v>
      </c>
      <c r="E37" s="176">
        <v>620082000</v>
      </c>
      <c r="F37" s="177">
        <v>722072000</v>
      </c>
      <c r="G37" s="247">
        <v>809702000</v>
      </c>
      <c r="H37" s="241">
        <f>H63*H62</f>
        <v>789919660.91663551</v>
      </c>
      <c r="I37" s="241">
        <f t="shared" ref="I37:L37" si="24">I63*I62</f>
        <v>882789245.7513479</v>
      </c>
      <c r="J37" s="241">
        <f t="shared" si="24"/>
        <v>1015841143.7664853</v>
      </c>
      <c r="K37" s="241">
        <f t="shared" si="24"/>
        <v>1292232474.6195371</v>
      </c>
      <c r="L37" s="279">
        <f t="shared" si="24"/>
        <v>1813718435.7855742</v>
      </c>
    </row>
    <row r="38" spans="1:12" ht="15.5" x14ac:dyDescent="0.35">
      <c r="A38" s="173" t="s">
        <v>76</v>
      </c>
      <c r="C38" s="246">
        <v>98395000</v>
      </c>
      <c r="D38" s="175">
        <v>116190000</v>
      </c>
      <c r="E38" s="176">
        <v>121265000</v>
      </c>
      <c r="F38" s="177">
        <v>125814000</v>
      </c>
      <c r="G38" s="247">
        <v>169618000</v>
      </c>
      <c r="H38" s="179">
        <f>AVERAGE(C38:G38)</f>
        <v>126256400</v>
      </c>
      <c r="I38" s="179">
        <f>AVERAGE(C38:H38)</f>
        <v>126256400</v>
      </c>
      <c r="J38" s="179">
        <f t="shared" ref="J38:L38" si="25">AVERAGE(C38:I38)</f>
        <v>126256400</v>
      </c>
      <c r="K38" s="179">
        <f t="shared" si="25"/>
        <v>130236600</v>
      </c>
      <c r="L38" s="216">
        <f t="shared" si="25"/>
        <v>132243257.14285715</v>
      </c>
    </row>
    <row r="39" spans="1:12" ht="15.5" x14ac:dyDescent="0.35">
      <c r="A39" s="173" t="s">
        <v>108</v>
      </c>
      <c r="C39" s="246">
        <v>555156000</v>
      </c>
      <c r="D39" s="175">
        <v>708829000</v>
      </c>
      <c r="E39" s="176">
        <v>576230000</v>
      </c>
      <c r="F39" s="177">
        <v>850960000</v>
      </c>
      <c r="G39" s="247">
        <v>919714000</v>
      </c>
      <c r="H39" s="179">
        <f>H7*H64</f>
        <v>1216432589.8838432</v>
      </c>
      <c r="I39" s="179">
        <f>I7*I64</f>
        <v>1181002514.4503334</v>
      </c>
      <c r="J39" s="179">
        <f>J7*J64</f>
        <v>1146604382.9614885</v>
      </c>
      <c r="K39" s="179">
        <f>K7*K64</f>
        <v>1124526788.5231392</v>
      </c>
      <c r="L39" s="216">
        <f>L7*L64</f>
        <v>1040690812.465428</v>
      </c>
    </row>
    <row r="40" spans="1:12" ht="15.5" x14ac:dyDescent="0.35">
      <c r="A40" s="173" t="s">
        <v>77</v>
      </c>
      <c r="C40" s="246">
        <v>760525000</v>
      </c>
      <c r="D40" s="175">
        <v>840612000</v>
      </c>
      <c r="E40" s="176">
        <v>921597000</v>
      </c>
      <c r="F40" s="177">
        <v>935932000</v>
      </c>
      <c r="G40" s="247">
        <v>941129000</v>
      </c>
      <c r="H40" s="101">
        <f>C193*$C$188</f>
        <v>1351785648.4379549</v>
      </c>
      <c r="I40" s="101">
        <f t="shared" ref="I40:L40" si="26">D193*$C$188</f>
        <v>1190316694.9042208</v>
      </c>
      <c r="J40" s="101">
        <f t="shared" si="26"/>
        <v>1092922374.094878</v>
      </c>
      <c r="K40" s="101">
        <f t="shared" si="26"/>
        <v>1042172243.1761159</v>
      </c>
      <c r="L40" s="101">
        <f t="shared" si="26"/>
        <v>1002940436.5927713</v>
      </c>
    </row>
    <row r="41" spans="1:12" ht="15.5" x14ac:dyDescent="0.35">
      <c r="A41" s="173" t="s">
        <v>78</v>
      </c>
      <c r="C41" s="246">
        <v>816827000</v>
      </c>
      <c r="D41" s="175">
        <v>1402035000</v>
      </c>
      <c r="E41" s="176">
        <v>1300889000</v>
      </c>
      <c r="F41" s="177">
        <v>1202490000</v>
      </c>
      <c r="G41" s="247">
        <v>2658616000</v>
      </c>
      <c r="H41" s="281">
        <f>H7*H65</f>
        <v>2394261490.502563</v>
      </c>
      <c r="I41" s="281">
        <f t="shared" ref="I41:L41" si="27">I7*I65</f>
        <v>2324525718.9345269</v>
      </c>
      <c r="J41" s="281">
        <f t="shared" si="27"/>
        <v>2256821086.3442006</v>
      </c>
      <c r="K41" s="281">
        <f t="shared" si="27"/>
        <v>2286766836.4304867</v>
      </c>
      <c r="L41" s="282">
        <f t="shared" si="27"/>
        <v>2127790638.4623969</v>
      </c>
    </row>
    <row r="42" spans="1:12" ht="15.5" x14ac:dyDescent="0.35">
      <c r="A42" s="173" t="s">
        <v>79</v>
      </c>
      <c r="C42" s="246">
        <v>199954000</v>
      </c>
      <c r="D42" s="175">
        <v>556993000</v>
      </c>
      <c r="E42" s="176">
        <v>240463000</v>
      </c>
      <c r="F42" s="177">
        <v>329739000</v>
      </c>
      <c r="G42" s="247">
        <v>484699000</v>
      </c>
      <c r="H42" s="281">
        <f>H7*H66</f>
        <v>627601885.763358</v>
      </c>
      <c r="I42" s="281">
        <f>I7*I66</f>
        <v>609322219.18772626</v>
      </c>
      <c r="J42" s="281">
        <f t="shared" ref="J42:L42" si="28">J7*J66</f>
        <v>591574970.0851711</v>
      </c>
      <c r="K42" s="281">
        <f t="shared" si="28"/>
        <v>603191841.37535548</v>
      </c>
      <c r="L42" s="282">
        <f t="shared" si="28"/>
        <v>506584784.41458958</v>
      </c>
    </row>
    <row r="43" spans="1:12" ht="15.5" x14ac:dyDescent="0.35">
      <c r="A43" s="173" t="s">
        <v>80</v>
      </c>
      <c r="C43" s="246">
        <v>2962170000</v>
      </c>
      <c r="D43" s="175">
        <v>64169000</v>
      </c>
      <c r="E43" s="176">
        <v>-461100000</v>
      </c>
      <c r="F43" s="177">
        <v>3908746000</v>
      </c>
      <c r="G43" s="247">
        <v>6216476000</v>
      </c>
      <c r="H43" s="179">
        <f>AVERAGE(C43:G43)</f>
        <v>2538092200</v>
      </c>
      <c r="I43" s="179">
        <f>AVERAGE(C43:H43)</f>
        <v>2538092200</v>
      </c>
      <c r="J43" s="179">
        <f t="shared" ref="J43:L46" si="29">AVERAGE(C43:I43)</f>
        <v>2538092200</v>
      </c>
      <c r="K43" s="179">
        <f t="shared" si="29"/>
        <v>2477509657.1428571</v>
      </c>
      <c r="L43" s="216">
        <f t="shared" si="29"/>
        <v>2822272608.1632652</v>
      </c>
    </row>
    <row r="44" spans="1:12" ht="15.5" x14ac:dyDescent="0.35">
      <c r="A44" s="173" t="s">
        <v>81</v>
      </c>
      <c r="C44" s="246">
        <v>21244000</v>
      </c>
      <c r="D44" s="175">
        <v>10007000</v>
      </c>
      <c r="E44" s="176">
        <v>44201000</v>
      </c>
      <c r="F44" s="177">
        <v>13433000</v>
      </c>
      <c r="G44" s="247">
        <v>24310000</v>
      </c>
      <c r="H44" s="179">
        <f>AVERAGE(C44:G44)</f>
        <v>22639000</v>
      </c>
      <c r="I44" s="179">
        <f>AVERAGE(C44:H44)</f>
        <v>22639000</v>
      </c>
      <c r="J44" s="179">
        <f t="shared" si="29"/>
        <v>22639000</v>
      </c>
      <c r="K44" s="179">
        <f t="shared" si="29"/>
        <v>22838285.714285713</v>
      </c>
      <c r="L44" s="216">
        <f t="shared" si="29"/>
        <v>24671326.530612241</v>
      </c>
    </row>
    <row r="45" spans="1:12" ht="15.5" x14ac:dyDescent="0.35">
      <c r="A45" s="173" t="s">
        <v>82</v>
      </c>
      <c r="C45" s="246">
        <v>57326000</v>
      </c>
      <c r="D45" s="175">
        <v>86208000</v>
      </c>
      <c r="E45" s="176">
        <v>106956000</v>
      </c>
      <c r="F45" s="177">
        <v>155680000</v>
      </c>
      <c r="G45" s="247">
        <v>176819000</v>
      </c>
      <c r="H45" s="179">
        <f>AVERAGE(C45:G45)</f>
        <v>116597800</v>
      </c>
      <c r="I45" s="179">
        <f>AVERAGE(C45:H45)</f>
        <v>116597800</v>
      </c>
      <c r="J45" s="179">
        <f t="shared" si="29"/>
        <v>116597800</v>
      </c>
      <c r="K45" s="179">
        <f t="shared" si="29"/>
        <v>125065200</v>
      </c>
      <c r="L45" s="216">
        <f t="shared" si="29"/>
        <v>130616228.57142857</v>
      </c>
    </row>
    <row r="46" spans="1:12" ht="15.5" x14ac:dyDescent="0.35">
      <c r="A46" s="173" t="s">
        <v>83</v>
      </c>
      <c r="C46" s="246">
        <v>34328000</v>
      </c>
      <c r="D46" s="175">
        <v>32430000</v>
      </c>
      <c r="E46" s="176">
        <v>38709000</v>
      </c>
      <c r="F46" s="177">
        <v>40896000</v>
      </c>
      <c r="G46" s="247">
        <v>54809000</v>
      </c>
      <c r="H46" s="179">
        <f>AVERAGE(C46:G46)</f>
        <v>40234400</v>
      </c>
      <c r="I46" s="179">
        <f>AVERAGE(C46:H46)</f>
        <v>40234400</v>
      </c>
      <c r="J46" s="179">
        <f t="shared" si="29"/>
        <v>40234400</v>
      </c>
      <c r="K46" s="179">
        <f t="shared" si="29"/>
        <v>41078171.428571425</v>
      </c>
      <c r="L46" s="216">
        <f t="shared" si="29"/>
        <v>42313624.489795916</v>
      </c>
    </row>
    <row r="47" spans="1:12" ht="15.5" x14ac:dyDescent="0.35">
      <c r="A47" s="173" t="s">
        <v>84</v>
      </c>
      <c r="C47" s="246">
        <v>19951000</v>
      </c>
      <c r="D47" s="175">
        <v>23385000</v>
      </c>
      <c r="E47" s="176">
        <v>19582000</v>
      </c>
      <c r="F47" s="177">
        <v>32828000</v>
      </c>
      <c r="G47" s="247">
        <v>62097000</v>
      </c>
      <c r="H47" s="217">
        <f>H62*H67</f>
        <v>36552532.265974835</v>
      </c>
      <c r="I47" s="217">
        <f t="shared" ref="I47:L47" si="30">I62*I67</f>
        <v>40849954.730759844</v>
      </c>
      <c r="J47" s="217">
        <f t="shared" si="30"/>
        <v>47006762.866923913</v>
      </c>
      <c r="K47" s="217">
        <f>K62*K67</f>
        <v>62341157.323868364</v>
      </c>
      <c r="L47" s="218">
        <f t="shared" si="30"/>
        <v>89764083.572628513</v>
      </c>
    </row>
    <row r="48" spans="1:12" ht="15.5" x14ac:dyDescent="0.35">
      <c r="A48" s="173" t="s">
        <v>85</v>
      </c>
      <c r="C48" s="246">
        <v>16434000</v>
      </c>
      <c r="D48" s="175">
        <v>17235000</v>
      </c>
      <c r="E48" s="176">
        <v>3911000</v>
      </c>
      <c r="F48" s="177">
        <v>52143000</v>
      </c>
      <c r="G48" s="247">
        <v>18900000</v>
      </c>
      <c r="H48" s="179">
        <f t="shared" ref="H48:H53" si="31">AVERAGE(C48:G48)</f>
        <v>21724600</v>
      </c>
      <c r="I48" s="179">
        <f t="shared" ref="I48:I53" si="32">AVERAGE(C48:H48)</f>
        <v>21724600</v>
      </c>
      <c r="J48" s="179">
        <f t="shared" ref="J48:L53" si="33">AVERAGE(C48:I48)</f>
        <v>21724600</v>
      </c>
      <c r="K48" s="179">
        <f t="shared" si="33"/>
        <v>22480400</v>
      </c>
      <c r="L48" s="216">
        <f t="shared" si="33"/>
        <v>23229742.857142858</v>
      </c>
    </row>
    <row r="49" spans="1:12" ht="15.5" x14ac:dyDescent="0.35">
      <c r="A49" s="173" t="s">
        <v>86</v>
      </c>
      <c r="C49" s="246">
        <v>2336000</v>
      </c>
      <c r="D49" s="175">
        <v>3161666.6666666665</v>
      </c>
      <c r="E49" s="176">
        <v>3044555.5555555555</v>
      </c>
      <c r="F49" s="179">
        <v>0</v>
      </c>
      <c r="G49" s="247">
        <v>0</v>
      </c>
      <c r="H49" s="179">
        <f t="shared" si="31"/>
        <v>1708444.4444444445</v>
      </c>
      <c r="I49" s="179">
        <f t="shared" si="32"/>
        <v>1708444.4444444443</v>
      </c>
      <c r="J49" s="179">
        <f t="shared" si="33"/>
        <v>1708444.4444444443</v>
      </c>
      <c r="K49" s="179">
        <f t="shared" si="33"/>
        <v>1618793.6507936507</v>
      </c>
      <c r="L49" s="216">
        <f t="shared" si="33"/>
        <v>1398383.2199546485</v>
      </c>
    </row>
    <row r="50" spans="1:12" ht="15.5" x14ac:dyDescent="0.35">
      <c r="A50" s="173" t="s">
        <v>87</v>
      </c>
      <c r="C50" s="246">
        <v>11510000</v>
      </c>
      <c r="D50" s="175">
        <v>16318000</v>
      </c>
      <c r="E50" s="176">
        <v>15677000</v>
      </c>
      <c r="F50" s="177">
        <v>17169000</v>
      </c>
      <c r="G50" s="247">
        <v>22077000</v>
      </c>
      <c r="H50" s="179">
        <f t="shared" si="31"/>
        <v>16550200</v>
      </c>
      <c r="I50" s="179">
        <f t="shared" si="32"/>
        <v>16550200</v>
      </c>
      <c r="J50" s="179">
        <f t="shared" si="33"/>
        <v>16550200</v>
      </c>
      <c r="K50" s="179">
        <f t="shared" si="33"/>
        <v>17270228.571428571</v>
      </c>
      <c r="L50" s="216">
        <f t="shared" si="33"/>
        <v>17406261.224489797</v>
      </c>
    </row>
    <row r="51" spans="1:12" ht="15.5" x14ac:dyDescent="0.35">
      <c r="A51" s="173" t="s">
        <v>88</v>
      </c>
      <c r="C51" s="246">
        <v>5327000</v>
      </c>
      <c r="D51" s="175">
        <v>3760000</v>
      </c>
      <c r="E51" s="176">
        <v>5650250</v>
      </c>
      <c r="F51" s="177">
        <v>0</v>
      </c>
      <c r="G51" s="247">
        <v>0</v>
      </c>
      <c r="H51" s="179">
        <f t="shared" si="31"/>
        <v>2947450</v>
      </c>
      <c r="I51" s="179">
        <f t="shared" si="32"/>
        <v>2947450</v>
      </c>
      <c r="J51" s="179">
        <f t="shared" si="33"/>
        <v>2947450</v>
      </c>
      <c r="K51" s="179">
        <f t="shared" si="33"/>
        <v>2607514.2857142859</v>
      </c>
      <c r="L51" s="216">
        <f t="shared" si="33"/>
        <v>2442873.4693877553</v>
      </c>
    </row>
    <row r="52" spans="1:12" ht="15.5" x14ac:dyDescent="0.35">
      <c r="A52" s="173" t="s">
        <v>89</v>
      </c>
      <c r="C52" s="246">
        <v>5638000</v>
      </c>
      <c r="D52" s="175">
        <v>4424000</v>
      </c>
      <c r="E52" s="176">
        <v>3055000</v>
      </c>
      <c r="F52" s="177">
        <v>4535000</v>
      </c>
      <c r="G52" s="247">
        <v>7176000</v>
      </c>
      <c r="H52" s="179">
        <f t="shared" si="31"/>
        <v>4965600</v>
      </c>
      <c r="I52" s="179">
        <f t="shared" si="32"/>
        <v>4965600</v>
      </c>
      <c r="J52" s="179">
        <f t="shared" si="33"/>
        <v>4965600</v>
      </c>
      <c r="K52" s="179">
        <f t="shared" si="33"/>
        <v>4869542.8571428573</v>
      </c>
      <c r="L52" s="216">
        <f t="shared" si="33"/>
        <v>4933191.8367346944</v>
      </c>
    </row>
    <row r="53" spans="1:12" ht="15.5" x14ac:dyDescent="0.35">
      <c r="A53" s="173" t="s">
        <v>90</v>
      </c>
      <c r="C53" s="246">
        <v>2815000</v>
      </c>
      <c r="D53" s="175">
        <f>1804000+3915000</f>
        <v>5719000</v>
      </c>
      <c r="E53" s="176">
        <v>3656000</v>
      </c>
      <c r="F53" s="177">
        <v>7850000</v>
      </c>
      <c r="G53" s="247">
        <v>3869000</v>
      </c>
      <c r="H53" s="179">
        <f t="shared" si="31"/>
        <v>4781800</v>
      </c>
      <c r="I53" s="179">
        <f t="shared" si="32"/>
        <v>4781800</v>
      </c>
      <c r="J53" s="179">
        <f t="shared" si="33"/>
        <v>4781800</v>
      </c>
      <c r="K53" s="179">
        <f t="shared" si="33"/>
        <v>5062771.4285714282</v>
      </c>
      <c r="L53" s="216">
        <f t="shared" si="33"/>
        <v>4969024.4897959176</v>
      </c>
    </row>
    <row r="54" spans="1:12" ht="16" thickBot="1" x14ac:dyDescent="0.4">
      <c r="A54" s="173"/>
      <c r="C54" s="246">
        <f t="shared" ref="C54:G54" si="34">SUM(C37:C53)</f>
        <v>6206742000</v>
      </c>
      <c r="D54" s="175">
        <f t="shared" si="34"/>
        <v>4502830666.666667</v>
      </c>
      <c r="E54" s="176">
        <f t="shared" si="34"/>
        <v>3563867805.5555553</v>
      </c>
      <c r="F54" s="176">
        <f t="shared" si="34"/>
        <v>8400287000</v>
      </c>
      <c r="G54" s="248">
        <f t="shared" si="34"/>
        <v>12570011000</v>
      </c>
      <c r="H54" s="186">
        <f t="shared" ref="H54:L54" si="35">SUM(H37:H53)</f>
        <v>9313051702.2147751</v>
      </c>
      <c r="I54" s="186">
        <f t="shared" si="35"/>
        <v>9125304242.4033585</v>
      </c>
      <c r="J54" s="186">
        <f t="shared" si="35"/>
        <v>9047268614.5635929</v>
      </c>
      <c r="K54" s="186">
        <f t="shared" si="35"/>
        <v>9261868506.5278683</v>
      </c>
      <c r="L54" s="269">
        <f t="shared" si="35"/>
        <v>9787985713.2888527</v>
      </c>
    </row>
    <row r="55" spans="1:12" ht="16" thickBot="1" x14ac:dyDescent="0.4">
      <c r="A55" s="173"/>
      <c r="C55" s="256">
        <f t="shared" ref="C55:G55" si="36">C35+C54</f>
        <v>120600115000</v>
      </c>
      <c r="D55" s="257">
        <f t="shared" si="36"/>
        <v>92757923666.666672</v>
      </c>
      <c r="E55" s="258">
        <f t="shared" si="36"/>
        <v>89944000805.555557</v>
      </c>
      <c r="F55" s="258">
        <f t="shared" si="36"/>
        <v>173585594000</v>
      </c>
      <c r="G55" s="259">
        <f t="shared" si="36"/>
        <v>257424555000</v>
      </c>
      <c r="H55" s="260">
        <f>H35+H54</f>
        <v>271272039885.69736</v>
      </c>
      <c r="I55" s="260">
        <f t="shared" ref="I55:L55" si="37">I35+I54</f>
        <v>301882389599.57916</v>
      </c>
      <c r="J55" s="260">
        <f t="shared" si="37"/>
        <v>345928006419.49841</v>
      </c>
      <c r="K55" s="260">
        <f t="shared" si="37"/>
        <v>429554615282.22412</v>
      </c>
      <c r="L55" s="261">
        <f t="shared" si="37"/>
        <v>594064046853.84644</v>
      </c>
    </row>
    <row r="56" spans="1:12" ht="15.5" x14ac:dyDescent="0.35">
      <c r="A56" s="173"/>
      <c r="C56" s="246"/>
      <c r="D56" s="175"/>
      <c r="E56" s="176"/>
      <c r="G56" s="215"/>
      <c r="L56" s="215"/>
    </row>
    <row r="57" spans="1:12" ht="15.5" x14ac:dyDescent="0.35">
      <c r="A57" s="173" t="s">
        <v>91</v>
      </c>
      <c r="C57" s="246">
        <v>1929111000</v>
      </c>
      <c r="D57" s="175">
        <v>3613760000</v>
      </c>
      <c r="E57" s="176">
        <v>1475915000</v>
      </c>
      <c r="F57" s="177">
        <v>2568136000</v>
      </c>
      <c r="G57" s="247">
        <v>5056848000</v>
      </c>
      <c r="H57" s="179">
        <f>-G58</f>
        <v>7921641000</v>
      </c>
      <c r="I57" s="179">
        <f t="shared" ref="I57:L57" si="38">-H58</f>
        <v>7441187096.4615831</v>
      </c>
      <c r="J57" s="179">
        <f t="shared" si="38"/>
        <v>8316035502.5942879</v>
      </c>
      <c r="K57" s="179">
        <f t="shared" si="38"/>
        <v>9569408618.4388504</v>
      </c>
      <c r="L57" s="216">
        <f t="shared" si="38"/>
        <v>11732694517.505598</v>
      </c>
    </row>
    <row r="58" spans="1:12" ht="15.5" x14ac:dyDescent="0.35">
      <c r="A58" s="173" t="s">
        <v>92</v>
      </c>
      <c r="C58" s="246">
        <v>-3613760000</v>
      </c>
      <c r="D58" s="175">
        <v>-1475915000</v>
      </c>
      <c r="E58" s="176">
        <v>-2568136000</v>
      </c>
      <c r="F58" s="177">
        <v>-5056848000</v>
      </c>
      <c r="G58" s="247">
        <v>-7921641000</v>
      </c>
      <c r="H58" s="158">
        <f>-(H69*H18)</f>
        <v>-7441187096.4615831</v>
      </c>
      <c r="I58" s="158">
        <f t="shared" ref="I58:L58" si="39">-(I69*I18)</f>
        <v>-8316035502.5942879</v>
      </c>
      <c r="J58" s="158">
        <f t="shared" si="39"/>
        <v>-9569408618.4388504</v>
      </c>
      <c r="K58" s="158">
        <f t="shared" si="39"/>
        <v>-11732694517.505598</v>
      </c>
      <c r="L58" s="215">
        <f t="shared" si="39"/>
        <v>-17198499832.574368</v>
      </c>
    </row>
    <row r="59" spans="1:12" ht="16" thickBot="1" x14ac:dyDescent="0.4">
      <c r="A59" s="173" t="s">
        <v>93</v>
      </c>
      <c r="C59" s="252">
        <f t="shared" ref="C59:L59" si="40">C55+C57+C58</f>
        <v>118915466000</v>
      </c>
      <c r="D59" s="189">
        <f t="shared" si="40"/>
        <v>94895768666.666672</v>
      </c>
      <c r="E59" s="190">
        <f t="shared" si="40"/>
        <v>88851779805.555557</v>
      </c>
      <c r="F59" s="190">
        <f t="shared" si="40"/>
        <v>171096882000</v>
      </c>
      <c r="G59" s="253">
        <f>G55+G57+G58</f>
        <v>254559762000</v>
      </c>
      <c r="H59" s="527">
        <f t="shared" si="40"/>
        <v>271752493789.23581</v>
      </c>
      <c r="I59" s="527">
        <f t="shared" si="40"/>
        <v>301007541193.44647</v>
      </c>
      <c r="J59" s="527">
        <f t="shared" si="40"/>
        <v>344674633303.65387</v>
      </c>
      <c r="K59" s="527">
        <f t="shared" si="40"/>
        <v>427391329383.15735</v>
      </c>
      <c r="L59" s="528">
        <f t="shared" si="40"/>
        <v>588598241538.77771</v>
      </c>
    </row>
    <row r="60" spans="1:12" ht="16" thickBot="1" x14ac:dyDescent="0.4">
      <c r="A60" s="173"/>
      <c r="C60" s="256">
        <f>C29-C59</f>
        <v>-4674455000</v>
      </c>
      <c r="D60" s="257">
        <f t="shared" ref="D60:F60" si="41">D18-D59</f>
        <v>36980167333.333328</v>
      </c>
      <c r="E60" s="257">
        <f t="shared" si="41"/>
        <v>50771112194.444443</v>
      </c>
      <c r="F60" s="257">
        <f t="shared" si="41"/>
        <v>52756985000</v>
      </c>
      <c r="G60" s="259">
        <f>G18-G59</f>
        <v>70970616000</v>
      </c>
      <c r="H60" s="530">
        <f t="shared" ref="H60" si="42">H18-H59</f>
        <v>99076162476.859833</v>
      </c>
      <c r="I60" s="530">
        <f t="shared" ref="I60" si="43">I18-I59</f>
        <v>113418844128.13727</v>
      </c>
      <c r="J60" s="530">
        <f t="shared" ref="J60" si="44">J18-J59</f>
        <v>132213112325.57526</v>
      </c>
      <c r="K60" s="530">
        <f t="shared" ref="K60" si="45">K18-K59</f>
        <v>173366735956.89636</v>
      </c>
      <c r="L60" s="261">
        <f t="shared" ref="L60" si="46">L18-L59</f>
        <v>241406070104.28528</v>
      </c>
    </row>
    <row r="61" spans="1:12" ht="15.5" x14ac:dyDescent="0.35">
      <c r="A61" s="173" t="s">
        <v>94</v>
      </c>
      <c r="C61" s="305"/>
      <c r="D61" s="201">
        <f t="shared" ref="D61:L61" si="47">(D18-C18)/C18</f>
        <v>-0.13065973166472869</v>
      </c>
      <c r="E61" s="201">
        <f t="shared" si="47"/>
        <v>5.8744273102258777E-2</v>
      </c>
      <c r="F61" s="201">
        <f>(F18-E18)/E18</f>
        <v>0.60327481971939101</v>
      </c>
      <c r="G61" s="306">
        <f t="shared" si="47"/>
        <v>0.45420931236358764</v>
      </c>
      <c r="H61" s="278">
        <f t="shared" si="47"/>
        <v>0.13915223072083197</v>
      </c>
      <c r="I61" s="278">
        <f t="shared" si="47"/>
        <v>0.11756839262228877</v>
      </c>
      <c r="J61" s="278">
        <f t="shared" si="47"/>
        <v>0.15071762445621567</v>
      </c>
      <c r="K61" s="278">
        <f t="shared" si="47"/>
        <v>0.2597473322519202</v>
      </c>
      <c r="L61" s="284">
        <f t="shared" si="47"/>
        <v>0.38159495399074916</v>
      </c>
    </row>
    <row r="62" spans="1:12" ht="15.5" x14ac:dyDescent="0.35">
      <c r="A62" s="173" t="s">
        <v>95</v>
      </c>
      <c r="C62" s="246">
        <v>280</v>
      </c>
      <c r="D62" s="175">
        <v>279</v>
      </c>
      <c r="E62" s="175">
        <v>276</v>
      </c>
      <c r="F62" s="177">
        <v>273</v>
      </c>
      <c r="G62" s="247">
        <v>284</v>
      </c>
      <c r="H62" s="285">
        <f>G62*(1+H61)</f>
        <v>323.51923352471624</v>
      </c>
      <c r="I62" s="285">
        <f t="shared" ref="I62:K62" si="48">H62*(1+I61)</f>
        <v>361.55486979261201</v>
      </c>
      <c r="J62" s="285">
        <f t="shared" si="48"/>
        <v>416.04756087833084</v>
      </c>
      <c r="K62" s="285">
        <f t="shared" si="48"/>
        <v>524.11480490639565</v>
      </c>
      <c r="L62" s="286">
        <f>K62*(1+L61)</f>
        <v>724.11436977052222</v>
      </c>
    </row>
    <row r="63" spans="1:12" ht="15.5" x14ac:dyDescent="0.35">
      <c r="A63" s="173" t="s">
        <v>96</v>
      </c>
      <c r="C63" s="246">
        <f>C37/C62</f>
        <v>2274307.1428571427</v>
      </c>
      <c r="D63" s="175">
        <f>D37/D62</f>
        <v>2191236.5591397849</v>
      </c>
      <c r="E63" s="175">
        <f>E37/E62</f>
        <v>2246673.913043478</v>
      </c>
      <c r="F63" s="175">
        <f t="shared" ref="F63:G63" si="49">F37/F62</f>
        <v>2644952.3809523811</v>
      </c>
      <c r="G63" s="248">
        <f t="shared" si="49"/>
        <v>2851063.38028169</v>
      </c>
      <c r="H63" s="179">
        <f t="shared" ref="H63:H69" si="50">AVERAGE(C63:G63)</f>
        <v>2441646.6752548954</v>
      </c>
      <c r="I63" s="179">
        <f t="shared" ref="I63:I69" si="51">AVERAGE(C63:H63)</f>
        <v>2441646.6752548958</v>
      </c>
      <c r="J63" s="179">
        <f t="shared" ref="J63:L63" si="52">AVERAGE(C63:I63)</f>
        <v>2441646.6752548958</v>
      </c>
      <c r="K63" s="179">
        <f t="shared" si="52"/>
        <v>2465552.3227402889</v>
      </c>
      <c r="L63" s="216">
        <f t="shared" si="52"/>
        <v>2504740.2889689323</v>
      </c>
    </row>
    <row r="64" spans="1:12" ht="15.5" x14ac:dyDescent="0.35">
      <c r="A64" s="173" t="s">
        <v>97</v>
      </c>
      <c r="C64" s="246">
        <f t="shared" ref="C64:G64" si="53">C39/C7</f>
        <v>81.966672180998401</v>
      </c>
      <c r="D64" s="175">
        <f t="shared" si="53"/>
        <v>118.3416346131585</v>
      </c>
      <c r="E64" s="175">
        <f t="shared" si="53"/>
        <v>91.916995549214548</v>
      </c>
      <c r="F64" s="175">
        <f t="shared" si="53"/>
        <v>84.233959702168235</v>
      </c>
      <c r="G64" s="248">
        <f t="shared" si="53"/>
        <v>64.778378891299383</v>
      </c>
      <c r="H64" s="266">
        <f t="shared" si="50"/>
        <v>88.24752818736782</v>
      </c>
      <c r="I64" s="266">
        <f t="shared" si="51"/>
        <v>88.24752818736782</v>
      </c>
      <c r="J64" s="266">
        <f t="shared" ref="J64:L64" si="54">AVERAGE(C64:I64)</f>
        <v>88.24752818736782</v>
      </c>
      <c r="K64" s="266">
        <f t="shared" si="54"/>
        <v>89.144793331134878</v>
      </c>
      <c r="L64" s="267">
        <f t="shared" si="54"/>
        <v>84.973816005131511</v>
      </c>
    </row>
    <row r="65" spans="1:12" ht="15.5" x14ac:dyDescent="0.35">
      <c r="A65" s="173" t="s">
        <v>98</v>
      </c>
      <c r="C65" s="246">
        <f t="shared" ref="C65:G65" si="55">C41/C7</f>
        <v>120.6014002146935</v>
      </c>
      <c r="D65" s="175">
        <f t="shared" si="55"/>
        <v>234.07495134208628</v>
      </c>
      <c r="E65" s="175">
        <f t="shared" si="55"/>
        <v>207.51055728272073</v>
      </c>
      <c r="F65" s="175">
        <f t="shared" si="55"/>
        <v>119.03085245165494</v>
      </c>
      <c r="G65" s="248">
        <f t="shared" si="55"/>
        <v>187.25477112936284</v>
      </c>
      <c r="H65" s="266">
        <f t="shared" si="50"/>
        <v>173.69450648410367</v>
      </c>
      <c r="I65" s="266">
        <f t="shared" si="51"/>
        <v>173.69450648410364</v>
      </c>
      <c r="J65" s="266">
        <f>AVERAGE(C65:I65)</f>
        <v>173.69450648410364</v>
      </c>
      <c r="K65" s="266">
        <f t="shared" ref="K65:L65" si="56">AVERAGE(D65:J65)</f>
        <v>181.27923595116224</v>
      </c>
      <c r="L65" s="267">
        <f t="shared" si="56"/>
        <v>173.73699089531596</v>
      </c>
    </row>
    <row r="66" spans="1:12" ht="15.5" x14ac:dyDescent="0.35">
      <c r="A66" s="173" t="s">
        <v>99</v>
      </c>
      <c r="C66" s="246">
        <f t="shared" ref="C66:G66" si="57">C42/C7</f>
        <v>29.522447689080824</v>
      </c>
      <c r="D66" s="175">
        <f t="shared" si="57"/>
        <v>92.9920503930948</v>
      </c>
      <c r="E66" s="175">
        <f t="shared" si="57"/>
        <v>38.357316524219108</v>
      </c>
      <c r="F66" s="175">
        <f t="shared" si="57"/>
        <v>32.639867488757702</v>
      </c>
      <c r="G66" s="248">
        <f t="shared" si="57"/>
        <v>34.138890427060936</v>
      </c>
      <c r="H66" s="266">
        <f t="shared" si="50"/>
        <v>45.530114504442672</v>
      </c>
      <c r="I66" s="266">
        <f t="shared" si="51"/>
        <v>45.530114504442672</v>
      </c>
      <c r="J66" s="266">
        <f t="shared" ref="J66:L66" si="58">AVERAGE(C66:I66)</f>
        <v>45.530114504442672</v>
      </c>
      <c r="K66" s="266">
        <f t="shared" si="58"/>
        <v>47.816924049494368</v>
      </c>
      <c r="L66" s="267">
        <f t="shared" si="58"/>
        <v>41.363334571837171</v>
      </c>
    </row>
    <row r="67" spans="1:12" ht="15.5" x14ac:dyDescent="0.35">
      <c r="A67" s="173" t="s">
        <v>103</v>
      </c>
      <c r="C67" s="246">
        <f>C47/C62</f>
        <v>71253.571428571435</v>
      </c>
      <c r="D67" s="175">
        <f>D47/D62</f>
        <v>83817.204301075268</v>
      </c>
      <c r="E67" s="175">
        <f>E47/E62</f>
        <v>70949.275362318847</v>
      </c>
      <c r="F67" s="175">
        <f t="shared" ref="F67:G67" si="59">F47/F62</f>
        <v>120249.08424908425</v>
      </c>
      <c r="G67" s="248">
        <f t="shared" si="59"/>
        <v>218651.40845070421</v>
      </c>
      <c r="H67" s="266">
        <f t="shared" si="50"/>
        <v>112984.10875835081</v>
      </c>
      <c r="I67" s="266">
        <f t="shared" si="51"/>
        <v>112984.10875835082</v>
      </c>
      <c r="J67" s="266">
        <f t="shared" ref="J67:L67" si="60">AVERAGE(C67:I67)</f>
        <v>112984.10875835082</v>
      </c>
      <c r="K67" s="266">
        <f t="shared" si="60"/>
        <v>118945.61409117644</v>
      </c>
      <c r="L67" s="267">
        <f t="shared" si="60"/>
        <v>123963.95834690517</v>
      </c>
    </row>
    <row r="68" spans="1:12" ht="15.5" x14ac:dyDescent="0.35">
      <c r="A68" s="173" t="s">
        <v>101</v>
      </c>
      <c r="C68" s="307">
        <f t="shared" ref="C68:F68" si="61">C35/C18</f>
        <v>0.75409334406238282</v>
      </c>
      <c r="D68" s="202">
        <f t="shared" si="61"/>
        <v>0.66922818276717289</v>
      </c>
      <c r="E68" s="202">
        <f t="shared" si="61"/>
        <v>0.61866741021235971</v>
      </c>
      <c r="F68" s="202">
        <f t="shared" si="61"/>
        <v>0.73791580736909945</v>
      </c>
      <c r="G68" s="308">
        <f>G35/G18</f>
        <v>0.75217110459657321</v>
      </c>
      <c r="H68" s="266">
        <f>AVERAGE(C68:G68)</f>
        <v>0.70641516980151764</v>
      </c>
      <c r="I68" s="266">
        <f t="shared" si="51"/>
        <v>0.70641516980151764</v>
      </c>
      <c r="J68" s="266">
        <f t="shared" ref="J68:L68" si="62">AVERAGE(C68:I68)</f>
        <v>0.70641516980151764</v>
      </c>
      <c r="K68" s="266">
        <f t="shared" si="62"/>
        <v>0.69960400204996542</v>
      </c>
      <c r="L68" s="267">
        <f t="shared" si="62"/>
        <v>0.70394340480465012</v>
      </c>
    </row>
    <row r="69" spans="1:12" ht="16" thickBot="1" x14ac:dyDescent="0.4">
      <c r="A69" s="193" t="s">
        <v>102</v>
      </c>
      <c r="B69" s="220"/>
      <c r="C69" s="309">
        <f t="shared" ref="C69:G69" si="63">-(C58/C18)</f>
        <v>2.3822292249734402E-2</v>
      </c>
      <c r="D69" s="203">
        <f t="shared" si="63"/>
        <v>1.1191693077348092E-2</v>
      </c>
      <c r="E69" s="203">
        <f t="shared" si="63"/>
        <v>1.8393373487780213E-2</v>
      </c>
      <c r="F69" s="203">
        <f t="shared" si="63"/>
        <v>2.2589951506176126E-2</v>
      </c>
      <c r="G69" s="310">
        <f t="shared" si="63"/>
        <v>2.4334567632886168E-2</v>
      </c>
      <c r="H69" s="288">
        <f t="shared" si="50"/>
        <v>2.0066375590785002E-2</v>
      </c>
      <c r="I69" s="288">
        <f t="shared" si="51"/>
        <v>2.0066375590785002E-2</v>
      </c>
      <c r="J69" s="288">
        <f t="shared" ref="J69:L69" si="64">AVERAGE(C69:I69)</f>
        <v>2.0066375590785002E-2</v>
      </c>
      <c r="K69" s="288">
        <f t="shared" si="64"/>
        <v>1.9529816068077941E-2</v>
      </c>
      <c r="L69" s="289">
        <f t="shared" si="64"/>
        <v>2.0720976495325064E-2</v>
      </c>
    </row>
    <row r="70" spans="1:12" x14ac:dyDescent="0.3">
      <c r="H70" s="159"/>
    </row>
    <row r="71" spans="1:12" ht="14.5" thickBot="1" x14ac:dyDescent="0.35">
      <c r="H71" s="159"/>
    </row>
    <row r="72" spans="1:12" x14ac:dyDescent="0.3">
      <c r="A72" s="166"/>
      <c r="B72" s="167"/>
      <c r="C72" s="168">
        <v>43617</v>
      </c>
      <c r="D72" s="168">
        <v>43983</v>
      </c>
      <c r="E72" s="169">
        <v>44348</v>
      </c>
      <c r="F72" s="169">
        <v>44713</v>
      </c>
      <c r="G72" s="168">
        <v>45078</v>
      </c>
      <c r="H72" s="262">
        <v>45444</v>
      </c>
      <c r="I72" s="171">
        <v>45809</v>
      </c>
      <c r="J72" s="171">
        <v>46174</v>
      </c>
      <c r="K72" s="171">
        <v>46539</v>
      </c>
      <c r="L72" s="214">
        <v>46905</v>
      </c>
    </row>
    <row r="73" spans="1:12" x14ac:dyDescent="0.3">
      <c r="A73" s="173" t="s">
        <v>104</v>
      </c>
      <c r="B73" s="174"/>
      <c r="E73" s="174"/>
      <c r="H73" s="173"/>
      <c r="L73" s="215"/>
    </row>
    <row r="74" spans="1:12" ht="15.5" x14ac:dyDescent="0.35">
      <c r="A74" s="173" t="s">
        <v>75</v>
      </c>
      <c r="B74" s="174"/>
      <c r="C74" s="175">
        <v>64046000</v>
      </c>
      <c r="D74" s="175">
        <v>70290000</v>
      </c>
      <c r="E74" s="176">
        <v>70831000</v>
      </c>
      <c r="F74" s="177">
        <v>74802000</v>
      </c>
      <c r="G74" s="177">
        <v>89820000</v>
      </c>
      <c r="H74" s="264">
        <f>H62*H88</f>
        <v>85899070.937058851</v>
      </c>
      <c r="I74" s="241">
        <f t="shared" ref="I74:L74" si="65">I62*I88</f>
        <v>95998086.634876847</v>
      </c>
      <c r="J74" s="241">
        <f t="shared" si="65"/>
        <v>110466690.20482746</v>
      </c>
      <c r="K74" s="241">
        <f t="shared" si="65"/>
        <v>141913881.71969482</v>
      </c>
      <c r="L74" s="279">
        <f t="shared" si="65"/>
        <v>198015702.70790082</v>
      </c>
    </row>
    <row r="75" spans="1:12" ht="15.5" x14ac:dyDescent="0.35">
      <c r="A75" s="173" t="s">
        <v>105</v>
      </c>
      <c r="B75" s="174"/>
      <c r="C75" s="175">
        <v>8051000</v>
      </c>
      <c r="D75" s="175">
        <v>8524000</v>
      </c>
      <c r="E75" s="176">
        <v>9509000</v>
      </c>
      <c r="F75" s="177">
        <v>9251000</v>
      </c>
      <c r="G75" s="177">
        <v>11237000</v>
      </c>
      <c r="H75" s="263">
        <f>AVERAGE(C75:G75)</f>
        <v>9314400</v>
      </c>
      <c r="I75" s="179">
        <f>AVERAGE(C75:H75)</f>
        <v>9314400</v>
      </c>
      <c r="J75" s="179">
        <f t="shared" ref="J75:L75" si="66">AVERAGE(C75:I75)</f>
        <v>9314400</v>
      </c>
      <c r="K75" s="179">
        <f t="shared" si="66"/>
        <v>9494885.7142857146</v>
      </c>
      <c r="L75" s="216">
        <f t="shared" si="66"/>
        <v>9633583.6734693889</v>
      </c>
    </row>
    <row r="76" spans="1:12" ht="15.5" x14ac:dyDescent="0.35">
      <c r="A76" s="173" t="s">
        <v>106</v>
      </c>
      <c r="B76" s="174"/>
      <c r="C76" s="175">
        <v>48445000</v>
      </c>
      <c r="D76" s="175">
        <v>15689000</v>
      </c>
      <c r="E76" s="176">
        <v>31168000</v>
      </c>
      <c r="F76" s="177">
        <v>31310000</v>
      </c>
      <c r="G76" s="177">
        <v>58926000</v>
      </c>
      <c r="H76" s="263">
        <f>AVERAGE(C76:G76)</f>
        <v>37107600</v>
      </c>
      <c r="I76" s="179">
        <f>AVERAGE(C76:H76)</f>
        <v>37107600</v>
      </c>
      <c r="J76" s="179">
        <f t="shared" ref="J76:L76" si="67">AVERAGE(C76:I76)</f>
        <v>37107600</v>
      </c>
      <c r="K76" s="179">
        <f t="shared" si="67"/>
        <v>35487971.428571425</v>
      </c>
      <c r="L76" s="216">
        <f t="shared" si="67"/>
        <v>38316395.918367349</v>
      </c>
    </row>
    <row r="77" spans="1:12" ht="15.5" x14ac:dyDescent="0.35">
      <c r="A77" s="173" t="s">
        <v>77</v>
      </c>
      <c r="B77" s="174"/>
      <c r="C77" s="175">
        <v>88743000</v>
      </c>
      <c r="D77" s="175">
        <v>70101000</v>
      </c>
      <c r="E77" s="176">
        <v>103239000</v>
      </c>
      <c r="F77" s="177">
        <v>113969000</v>
      </c>
      <c r="G77" s="177">
        <v>115614000</v>
      </c>
      <c r="H77" s="100">
        <f>C193*$C$189</f>
        <v>166061555.81063354</v>
      </c>
      <c r="I77" s="101">
        <f t="shared" ref="I77:L77" si="68">D193*$C$189</f>
        <v>146225729.27266783</v>
      </c>
      <c r="J77" s="101">
        <f t="shared" si="68"/>
        <v>134261219.61878258</v>
      </c>
      <c r="K77" s="101">
        <f t="shared" si="68"/>
        <v>128026765.43020508</v>
      </c>
      <c r="L77" s="102">
        <f t="shared" si="68"/>
        <v>123207292.13129835</v>
      </c>
    </row>
    <row r="78" spans="1:12" ht="15.5" x14ac:dyDescent="0.35">
      <c r="A78" s="173" t="s">
        <v>82</v>
      </c>
      <c r="B78" s="174"/>
      <c r="C78" s="175">
        <v>8360000</v>
      </c>
      <c r="D78" s="175">
        <v>11626000</v>
      </c>
      <c r="E78" s="176">
        <v>16368000</v>
      </c>
      <c r="F78" s="177">
        <v>19262000</v>
      </c>
      <c r="G78" s="177">
        <v>30371000</v>
      </c>
      <c r="H78" s="263">
        <f>AVERAGE(C78:G78)</f>
        <v>17197400</v>
      </c>
      <c r="I78" s="179">
        <f>AVERAGE(C78:H78)</f>
        <v>17197400</v>
      </c>
      <c r="J78" s="179">
        <f t="shared" ref="J78:L78" si="69">AVERAGE(C78:I78)</f>
        <v>17197400</v>
      </c>
      <c r="K78" s="179">
        <f t="shared" si="69"/>
        <v>18459885.714285713</v>
      </c>
      <c r="L78" s="216">
        <f t="shared" si="69"/>
        <v>19436155.102040816</v>
      </c>
    </row>
    <row r="79" spans="1:12" ht="15.5" x14ac:dyDescent="0.35">
      <c r="A79" s="173" t="s">
        <v>107</v>
      </c>
      <c r="B79" s="174"/>
      <c r="C79" s="175">
        <v>5622000</v>
      </c>
      <c r="D79" s="175">
        <v>4661000</v>
      </c>
      <c r="E79" s="176">
        <v>7890000</v>
      </c>
      <c r="F79" s="177">
        <v>21220000</v>
      </c>
      <c r="G79" s="177">
        <v>128416000</v>
      </c>
      <c r="H79" s="280">
        <f>H89*H7</f>
        <v>38629350.350318216</v>
      </c>
      <c r="I79" s="281">
        <f t="shared" ref="I79:K79" si="70">I89*I7</f>
        <v>37504223.641085654</v>
      </c>
      <c r="J79" s="281">
        <f t="shared" si="70"/>
        <v>36411867.612704508</v>
      </c>
      <c r="K79" s="281">
        <f t="shared" si="70"/>
        <v>38905664.555098295</v>
      </c>
      <c r="L79" s="282">
        <f>L89*L7</f>
        <v>41807072.058793552</v>
      </c>
    </row>
    <row r="80" spans="1:12" ht="15.5" x14ac:dyDescent="0.35">
      <c r="A80" s="173" t="s">
        <v>108</v>
      </c>
      <c r="B80" s="174"/>
      <c r="C80" s="175">
        <v>6809000</v>
      </c>
      <c r="D80" s="175">
        <v>5216000</v>
      </c>
      <c r="E80" s="176">
        <v>5148000</v>
      </c>
      <c r="F80" s="177">
        <v>7027000</v>
      </c>
      <c r="G80" s="177">
        <v>9521000</v>
      </c>
      <c r="H80" s="280">
        <f>H90*H7</f>
        <v>11202547.09870965</v>
      </c>
      <c r="I80" s="281">
        <f t="shared" ref="I80:L80" si="71">I90*I7</f>
        <v>10876259.319135582</v>
      </c>
      <c r="J80" s="281">
        <f t="shared" si="71"/>
        <v>10559475.067121925</v>
      </c>
      <c r="K80" s="281">
        <f t="shared" si="71"/>
        <v>9904797.637179656</v>
      </c>
      <c r="L80" s="282">
        <f t="shared" si="71"/>
        <v>9466462.2933059335</v>
      </c>
    </row>
    <row r="81" spans="1:12" ht="15.5" x14ac:dyDescent="0.35">
      <c r="A81" s="173" t="s">
        <v>79</v>
      </c>
      <c r="B81" s="174"/>
      <c r="C81" s="175">
        <v>11182000</v>
      </c>
      <c r="D81" s="175">
        <v>10050000</v>
      </c>
      <c r="E81" s="176">
        <v>11676000</v>
      </c>
      <c r="F81" s="177">
        <v>34384000</v>
      </c>
      <c r="G81" s="177">
        <v>38125000</v>
      </c>
      <c r="H81" s="280">
        <f>H91*H7</f>
        <v>31097955.4469193</v>
      </c>
      <c r="I81" s="281">
        <f t="shared" ref="I81:L81" si="72">I91*I7</f>
        <v>30192189.754290581</v>
      </c>
      <c r="J81" s="281">
        <f t="shared" si="72"/>
        <v>29312805.586689882</v>
      </c>
      <c r="K81" s="281">
        <f t="shared" si="72"/>
        <v>29549401.521765992</v>
      </c>
      <c r="L81" s="282">
        <f t="shared" si="72"/>
        <v>29851504.803184845</v>
      </c>
    </row>
    <row r="82" spans="1:12" ht="15.5" x14ac:dyDescent="0.35">
      <c r="A82" s="173" t="s">
        <v>109</v>
      </c>
      <c r="B82" s="174"/>
      <c r="C82" s="175">
        <v>3139000</v>
      </c>
      <c r="D82" s="175">
        <v>5925000</v>
      </c>
      <c r="E82" s="176">
        <v>6674000</v>
      </c>
      <c r="F82" s="177">
        <v>7013000</v>
      </c>
      <c r="G82" s="177">
        <v>9291000</v>
      </c>
      <c r="H82" s="263">
        <f>AVERAGE(C82:G82)</f>
        <v>6408400</v>
      </c>
      <c r="I82" s="179">
        <f>AVERAGE(C82:H82)</f>
        <v>6408400</v>
      </c>
      <c r="J82" s="179">
        <f t="shared" ref="J82:L82" si="73">AVERAGE(C82:I82)</f>
        <v>6408400</v>
      </c>
      <c r="K82" s="179">
        <f t="shared" si="73"/>
        <v>6875457.1428571427</v>
      </c>
      <c r="L82" s="216">
        <f t="shared" si="73"/>
        <v>7011236.7346938774</v>
      </c>
    </row>
    <row r="83" spans="1:12" ht="15.5" x14ac:dyDescent="0.35">
      <c r="A83" s="173" t="s">
        <v>110</v>
      </c>
      <c r="B83" s="174"/>
      <c r="C83" s="175">
        <v>1369000</v>
      </c>
      <c r="D83" s="175">
        <v>1476000</v>
      </c>
      <c r="E83" s="176">
        <v>1954000</v>
      </c>
      <c r="F83" s="177">
        <v>1600000</v>
      </c>
      <c r="G83" s="177">
        <v>4980000</v>
      </c>
      <c r="H83" s="264">
        <f>H92*H62</f>
        <v>2630556.6003473625</v>
      </c>
      <c r="I83" s="241">
        <f t="shared" ref="I83:L83" si="74">I92*I62</f>
        <v>2939826.9115521549</v>
      </c>
      <c r="J83" s="241">
        <f t="shared" si="74"/>
        <v>3382910.6399737485</v>
      </c>
      <c r="K83" s="241">
        <f t="shared" si="74"/>
        <v>4504336.3147648638</v>
      </c>
      <c r="L83" s="279">
        <f t="shared" si="74"/>
        <v>6564935.4267263925</v>
      </c>
    </row>
    <row r="84" spans="1:12" ht="15.5" x14ac:dyDescent="0.35">
      <c r="A84" s="173" t="s">
        <v>111</v>
      </c>
      <c r="B84" s="174"/>
      <c r="C84" s="175">
        <v>2515000</v>
      </c>
      <c r="D84" s="175">
        <v>1458000</v>
      </c>
      <c r="E84" s="176">
        <v>1600000</v>
      </c>
      <c r="F84" s="177">
        <v>1150000</v>
      </c>
      <c r="G84" s="177">
        <v>3400000</v>
      </c>
      <c r="H84" s="263">
        <f>AVERAGE(C84:G84)</f>
        <v>2024600</v>
      </c>
      <c r="I84" s="179">
        <f>AVERAGE(C84:H84)</f>
        <v>2024600</v>
      </c>
      <c r="J84" s="179">
        <f t="shared" ref="J84:L84" si="75">AVERAGE(C84:I84)</f>
        <v>2024600</v>
      </c>
      <c r="K84" s="179">
        <f t="shared" si="75"/>
        <v>1954542.857142857</v>
      </c>
      <c r="L84" s="216">
        <f t="shared" si="75"/>
        <v>2025477.551020408</v>
      </c>
    </row>
    <row r="85" spans="1:12" ht="15.5" x14ac:dyDescent="0.35">
      <c r="A85" s="173" t="s">
        <v>90</v>
      </c>
      <c r="B85" s="174"/>
      <c r="C85" s="175">
        <v>1890000</v>
      </c>
      <c r="D85" s="175">
        <v>1080000</v>
      </c>
      <c r="E85" s="176">
        <v>223000</v>
      </c>
      <c r="F85" s="177">
        <v>282000</v>
      </c>
      <c r="G85" s="177">
        <v>882000</v>
      </c>
      <c r="H85" s="263">
        <f>AVERAGE(C85:G85)</f>
        <v>871400</v>
      </c>
      <c r="I85" s="179">
        <f>AVERAGE(C85:H85)</f>
        <v>871400</v>
      </c>
      <c r="J85" s="179">
        <f t="shared" ref="J85:L85" si="76">AVERAGE(C85:I85)</f>
        <v>871400</v>
      </c>
      <c r="K85" s="179">
        <f t="shared" si="76"/>
        <v>725885.71428571432</v>
      </c>
      <c r="L85" s="216">
        <f t="shared" si="76"/>
        <v>675297.95918367349</v>
      </c>
    </row>
    <row r="86" spans="1:12" ht="16" thickBot="1" x14ac:dyDescent="0.4">
      <c r="A86" s="173"/>
      <c r="B86" s="174"/>
      <c r="C86" s="197">
        <f t="shared" ref="C86:L86" si="77">SUM(C74:C85)</f>
        <v>250171000</v>
      </c>
      <c r="D86" s="197">
        <f t="shared" si="77"/>
        <v>206096000</v>
      </c>
      <c r="E86" s="198">
        <f t="shared" si="77"/>
        <v>266280000</v>
      </c>
      <c r="F86" s="198">
        <f t="shared" si="77"/>
        <v>321270000</v>
      </c>
      <c r="G86" s="197">
        <f t="shared" si="77"/>
        <v>500583000</v>
      </c>
      <c r="H86" s="283">
        <f t="shared" si="77"/>
        <v>408444836.2439869</v>
      </c>
      <c r="I86" s="200">
        <f t="shared" si="77"/>
        <v>396660115.53360868</v>
      </c>
      <c r="J86" s="200">
        <f t="shared" si="77"/>
        <v>397318768.73010015</v>
      </c>
      <c r="K86" s="200">
        <f t="shared" si="77"/>
        <v>425803475.75013733</v>
      </c>
      <c r="L86" s="219">
        <f t="shared" si="77"/>
        <v>486011116.35998547</v>
      </c>
    </row>
    <row r="87" spans="1:12" ht="16" thickTop="1" x14ac:dyDescent="0.35">
      <c r="A87" s="173"/>
      <c r="B87" s="174"/>
      <c r="C87" s="175"/>
      <c r="D87" s="175"/>
      <c r="E87" s="176"/>
      <c r="H87" s="173"/>
      <c r="L87" s="215"/>
    </row>
    <row r="88" spans="1:12" ht="15.5" x14ac:dyDescent="0.35">
      <c r="A88" s="173" t="s">
        <v>96</v>
      </c>
      <c r="B88" s="174"/>
      <c r="C88" s="204">
        <f t="shared" ref="C88:G88" si="78">C74/C62</f>
        <v>228735.71428571429</v>
      </c>
      <c r="D88" s="204">
        <f t="shared" si="78"/>
        <v>251935.48387096773</v>
      </c>
      <c r="E88" s="205">
        <f t="shared" si="78"/>
        <v>256634.0579710145</v>
      </c>
      <c r="F88" s="205">
        <f t="shared" si="78"/>
        <v>274000</v>
      </c>
      <c r="G88" s="204">
        <f t="shared" si="78"/>
        <v>316267.60563380283</v>
      </c>
      <c r="H88" s="263">
        <f>AVERAGE(C88:G88)</f>
        <v>265514.57235229982</v>
      </c>
      <c r="I88" s="179">
        <f>AVERAGE(C88:H88)</f>
        <v>265514.57235229987</v>
      </c>
      <c r="J88" s="179">
        <f t="shared" ref="J88:L88" si="79">AVERAGE(C88:I88)</f>
        <v>265514.57235229987</v>
      </c>
      <c r="K88" s="179">
        <f t="shared" si="79"/>
        <v>270768.69493324071</v>
      </c>
      <c r="L88" s="216">
        <f t="shared" si="79"/>
        <v>273459.15365642257</v>
      </c>
    </row>
    <row r="89" spans="1:12" ht="15.5" x14ac:dyDescent="0.35">
      <c r="A89" s="173" t="s">
        <v>112</v>
      </c>
      <c r="B89" s="174"/>
      <c r="C89" s="202">
        <f t="shared" ref="C89:G89" si="80">C79/C7</f>
        <v>0.83006691993164627</v>
      </c>
      <c r="D89" s="202">
        <f t="shared" si="80"/>
        <v>0.77817126405935955</v>
      </c>
      <c r="E89" s="202">
        <f t="shared" si="80"/>
        <v>1.258568791772908</v>
      </c>
      <c r="F89" s="202">
        <f t="shared" si="80"/>
        <v>2.100503695684885</v>
      </c>
      <c r="G89" s="202">
        <f t="shared" si="80"/>
        <v>9.0447468492434631</v>
      </c>
      <c r="H89" s="287">
        <f>AVERAGE(C89:G89)</f>
        <v>2.8024115041384521</v>
      </c>
      <c r="I89" s="266">
        <f>AVERAGE(C89:H89)</f>
        <v>2.8024115041384525</v>
      </c>
      <c r="J89" s="266">
        <f t="shared" ref="J89:L92" si="81">AVERAGE(C89:I89)</f>
        <v>2.8024115041384521</v>
      </c>
      <c r="K89" s="266">
        <f t="shared" si="81"/>
        <v>3.0841750161679959</v>
      </c>
      <c r="L89" s="267">
        <f t="shared" si="81"/>
        <v>3.4136041236120866</v>
      </c>
    </row>
    <row r="90" spans="1:12" ht="15.5" x14ac:dyDescent="0.35">
      <c r="A90" s="173" t="s">
        <v>113</v>
      </c>
      <c r="B90" s="174"/>
      <c r="C90" s="202">
        <f t="shared" ref="C90:G90" si="82">C80/C7</f>
        <v>1.0053229558546033</v>
      </c>
      <c r="D90" s="202">
        <f t="shared" si="82"/>
        <v>0.87083057569912459</v>
      </c>
      <c r="E90" s="202">
        <f t="shared" si="82"/>
        <v>0.82118024588680993</v>
      </c>
      <c r="F90" s="202">
        <f t="shared" si="82"/>
        <v>0.69558150186511258</v>
      </c>
      <c r="G90" s="202">
        <f t="shared" si="82"/>
        <v>0.6705942775950583</v>
      </c>
      <c r="H90" s="287">
        <f>AVERAGE(C90:G90)</f>
        <v>0.81270191138014169</v>
      </c>
      <c r="I90" s="266">
        <f>AVERAGE(C90:H90)</f>
        <v>0.81270191138014169</v>
      </c>
      <c r="J90" s="266">
        <f t="shared" si="81"/>
        <v>0.81270191138014169</v>
      </c>
      <c r="K90" s="266">
        <f t="shared" si="81"/>
        <v>0.7851846193123615</v>
      </c>
      <c r="L90" s="267">
        <f t="shared" si="81"/>
        <v>0.77294948268568109</v>
      </c>
    </row>
    <row r="91" spans="1:12" ht="15.5" x14ac:dyDescent="0.35">
      <c r="A91" s="173" t="s">
        <v>114</v>
      </c>
      <c r="B91" s="174"/>
      <c r="C91" s="202">
        <f t="shared" ref="C91:G91" si="83">C81/C7</f>
        <v>1.6509797756449072</v>
      </c>
      <c r="D91" s="202">
        <f t="shared" si="83"/>
        <v>1.6778848323957443</v>
      </c>
      <c r="E91" s="202">
        <f t="shared" si="83"/>
        <v>1.8624903945171702</v>
      </c>
      <c r="F91" s="202">
        <f t="shared" si="83"/>
        <v>3.4035682880503813</v>
      </c>
      <c r="G91" s="202">
        <f t="shared" si="83"/>
        <v>2.6852648706345552</v>
      </c>
      <c r="H91" s="287">
        <f>AVERAGE(C91:G91)</f>
        <v>2.2560376322485518</v>
      </c>
      <c r="I91" s="266">
        <f>AVERAGE(C91:H91)</f>
        <v>2.2560376322485518</v>
      </c>
      <c r="J91" s="266">
        <f t="shared" si="81"/>
        <v>2.2560376322485518</v>
      </c>
      <c r="K91" s="266">
        <f t="shared" si="81"/>
        <v>2.3424744689062149</v>
      </c>
      <c r="L91" s="267">
        <f t="shared" si="81"/>
        <v>2.4374158455505679</v>
      </c>
    </row>
    <row r="92" spans="1:12" ht="16" thickBot="1" x14ac:dyDescent="0.4">
      <c r="A92" s="193" t="s">
        <v>103</v>
      </c>
      <c r="B92" s="194"/>
      <c r="C92" s="206">
        <f t="shared" ref="C92:G92" si="84">C83/C62</f>
        <v>4889.2857142857147</v>
      </c>
      <c r="D92" s="206">
        <f t="shared" si="84"/>
        <v>5290.322580645161</v>
      </c>
      <c r="E92" s="207">
        <f t="shared" si="84"/>
        <v>7079.710144927536</v>
      </c>
      <c r="F92" s="207">
        <f t="shared" si="84"/>
        <v>5860.8058608058609</v>
      </c>
      <c r="G92" s="206">
        <f t="shared" si="84"/>
        <v>17535.211267605635</v>
      </c>
      <c r="H92" s="290">
        <f>AVERAGE(C92:G92)</f>
        <v>8131.0671136539804</v>
      </c>
      <c r="I92" s="222">
        <f>AVERAGE(C92:H92)</f>
        <v>8131.0671136539813</v>
      </c>
      <c r="J92" s="222">
        <f t="shared" si="81"/>
        <v>8131.0671136539813</v>
      </c>
      <c r="K92" s="222">
        <f t="shared" si="81"/>
        <v>8594.1787421351637</v>
      </c>
      <c r="L92" s="223">
        <f t="shared" si="81"/>
        <v>9066.1581937765914</v>
      </c>
    </row>
    <row r="93" spans="1:12" x14ac:dyDescent="0.3">
      <c r="H93" s="178"/>
    </row>
    <row r="94" spans="1:12" ht="14.5" thickBot="1" x14ac:dyDescent="0.35">
      <c r="H94" s="159"/>
    </row>
    <row r="95" spans="1:12" x14ac:dyDescent="0.3">
      <c r="A95" s="166"/>
      <c r="B95" s="167"/>
      <c r="C95" s="168">
        <v>43617</v>
      </c>
      <c r="D95" s="168">
        <v>43983</v>
      </c>
      <c r="E95" s="169">
        <v>44348</v>
      </c>
      <c r="F95" s="169">
        <v>44713</v>
      </c>
      <c r="G95" s="168">
        <v>45078</v>
      </c>
      <c r="H95" s="291">
        <v>45444</v>
      </c>
      <c r="I95" s="208">
        <v>45809</v>
      </c>
      <c r="J95" s="208">
        <v>46174</v>
      </c>
      <c r="K95" s="208">
        <v>46539</v>
      </c>
      <c r="L95" s="292">
        <v>46905</v>
      </c>
    </row>
    <row r="96" spans="1:12" x14ac:dyDescent="0.3">
      <c r="A96" s="173" t="s">
        <v>124</v>
      </c>
      <c r="B96" s="174"/>
      <c r="E96" s="174"/>
      <c r="H96" s="173"/>
      <c r="L96" s="215"/>
    </row>
    <row r="97" spans="1:12" ht="15.5" x14ac:dyDescent="0.35">
      <c r="A97" s="173" t="s">
        <v>75</v>
      </c>
      <c r="B97" s="174"/>
      <c r="C97" s="175">
        <v>189100000</v>
      </c>
      <c r="D97" s="175">
        <v>180421000</v>
      </c>
      <c r="E97" s="176">
        <v>201202000</v>
      </c>
      <c r="F97" s="209">
        <v>224445000</v>
      </c>
      <c r="G97" s="209">
        <v>430070000</v>
      </c>
      <c r="H97" s="264">
        <f>H120*H62</f>
        <v>283887738.57594907</v>
      </c>
      <c r="I97" s="241">
        <f t="shared" ref="I97:L97" si="85">I120*I62</f>
        <v>331881023.65275496</v>
      </c>
      <c r="J97" s="241">
        <f t="shared" si="85"/>
        <v>404472495.65217781</v>
      </c>
      <c r="K97" s="241">
        <f t="shared" si="85"/>
        <v>535024597.87185013</v>
      </c>
      <c r="L97" s="279">
        <f t="shared" si="85"/>
        <v>708999690.9201715</v>
      </c>
    </row>
    <row r="98" spans="1:12" ht="15.5" x14ac:dyDescent="0.35">
      <c r="A98" s="173" t="s">
        <v>105</v>
      </c>
      <c r="B98" s="174"/>
      <c r="C98" s="175">
        <v>18300000</v>
      </c>
      <c r="D98" s="175">
        <v>20925000</v>
      </c>
      <c r="E98" s="176">
        <v>25749000</v>
      </c>
      <c r="F98" s="209">
        <v>23442000</v>
      </c>
      <c r="G98" s="209">
        <v>33000000</v>
      </c>
      <c r="H98" s="263">
        <f>AVERAGE(C98:G98)</f>
        <v>24283200</v>
      </c>
      <c r="I98" s="179">
        <f t="shared" ref="I98:L98" si="86">AVERAGE(D98:H98)</f>
        <v>25479840</v>
      </c>
      <c r="J98" s="179">
        <f t="shared" si="86"/>
        <v>26390808</v>
      </c>
      <c r="K98" s="179">
        <f t="shared" si="86"/>
        <v>26519169.600000001</v>
      </c>
      <c r="L98" s="216">
        <f t="shared" si="86"/>
        <v>27134603.52</v>
      </c>
    </row>
    <row r="99" spans="1:12" ht="15.5" x14ac:dyDescent="0.35">
      <c r="A99" s="173" t="s">
        <v>77</v>
      </c>
      <c r="B99" s="174"/>
      <c r="C99" s="175">
        <v>47431000</v>
      </c>
      <c r="D99" s="175">
        <v>63188000</v>
      </c>
      <c r="E99" s="176">
        <v>73403000</v>
      </c>
      <c r="F99" s="209">
        <v>79317000</v>
      </c>
      <c r="G99" s="209">
        <v>97305000</v>
      </c>
      <c r="H99" s="268">
        <f>C193*$C$190</f>
        <v>66991116.672790043</v>
      </c>
      <c r="I99" s="217">
        <f t="shared" ref="I99:L99" si="87">D193*$C$190</f>
        <v>58989119.079672247</v>
      </c>
      <c r="J99" s="217">
        <f t="shared" si="87"/>
        <v>54162500.069368936</v>
      </c>
      <c r="K99" s="217">
        <f t="shared" si="87"/>
        <v>51647450.478875957</v>
      </c>
      <c r="L99" s="218">
        <f t="shared" si="87"/>
        <v>49703220.241525717</v>
      </c>
    </row>
    <row r="100" spans="1:12" ht="15.5" x14ac:dyDescent="0.35">
      <c r="A100" s="173" t="s">
        <v>82</v>
      </c>
      <c r="B100" s="174"/>
      <c r="C100" s="175">
        <v>53267000</v>
      </c>
      <c r="D100" s="175">
        <v>32158000</v>
      </c>
      <c r="E100" s="176">
        <v>31503000</v>
      </c>
      <c r="F100" s="209">
        <v>36268000</v>
      </c>
      <c r="G100" s="209">
        <v>46640000</v>
      </c>
      <c r="H100" s="263">
        <f>AVERAGE(C100:G100)</f>
        <v>39967200</v>
      </c>
      <c r="I100" s="179">
        <f t="shared" ref="I100:L100" si="88">AVERAGE(D100:H100)</f>
        <v>37307240</v>
      </c>
      <c r="J100" s="179">
        <f t="shared" si="88"/>
        <v>38337088</v>
      </c>
      <c r="K100" s="179">
        <f t="shared" si="88"/>
        <v>39703905.600000001</v>
      </c>
      <c r="L100" s="216">
        <f t="shared" si="88"/>
        <v>40391086.719999999</v>
      </c>
    </row>
    <row r="101" spans="1:12" ht="15.5" x14ac:dyDescent="0.35">
      <c r="A101" s="173" t="s">
        <v>84</v>
      </c>
      <c r="B101" s="174"/>
      <c r="C101" s="175">
        <v>6239000</v>
      </c>
      <c r="D101" s="175">
        <v>8192000</v>
      </c>
      <c r="E101" s="176">
        <v>6274000</v>
      </c>
      <c r="F101" s="209">
        <v>8471000</v>
      </c>
      <c r="G101" s="209">
        <v>11340000</v>
      </c>
      <c r="H101" s="268">
        <f>H121*H62</f>
        <v>9403728.0984131321</v>
      </c>
      <c r="I101" s="217">
        <f t="shared" ref="I101:L101" si="89">I121*I62</f>
        <v>10999927.702837806</v>
      </c>
      <c r="J101" s="217">
        <f t="shared" si="89"/>
        <v>12746174.517493697</v>
      </c>
      <c r="K101" s="217">
        <f t="shared" si="89"/>
        <v>16885527.818156447</v>
      </c>
      <c r="L101" s="218">
        <f t="shared" si="89"/>
        <v>22347749.153220933</v>
      </c>
    </row>
    <row r="102" spans="1:12" ht="15.5" x14ac:dyDescent="0.35">
      <c r="A102" s="173" t="s">
        <v>88</v>
      </c>
      <c r="B102" s="174"/>
      <c r="C102" s="175">
        <v>3788000</v>
      </c>
      <c r="D102" s="175">
        <v>4348000</v>
      </c>
      <c r="E102" s="176">
        <v>3593500</v>
      </c>
      <c r="F102" s="209">
        <f>AVERAGE(C102:E102)</f>
        <v>3909833.3333333335</v>
      </c>
      <c r="G102" s="209">
        <f>AVERAGE(C102:F102)</f>
        <v>3909833.3333333335</v>
      </c>
      <c r="H102" s="263">
        <f>AVERAGE(C102:G102)</f>
        <v>3909833.3333333335</v>
      </c>
      <c r="I102" s="179">
        <f t="shared" ref="I102:L102" si="90">AVERAGE(D102:H102)</f>
        <v>3934200</v>
      </c>
      <c r="J102" s="179">
        <f t="shared" si="90"/>
        <v>3851440</v>
      </c>
      <c r="K102" s="179">
        <f t="shared" si="90"/>
        <v>3903028</v>
      </c>
      <c r="L102" s="216">
        <f t="shared" si="90"/>
        <v>3901666.9333333336</v>
      </c>
    </row>
    <row r="103" spans="1:12" ht="15.5" x14ac:dyDescent="0.35">
      <c r="A103" s="173" t="s">
        <v>125</v>
      </c>
      <c r="B103" s="174"/>
      <c r="C103" s="175">
        <v>5760000</v>
      </c>
      <c r="D103" s="175">
        <v>5407000</v>
      </c>
      <c r="E103" s="176">
        <v>6800000</v>
      </c>
      <c r="F103" s="209">
        <v>9081000</v>
      </c>
      <c r="G103" s="209">
        <v>11817000</v>
      </c>
      <c r="H103" s="263">
        <f>AVERAGE(C103:G103)</f>
        <v>7773000</v>
      </c>
      <c r="I103" s="179">
        <f t="shared" ref="I103:L103" si="91">AVERAGE(D103:H103)</f>
        <v>8175600</v>
      </c>
      <c r="J103" s="179">
        <f t="shared" si="91"/>
        <v>8729320</v>
      </c>
      <c r="K103" s="179">
        <f t="shared" si="91"/>
        <v>9115184</v>
      </c>
      <c r="L103" s="216">
        <f t="shared" si="91"/>
        <v>9122020.8000000007</v>
      </c>
    </row>
    <row r="104" spans="1:12" ht="15.5" x14ac:dyDescent="0.35">
      <c r="A104" s="173" t="s">
        <v>126</v>
      </c>
      <c r="B104" s="174"/>
      <c r="C104" s="175">
        <v>12989000</v>
      </c>
      <c r="D104" s="175">
        <v>22141000</v>
      </c>
      <c r="E104" s="176">
        <v>5989000</v>
      </c>
      <c r="F104" s="209">
        <v>21422000</v>
      </c>
      <c r="G104" s="209">
        <v>37013000</v>
      </c>
      <c r="H104" s="263">
        <f>AVERAGE(C104:G104)</f>
        <v>19910800</v>
      </c>
      <c r="I104" s="179">
        <f t="shared" ref="I104:L104" si="92">AVERAGE(D104:H104)</f>
        <v>21295160</v>
      </c>
      <c r="J104" s="179">
        <f t="shared" si="92"/>
        <v>21125992</v>
      </c>
      <c r="K104" s="179">
        <f t="shared" si="92"/>
        <v>24153390.399999999</v>
      </c>
      <c r="L104" s="216">
        <f t="shared" si="92"/>
        <v>24699668.48</v>
      </c>
    </row>
    <row r="105" spans="1:12" ht="15.5" x14ac:dyDescent="0.35">
      <c r="A105" s="173" t="s">
        <v>89</v>
      </c>
      <c r="B105" s="174"/>
      <c r="C105" s="175">
        <v>3116000</v>
      </c>
      <c r="D105" s="175">
        <v>3629000</v>
      </c>
      <c r="E105" s="176">
        <v>3727000</v>
      </c>
      <c r="F105" s="209">
        <v>1957000</v>
      </c>
      <c r="G105" s="209">
        <v>41042000</v>
      </c>
      <c r="H105" s="268">
        <f>H122*H62</f>
        <v>12249858.155773632</v>
      </c>
      <c r="I105" s="217">
        <f t="shared" ref="I105:L105" si="93">I122*I62</f>
        <v>15623347.308031784</v>
      </c>
      <c r="J105" s="217">
        <f t="shared" si="93"/>
        <v>20491353.178181384</v>
      </c>
      <c r="K105" s="217">
        <f t="shared" si="93"/>
        <v>29561223.233950924</v>
      </c>
      <c r="L105" s="218">
        <f t="shared" si="93"/>
        <v>36403998.388230756</v>
      </c>
    </row>
    <row r="106" spans="1:12" ht="15.5" x14ac:dyDescent="0.35">
      <c r="A106" s="173" t="s">
        <v>127</v>
      </c>
      <c r="B106" s="174"/>
      <c r="C106" s="175">
        <v>5006000</v>
      </c>
      <c r="D106" s="175">
        <v>6571000</v>
      </c>
      <c r="E106" s="176">
        <v>10071000</v>
      </c>
      <c r="F106" s="209">
        <v>8624000</v>
      </c>
      <c r="G106" s="209">
        <v>8970000</v>
      </c>
      <c r="H106" s="263">
        <f>AVERAGE(C106:G106)</f>
        <v>7848400</v>
      </c>
      <c r="I106" s="179">
        <f t="shared" ref="I106:L106" si="94">AVERAGE(D106:H106)</f>
        <v>8416880</v>
      </c>
      <c r="J106" s="179">
        <f t="shared" si="94"/>
        <v>8786056</v>
      </c>
      <c r="K106" s="179">
        <f t="shared" si="94"/>
        <v>8529067.1999999993</v>
      </c>
      <c r="L106" s="216">
        <f t="shared" si="94"/>
        <v>8510080.6400000006</v>
      </c>
    </row>
    <row r="107" spans="1:12" ht="15.5" x14ac:dyDescent="0.35">
      <c r="A107" s="173" t="s">
        <v>109</v>
      </c>
      <c r="B107" s="174"/>
      <c r="C107" s="175">
        <v>8837000</v>
      </c>
      <c r="D107" s="175">
        <v>7716000</v>
      </c>
      <c r="E107" s="176">
        <v>9289000</v>
      </c>
      <c r="F107" s="209">
        <v>9814000</v>
      </c>
      <c r="G107" s="209">
        <v>12374000</v>
      </c>
      <c r="H107" s="263">
        <f t="shared" ref="H107:H109" si="95">AVERAGE(C107:G107)</f>
        <v>9606000</v>
      </c>
      <c r="I107" s="179">
        <f t="shared" ref="I107:I109" si="96">AVERAGE(D107:H107)</f>
        <v>9759800</v>
      </c>
      <c r="J107" s="179">
        <f t="shared" ref="J107:J109" si="97">AVERAGE(E107:I107)</f>
        <v>10168560</v>
      </c>
      <c r="K107" s="179">
        <f t="shared" ref="K107:K109" si="98">AVERAGE(F107:J107)</f>
        <v>10344472</v>
      </c>
      <c r="L107" s="216">
        <f t="shared" ref="L107:L109" si="99">AVERAGE(G107:K107)</f>
        <v>10450566.4</v>
      </c>
    </row>
    <row r="108" spans="1:12" ht="15.5" x14ac:dyDescent="0.35">
      <c r="A108" s="173" t="s">
        <v>128</v>
      </c>
      <c r="B108" s="174"/>
      <c r="C108" s="175">
        <v>4266000</v>
      </c>
      <c r="D108" s="175">
        <v>4344000</v>
      </c>
      <c r="E108" s="176">
        <v>4811000</v>
      </c>
      <c r="F108" s="209">
        <v>4742000</v>
      </c>
      <c r="G108" s="209">
        <v>10518000</v>
      </c>
      <c r="H108" s="263">
        <f t="shared" si="95"/>
        <v>5736200</v>
      </c>
      <c r="I108" s="179">
        <f t="shared" si="96"/>
        <v>6030240</v>
      </c>
      <c r="J108" s="179">
        <f t="shared" si="97"/>
        <v>6367488</v>
      </c>
      <c r="K108" s="179">
        <f t="shared" si="98"/>
        <v>6678785.5999999996</v>
      </c>
      <c r="L108" s="216">
        <f t="shared" si="99"/>
        <v>7066142.7200000007</v>
      </c>
    </row>
    <row r="109" spans="1:12" ht="15.5" x14ac:dyDescent="0.35">
      <c r="A109" s="173" t="s">
        <v>87</v>
      </c>
      <c r="B109" s="174"/>
      <c r="C109" s="175">
        <v>36029000</v>
      </c>
      <c r="D109" s="175">
        <v>13330000</v>
      </c>
      <c r="E109" s="176">
        <v>11265000</v>
      </c>
      <c r="F109" s="209">
        <v>12585000</v>
      </c>
      <c r="G109" s="209">
        <v>17832000</v>
      </c>
      <c r="H109" s="263">
        <f t="shared" si="95"/>
        <v>18208200</v>
      </c>
      <c r="I109" s="179">
        <f t="shared" si="96"/>
        <v>14644040</v>
      </c>
      <c r="J109" s="179">
        <f t="shared" si="97"/>
        <v>14906848</v>
      </c>
      <c r="K109" s="179">
        <f t="shared" si="98"/>
        <v>15635217.6</v>
      </c>
      <c r="L109" s="216">
        <f t="shared" si="99"/>
        <v>16245261.119999999</v>
      </c>
    </row>
    <row r="110" spans="1:12" ht="15.5" x14ac:dyDescent="0.35">
      <c r="A110" s="173" t="s">
        <v>79</v>
      </c>
      <c r="B110" s="174"/>
      <c r="C110" s="175">
        <v>2474000</v>
      </c>
      <c r="D110" s="175">
        <v>2830000</v>
      </c>
      <c r="E110" s="176">
        <v>2101000</v>
      </c>
      <c r="F110" s="209">
        <v>3228000</v>
      </c>
      <c r="G110" s="209">
        <v>32173000</v>
      </c>
      <c r="H110" s="263">
        <f>H123*H62</f>
        <v>9815624.6219490189</v>
      </c>
      <c r="I110" s="179">
        <f t="shared" ref="I110:L110" si="100">I123*I62</f>
        <v>12524639.091983162</v>
      </c>
      <c r="J110" s="179">
        <f t="shared" si="100"/>
        <v>16450762.73079635</v>
      </c>
      <c r="K110" s="179">
        <f t="shared" si="100"/>
        <v>24070619.555552874</v>
      </c>
      <c r="L110" s="216">
        <f t="shared" si="100"/>
        <v>29292466.937719434</v>
      </c>
    </row>
    <row r="111" spans="1:12" ht="15.5" x14ac:dyDescent="0.35">
      <c r="A111" s="173" t="s">
        <v>129</v>
      </c>
      <c r="B111" s="174"/>
      <c r="C111" s="175">
        <v>11896000</v>
      </c>
      <c r="D111" s="175">
        <v>16660000</v>
      </c>
      <c r="E111" s="176">
        <v>22867000</v>
      </c>
      <c r="F111" s="209">
        <v>29242000</v>
      </c>
      <c r="G111" s="209">
        <v>21030000</v>
      </c>
      <c r="H111" s="263">
        <f>AVERAGE(C111:G111)</f>
        <v>20339000</v>
      </c>
      <c r="I111" s="179">
        <f t="shared" ref="I111:L113" si="101">AVERAGE(D111:H111)</f>
        <v>22027600</v>
      </c>
      <c r="J111" s="179">
        <f t="shared" si="101"/>
        <v>23101120</v>
      </c>
      <c r="K111" s="179">
        <f t="shared" si="101"/>
        <v>23147944</v>
      </c>
      <c r="L111" s="216">
        <f t="shared" si="101"/>
        <v>21929132.800000001</v>
      </c>
    </row>
    <row r="112" spans="1:12" ht="15.5" x14ac:dyDescent="0.35">
      <c r="A112" s="173" t="s">
        <v>130</v>
      </c>
      <c r="B112" s="174"/>
      <c r="C112" s="175">
        <v>27834000</v>
      </c>
      <c r="D112" s="175">
        <v>32949000</v>
      </c>
      <c r="E112" s="176">
        <v>29990000</v>
      </c>
      <c r="F112" s="209">
        <v>35678000</v>
      </c>
      <c r="G112" s="209">
        <v>52355000</v>
      </c>
      <c r="H112" s="263">
        <f t="shared" ref="H112:H113" si="102">AVERAGE(C112:G112)</f>
        <v>35761200</v>
      </c>
      <c r="I112" s="179">
        <f t="shared" si="101"/>
        <v>37346640</v>
      </c>
      <c r="J112" s="179">
        <f t="shared" si="101"/>
        <v>38226168</v>
      </c>
      <c r="K112" s="179">
        <f t="shared" si="101"/>
        <v>39873401.600000001</v>
      </c>
      <c r="L112" s="216">
        <f t="shared" si="101"/>
        <v>40712481.920000002</v>
      </c>
    </row>
    <row r="113" spans="1:12" ht="15.5" x14ac:dyDescent="0.35">
      <c r="A113" s="173" t="s">
        <v>131</v>
      </c>
      <c r="B113" s="174"/>
      <c r="C113" s="175">
        <v>18784000</v>
      </c>
      <c r="D113" s="175">
        <v>19840000</v>
      </c>
      <c r="E113" s="176">
        <v>18964000</v>
      </c>
      <c r="F113" s="209">
        <v>24129000</v>
      </c>
      <c r="G113" s="209">
        <v>28797000</v>
      </c>
      <c r="H113" s="263">
        <f t="shared" si="102"/>
        <v>22102800</v>
      </c>
      <c r="I113" s="179">
        <f t="shared" si="101"/>
        <v>22766560</v>
      </c>
      <c r="J113" s="179">
        <f t="shared" si="101"/>
        <v>23351872</v>
      </c>
      <c r="K113" s="179">
        <f t="shared" si="101"/>
        <v>24229446.399999999</v>
      </c>
      <c r="L113" s="216">
        <f t="shared" si="101"/>
        <v>24249535.68</v>
      </c>
    </row>
    <row r="114" spans="1:12" ht="15.5" x14ac:dyDescent="0.35">
      <c r="A114" s="173" t="s">
        <v>132</v>
      </c>
      <c r="B114" s="174"/>
      <c r="C114" s="175">
        <v>2829000</v>
      </c>
      <c r="D114" s="175">
        <v>1361000</v>
      </c>
      <c r="E114" s="176">
        <v>2700000</v>
      </c>
      <c r="F114" s="209">
        <v>5144000</v>
      </c>
      <c r="G114" s="209">
        <v>9807000</v>
      </c>
      <c r="H114" s="264">
        <f>H124*H18</f>
        <v>7521345.352651109</v>
      </c>
      <c r="I114" s="241">
        <f t="shared" ref="I114:L114" si="103">I124*I18</f>
        <v>8541008.0333621297</v>
      </c>
      <c r="J114" s="241">
        <f t="shared" si="103"/>
        <v>10809620.686830046</v>
      </c>
      <c r="K114" s="241">
        <f t="shared" si="103"/>
        <v>14017400.746430973</v>
      </c>
      <c r="L114" s="279">
        <f t="shared" si="103"/>
        <v>18892668.689125445</v>
      </c>
    </row>
    <row r="115" spans="1:12" ht="15.5" x14ac:dyDescent="0.35">
      <c r="A115" s="173" t="s">
        <v>133</v>
      </c>
      <c r="B115" s="174"/>
      <c r="C115" s="175">
        <v>6986000</v>
      </c>
      <c r="D115" s="175">
        <v>4894000</v>
      </c>
      <c r="E115" s="176">
        <v>3199000</v>
      </c>
      <c r="F115" s="209">
        <v>6068000</v>
      </c>
      <c r="G115" s="209">
        <v>10910000</v>
      </c>
      <c r="H115" s="263">
        <f>H125*H62</f>
        <v>7423109.8312915843</v>
      </c>
      <c r="I115" s="179">
        <f t="shared" ref="I115:L115" si="104">I125*I62</f>
        <v>8150840.7066331608</v>
      </c>
      <c r="J115" s="179">
        <f t="shared" si="104"/>
        <v>9795583.0204754323</v>
      </c>
      <c r="K115" s="179">
        <f t="shared" si="104"/>
        <v>13592992.60876843</v>
      </c>
      <c r="L115" s="216">
        <f t="shared" si="104"/>
        <v>17296137.901362099</v>
      </c>
    </row>
    <row r="116" spans="1:12" ht="15.5" x14ac:dyDescent="0.35">
      <c r="A116" s="173" t="s">
        <v>134</v>
      </c>
      <c r="B116" s="174"/>
      <c r="C116" s="175">
        <v>17946000</v>
      </c>
      <c r="D116" s="175">
        <v>6333000</v>
      </c>
      <c r="E116" s="176">
        <v>5453000</v>
      </c>
      <c r="F116" s="209">
        <v>2487000</v>
      </c>
      <c r="G116" s="209">
        <v>29988000</v>
      </c>
      <c r="H116" s="263">
        <f>AVERAGE(C116:G116)</f>
        <v>12441400</v>
      </c>
      <c r="I116" s="179">
        <f t="shared" ref="I116:L116" si="105">AVERAGE(D116:H116)</f>
        <v>11340480</v>
      </c>
      <c r="J116" s="179">
        <f t="shared" si="105"/>
        <v>12341976</v>
      </c>
      <c r="K116" s="179">
        <f t="shared" si="105"/>
        <v>13719771.199999999</v>
      </c>
      <c r="L116" s="216">
        <f t="shared" si="105"/>
        <v>15966325.440000001</v>
      </c>
    </row>
    <row r="117" spans="1:12" ht="15.5" x14ac:dyDescent="0.35">
      <c r="A117" s="173" t="s">
        <v>135</v>
      </c>
      <c r="B117" s="174"/>
      <c r="C117" s="175">
        <v>2580000</v>
      </c>
      <c r="D117" s="175">
        <v>2530000</v>
      </c>
      <c r="E117" s="176">
        <v>3453000</v>
      </c>
      <c r="F117" s="209">
        <v>6001000</v>
      </c>
      <c r="G117" s="209">
        <v>3908000</v>
      </c>
      <c r="H117" s="263">
        <f>AVERAGE(C117:G117)</f>
        <v>3694400</v>
      </c>
      <c r="I117" s="179">
        <f t="shared" ref="I117:L117" si="106">AVERAGE(D117:H117)</f>
        <v>3917280</v>
      </c>
      <c r="J117" s="179">
        <f t="shared" si="106"/>
        <v>4194736</v>
      </c>
      <c r="K117" s="179">
        <f t="shared" si="106"/>
        <v>4343083.2</v>
      </c>
      <c r="L117" s="216">
        <f t="shared" si="106"/>
        <v>4011499.84</v>
      </c>
    </row>
    <row r="118" spans="1:12" ht="16" thickBot="1" x14ac:dyDescent="0.4">
      <c r="A118" s="173"/>
      <c r="B118" s="174"/>
      <c r="C118" s="197">
        <f t="shared" ref="C118:E118" si="107">SUM(C97:C117)</f>
        <v>485457000</v>
      </c>
      <c r="D118" s="197">
        <f t="shared" si="107"/>
        <v>459767000</v>
      </c>
      <c r="E118" s="198">
        <f t="shared" si="107"/>
        <v>482403500</v>
      </c>
      <c r="F118" s="198">
        <f>SUM(F97:F101,F103:F117)</f>
        <v>552145000</v>
      </c>
      <c r="G118" s="197">
        <f>SUM(G97:G101,G103:G117)+28300000</f>
        <v>975189000</v>
      </c>
      <c r="H118" s="283">
        <f>SUM(H97:H101,H103:H117)</f>
        <v>624964321.30881751</v>
      </c>
      <c r="I118" s="200">
        <f t="shared" ref="I118:L118" si="108">SUM(I97:I101,I103:I117)</f>
        <v>675217265.57527542</v>
      </c>
      <c r="J118" s="200">
        <f t="shared" si="108"/>
        <v>764956521.85532367</v>
      </c>
      <c r="K118" s="200">
        <f t="shared" si="108"/>
        <v>930792650.71358609</v>
      </c>
      <c r="L118" s="219">
        <f t="shared" si="108"/>
        <v>1133424338.3113561</v>
      </c>
    </row>
    <row r="119" spans="1:12" ht="16" thickTop="1" x14ac:dyDescent="0.35">
      <c r="A119" s="173"/>
      <c r="B119" s="174"/>
      <c r="C119" s="175"/>
      <c r="D119" s="175"/>
      <c r="E119" s="176"/>
      <c r="H119" s="263"/>
      <c r="L119" s="215"/>
    </row>
    <row r="120" spans="1:12" ht="15.5" x14ac:dyDescent="0.35">
      <c r="A120" s="173" t="s">
        <v>96</v>
      </c>
      <c r="B120" s="174"/>
      <c r="C120" s="175">
        <f t="shared" ref="C120:E120" si="109">C97/C62</f>
        <v>675357.14285714284</v>
      </c>
      <c r="D120" s="175">
        <f t="shared" si="109"/>
        <v>646670.25089605735</v>
      </c>
      <c r="E120" s="176">
        <f t="shared" si="109"/>
        <v>728992.75362318836</v>
      </c>
      <c r="F120" s="176">
        <f t="shared" ref="F120:G120" si="110">F97/F62</f>
        <v>822142.85714285716</v>
      </c>
      <c r="G120" s="175">
        <f t="shared" si="110"/>
        <v>1514330.985915493</v>
      </c>
      <c r="H120" s="263">
        <f>AVERAGE(C120:G120)</f>
        <v>877498.79808694776</v>
      </c>
      <c r="I120" s="179">
        <f t="shared" ref="I120:K125" si="111">AVERAGE(D120:H120)</f>
        <v>917927.12913290877</v>
      </c>
      <c r="J120" s="179">
        <f t="shared" si="111"/>
        <v>972178.50478027912</v>
      </c>
      <c r="K120" s="179">
        <f t="shared" si="111"/>
        <v>1020815.6550116971</v>
      </c>
      <c r="L120" s="216">
        <f t="shared" ref="L120" si="112">AVERAGE(E120:K120)</f>
        <v>979126.66909905314</v>
      </c>
    </row>
    <row r="121" spans="1:12" ht="15.5" x14ac:dyDescent="0.35">
      <c r="A121" s="173" t="s">
        <v>100</v>
      </c>
      <c r="B121" s="174"/>
      <c r="C121" s="175">
        <f t="shared" ref="C121:E121" si="113">C101/C62</f>
        <v>22282.142857142859</v>
      </c>
      <c r="D121" s="175">
        <f t="shared" si="113"/>
        <v>29362.007168458782</v>
      </c>
      <c r="E121" s="176">
        <f t="shared" si="113"/>
        <v>22731.884057971016</v>
      </c>
      <c r="F121" s="176">
        <f t="shared" ref="F121:G121" si="114">F101/F62</f>
        <v>31029.304029304029</v>
      </c>
      <c r="G121" s="175">
        <f t="shared" si="114"/>
        <v>39929.57746478873</v>
      </c>
      <c r="H121" s="263">
        <f t="shared" ref="H121:H125" si="115">AVERAGE(C121:G121)</f>
        <v>29066.983115533083</v>
      </c>
      <c r="I121" s="179">
        <f t="shared" si="111"/>
        <v>30423.951167211129</v>
      </c>
      <c r="J121" s="179">
        <f t="shared" si="111"/>
        <v>30636.339966961601</v>
      </c>
      <c r="K121" s="179">
        <f t="shared" si="111"/>
        <v>32217.231148759711</v>
      </c>
      <c r="L121" s="216">
        <f t="shared" ref="L121:L125" si="116">AVERAGE(E121:K121)</f>
        <v>30862.18156436133</v>
      </c>
    </row>
    <row r="122" spans="1:12" ht="15.5" x14ac:dyDescent="0.35">
      <c r="A122" s="173" t="s">
        <v>136</v>
      </c>
      <c r="B122" s="174"/>
      <c r="C122" s="175">
        <f t="shared" ref="C122:E122" si="117">C105/C62</f>
        <v>11128.571428571429</v>
      </c>
      <c r="D122" s="175">
        <f t="shared" si="117"/>
        <v>13007.168458781362</v>
      </c>
      <c r="E122" s="176">
        <f t="shared" si="117"/>
        <v>13503.623188405798</v>
      </c>
      <c r="F122" s="176">
        <f t="shared" ref="F122:G122" si="118">F105/F62</f>
        <v>7168.4981684981685</v>
      </c>
      <c r="G122" s="175">
        <f t="shared" si="118"/>
        <v>144514.08450704225</v>
      </c>
      <c r="H122" s="263">
        <f t="shared" si="115"/>
        <v>37864.389150259798</v>
      </c>
      <c r="I122" s="179">
        <f t="shared" si="111"/>
        <v>43211.552694597478</v>
      </c>
      <c r="J122" s="179">
        <f t="shared" si="111"/>
        <v>49252.429541760699</v>
      </c>
      <c r="K122" s="179">
        <f t="shared" si="111"/>
        <v>56402.190812431669</v>
      </c>
      <c r="L122" s="216">
        <f t="shared" si="116"/>
        <v>50273.824008999407</v>
      </c>
    </row>
    <row r="123" spans="1:12" ht="15.5" x14ac:dyDescent="0.35">
      <c r="A123" s="173" t="s">
        <v>99</v>
      </c>
      <c r="B123" s="174"/>
      <c r="C123" s="175">
        <f t="shared" ref="C123:E123" si="119">C110/C62</f>
        <v>8835.7142857142862</v>
      </c>
      <c r="D123" s="175">
        <f t="shared" si="119"/>
        <v>10143.36917562724</v>
      </c>
      <c r="E123" s="176">
        <f t="shared" si="119"/>
        <v>7612.31884057971</v>
      </c>
      <c r="F123" s="176">
        <f t="shared" ref="F123" si="120">F110/F62</f>
        <v>11824.175824175823</v>
      </c>
      <c r="G123" s="175">
        <f>G110/G62</f>
        <v>113285.21126760563</v>
      </c>
      <c r="H123" s="263">
        <f t="shared" si="115"/>
        <v>30340.157878740538</v>
      </c>
      <c r="I123" s="179">
        <f t="shared" si="111"/>
        <v>34641.04659734579</v>
      </c>
      <c r="J123" s="179">
        <f t="shared" si="111"/>
        <v>39540.582081689499</v>
      </c>
      <c r="K123" s="179">
        <f t="shared" si="111"/>
        <v>45926.234729911455</v>
      </c>
      <c r="L123" s="216">
        <f t="shared" si="116"/>
        <v>40452.818174292632</v>
      </c>
    </row>
    <row r="124" spans="1:12" ht="15.5" x14ac:dyDescent="0.35">
      <c r="A124" s="173" t="s">
        <v>138</v>
      </c>
      <c r="B124" s="174"/>
      <c r="C124" s="210">
        <f t="shared" ref="C124:E124" si="121">C114/C18</f>
        <v>1.8649070434809902E-5</v>
      </c>
      <c r="D124" s="210">
        <f t="shared" si="121"/>
        <v>1.0320305897203263E-5</v>
      </c>
      <c r="E124" s="210">
        <f t="shared" si="121"/>
        <v>1.9337803144773711E-5</v>
      </c>
      <c r="F124" s="210">
        <f t="shared" ref="F124:G124" si="122">F114/F18</f>
        <v>2.2979276922654188E-5</v>
      </c>
      <c r="G124" s="210">
        <f t="shared" si="122"/>
        <v>3.0126220662576687E-5</v>
      </c>
      <c r="H124" s="293">
        <f t="shared" si="115"/>
        <v>2.0282535412403551E-5</v>
      </c>
      <c r="I124" s="294">
        <f t="shared" si="111"/>
        <v>2.0609228407922281E-5</v>
      </c>
      <c r="J124" s="294">
        <f t="shared" si="111"/>
        <v>2.2667012910066081E-5</v>
      </c>
      <c r="K124" s="294">
        <f t="shared" si="111"/>
        <v>2.3332854863124556E-5</v>
      </c>
      <c r="L124" s="295">
        <f t="shared" si="116"/>
        <v>2.2762133189074437E-5</v>
      </c>
    </row>
    <row r="125" spans="1:12" ht="16" thickBot="1" x14ac:dyDescent="0.4">
      <c r="A125" s="193" t="s">
        <v>137</v>
      </c>
      <c r="B125" s="194"/>
      <c r="C125" s="211">
        <f t="shared" ref="C125:E125" si="123">C115/C62</f>
        <v>24950</v>
      </c>
      <c r="D125" s="211">
        <f t="shared" si="123"/>
        <v>17541.218637992832</v>
      </c>
      <c r="E125" s="212">
        <f t="shared" si="123"/>
        <v>11590.579710144928</v>
      </c>
      <c r="F125" s="212">
        <f t="shared" ref="F125:G125" si="124">F115/F62</f>
        <v>22227.106227106226</v>
      </c>
      <c r="G125" s="211">
        <f t="shared" si="124"/>
        <v>38415.492957746479</v>
      </c>
      <c r="H125" s="290">
        <f t="shared" si="115"/>
        <v>22944.879506598092</v>
      </c>
      <c r="I125" s="222">
        <f t="shared" si="111"/>
        <v>22543.855407917712</v>
      </c>
      <c r="J125" s="222">
        <f t="shared" si="111"/>
        <v>23544.382761902689</v>
      </c>
      <c r="K125" s="222">
        <f t="shared" si="111"/>
        <v>25935.143372254239</v>
      </c>
      <c r="L125" s="223">
        <f t="shared" si="116"/>
        <v>23885.919991952913</v>
      </c>
    </row>
    <row r="126" spans="1:12" ht="14.5" thickBot="1" x14ac:dyDescent="0.35">
      <c r="H126" s="159"/>
    </row>
    <row r="127" spans="1:12" x14ac:dyDescent="0.3">
      <c r="A127" s="166"/>
      <c r="B127" s="167"/>
      <c r="C127" s="168">
        <v>43617</v>
      </c>
      <c r="D127" s="168">
        <v>43983</v>
      </c>
      <c r="E127" s="169">
        <v>44348</v>
      </c>
      <c r="F127" s="169">
        <v>44713</v>
      </c>
      <c r="G127" s="168">
        <v>45078</v>
      </c>
      <c r="H127" s="262">
        <v>45444</v>
      </c>
      <c r="I127" s="171">
        <v>45809</v>
      </c>
      <c r="J127" s="171">
        <v>46174</v>
      </c>
      <c r="K127" s="171">
        <v>46539</v>
      </c>
      <c r="L127" s="214">
        <v>46905</v>
      </c>
    </row>
    <row r="128" spans="1:12" x14ac:dyDescent="0.3">
      <c r="A128" s="173" t="s">
        <v>9</v>
      </c>
      <c r="B128" s="174"/>
      <c r="E128" s="174"/>
      <c r="H128" s="173"/>
      <c r="L128" s="215"/>
    </row>
    <row r="129" spans="1:12" ht="15.5" x14ac:dyDescent="0.35">
      <c r="A129" s="173" t="s">
        <v>139</v>
      </c>
      <c r="B129" s="174"/>
      <c r="C129" s="175">
        <v>4673000</v>
      </c>
      <c r="D129" s="175">
        <v>4928000</v>
      </c>
      <c r="E129" s="176">
        <v>5000000</v>
      </c>
      <c r="F129" s="177">
        <v>7500000</v>
      </c>
      <c r="G129" s="177">
        <v>19763000</v>
      </c>
      <c r="H129" s="263">
        <f>AVERAGE(C129:G129)</f>
        <v>8372800</v>
      </c>
      <c r="I129" s="179">
        <f t="shared" ref="I129:L129" si="125">AVERAGE(D129:H129)</f>
        <v>9112760</v>
      </c>
      <c r="J129" s="179">
        <f t="shared" si="125"/>
        <v>9949712</v>
      </c>
      <c r="K129" s="179">
        <f t="shared" si="125"/>
        <v>10939654.4</v>
      </c>
      <c r="L129" s="216">
        <f t="shared" si="125"/>
        <v>11627585.279999999</v>
      </c>
    </row>
    <row r="130" spans="1:12" ht="15.5" x14ac:dyDescent="0.35">
      <c r="A130" s="173" t="s">
        <v>140</v>
      </c>
      <c r="B130" s="174"/>
      <c r="C130" s="175">
        <v>61258500</v>
      </c>
      <c r="D130" s="175">
        <v>53000250</v>
      </c>
      <c r="E130" s="176">
        <v>86817000</v>
      </c>
      <c r="F130" s="177">
        <v>811406000</v>
      </c>
      <c r="G130" s="177">
        <v>172393000</v>
      </c>
      <c r="H130" s="268">
        <f>H136*H62</f>
        <v>278388333.7413398</v>
      </c>
      <c r="I130" s="217">
        <f t="shared" ref="I130:L130" si="126">I136*I62</f>
        <v>357521382.48893428</v>
      </c>
      <c r="J130" s="217">
        <f t="shared" si="126"/>
        <v>477880487.68588221</v>
      </c>
      <c r="K130" s="217">
        <f t="shared" si="126"/>
        <v>689437885.26837826</v>
      </c>
      <c r="L130" s="218">
        <f t="shared" si="126"/>
        <v>712588578.3247261</v>
      </c>
    </row>
    <row r="131" spans="1:12" ht="15.5" x14ac:dyDescent="0.35">
      <c r="A131" s="173" t="s">
        <v>141</v>
      </c>
      <c r="B131" s="174"/>
      <c r="C131" s="175">
        <v>28406500</v>
      </c>
      <c r="D131" s="175">
        <v>9131000</v>
      </c>
      <c r="E131" s="176">
        <v>36270000</v>
      </c>
      <c r="F131" s="177">
        <v>309930000</v>
      </c>
      <c r="G131" s="177">
        <v>75332000</v>
      </c>
      <c r="H131" s="264">
        <f>H137*H62</f>
        <v>107804416.69280739</v>
      </c>
      <c r="I131" s="241">
        <f t="shared" ref="I131:L131" si="127">I137*I62</f>
        <v>137238492.98232573</v>
      </c>
      <c r="J131" s="241">
        <f t="shared" si="127"/>
        <v>186784055.64290389</v>
      </c>
      <c r="K131" s="241">
        <f t="shared" si="127"/>
        <v>268585754.63505805</v>
      </c>
      <c r="L131" s="279">
        <f t="shared" si="127"/>
        <v>280878319.5393703</v>
      </c>
    </row>
    <row r="132" spans="1:12" ht="15.5" x14ac:dyDescent="0.35">
      <c r="A132" s="173" t="s">
        <v>142</v>
      </c>
      <c r="B132" s="174"/>
      <c r="C132" s="175">
        <v>1260000</v>
      </c>
      <c r="D132" s="175">
        <v>21000</v>
      </c>
      <c r="E132" s="176">
        <v>10500000</v>
      </c>
      <c r="F132" s="177">
        <v>1230000</v>
      </c>
      <c r="G132" s="177">
        <v>0</v>
      </c>
      <c r="H132" s="263">
        <f>AVERAGE(C132:G132)</f>
        <v>2602200</v>
      </c>
      <c r="I132" s="179">
        <f t="shared" ref="I132:L132" si="128">AVERAGE(D132:H132)</f>
        <v>2870640</v>
      </c>
      <c r="J132" s="179">
        <f t="shared" si="128"/>
        <v>3440568</v>
      </c>
      <c r="K132" s="179">
        <f t="shared" si="128"/>
        <v>2028681.6</v>
      </c>
      <c r="L132" s="216">
        <f t="shared" si="128"/>
        <v>2188417.92</v>
      </c>
    </row>
    <row r="133" spans="1:12" ht="15.5" x14ac:dyDescent="0.35">
      <c r="A133" s="173" t="s">
        <v>143</v>
      </c>
      <c r="B133" s="174"/>
      <c r="C133" s="175">
        <v>17830000</v>
      </c>
      <c r="D133" s="175">
        <v>28958000</v>
      </c>
      <c r="E133" s="176">
        <v>32638000</v>
      </c>
      <c r="F133" s="177">
        <v>80505000</v>
      </c>
      <c r="G133" s="177">
        <v>2175700000</v>
      </c>
      <c r="H133" s="268">
        <f>H138*H18</f>
        <v>564702849.43906486</v>
      </c>
      <c r="I133" s="217">
        <f t="shared" ref="I133:L133" si="129">I138*I18</f>
        <v>747570758.04049611</v>
      </c>
      <c r="J133" s="217">
        <f t="shared" si="129"/>
        <v>1011347920.7011409</v>
      </c>
      <c r="K133" s="217">
        <f t="shared" si="129"/>
        <v>1500764985.7829835</v>
      </c>
      <c r="L133" s="218">
        <f t="shared" si="129"/>
        <v>2428439985.9649634</v>
      </c>
    </row>
    <row r="134" spans="1:12" ht="16" thickBot="1" x14ac:dyDescent="0.4">
      <c r="A134" s="173"/>
      <c r="B134" s="174"/>
      <c r="C134" s="197">
        <f t="shared" ref="C134:E134" si="130">SUM(C129:C133)</f>
        <v>113428000</v>
      </c>
      <c r="D134" s="197">
        <f t="shared" si="130"/>
        <v>96038250</v>
      </c>
      <c r="E134" s="198">
        <f t="shared" si="130"/>
        <v>171225000</v>
      </c>
      <c r="F134" s="198">
        <f>SUM(F129:F133)</f>
        <v>1210571000</v>
      </c>
      <c r="G134" s="197">
        <f>SUM(G129:G133)</f>
        <v>2443188000</v>
      </c>
      <c r="H134" s="302">
        <f>+SUM(H129:H133)</f>
        <v>961870599.8732121</v>
      </c>
      <c r="I134" s="303">
        <f t="shared" ref="I134:L134" si="131">+SUM(I129:I133)</f>
        <v>1254314033.5117562</v>
      </c>
      <c r="J134" s="303">
        <f t="shared" si="131"/>
        <v>1689402744.029927</v>
      </c>
      <c r="K134" s="303">
        <f t="shared" si="131"/>
        <v>2471756961.68642</v>
      </c>
      <c r="L134" s="304">
        <f t="shared" si="131"/>
        <v>3435722887.0290599</v>
      </c>
    </row>
    <row r="135" spans="1:12" ht="16" thickTop="1" x14ac:dyDescent="0.35">
      <c r="A135" s="173"/>
      <c r="B135" s="174"/>
      <c r="C135" s="175"/>
      <c r="D135" s="175"/>
      <c r="E135" s="176"/>
      <c r="H135" s="173"/>
      <c r="L135" s="215"/>
    </row>
    <row r="136" spans="1:12" ht="15.5" x14ac:dyDescent="0.35">
      <c r="A136" s="173" t="s">
        <v>144</v>
      </c>
      <c r="B136" s="174"/>
      <c r="C136" s="175">
        <f>C130/C62</f>
        <v>218780.35714285713</v>
      </c>
      <c r="D136" s="175">
        <f>D130/D62</f>
        <v>189965.05376344087</v>
      </c>
      <c r="E136" s="176">
        <f>E130/E62</f>
        <v>314554.34782608697</v>
      </c>
      <c r="F136" s="176">
        <f>F130/F62</f>
        <v>2972183.1501831501</v>
      </c>
      <c r="G136" s="175">
        <f>G130/G62</f>
        <v>607017.60563380283</v>
      </c>
      <c r="H136" s="263">
        <f>AVERAGE(C136:G136)</f>
        <v>860500.10290986765</v>
      </c>
      <c r="I136" s="179">
        <f t="shared" ref="I136:L138" si="132">AVERAGE(D136:H136)</f>
        <v>988844.05206326954</v>
      </c>
      <c r="J136" s="179">
        <f t="shared" si="132"/>
        <v>1148619.8517232356</v>
      </c>
      <c r="K136" s="179">
        <f t="shared" si="132"/>
        <v>1315432.9525026649</v>
      </c>
      <c r="L136" s="216">
        <f t="shared" si="132"/>
        <v>984082.91296656802</v>
      </c>
    </row>
    <row r="137" spans="1:12" ht="15.5" x14ac:dyDescent="0.35">
      <c r="A137" s="173" t="s">
        <v>145</v>
      </c>
      <c r="B137" s="174"/>
      <c r="C137" s="175">
        <f>C131/C62</f>
        <v>101451.78571428571</v>
      </c>
      <c r="D137" s="175">
        <f>D131/D62</f>
        <v>32727.598566308243</v>
      </c>
      <c r="E137" s="176">
        <f>E131/E62</f>
        <v>131413.04347826086</v>
      </c>
      <c r="F137" s="176">
        <f t="shared" ref="F137:G137" si="133">F131/F62</f>
        <v>1135274.7252747254</v>
      </c>
      <c r="G137" s="175">
        <f t="shared" si="133"/>
        <v>265253.52112676058</v>
      </c>
      <c r="H137" s="263">
        <f t="shared" ref="H137:H138" si="134">AVERAGE(C137:G137)</f>
        <v>333224.13483206817</v>
      </c>
      <c r="I137" s="179">
        <f t="shared" si="132"/>
        <v>379578.60465562466</v>
      </c>
      <c r="J137" s="179">
        <f t="shared" si="132"/>
        <v>448948.8058734879</v>
      </c>
      <c r="K137" s="179">
        <f t="shared" si="132"/>
        <v>512455.95835253334</v>
      </c>
      <c r="L137" s="216">
        <f t="shared" si="132"/>
        <v>387892.20496809494</v>
      </c>
    </row>
    <row r="138" spans="1:12" ht="16" thickBot="1" x14ac:dyDescent="0.4">
      <c r="A138" s="193" t="s">
        <v>146</v>
      </c>
      <c r="B138" s="194"/>
      <c r="C138" s="213">
        <f>C133/C18</f>
        <v>1.1753726611971033E-4</v>
      </c>
      <c r="D138" s="213">
        <f t="shared" ref="D138:G138" si="135">D133/D18</f>
        <v>2.1958517132344751E-4</v>
      </c>
      <c r="E138" s="213">
        <f t="shared" si="135"/>
        <v>2.3375822927374976E-4</v>
      </c>
      <c r="F138" s="213">
        <f t="shared" si="135"/>
        <v>3.5963193791957145E-4</v>
      </c>
      <c r="G138" s="213">
        <f t="shared" si="135"/>
        <v>6.6835544300569089E-3</v>
      </c>
      <c r="H138" s="296">
        <f t="shared" si="134"/>
        <v>1.5228134069386774E-3</v>
      </c>
      <c r="I138" s="297">
        <f t="shared" si="132"/>
        <v>1.8038686351024712E-3</v>
      </c>
      <c r="J138" s="297">
        <f t="shared" si="132"/>
        <v>2.1207253278582756E-3</v>
      </c>
      <c r="K138" s="297">
        <f t="shared" si="132"/>
        <v>2.4981187475751807E-3</v>
      </c>
      <c r="L138" s="298">
        <f t="shared" si="132"/>
        <v>2.9258161095063028E-3</v>
      </c>
    </row>
    <row r="139" spans="1:12" x14ac:dyDescent="0.3">
      <c r="B139" s="174"/>
      <c r="H139" s="159"/>
    </row>
    <row r="140" spans="1:12" ht="14.5" thickBot="1" x14ac:dyDescent="0.35">
      <c r="B140" s="174"/>
      <c r="H140" s="159"/>
    </row>
    <row r="141" spans="1:12" x14ac:dyDescent="0.3">
      <c r="A141" s="166"/>
      <c r="B141" s="167"/>
      <c r="C141" s="168">
        <v>43617</v>
      </c>
      <c r="D141" s="168">
        <v>43983</v>
      </c>
      <c r="E141" s="169">
        <v>44348</v>
      </c>
      <c r="F141" s="169">
        <v>44713</v>
      </c>
      <c r="G141" s="168">
        <v>45078</v>
      </c>
      <c r="H141" s="262">
        <v>45444</v>
      </c>
      <c r="I141" s="171">
        <v>45809</v>
      </c>
      <c r="J141" s="171">
        <v>46174</v>
      </c>
      <c r="K141" s="171">
        <v>46539</v>
      </c>
      <c r="L141" s="214">
        <v>46905</v>
      </c>
    </row>
    <row r="142" spans="1:12" x14ac:dyDescent="0.3">
      <c r="A142" s="173" t="s">
        <v>10</v>
      </c>
      <c r="B142" s="174"/>
      <c r="E142" s="174"/>
      <c r="H142" s="173"/>
      <c r="L142" s="215"/>
    </row>
    <row r="143" spans="1:12" ht="15.5" x14ac:dyDescent="0.35">
      <c r="A143" s="173" t="s">
        <v>147</v>
      </c>
      <c r="B143" s="174"/>
      <c r="C143" s="175">
        <v>52568000</v>
      </c>
      <c r="D143" s="175">
        <v>48575000</v>
      </c>
      <c r="E143" s="176">
        <v>53481000</v>
      </c>
      <c r="F143" s="177">
        <v>429736000</v>
      </c>
      <c r="G143" s="177">
        <v>2166535000</v>
      </c>
      <c r="H143" s="263">
        <f>AVERAGE(C143:G143)</f>
        <v>550179000</v>
      </c>
      <c r="I143" s="179">
        <f t="shared" ref="I143:L143" si="136">AVERAGE(D143:H143)</f>
        <v>649701200</v>
      </c>
      <c r="J143" s="179">
        <f t="shared" si="136"/>
        <v>769926440</v>
      </c>
      <c r="K143" s="179">
        <f t="shared" si="136"/>
        <v>913215528</v>
      </c>
      <c r="L143" s="216">
        <f t="shared" si="136"/>
        <v>1009911433.6</v>
      </c>
    </row>
    <row r="144" spans="1:12" ht="15.5" x14ac:dyDescent="0.35">
      <c r="A144" s="173" t="s">
        <v>148</v>
      </c>
      <c r="B144" s="174"/>
      <c r="C144" s="175">
        <v>20925000</v>
      </c>
      <c r="D144" s="175">
        <v>10809000</v>
      </c>
      <c r="E144" s="176">
        <v>29107000</v>
      </c>
      <c r="F144" s="177">
        <v>22042000</v>
      </c>
      <c r="G144" s="177">
        <v>39335000</v>
      </c>
      <c r="H144" s="280">
        <f>H157*H7</f>
        <v>39945445.015342876</v>
      </c>
      <c r="I144" s="281">
        <f t="shared" ref="I144:L144" si="137">I157*I7</f>
        <v>38269134.85900598</v>
      </c>
      <c r="J144" s="281">
        <f t="shared" si="137"/>
        <v>39895941.876014821</v>
      </c>
      <c r="K144" s="281">
        <f t="shared" si="137"/>
        <v>34766816.86109779</v>
      </c>
      <c r="L144" s="282">
        <f t="shared" si="137"/>
        <v>35160669.872128233</v>
      </c>
    </row>
    <row r="145" spans="1:12" ht="15.5" x14ac:dyDescent="0.35">
      <c r="A145" s="173" t="s">
        <v>149</v>
      </c>
      <c r="B145" s="174"/>
      <c r="C145" s="175">
        <v>40532000</v>
      </c>
      <c r="D145" s="175">
        <v>685000</v>
      </c>
      <c r="E145" s="176">
        <v>44675000</v>
      </c>
      <c r="F145" s="177">
        <v>0</v>
      </c>
      <c r="G145" s="177">
        <v>1103006000</v>
      </c>
      <c r="H145" s="263">
        <f>AVERAGE(C145:G145)</f>
        <v>237779600</v>
      </c>
      <c r="I145" s="179">
        <f t="shared" ref="I145:L145" si="138">AVERAGE(D145:H145)</f>
        <v>277229120</v>
      </c>
      <c r="J145" s="179">
        <f t="shared" si="138"/>
        <v>332537944</v>
      </c>
      <c r="K145" s="179">
        <f t="shared" si="138"/>
        <v>390110532.80000001</v>
      </c>
      <c r="L145" s="216">
        <f t="shared" si="138"/>
        <v>468132639.36000001</v>
      </c>
    </row>
    <row r="146" spans="1:12" ht="15.5" x14ac:dyDescent="0.35">
      <c r="A146" s="173" t="s">
        <v>150</v>
      </c>
      <c r="B146" s="174"/>
      <c r="C146" s="175">
        <v>1845500</v>
      </c>
      <c r="D146" s="175">
        <v>1467750</v>
      </c>
      <c r="E146" s="176">
        <v>1656625</v>
      </c>
      <c r="F146" s="177">
        <v>0</v>
      </c>
      <c r="G146" s="177">
        <v>0</v>
      </c>
      <c r="H146" s="263">
        <f>AVERAGE(C146:G146)</f>
        <v>993975</v>
      </c>
      <c r="I146" s="179">
        <f t="shared" ref="I146:L151" si="139">AVERAGE(D146:H146)</f>
        <v>823670</v>
      </c>
      <c r="J146" s="179">
        <f t="shared" si="139"/>
        <v>694854</v>
      </c>
      <c r="K146" s="179">
        <f t="shared" si="139"/>
        <v>502499.8</v>
      </c>
      <c r="L146" s="216">
        <f t="shared" si="139"/>
        <v>602999.76</v>
      </c>
    </row>
    <row r="147" spans="1:12" ht="15.5" x14ac:dyDescent="0.35">
      <c r="A147" s="173" t="s">
        <v>151</v>
      </c>
      <c r="B147" s="174"/>
      <c r="C147" s="175">
        <v>19069500</v>
      </c>
      <c r="D147" s="175">
        <v>75783000</v>
      </c>
      <c r="E147" s="176">
        <v>33247875</v>
      </c>
      <c r="F147" s="177">
        <v>25561000</v>
      </c>
      <c r="G147" s="177">
        <v>38062000</v>
      </c>
      <c r="H147" s="263">
        <f t="shared" ref="H147:H154" si="140">AVERAGE(C147:G147)</f>
        <v>38344675</v>
      </c>
      <c r="I147" s="179">
        <f t="shared" si="139"/>
        <v>42199710</v>
      </c>
      <c r="J147" s="179">
        <f t="shared" si="139"/>
        <v>35483052</v>
      </c>
      <c r="K147" s="179">
        <f t="shared" si="139"/>
        <v>35930087.399999999</v>
      </c>
      <c r="L147" s="216">
        <f t="shared" si="139"/>
        <v>38003904.880000003</v>
      </c>
    </row>
    <row r="148" spans="1:12" ht="15.5" x14ac:dyDescent="0.35">
      <c r="A148" s="173" t="s">
        <v>152</v>
      </c>
      <c r="B148" s="174"/>
      <c r="C148" s="175">
        <v>2267000</v>
      </c>
      <c r="D148" s="175">
        <v>6453000</v>
      </c>
      <c r="E148" s="176">
        <v>1327000</v>
      </c>
      <c r="F148" s="177">
        <v>0</v>
      </c>
      <c r="G148" s="177">
        <v>2874000</v>
      </c>
      <c r="H148" s="263">
        <f t="shared" si="140"/>
        <v>2584200</v>
      </c>
      <c r="I148" s="179">
        <f t="shared" si="139"/>
        <v>2647640</v>
      </c>
      <c r="J148" s="179">
        <f t="shared" si="139"/>
        <v>1886568</v>
      </c>
      <c r="K148" s="179">
        <f t="shared" si="139"/>
        <v>1998481.6</v>
      </c>
      <c r="L148" s="216">
        <f t="shared" si="139"/>
        <v>2398177.92</v>
      </c>
    </row>
    <row r="149" spans="1:12" ht="15.5" x14ac:dyDescent="0.35">
      <c r="A149" s="173" t="s">
        <v>153</v>
      </c>
      <c r="B149" s="174"/>
      <c r="C149" s="175">
        <v>8568000</v>
      </c>
      <c r="D149" s="175">
        <v>19185000</v>
      </c>
      <c r="E149" s="176">
        <v>51441000</v>
      </c>
      <c r="F149" s="177">
        <v>106000</v>
      </c>
      <c r="G149" s="177">
        <v>1507000</v>
      </c>
      <c r="H149" s="263">
        <f t="shared" si="140"/>
        <v>16161400</v>
      </c>
      <c r="I149" s="179">
        <f t="shared" si="139"/>
        <v>17680080</v>
      </c>
      <c r="J149" s="179">
        <f t="shared" si="139"/>
        <v>17379096</v>
      </c>
      <c r="K149" s="179">
        <f t="shared" si="139"/>
        <v>10566715.199999999</v>
      </c>
      <c r="L149" s="216">
        <f t="shared" si="139"/>
        <v>12658858.24</v>
      </c>
    </row>
    <row r="150" spans="1:12" ht="15.5" x14ac:dyDescent="0.35">
      <c r="A150" s="173" t="s">
        <v>154</v>
      </c>
      <c r="B150" s="174"/>
      <c r="C150" s="175">
        <v>97000</v>
      </c>
      <c r="D150" s="175">
        <v>862000</v>
      </c>
      <c r="E150" s="176">
        <v>1640000</v>
      </c>
      <c r="F150" s="177">
        <v>0</v>
      </c>
      <c r="G150" s="177">
        <v>2212000</v>
      </c>
      <c r="H150" s="263">
        <f t="shared" si="140"/>
        <v>962200</v>
      </c>
      <c r="I150" s="179">
        <f t="shared" si="139"/>
        <v>1135240</v>
      </c>
      <c r="J150" s="179">
        <f t="shared" si="139"/>
        <v>1189888</v>
      </c>
      <c r="K150" s="179">
        <f t="shared" si="139"/>
        <v>1099865.6000000001</v>
      </c>
      <c r="L150" s="216">
        <f t="shared" si="139"/>
        <v>1319838.72</v>
      </c>
    </row>
    <row r="151" spans="1:12" ht="15.5" x14ac:dyDescent="0.35">
      <c r="A151" s="173" t="s">
        <v>155</v>
      </c>
      <c r="B151" s="174"/>
      <c r="C151" s="175">
        <v>19077000</v>
      </c>
      <c r="D151" s="175">
        <v>204352333.33333334</v>
      </c>
      <c r="E151" s="176">
        <v>359475000</v>
      </c>
      <c r="F151" s="177">
        <v>0</v>
      </c>
      <c r="G151" s="177">
        <v>576248000</v>
      </c>
      <c r="H151" s="263">
        <f t="shared" si="140"/>
        <v>231830466.66666669</v>
      </c>
      <c r="I151" s="179">
        <f t="shared" si="139"/>
        <v>274381160.00000006</v>
      </c>
      <c r="J151" s="179">
        <f t="shared" si="139"/>
        <v>288386925.33333337</v>
      </c>
      <c r="K151" s="179">
        <f t="shared" si="139"/>
        <v>274169310.39999998</v>
      </c>
      <c r="L151" s="216">
        <f t="shared" si="139"/>
        <v>329003172.48000002</v>
      </c>
    </row>
    <row r="152" spans="1:12" ht="15.5" x14ac:dyDescent="0.35">
      <c r="A152" s="173" t="s">
        <v>156</v>
      </c>
      <c r="B152" s="174"/>
      <c r="C152" s="175">
        <v>0</v>
      </c>
      <c r="D152" s="175">
        <v>0</v>
      </c>
      <c r="E152" s="176">
        <v>47805000</v>
      </c>
      <c r="F152" s="177">
        <v>0</v>
      </c>
      <c r="G152" s="177">
        <v>0</v>
      </c>
      <c r="H152" s="268">
        <f>H158*H62</f>
        <v>56035641.154525578</v>
      </c>
      <c r="I152" s="217">
        <f t="shared" ref="I152:L152" si="141">I158*I62</f>
        <v>62623661.414622523</v>
      </c>
      <c r="J152" s="217">
        <f t="shared" si="141"/>
        <v>72062150.897784799</v>
      </c>
      <c r="K152" s="217">
        <f t="shared" si="141"/>
        <v>90780102.34981972</v>
      </c>
      <c r="L152" s="218">
        <f t="shared" si="141"/>
        <v>125421331.32927468</v>
      </c>
    </row>
    <row r="153" spans="1:12" ht="15.5" x14ac:dyDescent="0.35">
      <c r="A153" s="173" t="s">
        <v>157</v>
      </c>
      <c r="B153" s="174"/>
      <c r="C153" s="175">
        <v>0</v>
      </c>
      <c r="D153" s="175">
        <v>0</v>
      </c>
      <c r="E153" s="176">
        <v>35492000</v>
      </c>
      <c r="F153" s="177">
        <v>44000000</v>
      </c>
      <c r="G153" s="177">
        <v>37633000</v>
      </c>
      <c r="H153" s="268">
        <f>H159*H18</f>
        <v>42869715.898717068</v>
      </c>
      <c r="I153" s="217">
        <f t="shared" ref="I153:L153" si="142">I159*I18</f>
        <v>47909839.489103407</v>
      </c>
      <c r="J153" s="217">
        <f t="shared" si="142"/>
        <v>55130696.68497967</v>
      </c>
      <c r="K153" s="217">
        <f t="shared" si="142"/>
        <v>69450748.074092925</v>
      </c>
      <c r="L153" s="218">
        <f t="shared" si="142"/>
        <v>95952803.09004952</v>
      </c>
    </row>
    <row r="154" spans="1:12" ht="15.5" x14ac:dyDescent="0.35">
      <c r="A154" s="173" t="s">
        <v>158</v>
      </c>
      <c r="B154" s="174"/>
      <c r="C154" s="175">
        <v>2128000</v>
      </c>
      <c r="D154" s="175">
        <v>2411000</v>
      </c>
      <c r="E154" s="176">
        <v>3868000</v>
      </c>
      <c r="F154" s="177">
        <v>4763000</v>
      </c>
      <c r="G154" s="177">
        <f>85000000+7619000+6464000</f>
        <v>99083000</v>
      </c>
      <c r="H154" s="263">
        <f t="shared" si="140"/>
        <v>22450600</v>
      </c>
      <c r="I154" s="179">
        <f t="shared" ref="I154" si="143">AVERAGE(D154:H154)</f>
        <v>26515120</v>
      </c>
      <c r="J154" s="179">
        <f t="shared" ref="J154" si="144">AVERAGE(E154:I154)</f>
        <v>31335944</v>
      </c>
      <c r="K154" s="179">
        <f t="shared" ref="K154" si="145">AVERAGE(F154:J154)</f>
        <v>36829532.799999997</v>
      </c>
      <c r="L154" s="216">
        <f t="shared" ref="L154" si="146">AVERAGE(G154:K154)</f>
        <v>43242839.359999999</v>
      </c>
    </row>
    <row r="155" spans="1:12" ht="16" thickBot="1" x14ac:dyDescent="0.4">
      <c r="A155" s="173"/>
      <c r="B155" s="174"/>
      <c r="C155" s="189">
        <f t="shared" ref="C155:H155" si="147">SUM(C143:C154)</f>
        <v>167077000</v>
      </c>
      <c r="D155" s="189">
        <f t="shared" si="147"/>
        <v>370583083.33333337</v>
      </c>
      <c r="E155" s="190">
        <f t="shared" si="147"/>
        <v>663215500</v>
      </c>
      <c r="F155" s="190">
        <f t="shared" si="147"/>
        <v>526208000</v>
      </c>
      <c r="G155" s="189">
        <f t="shared" si="147"/>
        <v>4066495000</v>
      </c>
      <c r="H155" s="531">
        <f t="shared" si="147"/>
        <v>1240136918.7352521</v>
      </c>
      <c r="I155" s="510">
        <f t="shared" ref="I155:K155" si="148">SUM(I143:I154)</f>
        <v>1441115575.7627318</v>
      </c>
      <c r="J155" s="510">
        <f t="shared" si="148"/>
        <v>1645909500.7921126</v>
      </c>
      <c r="K155" s="510">
        <f t="shared" si="148"/>
        <v>1859420220.88501</v>
      </c>
      <c r="L155" s="532">
        <f>SUM(L143:L154)</f>
        <v>2161808668.6114526</v>
      </c>
    </row>
    <row r="156" spans="1:12" ht="16" thickBot="1" x14ac:dyDescent="0.4">
      <c r="A156" s="173"/>
      <c r="C156" s="256">
        <f>C60-C86-C118-C134+C155</f>
        <v>-5356434000</v>
      </c>
      <c r="D156" s="257">
        <f t="shared" ref="D156:L156" si="149">D60-D86-D118-D134+D155</f>
        <v>36588849166.666664</v>
      </c>
      <c r="E156" s="257">
        <f t="shared" si="149"/>
        <v>50514419194.444443</v>
      </c>
      <c r="F156" s="257">
        <f t="shared" si="149"/>
        <v>51199207000</v>
      </c>
      <c r="G156" s="259">
        <f t="shared" si="149"/>
        <v>71118151000</v>
      </c>
      <c r="H156" s="529">
        <f t="shared" si="149"/>
        <v>98321019638.169052</v>
      </c>
      <c r="I156" s="530">
        <f t="shared" si="149"/>
        <v>112533768289.27936</v>
      </c>
      <c r="J156" s="530">
        <f t="shared" si="149"/>
        <v>131007343791.75203</v>
      </c>
      <c r="K156" s="530">
        <f t="shared" si="149"/>
        <v>171397803089.63123</v>
      </c>
      <c r="L156" s="261">
        <f t="shared" si="149"/>
        <v>238512720431.19632</v>
      </c>
    </row>
    <row r="157" spans="1:12" ht="15.5" x14ac:dyDescent="0.35">
      <c r="A157" s="173" t="s">
        <v>159</v>
      </c>
      <c r="B157" s="174"/>
      <c r="C157" s="204">
        <f>C144/C7</f>
        <v>3.0894966737050336</v>
      </c>
      <c r="D157" s="204">
        <f t="shared" ref="D157:G157" si="150">D144/D7</f>
        <v>1.8046027018274229</v>
      </c>
      <c r="E157" s="204">
        <f t="shared" si="150"/>
        <v>4.6429862892438569</v>
      </c>
      <c r="F157" s="204">
        <f t="shared" si="150"/>
        <v>2.1818709924734327</v>
      </c>
      <c r="G157" s="204">
        <f t="shared" si="150"/>
        <v>2.7704890147255141</v>
      </c>
      <c r="H157" s="263">
        <f>AVERAGE(C157:G157)</f>
        <v>2.8978891343950521</v>
      </c>
      <c r="I157" s="179">
        <f t="shared" ref="I157:L157" si="151">AVERAGE(D157:H157)</f>
        <v>2.8595676265330559</v>
      </c>
      <c r="J157" s="179">
        <f t="shared" si="151"/>
        <v>3.0705606114741828</v>
      </c>
      <c r="K157" s="179">
        <f t="shared" si="151"/>
        <v>2.7560754759202473</v>
      </c>
      <c r="L157" s="216">
        <f t="shared" si="151"/>
        <v>2.870916372609611</v>
      </c>
    </row>
    <row r="158" spans="1:12" ht="15.5" x14ac:dyDescent="0.35">
      <c r="A158" s="173" t="s">
        <v>160</v>
      </c>
      <c r="B158" s="174"/>
      <c r="C158" s="175">
        <v>0</v>
      </c>
      <c r="D158" s="175">
        <v>0</v>
      </c>
      <c r="E158" s="205">
        <f>E152/E62</f>
        <v>173206.52173913043</v>
      </c>
      <c r="F158" s="205">
        <f t="shared" ref="F158" si="152">F152/F62</f>
        <v>0</v>
      </c>
      <c r="G158" s="204">
        <f>G152/G62</f>
        <v>0</v>
      </c>
      <c r="H158" s="263">
        <f>E158</f>
        <v>173206.52173913043</v>
      </c>
      <c r="I158" s="281">
        <v>173206.52173913043</v>
      </c>
      <c r="J158" s="281">
        <v>173206.52173913043</v>
      </c>
      <c r="K158" s="281">
        <v>173206.52173913043</v>
      </c>
      <c r="L158" s="282">
        <v>173206.52173913043</v>
      </c>
    </row>
    <row r="159" spans="1:12" ht="16" thickBot="1" x14ac:dyDescent="0.4">
      <c r="A159" s="193" t="s">
        <v>161</v>
      </c>
      <c r="B159" s="194"/>
      <c r="C159" s="211">
        <v>0</v>
      </c>
      <c r="D159" s="211">
        <v>0</v>
      </c>
      <c r="E159" s="211">
        <v>0</v>
      </c>
      <c r="F159" s="211">
        <v>0</v>
      </c>
      <c r="G159" s="213">
        <f>G153/G18</f>
        <v>1.1560518631536132E-4</v>
      </c>
      <c r="H159" s="299">
        <f>$G$159</f>
        <v>1.1560518631536132E-4</v>
      </c>
      <c r="I159" s="300">
        <f t="shared" ref="I159:L159" si="153">$G$159</f>
        <v>1.1560518631536132E-4</v>
      </c>
      <c r="J159" s="300">
        <f t="shared" si="153"/>
        <v>1.1560518631536132E-4</v>
      </c>
      <c r="K159" s="300">
        <f t="shared" si="153"/>
        <v>1.1560518631536132E-4</v>
      </c>
      <c r="L159" s="301">
        <f t="shared" si="153"/>
        <v>1.1560518631536132E-4</v>
      </c>
    </row>
    <row r="160" spans="1:12" x14ac:dyDescent="0.3">
      <c r="B160" s="174"/>
      <c r="H160" s="159"/>
    </row>
    <row r="161" spans="1:12" x14ac:dyDescent="0.3">
      <c r="B161" s="174"/>
      <c r="H161" s="159"/>
    </row>
    <row r="162" spans="1:12" ht="14.5" thickBot="1" x14ac:dyDescent="0.35">
      <c r="B162" s="174"/>
      <c r="H162" s="159"/>
    </row>
    <row r="163" spans="1:12" x14ac:dyDescent="0.3">
      <c r="A163" s="166"/>
      <c r="B163" s="167"/>
      <c r="C163" s="168">
        <v>43617</v>
      </c>
      <c r="D163" s="168">
        <v>43983</v>
      </c>
      <c r="E163" s="169">
        <v>44348</v>
      </c>
      <c r="F163" s="169">
        <v>44713</v>
      </c>
      <c r="G163" s="168">
        <v>45078</v>
      </c>
      <c r="H163" s="170">
        <v>45444</v>
      </c>
      <c r="I163" s="171">
        <v>45809</v>
      </c>
      <c r="J163" s="171">
        <v>46174</v>
      </c>
      <c r="K163" s="171">
        <v>46539</v>
      </c>
      <c r="L163" s="214">
        <v>46905</v>
      </c>
    </row>
    <row r="164" spans="1:12" x14ac:dyDescent="0.3">
      <c r="A164" s="173" t="s">
        <v>162</v>
      </c>
      <c r="B164" s="174"/>
      <c r="E164" s="174"/>
      <c r="H164" s="159"/>
      <c r="L164" s="215"/>
    </row>
    <row r="165" spans="1:12" ht="15.5" x14ac:dyDescent="0.35">
      <c r="A165" s="173" t="s">
        <v>163</v>
      </c>
      <c r="B165" s="174"/>
      <c r="C165" s="175">
        <v>260867000</v>
      </c>
      <c r="D165" s="175">
        <v>448488000</v>
      </c>
      <c r="E165" s="176">
        <v>433583000</v>
      </c>
      <c r="F165" s="177">
        <v>129888000</v>
      </c>
      <c r="G165" s="177">
        <v>130043000</v>
      </c>
      <c r="H165" s="178">
        <f>AVERAGE(C165:G165)</f>
        <v>280573800</v>
      </c>
      <c r="I165" s="179">
        <f t="shared" ref="I165:L165" si="154">AVERAGE(D165:H165)</f>
        <v>284515160</v>
      </c>
      <c r="J165" s="179">
        <f t="shared" si="154"/>
        <v>251720592</v>
      </c>
      <c r="K165" s="179">
        <f t="shared" si="154"/>
        <v>215348110.40000001</v>
      </c>
      <c r="L165" s="216">
        <f t="shared" si="154"/>
        <v>232440132.48000002</v>
      </c>
    </row>
    <row r="166" spans="1:12" ht="15.5" x14ac:dyDescent="0.35">
      <c r="A166" s="173" t="s">
        <v>164</v>
      </c>
      <c r="B166" s="174"/>
      <c r="C166" s="175">
        <v>536019000</v>
      </c>
      <c r="D166" s="175">
        <v>869663000</v>
      </c>
      <c r="E166" s="176">
        <v>510334000</v>
      </c>
      <c r="F166" s="177">
        <v>616833000</v>
      </c>
      <c r="G166" s="177">
        <v>2757286000</v>
      </c>
      <c r="H166" s="178">
        <f>AVERAGE(C166:G166)</f>
        <v>1058027000</v>
      </c>
      <c r="I166" s="179">
        <f t="shared" ref="I166:L166" si="155">AVERAGE(D166:H166)</f>
        <v>1162428600</v>
      </c>
      <c r="J166" s="179">
        <f t="shared" si="155"/>
        <v>1220981720</v>
      </c>
      <c r="K166" s="179">
        <f t="shared" si="155"/>
        <v>1363111264</v>
      </c>
      <c r="L166" s="216">
        <f t="shared" si="155"/>
        <v>1512366916.8</v>
      </c>
    </row>
    <row r="167" spans="1:12" ht="15.5" x14ac:dyDescent="0.35">
      <c r="A167" s="173" t="s">
        <v>165</v>
      </c>
      <c r="B167" s="174"/>
      <c r="C167" s="175">
        <v>445216000</v>
      </c>
      <c r="D167" s="175">
        <v>579250000</v>
      </c>
      <c r="E167" s="176">
        <v>322160000</v>
      </c>
      <c r="F167" s="177">
        <v>455348000</v>
      </c>
      <c r="G167" s="177">
        <v>455348000</v>
      </c>
      <c r="H167" s="178">
        <f>'Fixed Asset and Loan Schedule'!D146</f>
        <v>470000000</v>
      </c>
      <c r="I167" s="179">
        <f>'Fixed Asset and Loan Schedule'!D147</f>
        <v>426654796.60259342</v>
      </c>
      <c r="J167" s="179">
        <f>'Fixed Asset and Loan Schedule'!D148</f>
        <v>373123470.40679628</v>
      </c>
      <c r="K167" s="179">
        <f>'Fixed Asset and Loan Schedule'!D149</f>
        <v>307012282.55498672</v>
      </c>
      <c r="L167" s="216">
        <f>'Fixed Asset and Loan Schedule'!D150</f>
        <v>225364965.558002</v>
      </c>
    </row>
    <row r="168" spans="1:12" ht="15.5" x14ac:dyDescent="0.35">
      <c r="A168" s="173" t="s">
        <v>166</v>
      </c>
      <c r="B168" s="174"/>
      <c r="C168" s="175">
        <v>187651000</v>
      </c>
      <c r="D168" s="175">
        <v>73893000</v>
      </c>
      <c r="E168" s="176">
        <v>86659250</v>
      </c>
      <c r="F168" s="177">
        <v>337443000</v>
      </c>
      <c r="G168" s="177">
        <v>990261000</v>
      </c>
      <c r="H168" s="178">
        <f>AVERAGE(C168:G168)</f>
        <v>335181450</v>
      </c>
      <c r="I168" s="179">
        <f t="shared" ref="I168:L168" si="156">AVERAGE(D168:H168)</f>
        <v>364687540</v>
      </c>
      <c r="J168" s="179">
        <f t="shared" si="156"/>
        <v>422846448</v>
      </c>
      <c r="K168" s="179">
        <f t="shared" si="156"/>
        <v>490083887.60000002</v>
      </c>
      <c r="L168" s="216">
        <f t="shared" si="156"/>
        <v>520612065.12</v>
      </c>
    </row>
    <row r="169" spans="1:12" ht="15.5" x14ac:dyDescent="0.35">
      <c r="A169" s="173" t="s">
        <v>167</v>
      </c>
      <c r="B169" s="174"/>
      <c r="C169" s="175">
        <v>3633000</v>
      </c>
      <c r="D169" s="175">
        <v>2175000</v>
      </c>
      <c r="E169" s="176">
        <v>4281000</v>
      </c>
      <c r="F169" s="177">
        <v>5264000</v>
      </c>
      <c r="G169" s="177">
        <v>17600000</v>
      </c>
      <c r="H169" s="178">
        <f>AVERAGE(C169:G169)</f>
        <v>6590600</v>
      </c>
      <c r="I169" s="179">
        <f t="shared" ref="I169:L169" si="157">AVERAGE(D169:H169)</f>
        <v>7182120</v>
      </c>
      <c r="J169" s="179">
        <f t="shared" si="157"/>
        <v>8183544</v>
      </c>
      <c r="K169" s="179">
        <f t="shared" si="157"/>
        <v>8964052.8000000007</v>
      </c>
      <c r="L169" s="216">
        <f t="shared" si="157"/>
        <v>9704063.3599999994</v>
      </c>
    </row>
    <row r="170" spans="1:12" ht="15.5" x14ac:dyDescent="0.35">
      <c r="A170" s="173" t="s">
        <v>168</v>
      </c>
      <c r="B170" s="174"/>
      <c r="C170" s="175"/>
      <c r="D170" s="175">
        <v>21363000</v>
      </c>
      <c r="E170" s="176">
        <v>20956000</v>
      </c>
      <c r="F170" s="177">
        <v>20328000</v>
      </c>
      <c r="G170" s="177">
        <v>19438000</v>
      </c>
      <c r="H170" s="178">
        <f>Assumptions_BS!G109*'Fixed Asset and Loan Schedule'!$B$138</f>
        <v>28140921</v>
      </c>
      <c r="I170" s="179">
        <f>Assumptions_BS!H109*'Fixed Asset and Loan Schedule'!$B$138</f>
        <v>25014152</v>
      </c>
      <c r="J170" s="179">
        <f>Assumptions_BS!I109*'Fixed Asset and Loan Schedule'!$B$138</f>
        <v>21887383</v>
      </c>
      <c r="K170" s="179">
        <f>Assumptions_BS!J109*'Fixed Asset and Loan Schedule'!$B$138</f>
        <v>18760614</v>
      </c>
      <c r="L170" s="216">
        <f>Assumptions_BS!K109*'Fixed Asset and Loan Schedule'!$B$138</f>
        <v>15633845.000000002</v>
      </c>
    </row>
    <row r="171" spans="1:12" ht="15.5" x14ac:dyDescent="0.35">
      <c r="A171" s="173" t="s">
        <v>169</v>
      </c>
      <c r="B171" s="174"/>
      <c r="C171" s="175"/>
      <c r="D171" s="175">
        <v>180000</v>
      </c>
      <c r="E171" s="176">
        <v>20070000</v>
      </c>
      <c r="F171" s="177">
        <v>14228000</v>
      </c>
      <c r="G171" s="177">
        <v>6355000</v>
      </c>
      <c r="H171" s="185">
        <f>H174*H62</f>
        <v>7239312.426230886</v>
      </c>
      <c r="I171" s="217">
        <f t="shared" ref="I171:L171" si="158">I174*I62</f>
        <v>8090426.7518734131</v>
      </c>
      <c r="J171" s="217">
        <f t="shared" si="158"/>
        <v>9309796.6527527906</v>
      </c>
      <c r="K171" s="217">
        <f t="shared" si="158"/>
        <v>11727991.497113185</v>
      </c>
      <c r="L171" s="218">
        <f t="shared" si="158"/>
        <v>16203333.872857988</v>
      </c>
    </row>
    <row r="172" spans="1:12" ht="16" thickBot="1" x14ac:dyDescent="0.4">
      <c r="A172" s="173"/>
      <c r="B172" s="174"/>
      <c r="C172" s="197">
        <f>SUM(C165:C171)</f>
        <v>1433386000</v>
      </c>
      <c r="D172" s="197">
        <f t="shared" ref="D172:F172" si="159">SUM(D165:D171)</f>
        <v>1995012000</v>
      </c>
      <c r="E172" s="198">
        <f t="shared" si="159"/>
        <v>1398043250</v>
      </c>
      <c r="F172" s="198">
        <f t="shared" si="159"/>
        <v>1579332000</v>
      </c>
      <c r="G172" s="197">
        <f>SUM(G165:G171)</f>
        <v>4376331000</v>
      </c>
      <c r="H172" s="199">
        <f t="shared" ref="H172:K172" si="160">SUM(H165:H171)</f>
        <v>2185753083.4262309</v>
      </c>
      <c r="I172" s="200">
        <f t="shared" si="160"/>
        <v>2278572795.3544669</v>
      </c>
      <c r="J172" s="200">
        <f t="shared" si="160"/>
        <v>2308052954.0595493</v>
      </c>
      <c r="K172" s="200">
        <f t="shared" si="160"/>
        <v>2415008202.8521004</v>
      </c>
      <c r="L172" s="219">
        <f>SUM(L165:L171)</f>
        <v>2532325322.1908603</v>
      </c>
    </row>
    <row r="173" spans="1:12" ht="16" thickTop="1" x14ac:dyDescent="0.35">
      <c r="A173" s="173"/>
      <c r="B173" s="174"/>
      <c r="C173" s="175"/>
      <c r="D173" s="175"/>
      <c r="E173" s="176"/>
      <c r="H173" s="159"/>
      <c r="L173" s="215"/>
    </row>
    <row r="174" spans="1:12" ht="16" thickBot="1" x14ac:dyDescent="0.4">
      <c r="A174" s="193" t="s">
        <v>170</v>
      </c>
      <c r="B174" s="194"/>
      <c r="C174" s="211"/>
      <c r="D174" s="211"/>
      <c r="E174" s="220"/>
      <c r="F174" s="220"/>
      <c r="G174" s="211">
        <f>G171/G62</f>
        <v>22376.760563380281</v>
      </c>
      <c r="H174" s="221">
        <f>$G$174</f>
        <v>22376.760563380281</v>
      </c>
      <c r="I174" s="222">
        <f t="shared" ref="I174:L174" si="161">$G$174</f>
        <v>22376.760563380281</v>
      </c>
      <c r="J174" s="222">
        <f t="shared" si="161"/>
        <v>22376.760563380281</v>
      </c>
      <c r="K174" s="222">
        <f t="shared" si="161"/>
        <v>22376.760563380281</v>
      </c>
      <c r="L174" s="223">
        <f t="shared" si="161"/>
        <v>22376.760563380281</v>
      </c>
    </row>
    <row r="175" spans="1:12" x14ac:dyDescent="0.3">
      <c r="A175" s="632" t="s">
        <v>171</v>
      </c>
      <c r="B175" s="633"/>
      <c r="C175" s="633"/>
      <c r="D175" s="633"/>
      <c r="H175" s="159"/>
    </row>
    <row r="176" spans="1:12" ht="14.5" thickBot="1" x14ac:dyDescent="0.35">
      <c r="A176" s="173"/>
      <c r="B176" s="174"/>
      <c r="H176" s="159"/>
    </row>
    <row r="177" spans="1:12" x14ac:dyDescent="0.3">
      <c r="A177" s="166"/>
      <c r="B177" s="167"/>
      <c r="C177" s="168">
        <v>43617</v>
      </c>
      <c r="D177" s="168">
        <v>43983</v>
      </c>
      <c r="E177" s="169">
        <v>44348</v>
      </c>
      <c r="F177" s="169">
        <v>44713</v>
      </c>
      <c r="G177" s="168">
        <v>45078</v>
      </c>
      <c r="H177" s="170">
        <v>45444</v>
      </c>
      <c r="I177" s="171">
        <v>45809</v>
      </c>
      <c r="J177" s="171">
        <v>46174</v>
      </c>
      <c r="K177" s="171">
        <v>46539</v>
      </c>
      <c r="L177" s="214">
        <v>46905</v>
      </c>
    </row>
    <row r="178" spans="1:12" x14ac:dyDescent="0.3">
      <c r="A178" s="173" t="s">
        <v>172</v>
      </c>
      <c r="B178" s="174"/>
      <c r="E178" s="174"/>
      <c r="H178" s="159"/>
      <c r="L178" s="215"/>
    </row>
    <row r="179" spans="1:12" ht="15.5" x14ac:dyDescent="0.35">
      <c r="A179" s="173" t="s">
        <v>173</v>
      </c>
      <c r="B179" s="174"/>
      <c r="C179" s="175">
        <v>597362000</v>
      </c>
      <c r="D179" s="175">
        <v>689007000</v>
      </c>
      <c r="E179" s="176">
        <v>706888000</v>
      </c>
      <c r="F179" s="177">
        <v>4303709000</v>
      </c>
      <c r="G179" s="177">
        <v>1938503000</v>
      </c>
      <c r="H179" s="225">
        <f>$C$184*Financials!G19</f>
        <v>7705291994.9147587</v>
      </c>
      <c r="I179" s="226">
        <f>$C$184*Financials!H19</f>
        <v>10688286681.920115</v>
      </c>
      <c r="J179" s="226">
        <f>$C$184*Financials!I19</f>
        <v>15215485499.782921</v>
      </c>
      <c r="K179" s="226">
        <f>$C$184*Financials!J19</f>
        <v>24708105008.411541</v>
      </c>
      <c r="L179" s="227">
        <f>$C$184*Financials!K19</f>
        <v>42196046032.496368</v>
      </c>
    </row>
    <row r="180" spans="1:12" ht="15.5" x14ac:dyDescent="0.35">
      <c r="A180" s="173" t="s">
        <v>174</v>
      </c>
      <c r="B180" s="174"/>
      <c r="C180" s="175">
        <v>-1449000</v>
      </c>
      <c r="D180" s="175">
        <v>-3382000</v>
      </c>
      <c r="E180" s="176">
        <v>-5020000</v>
      </c>
      <c r="F180" s="177">
        <v>279413000</v>
      </c>
      <c r="G180" s="177">
        <v>-445799000</v>
      </c>
      <c r="H180" s="228">
        <v>0</v>
      </c>
      <c r="I180" s="229">
        <v>0</v>
      </c>
      <c r="J180" s="229">
        <v>0</v>
      </c>
      <c r="K180" s="229">
        <v>0</v>
      </c>
      <c r="L180" s="230">
        <v>0</v>
      </c>
    </row>
    <row r="181" spans="1:12" ht="15.5" x14ac:dyDescent="0.35">
      <c r="A181" s="173" t="s">
        <v>175</v>
      </c>
      <c r="B181" s="174"/>
      <c r="C181" s="175">
        <v>-19898000</v>
      </c>
      <c r="D181" s="175">
        <v>0</v>
      </c>
      <c r="E181" s="176">
        <v>0</v>
      </c>
      <c r="F181" s="177">
        <v>-1238393000</v>
      </c>
      <c r="G181" s="177">
        <v>54848000</v>
      </c>
      <c r="H181" s="228">
        <v>0</v>
      </c>
      <c r="I181" s="229">
        <v>0</v>
      </c>
      <c r="J181" s="229">
        <v>0</v>
      </c>
      <c r="K181" s="229">
        <v>0</v>
      </c>
      <c r="L181" s="230">
        <v>0</v>
      </c>
    </row>
    <row r="182" spans="1:12" ht="16" thickBot="1" x14ac:dyDescent="0.4">
      <c r="A182" s="173"/>
      <c r="B182" s="174"/>
      <c r="C182" s="189">
        <f>SUM(C179:C181)</f>
        <v>576015000</v>
      </c>
      <c r="D182" s="189">
        <f t="shared" ref="D182:L182" si="162">SUM(D179:D181)</f>
        <v>685625000</v>
      </c>
      <c r="E182" s="190">
        <f t="shared" si="162"/>
        <v>701868000</v>
      </c>
      <c r="F182" s="190">
        <f t="shared" si="162"/>
        <v>3344729000</v>
      </c>
      <c r="G182" s="189">
        <f t="shared" si="162"/>
        <v>1547552000</v>
      </c>
      <c r="H182" s="536">
        <f>SUM(H179:H181)</f>
        <v>7705291994.9147587</v>
      </c>
      <c r="I182" s="527">
        <f t="shared" si="162"/>
        <v>10688286681.920115</v>
      </c>
      <c r="J182" s="527">
        <f t="shared" si="162"/>
        <v>15215485499.782921</v>
      </c>
      <c r="K182" s="527">
        <f t="shared" si="162"/>
        <v>24708105008.411541</v>
      </c>
      <c r="L182" s="528">
        <f t="shared" si="162"/>
        <v>42196046032.496368</v>
      </c>
    </row>
    <row r="183" spans="1:12" ht="16" thickBot="1" x14ac:dyDescent="0.4">
      <c r="A183" s="173"/>
      <c r="C183" s="533">
        <f>C156-C172-C182</f>
        <v>-7365835000</v>
      </c>
      <c r="D183" s="534">
        <f t="shared" ref="D183:G183" si="163">D156-D172-D182</f>
        <v>33908212166.666664</v>
      </c>
      <c r="E183" s="534">
        <f t="shared" si="163"/>
        <v>48414507944.444443</v>
      </c>
      <c r="F183" s="534">
        <f t="shared" si="163"/>
        <v>46275146000</v>
      </c>
      <c r="G183" s="535">
        <f t="shared" si="163"/>
        <v>65194268000</v>
      </c>
      <c r="H183" s="537">
        <f>H156-H172-H182</f>
        <v>88429974559.828064</v>
      </c>
      <c r="I183" s="538">
        <f t="shared" ref="I183" si="164">I156-I172-I182</f>
        <v>99566908812.004776</v>
      </c>
      <c r="J183" s="538">
        <f t="shared" ref="J183" si="165">J156-J172-J182</f>
        <v>113483805337.90955</v>
      </c>
      <c r="K183" s="538">
        <f t="shared" ref="K183" si="166">K156-K172-K182</f>
        <v>144274689878.36758</v>
      </c>
      <c r="L183" s="539">
        <f t="shared" ref="L183" si="167">L156-L172-L182</f>
        <v>193784349076.50909</v>
      </c>
    </row>
    <row r="184" spans="1:12" ht="14.5" thickBot="1" x14ac:dyDescent="0.35">
      <c r="A184" s="193" t="s">
        <v>176</v>
      </c>
      <c r="B184" s="194"/>
      <c r="C184" s="231">
        <v>0.28999999999999998</v>
      </c>
      <c r="D184" s="222"/>
      <c r="E184" s="222"/>
      <c r="F184" s="220"/>
      <c r="G184" s="220"/>
      <c r="H184" s="232"/>
      <c r="I184" s="220"/>
      <c r="J184" s="220"/>
      <c r="K184" s="220"/>
      <c r="L184" s="233"/>
    </row>
    <row r="185" spans="1:12" x14ac:dyDescent="0.3">
      <c r="C185" s="179"/>
      <c r="D185" s="179"/>
      <c r="E185" s="179"/>
    </row>
    <row r="186" spans="1:12" ht="14.5" thickBot="1" x14ac:dyDescent="0.35"/>
    <row r="187" spans="1:12" x14ac:dyDescent="0.3">
      <c r="A187" s="166" t="s">
        <v>181</v>
      </c>
      <c r="B187" s="234"/>
      <c r="C187" s="235">
        <f>G99+G77+G40</f>
        <v>1154048000</v>
      </c>
      <c r="D187" s="235"/>
      <c r="E187" s="235"/>
      <c r="F187" s="234"/>
      <c r="G187" s="236"/>
    </row>
    <row r="188" spans="1:12" x14ac:dyDescent="0.3">
      <c r="A188" s="173" t="s">
        <v>177</v>
      </c>
      <c r="C188" s="237">
        <f>G40/C187</f>
        <v>0.81550247476708071</v>
      </c>
      <c r="G188" s="215"/>
    </row>
    <row r="189" spans="1:12" x14ac:dyDescent="0.3">
      <c r="A189" s="173" t="s">
        <v>178</v>
      </c>
      <c r="C189" s="237">
        <f>G77/C187</f>
        <v>0.10018127495563443</v>
      </c>
      <c r="G189" s="215"/>
    </row>
    <row r="190" spans="1:12" x14ac:dyDescent="0.3">
      <c r="A190" s="173" t="s">
        <v>179</v>
      </c>
      <c r="C190" s="237">
        <f>G100/C187</f>
        <v>4.0414263531499559E-2</v>
      </c>
      <c r="G190" s="215"/>
    </row>
    <row r="191" spans="1:12" x14ac:dyDescent="0.3">
      <c r="A191" s="173"/>
      <c r="G191" s="215"/>
    </row>
    <row r="192" spans="1:12" x14ac:dyDescent="0.3">
      <c r="A192" s="173"/>
      <c r="C192" s="238">
        <v>45444</v>
      </c>
      <c r="D192" s="238">
        <v>45809</v>
      </c>
      <c r="E192" s="238">
        <v>46174</v>
      </c>
      <c r="F192" s="238">
        <v>46539</v>
      </c>
      <c r="G192" s="239">
        <v>46905</v>
      </c>
    </row>
    <row r="193" spans="1:7" ht="14.5" thickBot="1" x14ac:dyDescent="0.35">
      <c r="A193" s="193" t="s">
        <v>180</v>
      </c>
      <c r="B193" s="220"/>
      <c r="C193" s="222">
        <f>Assumptions_BS!G19+'Fixed Asset and Loan Schedule'!N74</f>
        <v>1657610725</v>
      </c>
      <c r="D193" s="222">
        <f>Assumptions_BS!H19+'Fixed Asset and Loan Schedule'!N86</f>
        <v>1459611382.8399999</v>
      </c>
      <c r="E193" s="222">
        <f>Assumptions_BS!I19+'Fixed Asset and Loan Schedule'!N98</f>
        <v>1340182780.44715</v>
      </c>
      <c r="F193" s="222">
        <f>Assumptions_BS!J19+'Fixed Asset and Loan Schedule'!N110</f>
        <v>1277951049.1047564</v>
      </c>
      <c r="G193" s="223">
        <f>Assumptions_BS!K19+'Fixed Asset and Loan Schedule'!N122</f>
        <v>1229843523.01227</v>
      </c>
    </row>
  </sheetData>
  <mergeCells count="1">
    <mergeCell ref="A175:D17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B7E8B-EF81-4409-BE77-E18E72192B38}">
  <dimension ref="A1:L146"/>
  <sheetViews>
    <sheetView topLeftCell="A122" zoomScale="82" workbookViewId="0">
      <pane xSplit="1" topLeftCell="D1" activePane="topRight" state="frozen"/>
      <selection pane="topRight" activeCell="B11" sqref="B11"/>
    </sheetView>
  </sheetViews>
  <sheetFormatPr defaultColWidth="8.90625" defaultRowHeight="14" x14ac:dyDescent="0.3"/>
  <cols>
    <col min="1" max="1" width="49.08984375" style="158" bestFit="1" customWidth="1"/>
    <col min="2" max="2" width="17.453125" style="158" bestFit="1" customWidth="1"/>
    <col min="3" max="3" width="18.36328125" style="158" bestFit="1" customWidth="1"/>
    <col min="4" max="4" width="18.453125" style="158" bestFit="1" customWidth="1"/>
    <col min="5" max="6" width="19.453125" style="158" bestFit="1" customWidth="1"/>
    <col min="7" max="7" width="18.453125" style="158" bestFit="1" customWidth="1"/>
    <col min="8" max="8" width="16.54296875" style="158" bestFit="1" customWidth="1"/>
    <col min="9" max="11" width="17.81640625" style="158" bestFit="1" customWidth="1"/>
    <col min="12" max="16384" width="8.90625" style="158"/>
  </cols>
  <sheetData>
    <row r="1" spans="1:11" ht="23" x14ac:dyDescent="0.5">
      <c r="B1" s="447">
        <v>43617</v>
      </c>
      <c r="C1" s="447">
        <v>43983</v>
      </c>
      <c r="D1" s="447">
        <v>44348</v>
      </c>
      <c r="E1" s="447">
        <v>44713</v>
      </c>
      <c r="F1" s="447">
        <v>45078</v>
      </c>
      <c r="G1" s="448">
        <v>45444</v>
      </c>
      <c r="H1" s="448">
        <v>45809</v>
      </c>
      <c r="I1" s="448">
        <v>46174</v>
      </c>
      <c r="J1" s="448">
        <v>46539</v>
      </c>
      <c r="K1" s="448">
        <v>46905</v>
      </c>
    </row>
    <row r="2" spans="1:11" ht="22.5" x14ac:dyDescent="0.45">
      <c r="A2" s="313" t="s">
        <v>253</v>
      </c>
      <c r="G2" s="159"/>
    </row>
    <row r="3" spans="1:11" ht="14.5" thickBot="1" x14ac:dyDescent="0.35">
      <c r="G3" s="159"/>
    </row>
    <row r="4" spans="1:11" ht="17.5" x14ac:dyDescent="0.35">
      <c r="A4" s="314" t="s">
        <v>182</v>
      </c>
      <c r="B4" s="234"/>
      <c r="C4" s="234"/>
      <c r="D4" s="234"/>
      <c r="E4" s="234"/>
      <c r="F4" s="234"/>
      <c r="G4" s="166"/>
      <c r="H4" s="234"/>
      <c r="I4" s="234"/>
      <c r="J4" s="234"/>
      <c r="K4" s="236"/>
    </row>
    <row r="5" spans="1:11" ht="17.5" x14ac:dyDescent="0.35">
      <c r="A5" s="315" t="s">
        <v>183</v>
      </c>
      <c r="G5" s="173"/>
      <c r="K5" s="215"/>
    </row>
    <row r="6" spans="1:11" ht="15.5" x14ac:dyDescent="0.35">
      <c r="A6" s="173" t="s">
        <v>184</v>
      </c>
      <c r="B6" s="316">
        <v>17396645000</v>
      </c>
      <c r="C6" s="316">
        <v>20588451000</v>
      </c>
      <c r="D6" s="316">
        <v>20089744000</v>
      </c>
      <c r="E6" s="317">
        <v>28521565000</v>
      </c>
      <c r="F6" s="317">
        <v>27844931000</v>
      </c>
      <c r="G6" s="318">
        <f>'Fixed Asset and Loan Schedule'!N77</f>
        <v>27347602475</v>
      </c>
      <c r="H6" s="163">
        <f>'Fixed Asset and Loan Schedule'!N89</f>
        <v>28912695862.160004</v>
      </c>
      <c r="I6" s="163">
        <f>'Fixed Asset and Loan Schedule'!N101</f>
        <v>30898534878.712852</v>
      </c>
      <c r="J6" s="163">
        <f>'Fixed Asset and Loan Schedule'!N113</f>
        <v>33278054356.308098</v>
      </c>
      <c r="K6" s="319">
        <f>'Fixed Asset and Loan Schedule'!N125</f>
        <v>36070274962.665817</v>
      </c>
    </row>
    <row r="7" spans="1:11" ht="15.5" x14ac:dyDescent="0.35">
      <c r="A7" s="173" t="s">
        <v>185</v>
      </c>
      <c r="B7" s="316">
        <v>81451000</v>
      </c>
      <c r="C7" s="316">
        <v>93727000</v>
      </c>
      <c r="D7" s="316">
        <v>124516000</v>
      </c>
      <c r="E7" s="317">
        <v>119631000</v>
      </c>
      <c r="F7" s="317">
        <v>115109000</v>
      </c>
      <c r="G7" s="263">
        <f>AVERAGE(B7:F7)</f>
        <v>106886800</v>
      </c>
      <c r="H7" s="179">
        <f t="shared" ref="H7:K7" si="0">AVERAGE(C7:G7)</f>
        <v>111973960</v>
      </c>
      <c r="I7" s="179">
        <f t="shared" si="0"/>
        <v>115623352</v>
      </c>
      <c r="J7" s="179">
        <f t="shared" si="0"/>
        <v>113844822.40000001</v>
      </c>
      <c r="K7" s="216">
        <f t="shared" si="0"/>
        <v>112687586.88</v>
      </c>
    </row>
    <row r="8" spans="1:11" ht="15.5" x14ac:dyDescent="0.35">
      <c r="A8" s="173" t="s">
        <v>186</v>
      </c>
      <c r="B8" s="316">
        <v>1497136000</v>
      </c>
      <c r="C8" s="316">
        <v>525910000</v>
      </c>
      <c r="D8" s="316">
        <v>200093000</v>
      </c>
      <c r="E8" s="317">
        <v>340293000</v>
      </c>
      <c r="F8" s="317">
        <v>489481000</v>
      </c>
      <c r="G8" s="264">
        <f>G11*Assumptions_IS!H59</f>
        <v>1320479262.117995</v>
      </c>
      <c r="H8" s="241">
        <f>H11*Assumptions_IS!I59</f>
        <v>997227754.13026142</v>
      </c>
      <c r="I8" s="241">
        <f>I11*Assumptions_IS!J59</f>
        <v>988238759.01626551</v>
      </c>
      <c r="J8" s="241">
        <f>J11*Assumptions_IS!K59</f>
        <v>1277985435.0583744</v>
      </c>
      <c r="K8" s="279">
        <f>K11*Assumptions_IS!L59</f>
        <v>1877900043.5955327</v>
      </c>
    </row>
    <row r="9" spans="1:11" ht="15.5" x14ac:dyDescent="0.35">
      <c r="A9" s="173"/>
      <c r="B9" s="320">
        <f t="shared" ref="B9:F9" si="1">SUM(B6:B8)</f>
        <v>18975232000</v>
      </c>
      <c r="C9" s="320">
        <f t="shared" si="1"/>
        <v>21208088000</v>
      </c>
      <c r="D9" s="320">
        <f t="shared" si="1"/>
        <v>20414353000</v>
      </c>
      <c r="E9" s="320">
        <f t="shared" si="1"/>
        <v>28981489000</v>
      </c>
      <c r="F9" s="320">
        <f t="shared" si="1"/>
        <v>28449521000</v>
      </c>
      <c r="G9" s="318">
        <f>SUM(G6:G8)</f>
        <v>28774968537.117996</v>
      </c>
      <c r="H9" s="163">
        <f t="shared" ref="H9:K9" si="2">SUM(H6:H8)</f>
        <v>30021897576.290264</v>
      </c>
      <c r="I9" s="163">
        <f t="shared" si="2"/>
        <v>32002396989.729118</v>
      </c>
      <c r="J9" s="163">
        <f t="shared" si="2"/>
        <v>34669884613.766472</v>
      </c>
      <c r="K9" s="319">
        <f t="shared" si="2"/>
        <v>38060862593.14135</v>
      </c>
    </row>
    <row r="10" spans="1:11" ht="15.5" x14ac:dyDescent="0.35">
      <c r="A10" s="173"/>
      <c r="B10" s="321"/>
      <c r="C10" s="321"/>
      <c r="D10" s="321"/>
      <c r="G10" s="173"/>
      <c r="K10" s="215"/>
    </row>
    <row r="11" spans="1:11" ht="16" thickBot="1" x14ac:dyDescent="0.4">
      <c r="A11" s="193" t="s">
        <v>187</v>
      </c>
      <c r="B11" s="322">
        <f>B8/Assumptions_IS!C59</f>
        <v>1.258991828699557E-2</v>
      </c>
      <c r="C11" s="322">
        <f>C8/Assumptions_IS!D59</f>
        <v>5.5419752365073833E-3</v>
      </c>
      <c r="D11" s="322">
        <f>D8/Assumptions_IS!E59</f>
        <v>2.2519864029497917E-3</v>
      </c>
      <c r="E11" s="322">
        <f>E8/Assumptions_IS!F59</f>
        <v>1.9888907151446511E-3</v>
      </c>
      <c r="F11" s="322">
        <f>F8/Assumptions_IS!G59</f>
        <v>1.9228529919822913E-3</v>
      </c>
      <c r="G11" s="323">
        <f>AVERAGE(B11:F11)</f>
        <v>4.8591247267159377E-3</v>
      </c>
      <c r="H11" s="324">
        <f t="shared" ref="H11:K11" si="3">AVERAGE(C11:G11)</f>
        <v>3.3129660146600107E-3</v>
      </c>
      <c r="I11" s="324">
        <f t="shared" si="3"/>
        <v>2.8671641702905362E-3</v>
      </c>
      <c r="J11" s="324">
        <f t="shared" si="3"/>
        <v>2.9901997237586852E-3</v>
      </c>
      <c r="K11" s="325">
        <f t="shared" si="3"/>
        <v>3.1904615254814924E-3</v>
      </c>
    </row>
    <row r="12" spans="1:11" ht="15.5" x14ac:dyDescent="0.35">
      <c r="B12" s="326"/>
      <c r="C12" s="326"/>
      <c r="D12" s="326"/>
      <c r="G12" s="159"/>
    </row>
    <row r="13" spans="1:11" ht="16" thickBot="1" x14ac:dyDescent="0.4">
      <c r="B13" s="321"/>
      <c r="C13" s="321"/>
      <c r="D13" s="321"/>
      <c r="G13" s="159"/>
    </row>
    <row r="14" spans="1:11" ht="17.5" x14ac:dyDescent="0.35">
      <c r="A14" s="314" t="s">
        <v>22</v>
      </c>
      <c r="B14" s="327">
        <v>108000</v>
      </c>
      <c r="C14" s="327">
        <v>0</v>
      </c>
      <c r="D14" s="327">
        <v>0</v>
      </c>
      <c r="E14" s="327">
        <v>0</v>
      </c>
      <c r="F14" s="327">
        <v>6736000</v>
      </c>
      <c r="G14" s="328">
        <v>6736000</v>
      </c>
      <c r="H14" s="234">
        <f>G14*(1-0.33)</f>
        <v>4513119.9999999991</v>
      </c>
      <c r="I14" s="329">
        <f t="shared" ref="I14:K14" si="4">H14*(1-0.33)</f>
        <v>3023790.399999999</v>
      </c>
      <c r="J14" s="329">
        <f t="shared" si="4"/>
        <v>2025939.567999999</v>
      </c>
      <c r="K14" s="330">
        <f t="shared" si="4"/>
        <v>1357379.5105599992</v>
      </c>
    </row>
    <row r="15" spans="1:11" ht="14.5" thickBot="1" x14ac:dyDescent="0.35">
      <c r="A15" s="634" t="s">
        <v>254</v>
      </c>
      <c r="B15" s="635"/>
      <c r="C15" s="331"/>
      <c r="D15" s="331"/>
      <c r="E15" s="220"/>
      <c r="F15" s="220"/>
      <c r="G15" s="193"/>
      <c r="H15" s="220"/>
      <c r="I15" s="220"/>
      <c r="J15" s="220"/>
      <c r="K15" s="233"/>
    </row>
    <row r="16" spans="1:11" x14ac:dyDescent="0.3">
      <c r="A16" s="240"/>
      <c r="B16" s="240"/>
      <c r="C16" s="332"/>
      <c r="D16" s="332"/>
      <c r="G16" s="159"/>
    </row>
    <row r="17" spans="1:11" ht="14.5" thickBot="1" x14ac:dyDescent="0.35">
      <c r="B17" s="332"/>
      <c r="C17" s="332"/>
      <c r="D17" s="332"/>
      <c r="G17" s="159"/>
    </row>
    <row r="18" spans="1:11" ht="17.5" x14ac:dyDescent="0.35">
      <c r="A18" s="314" t="s">
        <v>23</v>
      </c>
      <c r="B18" s="234"/>
      <c r="C18" s="333">
        <v>163075000</v>
      </c>
      <c r="D18" s="333">
        <v>147165000</v>
      </c>
      <c r="E18" s="334">
        <v>131255000</v>
      </c>
      <c r="F18" s="334">
        <v>115345000</v>
      </c>
      <c r="G18" s="335">
        <f>F18-($F$18*10%)</f>
        <v>103810500</v>
      </c>
      <c r="H18" s="336">
        <f t="shared" ref="H18:K18" si="5">G18-($F$18*10%)</f>
        <v>92276000</v>
      </c>
      <c r="I18" s="336">
        <f t="shared" si="5"/>
        <v>80741500</v>
      </c>
      <c r="J18" s="336">
        <f t="shared" si="5"/>
        <v>69207000</v>
      </c>
      <c r="K18" s="337">
        <f t="shared" si="5"/>
        <v>57672500</v>
      </c>
    </row>
    <row r="19" spans="1:11" x14ac:dyDescent="0.3">
      <c r="A19" s="173" t="s">
        <v>188</v>
      </c>
      <c r="C19" s="338"/>
      <c r="D19" s="338"/>
      <c r="G19" s="263">
        <f>F18-G18</f>
        <v>11534500</v>
      </c>
      <c r="H19" s="179">
        <f t="shared" ref="H19:K19" si="6">G18-H18</f>
        <v>11534500</v>
      </c>
      <c r="I19" s="179">
        <f t="shared" si="6"/>
        <v>11534500</v>
      </c>
      <c r="J19" s="179">
        <f t="shared" si="6"/>
        <v>11534500</v>
      </c>
      <c r="K19" s="216">
        <f t="shared" si="6"/>
        <v>11534500</v>
      </c>
    </row>
    <row r="20" spans="1:11" ht="14.5" thickBot="1" x14ac:dyDescent="0.35">
      <c r="A20" s="636" t="s">
        <v>189</v>
      </c>
      <c r="B20" s="637"/>
      <c r="C20" s="637"/>
      <c r="D20" s="220"/>
      <c r="E20" s="220"/>
      <c r="F20" s="220"/>
      <c r="G20" s="193"/>
      <c r="H20" s="220"/>
      <c r="I20" s="220"/>
      <c r="J20" s="220"/>
      <c r="K20" s="233"/>
    </row>
    <row r="21" spans="1:11" x14ac:dyDescent="0.3">
      <c r="A21" s="224"/>
      <c r="B21" s="224"/>
      <c r="C21" s="224"/>
      <c r="G21" s="173"/>
      <c r="K21" s="215"/>
    </row>
    <row r="22" spans="1:11" ht="14.5" thickBot="1" x14ac:dyDescent="0.35">
      <c r="G22" s="173"/>
      <c r="K22" s="215"/>
    </row>
    <row r="23" spans="1:11" ht="17.5" x14ac:dyDescent="0.35">
      <c r="A23" s="314" t="s">
        <v>24</v>
      </c>
      <c r="B23" s="166"/>
      <c r="C23" s="234"/>
      <c r="D23" s="234"/>
      <c r="E23" s="234"/>
      <c r="F23" s="236"/>
      <c r="G23" s="166"/>
      <c r="H23" s="234"/>
      <c r="I23" s="234"/>
      <c r="J23" s="234"/>
      <c r="K23" s="236"/>
    </row>
    <row r="24" spans="1:11" ht="15.5" x14ac:dyDescent="0.35">
      <c r="A24" s="173" t="s">
        <v>190</v>
      </c>
      <c r="B24" s="522">
        <v>71428000</v>
      </c>
      <c r="C24" s="316">
        <v>62036000</v>
      </c>
      <c r="D24" s="316">
        <v>65294000</v>
      </c>
      <c r="E24" s="317">
        <v>58930000</v>
      </c>
      <c r="F24" s="454">
        <v>55514000</v>
      </c>
      <c r="G24" s="339">
        <f>F28</f>
        <v>45854000</v>
      </c>
      <c r="H24" s="340">
        <f>G28</f>
        <v>39825000</v>
      </c>
      <c r="I24" s="340">
        <f t="shared" ref="I24:K24" si="7">H28</f>
        <v>31938600</v>
      </c>
      <c r="J24" s="340">
        <f t="shared" si="7"/>
        <v>25267520</v>
      </c>
      <c r="K24" s="341">
        <f t="shared" si="7"/>
        <v>18535024</v>
      </c>
    </row>
    <row r="25" spans="1:11" ht="15.5" x14ac:dyDescent="0.35">
      <c r="A25" s="173" t="s">
        <v>191</v>
      </c>
      <c r="B25" s="522">
        <v>3258000</v>
      </c>
      <c r="C25" s="316">
        <v>-13963000</v>
      </c>
      <c r="D25" s="316">
        <v>-6364000</v>
      </c>
      <c r="E25" s="317">
        <v>-3416000</v>
      </c>
      <c r="F25" s="454">
        <v>-9660000</v>
      </c>
      <c r="G25" s="339">
        <f>AVERAGE(B25:F25)</f>
        <v>-6029000</v>
      </c>
      <c r="H25" s="340">
        <f t="shared" ref="H25:K25" si="8">AVERAGE(C25:G25)</f>
        <v>-7886400</v>
      </c>
      <c r="I25" s="340">
        <f t="shared" si="8"/>
        <v>-6671080</v>
      </c>
      <c r="J25" s="340">
        <f t="shared" si="8"/>
        <v>-6732496</v>
      </c>
      <c r="K25" s="341">
        <f t="shared" si="8"/>
        <v>-7395795.2000000002</v>
      </c>
    </row>
    <row r="26" spans="1:11" ht="15.5" x14ac:dyDescent="0.35">
      <c r="A26" s="173" t="s">
        <v>192</v>
      </c>
      <c r="B26" s="522">
        <v>4571</v>
      </c>
      <c r="C26" s="316">
        <v>0</v>
      </c>
      <c r="D26" s="316">
        <v>0</v>
      </c>
      <c r="E26" s="317">
        <v>0</v>
      </c>
      <c r="F26" s="454">
        <v>0</v>
      </c>
      <c r="G26" s="342">
        <v>0</v>
      </c>
      <c r="H26" s="343">
        <v>0</v>
      </c>
      <c r="I26" s="343">
        <v>0</v>
      </c>
      <c r="J26" s="343">
        <v>0</v>
      </c>
      <c r="K26" s="344">
        <v>0</v>
      </c>
    </row>
    <row r="27" spans="1:11" ht="16" thickBot="1" x14ac:dyDescent="0.4">
      <c r="A27" s="173" t="s">
        <v>193</v>
      </c>
      <c r="B27" s="523">
        <v>0</v>
      </c>
      <c r="C27" s="350">
        <v>0</v>
      </c>
      <c r="D27" s="350">
        <v>0</v>
      </c>
      <c r="E27" s="455">
        <v>0</v>
      </c>
      <c r="F27" s="456">
        <v>0</v>
      </c>
      <c r="G27" s="145">
        <v>0</v>
      </c>
      <c r="H27" s="146">
        <v>0</v>
      </c>
      <c r="I27" s="146">
        <v>0</v>
      </c>
      <c r="J27" s="146">
        <v>0</v>
      </c>
      <c r="K27" s="147">
        <v>0</v>
      </c>
    </row>
    <row r="28" spans="1:11" ht="16" thickBot="1" x14ac:dyDescent="0.4">
      <c r="A28" s="193"/>
      <c r="B28" s="482">
        <f t="shared" ref="B28:F28" si="9">SUM(B24:B27)</f>
        <v>74690571</v>
      </c>
      <c r="C28" s="480">
        <f t="shared" si="9"/>
        <v>48073000</v>
      </c>
      <c r="D28" s="480">
        <f t="shared" si="9"/>
        <v>58930000</v>
      </c>
      <c r="E28" s="480">
        <f t="shared" si="9"/>
        <v>55514000</v>
      </c>
      <c r="F28" s="483">
        <f t="shared" si="9"/>
        <v>45854000</v>
      </c>
      <c r="G28" s="355">
        <f>G24+G25</f>
        <v>39825000</v>
      </c>
      <c r="H28" s="345">
        <f t="shared" ref="H28:K28" si="10">H24+H25</f>
        <v>31938600</v>
      </c>
      <c r="I28" s="345">
        <f t="shared" si="10"/>
        <v>25267520</v>
      </c>
      <c r="J28" s="345">
        <f t="shared" si="10"/>
        <v>18535024</v>
      </c>
      <c r="K28" s="356">
        <f t="shared" si="10"/>
        <v>11139228.800000001</v>
      </c>
    </row>
    <row r="29" spans="1:11" ht="15.5" x14ac:dyDescent="0.35">
      <c r="B29" s="321"/>
      <c r="C29" s="321"/>
      <c r="D29" s="321"/>
      <c r="G29" s="159"/>
    </row>
    <row r="30" spans="1:11" ht="16" thickBot="1" x14ac:dyDescent="0.4">
      <c r="B30" s="321"/>
      <c r="C30" s="321"/>
      <c r="D30" s="321"/>
      <c r="G30" s="159"/>
    </row>
    <row r="31" spans="1:11" ht="17.5" x14ac:dyDescent="0.35">
      <c r="A31" s="314" t="s">
        <v>194</v>
      </c>
      <c r="B31" s="346"/>
      <c r="C31" s="346"/>
      <c r="D31" s="346"/>
      <c r="E31" s="234"/>
      <c r="F31" s="234"/>
      <c r="G31" s="166"/>
      <c r="H31" s="234"/>
      <c r="I31" s="234"/>
      <c r="J31" s="234"/>
      <c r="K31" s="236"/>
    </row>
    <row r="32" spans="1:11" ht="15.5" x14ac:dyDescent="0.35">
      <c r="A32" s="173" t="s">
        <v>195</v>
      </c>
      <c r="B32" s="320">
        <v>7549000</v>
      </c>
      <c r="C32" s="320">
        <v>4764000</v>
      </c>
      <c r="D32" s="320">
        <v>6058000</v>
      </c>
      <c r="E32" s="320">
        <f>20666000-10952000</f>
        <v>9714000</v>
      </c>
      <c r="F32" s="320">
        <f>17840000-10800000</f>
        <v>7040000</v>
      </c>
      <c r="G32" s="268">
        <f>G37*Assumptions_IS!H62</f>
        <v>8175745.6820197366</v>
      </c>
      <c r="H32" s="217">
        <f>H37*Assumptions_IS!I62</f>
        <v>9014790.443794651</v>
      </c>
      <c r="I32" s="217">
        <f>I37*Assumptions_IS!J62</f>
        <v>11027349.104796834</v>
      </c>
      <c r="J32" s="217">
        <f>J37*Assumptions_IS!K62</f>
        <v>14369220.305022396</v>
      </c>
      <c r="K32" s="218">
        <f>K37*Assumptions_IS!L62</f>
        <v>18669782.742919657</v>
      </c>
    </row>
    <row r="33" spans="1:11" ht="15.5" x14ac:dyDescent="0.35">
      <c r="A33" s="173" t="s">
        <v>196</v>
      </c>
      <c r="B33" s="320">
        <v>21758000</v>
      </c>
      <c r="C33" s="320">
        <v>21182000</v>
      </c>
      <c r="D33" s="320">
        <v>21182000</v>
      </c>
      <c r="E33" s="320">
        <v>21183000</v>
      </c>
      <c r="F33" s="320">
        <v>21182000</v>
      </c>
      <c r="G33" s="263">
        <f>AVERAGE(B33:F33)</f>
        <v>21297400</v>
      </c>
      <c r="H33" s="179">
        <f t="shared" ref="H33:K33" si="11">AVERAGE(C33:G33)</f>
        <v>21205280</v>
      </c>
      <c r="I33" s="179">
        <f t="shared" si="11"/>
        <v>21209936</v>
      </c>
      <c r="J33" s="179">
        <f t="shared" si="11"/>
        <v>21215523.199999999</v>
      </c>
      <c r="K33" s="216">
        <f t="shared" si="11"/>
        <v>21222027.84</v>
      </c>
    </row>
    <row r="34" spans="1:11" ht="15.5" x14ac:dyDescent="0.35">
      <c r="A34" s="173"/>
      <c r="B34" s="320">
        <f t="shared" ref="B34:K34" si="12">B32+B33</f>
        <v>29307000</v>
      </c>
      <c r="C34" s="320">
        <f t="shared" si="12"/>
        <v>25946000</v>
      </c>
      <c r="D34" s="320">
        <f t="shared" si="12"/>
        <v>27240000</v>
      </c>
      <c r="E34" s="320">
        <f t="shared" si="12"/>
        <v>30897000</v>
      </c>
      <c r="F34" s="320">
        <f>F32+F33</f>
        <v>28222000</v>
      </c>
      <c r="G34" s="347">
        <f>G32+G33</f>
        <v>29473145.682019737</v>
      </c>
      <c r="H34" s="348">
        <f t="shared" si="12"/>
        <v>30220070.443794653</v>
      </c>
      <c r="I34" s="348">
        <f t="shared" si="12"/>
        <v>32237285.104796834</v>
      </c>
      <c r="J34" s="348">
        <f t="shared" si="12"/>
        <v>35584743.505022392</v>
      </c>
      <c r="K34" s="349">
        <f t="shared" si="12"/>
        <v>39891810.582919657</v>
      </c>
    </row>
    <row r="35" spans="1:11" ht="15.5" x14ac:dyDescent="0.35">
      <c r="A35" s="173"/>
      <c r="B35" s="321"/>
      <c r="C35" s="321"/>
      <c r="D35" s="321"/>
      <c r="G35" s="173"/>
      <c r="K35" s="215"/>
    </row>
    <row r="36" spans="1:11" ht="15.5" x14ac:dyDescent="0.35">
      <c r="A36" s="173"/>
      <c r="B36" s="321"/>
      <c r="C36" s="321"/>
      <c r="D36" s="321"/>
      <c r="G36" s="173"/>
      <c r="K36" s="215"/>
    </row>
    <row r="37" spans="1:11" ht="16" thickBot="1" x14ac:dyDescent="0.4">
      <c r="A37" s="193" t="s">
        <v>197</v>
      </c>
      <c r="B37" s="350">
        <f>B32/Assumptions_IS!C62</f>
        <v>26960.714285714286</v>
      </c>
      <c r="C37" s="350">
        <f>C32/Assumptions_IS!D62</f>
        <v>17075.268817204302</v>
      </c>
      <c r="D37" s="350">
        <f>D32/Assumptions_IS!E62</f>
        <v>21949.27536231884</v>
      </c>
      <c r="E37" s="350">
        <f>E32/Assumptions_IS!F62</f>
        <v>35582.417582417584</v>
      </c>
      <c r="F37" s="350">
        <f>F32/Assumptions_IS!G62</f>
        <v>24788.732394366198</v>
      </c>
      <c r="G37" s="103">
        <f>AVERAGE(B37:F37)</f>
        <v>25271.28168840424</v>
      </c>
      <c r="H37" s="104">
        <f t="shared" ref="H37:K37" si="13">AVERAGE(C37:G37)</f>
        <v>24933.395168942236</v>
      </c>
      <c r="I37" s="104">
        <f t="shared" si="13"/>
        <v>26505.020439289819</v>
      </c>
      <c r="J37" s="104">
        <f t="shared" si="13"/>
        <v>27416.169454684015</v>
      </c>
      <c r="K37" s="105">
        <f t="shared" si="13"/>
        <v>25782.9198291373</v>
      </c>
    </row>
    <row r="38" spans="1:11" ht="15.5" x14ac:dyDescent="0.35">
      <c r="B38" s="321"/>
      <c r="C38" s="321"/>
      <c r="D38" s="321"/>
      <c r="G38" s="159"/>
    </row>
    <row r="39" spans="1:11" ht="16" thickBot="1" x14ac:dyDescent="0.4">
      <c r="B39" s="321"/>
      <c r="C39" s="321"/>
      <c r="D39" s="321"/>
      <c r="G39" s="159"/>
    </row>
    <row r="40" spans="1:11" ht="18" thickBot="1" x14ac:dyDescent="0.4">
      <c r="A40" s="351" t="s">
        <v>26</v>
      </c>
      <c r="B40" s="352">
        <v>17622000</v>
      </c>
      <c r="C40" s="352">
        <v>30257000</v>
      </c>
      <c r="D40" s="352">
        <v>25580000</v>
      </c>
      <c r="E40" s="353">
        <v>32584000</v>
      </c>
      <c r="F40" s="354">
        <v>19105000</v>
      </c>
      <c r="G40" s="355">
        <f>AVERAGE(B40:F40)</f>
        <v>25029600</v>
      </c>
      <c r="H40" s="345">
        <f t="shared" ref="H40:K40" si="14">AVERAGE(C40:G40)</f>
        <v>26511120</v>
      </c>
      <c r="I40" s="345">
        <f t="shared" si="14"/>
        <v>25761944</v>
      </c>
      <c r="J40" s="345">
        <f t="shared" si="14"/>
        <v>25798332.800000001</v>
      </c>
      <c r="K40" s="356">
        <f t="shared" si="14"/>
        <v>24441199.359999999</v>
      </c>
    </row>
    <row r="41" spans="1:11" ht="15.5" x14ac:dyDescent="0.35">
      <c r="B41" s="321"/>
      <c r="C41" s="321"/>
      <c r="D41" s="321"/>
      <c r="G41" s="159"/>
    </row>
    <row r="42" spans="1:11" ht="20" x14ac:dyDescent="0.4">
      <c r="A42" s="357" t="s">
        <v>198</v>
      </c>
      <c r="B42" s="321"/>
      <c r="C42" s="321"/>
      <c r="D42" s="321"/>
      <c r="G42" s="159"/>
    </row>
    <row r="43" spans="1:11" ht="16" thickBot="1" x14ac:dyDescent="0.4">
      <c r="B43" s="321"/>
      <c r="C43" s="321"/>
      <c r="D43" s="321"/>
      <c r="G43" s="159"/>
    </row>
    <row r="44" spans="1:11" ht="17.5" x14ac:dyDescent="0.35">
      <c r="A44" s="314" t="s">
        <v>28</v>
      </c>
      <c r="B44" s="346"/>
      <c r="C44" s="346"/>
      <c r="D44" s="346"/>
      <c r="E44" s="234"/>
      <c r="F44" s="234"/>
      <c r="G44" s="166"/>
      <c r="H44" s="234"/>
      <c r="I44" s="234"/>
      <c r="J44" s="234"/>
      <c r="K44" s="236"/>
    </row>
    <row r="45" spans="1:11" ht="15.5" x14ac:dyDescent="0.35">
      <c r="A45" s="173" t="s">
        <v>199</v>
      </c>
      <c r="B45" s="316">
        <v>375125000</v>
      </c>
      <c r="C45" s="316">
        <v>437635000</v>
      </c>
      <c r="D45" s="316">
        <v>533903000</v>
      </c>
      <c r="E45" s="317">
        <v>578071000</v>
      </c>
      <c r="F45" s="317">
        <v>1761234000</v>
      </c>
      <c r="G45" s="263">
        <f>AVERAGE(B45:F45)</f>
        <v>737193600</v>
      </c>
      <c r="H45" s="179">
        <f t="shared" ref="H45:K45" si="15">AVERAGE(C45:G45)</f>
        <v>809607320</v>
      </c>
      <c r="I45" s="179">
        <f t="shared" si="15"/>
        <v>884001784</v>
      </c>
      <c r="J45" s="179">
        <f t="shared" si="15"/>
        <v>954021540.79999995</v>
      </c>
      <c r="K45" s="216">
        <f t="shared" si="15"/>
        <v>1029211648.96</v>
      </c>
    </row>
    <row r="46" spans="1:11" ht="15.5" x14ac:dyDescent="0.35">
      <c r="A46" s="173" t="s">
        <v>200</v>
      </c>
      <c r="B46" s="316">
        <v>5458539000</v>
      </c>
      <c r="C46" s="316">
        <v>6050842000</v>
      </c>
      <c r="D46" s="316">
        <v>7313368</v>
      </c>
      <c r="E46" s="317">
        <v>18421996000</v>
      </c>
      <c r="F46" s="317">
        <v>25778009000</v>
      </c>
      <c r="G46" s="264">
        <f>G50*Assumptions_IS!H35</f>
        <v>17455104617.871677</v>
      </c>
      <c r="H46" s="241">
        <f>H50*Assumptions_IS!I35</f>
        <v>20614814314.078655</v>
      </c>
      <c r="I46" s="241">
        <f>I50*Assumptions_IS!J35</f>
        <v>23846831914.938072</v>
      </c>
      <c r="J46" s="241">
        <f>J50*Assumptions_IS!K35</f>
        <v>35694480921.140732</v>
      </c>
      <c r="K46" s="279">
        <f>K50*Assumptions_IS!L35</f>
        <v>46513372174.805534</v>
      </c>
    </row>
    <row r="47" spans="1:11" ht="15.5" x14ac:dyDescent="0.35">
      <c r="A47" s="173" t="s">
        <v>201</v>
      </c>
      <c r="B47" s="316">
        <v>3613760000</v>
      </c>
      <c r="C47" s="316">
        <v>1475915000</v>
      </c>
      <c r="D47" s="316">
        <v>2568136</v>
      </c>
      <c r="E47" s="317">
        <v>5056848000</v>
      </c>
      <c r="F47" s="317">
        <v>7921641000</v>
      </c>
      <c r="G47" s="264">
        <f>G51*Assumptions_IS!H18</f>
        <v>6078393259.5217257</v>
      </c>
      <c r="H47" s="241">
        <f>H51*Assumptions_IS!I18</f>
        <v>6177106928.2974567</v>
      </c>
      <c r="I47" s="241">
        <f>I51*Assumptions_IS!J18</f>
        <v>7462290716.3648205</v>
      </c>
      <c r="J47" s="241">
        <f>J51*Assumptions_IS!K18</f>
        <v>11278510993.420305</v>
      </c>
      <c r="K47" s="279">
        <f>K51*Assumptions_IS!L18</f>
        <v>14948849222.459644</v>
      </c>
    </row>
    <row r="48" spans="1:11" ht="15.5" x14ac:dyDescent="0.35">
      <c r="A48" s="173"/>
      <c r="B48" s="358">
        <f t="shared" ref="B48:F48" si="16">SUM(B45:B47)</f>
        <v>9447424000</v>
      </c>
      <c r="C48" s="358">
        <f t="shared" si="16"/>
        <v>7964392000</v>
      </c>
      <c r="D48" s="358">
        <f t="shared" si="16"/>
        <v>543784504</v>
      </c>
      <c r="E48" s="358">
        <f t="shared" si="16"/>
        <v>24056915000</v>
      </c>
      <c r="F48" s="358">
        <f t="shared" si="16"/>
        <v>35460884000</v>
      </c>
      <c r="G48" s="263">
        <f>SUM(G45:G47)</f>
        <v>24270691477.393402</v>
      </c>
      <c r="H48" s="179">
        <f t="shared" ref="H48:K48" si="17">SUM(H45:H47)</f>
        <v>27601528562.376114</v>
      </c>
      <c r="I48" s="179">
        <f t="shared" si="17"/>
        <v>32193124415.302895</v>
      </c>
      <c r="J48" s="179">
        <f t="shared" si="17"/>
        <v>47927013455.361038</v>
      </c>
      <c r="K48" s="216">
        <f t="shared" si="17"/>
        <v>62491433046.225174</v>
      </c>
    </row>
    <row r="49" spans="1:11" ht="15.5" x14ac:dyDescent="0.35">
      <c r="A49" s="173"/>
      <c r="B49" s="316"/>
      <c r="C49" s="316"/>
      <c r="D49" s="316"/>
      <c r="G49" s="173"/>
      <c r="K49" s="215"/>
    </row>
    <row r="50" spans="1:11" ht="15.5" x14ac:dyDescent="0.35">
      <c r="A50" s="173" t="s">
        <v>202</v>
      </c>
      <c r="B50" s="326">
        <f>B46/Assumptions_IS!C35</f>
        <v>4.7717265929382115E-2</v>
      </c>
      <c r="C50" s="326">
        <f>C46/Assumptions_IS!D35</f>
        <v>6.8560825152606211E-2</v>
      </c>
      <c r="D50" s="326">
        <f>D46/Assumptions_IS!E35</f>
        <v>8.4664930997501478E-5</v>
      </c>
      <c r="E50" s="326">
        <f>E46/Assumptions_IS!F35</f>
        <v>0.1115232119282861</v>
      </c>
      <c r="F50" s="326">
        <f>F46/Assumptions_IS!G35</f>
        <v>0.10527886711385678</v>
      </c>
      <c r="G50" s="359">
        <f>AVERAGE(B50:F50)</f>
        <v>6.6632967011025751E-2</v>
      </c>
      <c r="H50" s="75">
        <f t="shared" ref="H50:K50" si="18">AVERAGE(C50:G50)</f>
        <v>7.0416107227354474E-2</v>
      </c>
      <c r="I50" s="75">
        <f t="shared" si="18"/>
        <v>7.0787163642304127E-2</v>
      </c>
      <c r="J50" s="75">
        <f t="shared" si="18"/>
        <v>8.4927663384565449E-2</v>
      </c>
      <c r="K50" s="76">
        <f t="shared" si="18"/>
        <v>7.9608553675821314E-2</v>
      </c>
    </row>
    <row r="51" spans="1:11" ht="16" thickBot="1" x14ac:dyDescent="0.4">
      <c r="A51" s="193" t="s">
        <v>203</v>
      </c>
      <c r="B51" s="322">
        <f>B47/Assumptions_IS!C18</f>
        <v>2.3822292249734402E-2</v>
      </c>
      <c r="C51" s="322">
        <f>C47/Assumptions_IS!D18</f>
        <v>1.1191693077348092E-2</v>
      </c>
      <c r="D51" s="322">
        <f>D47/Assumptions_IS!E18</f>
        <v>1.8393373487780211E-5</v>
      </c>
      <c r="E51" s="322">
        <f>E47/Assumptions_IS!F18</f>
        <v>2.2589951506176126E-2</v>
      </c>
      <c r="F51" s="322">
        <f>F47/Assumptions_IS!G18</f>
        <v>2.4334567632886168E-2</v>
      </c>
      <c r="G51" s="360">
        <f>AVERAGE(B51:F51)</f>
        <v>1.6391379567926516E-2</v>
      </c>
      <c r="H51" s="361">
        <f t="shared" ref="H51:K51" si="19">AVERAGE(C51:G51)</f>
        <v>1.4905197031564937E-2</v>
      </c>
      <c r="I51" s="361">
        <f t="shared" si="19"/>
        <v>1.5647897822408306E-2</v>
      </c>
      <c r="J51" s="361">
        <f t="shared" si="19"/>
        <v>1.877379871219241E-2</v>
      </c>
      <c r="K51" s="362">
        <f t="shared" si="19"/>
        <v>1.8010568153395669E-2</v>
      </c>
    </row>
    <row r="52" spans="1:11" ht="15.5" x14ac:dyDescent="0.35">
      <c r="B52" s="321"/>
      <c r="C52" s="321"/>
      <c r="D52" s="321"/>
      <c r="G52" s="159"/>
    </row>
    <row r="53" spans="1:11" ht="15.5" x14ac:dyDescent="0.35">
      <c r="B53" s="321"/>
      <c r="C53" s="321"/>
      <c r="D53" s="321"/>
      <c r="G53" s="159"/>
    </row>
    <row r="54" spans="1:11" ht="16" thickBot="1" x14ac:dyDescent="0.4">
      <c r="B54" s="321"/>
      <c r="C54" s="321"/>
      <c r="D54" s="321"/>
      <c r="G54" s="159"/>
    </row>
    <row r="55" spans="1:11" ht="17.5" x14ac:dyDescent="0.35">
      <c r="A55" s="314" t="s">
        <v>204</v>
      </c>
      <c r="B55" s="327">
        <v>13195089000</v>
      </c>
      <c r="C55" s="327">
        <v>3667153000</v>
      </c>
      <c r="D55" s="327">
        <v>6588913000</v>
      </c>
      <c r="E55" s="327">
        <v>11305849000</v>
      </c>
      <c r="F55" s="327">
        <v>19912335000</v>
      </c>
      <c r="G55" s="363">
        <f>(G58/365)*Assumptions_IS!H18</f>
        <v>17482663289.443451</v>
      </c>
      <c r="H55" s="334">
        <f>(H58/365)*Assumptions_IS!I18</f>
        <v>17798790456.254265</v>
      </c>
      <c r="I55" s="334">
        <f>(I58/365)*Assumptions_IS!J18</f>
        <v>21222975292.535049</v>
      </c>
      <c r="J55" s="334">
        <f>(J58/365)*Assumptions_IS!K18</f>
        <v>27416447122.789845</v>
      </c>
      <c r="K55" s="364">
        <f>(K58/365)*Assumptions_IS!L18</f>
        <v>37398411694.925018</v>
      </c>
    </row>
    <row r="56" spans="1:11" ht="15.5" x14ac:dyDescent="0.35">
      <c r="A56" s="173"/>
      <c r="B56" s="321"/>
      <c r="C56" s="321"/>
      <c r="D56" s="321"/>
      <c r="G56" s="173"/>
      <c r="K56" s="215"/>
    </row>
    <row r="57" spans="1:11" ht="15.5" x14ac:dyDescent="0.35">
      <c r="A57" s="173" t="s">
        <v>255</v>
      </c>
      <c r="B57" s="316"/>
      <c r="C57" s="316">
        <f>Assumptions_IS!D18/AVERAGE(Assumptions_BS!B55:C55)</f>
        <v>15.641566050350837</v>
      </c>
      <c r="D57" s="316">
        <f>Assumptions_IS!E18/AVERAGE(Assumptions_BS!C55:D55)</f>
        <v>27.22737782693676</v>
      </c>
      <c r="E57" s="316">
        <f>Assumptions_IS!F18/AVERAGE(Assumptions_BS!D55:E55)</f>
        <v>25.018926432215192</v>
      </c>
      <c r="F57" s="316">
        <f>Assumptions_IS!G18/AVERAGE(Assumptions_BS!E55:F55)</f>
        <v>20.855177098065667</v>
      </c>
      <c r="G57" s="173"/>
      <c r="K57" s="215"/>
    </row>
    <row r="58" spans="1:11" ht="16" thickBot="1" x14ac:dyDescent="0.4">
      <c r="A58" s="193" t="s">
        <v>256</v>
      </c>
      <c r="B58" s="350"/>
      <c r="C58" s="350">
        <f t="shared" ref="C58:F58" si="20">365/C57</f>
        <v>23.335259322822928</v>
      </c>
      <c r="D58" s="350">
        <f t="shared" si="20"/>
        <v>13.405624379990639</v>
      </c>
      <c r="E58" s="350">
        <f t="shared" si="20"/>
        <v>14.588955325038008</v>
      </c>
      <c r="F58" s="350">
        <f t="shared" si="20"/>
        <v>17.501649508114415</v>
      </c>
      <c r="G58" s="290">
        <f>AVERAGE(C58:F58)</f>
        <v>17.207872133991497</v>
      </c>
      <c r="H58" s="222">
        <f t="shared" ref="H58:K58" si="21">AVERAGE(D58:G58)</f>
        <v>15.676025336783642</v>
      </c>
      <c r="I58" s="222">
        <f t="shared" si="21"/>
        <v>16.243625575981891</v>
      </c>
      <c r="J58" s="222">
        <f t="shared" si="21"/>
        <v>16.657293138717861</v>
      </c>
      <c r="K58" s="223">
        <f t="shared" si="21"/>
        <v>16.446204046368724</v>
      </c>
    </row>
    <row r="59" spans="1:11" ht="15.5" x14ac:dyDescent="0.35">
      <c r="B59" s="321"/>
      <c r="C59" s="321"/>
      <c r="D59" s="321"/>
      <c r="G59" s="159"/>
    </row>
    <row r="60" spans="1:11" ht="15.5" x14ac:dyDescent="0.35">
      <c r="B60" s="321"/>
      <c r="C60" s="321"/>
      <c r="D60" s="365"/>
      <c r="G60" s="159"/>
    </row>
    <row r="61" spans="1:11" ht="16" thickBot="1" x14ac:dyDescent="0.4">
      <c r="B61" s="321"/>
      <c r="C61" s="321"/>
      <c r="D61" s="321"/>
      <c r="G61" s="159"/>
    </row>
    <row r="62" spans="1:11" ht="17.5" x14ac:dyDescent="0.35">
      <c r="A62" s="314" t="s">
        <v>205</v>
      </c>
      <c r="B62" s="346"/>
      <c r="C62" s="346"/>
      <c r="D62" s="346"/>
      <c r="E62" s="234"/>
      <c r="F62" s="234"/>
      <c r="G62" s="166"/>
      <c r="H62" s="234"/>
      <c r="I62" s="234"/>
      <c r="J62" s="234"/>
      <c r="K62" s="236"/>
    </row>
    <row r="63" spans="1:11" ht="15.5" x14ac:dyDescent="0.35">
      <c r="A63" s="173" t="s">
        <v>206</v>
      </c>
      <c r="B63" s="316">
        <v>10074000</v>
      </c>
      <c r="C63" s="316">
        <v>8785000</v>
      </c>
      <c r="D63" s="316">
        <v>7887000</v>
      </c>
      <c r="E63" s="317">
        <v>10952000</v>
      </c>
      <c r="F63" s="317">
        <v>10800000</v>
      </c>
      <c r="G63" s="264">
        <f>G69*Assumptions_IS!H62</f>
        <v>11270601.214677511</v>
      </c>
      <c r="H63" s="241">
        <f>H69*Assumptions_IS!I62</f>
        <v>12513155.67841249</v>
      </c>
      <c r="I63" s="241">
        <f>I69*Assumptions_IS!J62</f>
        <v>14658874.745449798</v>
      </c>
      <c r="J63" s="241">
        <f>J69*Assumptions_IS!K62</f>
        <v>19164343.977233402</v>
      </c>
      <c r="K63" s="279">
        <f>K69*Assumptions_IS!L62</f>
        <v>25962942.58945325</v>
      </c>
    </row>
    <row r="64" spans="1:11" ht="15.5" x14ac:dyDescent="0.35">
      <c r="A64" s="173" t="s">
        <v>207</v>
      </c>
      <c r="B64" s="316">
        <v>149811000</v>
      </c>
      <c r="C64" s="316">
        <v>13706000</v>
      </c>
      <c r="D64" s="316">
        <v>30963000</v>
      </c>
      <c r="E64" s="317">
        <v>18091000</v>
      </c>
      <c r="F64" s="317">
        <v>26328000</v>
      </c>
      <c r="G64" s="264">
        <f>G70*Assumptions_IS!H35</f>
        <v>106900609.63688658</v>
      </c>
      <c r="H64" s="241">
        <f>H70*Assumptions_IS!I35</f>
        <v>66682818.78396187</v>
      </c>
      <c r="I64" s="241">
        <f>I70*Assumptions_IS!J35</f>
        <v>81616210.242737621</v>
      </c>
      <c r="J64" s="241">
        <f>J70*Assumptions_IS!K35</f>
        <v>92058531.796038881</v>
      </c>
      <c r="K64" s="279">
        <f>K70*Assumptions_IS!L35</f>
        <v>140773888.93121323</v>
      </c>
    </row>
    <row r="65" spans="1:11" ht="15.5" x14ac:dyDescent="0.35">
      <c r="A65" s="173" t="s">
        <v>208</v>
      </c>
      <c r="B65" s="316">
        <v>11518000</v>
      </c>
      <c r="C65" s="316">
        <v>12146000</v>
      </c>
      <c r="D65" s="316">
        <v>19180000</v>
      </c>
      <c r="E65" s="317">
        <v>181630000</v>
      </c>
      <c r="F65" s="317">
        <v>112768000</v>
      </c>
      <c r="G65" s="264">
        <f>G72*Assumptions_IS!H59</f>
        <v>105726473.41183199</v>
      </c>
      <c r="H65" s="241">
        <f>H72*Assumptions_IS!I59</f>
        <v>134698888.99676526</v>
      </c>
      <c r="I65" s="241">
        <f>I72*Assumptions_IS!J59</f>
        <v>176264357.2432372</v>
      </c>
      <c r="J65" s="241">
        <f>J72*Assumptions_IS!K59</f>
        <v>243826386.70199543</v>
      </c>
      <c r="K65" s="279">
        <f>K72*Assumptions_IS!L59</f>
        <v>277987009.21866482</v>
      </c>
    </row>
    <row r="66" spans="1:11" ht="15.5" x14ac:dyDescent="0.35">
      <c r="A66" s="173" t="s">
        <v>209</v>
      </c>
      <c r="B66" s="316">
        <v>10024000</v>
      </c>
      <c r="C66" s="316">
        <v>14703000</v>
      </c>
      <c r="D66" s="316">
        <v>17263000</v>
      </c>
      <c r="E66" s="317">
        <v>17906000</v>
      </c>
      <c r="F66" s="317">
        <v>24404000</v>
      </c>
      <c r="G66" s="264">
        <f>G71*(Assumptions_IS!H86+Assumptions_IS!H118)</f>
        <v>19800728.105961759</v>
      </c>
      <c r="H66" s="241">
        <f>H71*(Assumptions_IS!I86+Assumptions_IS!I118)</f>
        <v>21724185.067125503</v>
      </c>
      <c r="I66" s="241">
        <f>I71*(Assumptions_IS!J86+Assumptions_IS!J118)</f>
        <v>23134712.802163683</v>
      </c>
      <c r="J66" s="241">
        <f>J71*(Assumptions_IS!K86+Assumptions_IS!K118)</f>
        <v>26147100.780235324</v>
      </c>
      <c r="K66" s="279">
        <f>K71*(Assumptions_IS!L86+Assumptions_IS!L118)</f>
        <v>30815641.36563215</v>
      </c>
    </row>
    <row r="67" spans="1:11" ht="15.5" x14ac:dyDescent="0.35">
      <c r="A67" s="173"/>
      <c r="B67" s="366">
        <f t="shared" ref="B67:F67" si="22">SUM(B63:B66)</f>
        <v>181427000</v>
      </c>
      <c r="C67" s="366">
        <f t="shared" si="22"/>
        <v>49340000</v>
      </c>
      <c r="D67" s="366">
        <f t="shared" si="22"/>
        <v>75293000</v>
      </c>
      <c r="E67" s="366">
        <f t="shared" si="22"/>
        <v>228579000</v>
      </c>
      <c r="F67" s="366">
        <f t="shared" si="22"/>
        <v>174300000</v>
      </c>
      <c r="G67" s="264">
        <f>SUM(G63:G66)</f>
        <v>243698412.36935785</v>
      </c>
      <c r="H67" s="241">
        <f t="shared" ref="H67:K67" si="23">SUM(H63:H66)</f>
        <v>235619048.52626511</v>
      </c>
      <c r="I67" s="241">
        <f t="shared" si="23"/>
        <v>295674155.03358829</v>
      </c>
      <c r="J67" s="241">
        <f t="shared" si="23"/>
        <v>381196363.25550306</v>
      </c>
      <c r="K67" s="279">
        <f t="shared" si="23"/>
        <v>475539482.10496348</v>
      </c>
    </row>
    <row r="68" spans="1:11" ht="15.5" x14ac:dyDescent="0.35">
      <c r="A68" s="173"/>
      <c r="B68" s="321"/>
      <c r="C68" s="321"/>
      <c r="D68" s="321"/>
      <c r="G68" s="173"/>
      <c r="K68" s="215"/>
    </row>
    <row r="69" spans="1:11" ht="15.5" x14ac:dyDescent="0.35">
      <c r="A69" s="173" t="s">
        <v>210</v>
      </c>
      <c r="B69" s="316">
        <f>B63/Assumptions_IS!C62</f>
        <v>35978.571428571428</v>
      </c>
      <c r="C69" s="316">
        <f>C63/Assumptions_IS!D62</f>
        <v>31487.455197132618</v>
      </c>
      <c r="D69" s="316">
        <f>D63/Assumptions_IS!E62</f>
        <v>28576.08695652174</v>
      </c>
      <c r="E69" s="316">
        <f>E63/Assumptions_IS!F62</f>
        <v>40117.216117216114</v>
      </c>
      <c r="F69" s="316">
        <f>F63/Assumptions_IS!G62</f>
        <v>38028.169014084509</v>
      </c>
      <c r="G69" s="263">
        <f>AVERAGE(B69:F69)</f>
        <v>34837.49974270528</v>
      </c>
      <c r="H69" s="179">
        <f t="shared" ref="H69:K72" si="24">AVERAGE(C69:G69)</f>
        <v>34609.285405532057</v>
      </c>
      <c r="I69" s="179">
        <f t="shared" si="24"/>
        <v>35233.651447211938</v>
      </c>
      <c r="J69" s="179">
        <f t="shared" si="24"/>
        <v>36565.164345349986</v>
      </c>
      <c r="K69" s="216">
        <f t="shared" si="24"/>
        <v>35854.753990976758</v>
      </c>
    </row>
    <row r="70" spans="1:11" ht="15.5" x14ac:dyDescent="0.35">
      <c r="A70" s="173" t="s">
        <v>211</v>
      </c>
      <c r="B70" s="367">
        <f>B64/Assumptions_IS!C35</f>
        <v>1.3096125769453445E-3</v>
      </c>
      <c r="C70" s="367">
        <f>C64/Assumptions_IS!D35</f>
        <v>1.5529981935433459E-4</v>
      </c>
      <c r="D70" s="367">
        <f>D64/Assumptions_IS!E35</f>
        <v>3.5845047842193066E-4</v>
      </c>
      <c r="E70" s="367">
        <f>E64/Assumptions_IS!F35</f>
        <v>1.0951942596201973E-4</v>
      </c>
      <c r="F70" s="367">
        <f>F64/Assumptions_IS!G35</f>
        <v>1.0752506189960682E-4</v>
      </c>
      <c r="G70" s="368">
        <f t="shared" ref="G70:G72" si="25">AVERAGE(B70:F70)</f>
        <v>4.0808147251664731E-4</v>
      </c>
      <c r="H70" s="369">
        <f t="shared" si="24"/>
        <v>2.2777525163090781E-4</v>
      </c>
      <c r="I70" s="369">
        <f t="shared" si="24"/>
        <v>2.4227033808622245E-4</v>
      </c>
      <c r="J70" s="369">
        <f t="shared" si="24"/>
        <v>2.1903431001908083E-4</v>
      </c>
      <c r="K70" s="370">
        <f t="shared" si="24"/>
        <v>2.4093728683049305E-4</v>
      </c>
    </row>
    <row r="71" spans="1:11" ht="15.5" x14ac:dyDescent="0.35">
      <c r="A71" s="173" t="s">
        <v>212</v>
      </c>
      <c r="B71" s="371">
        <f>B66/(Assumptions_IS!C86+Assumptions_IS!C118)</f>
        <v>1.3626452500448596E-2</v>
      </c>
      <c r="C71" s="371">
        <f>C66/(Assumptions_IS!D86+Assumptions_IS!D118)</f>
        <v>2.2081118788699776E-2</v>
      </c>
      <c r="D71" s="371">
        <f>D66/(Assumptions_IS!E86+Assumptions_IS!E118)</f>
        <v>2.305780747138143E-2</v>
      </c>
      <c r="E71" s="371">
        <f>E66/(Assumptions_IS!F86+Assumptions_IS!F118)</f>
        <v>2.0501136344120492E-2</v>
      </c>
      <c r="F71" s="371">
        <f>F66/(Assumptions_IS!G86+Assumptions_IS!G118)</f>
        <v>1.6536429746600422E-2</v>
      </c>
      <c r="G71" s="368">
        <f t="shared" si="25"/>
        <v>1.9160588970250143E-2</v>
      </c>
      <c r="H71" s="369">
        <f t="shared" si="24"/>
        <v>2.0267416264210452E-2</v>
      </c>
      <c r="I71" s="369">
        <f t="shared" si="24"/>
        <v>1.9904675759312589E-2</v>
      </c>
      <c r="J71" s="369">
        <f t="shared" si="24"/>
        <v>1.9274049416898819E-2</v>
      </c>
      <c r="K71" s="370">
        <f t="shared" si="24"/>
        <v>1.9028632031454489E-2</v>
      </c>
    </row>
    <row r="72" spans="1:11" ht="16" thickBot="1" x14ac:dyDescent="0.4">
      <c r="A72" s="193" t="s">
        <v>213</v>
      </c>
      <c r="B72" s="372">
        <f>B65/Assumptions_IS!C59</f>
        <v>9.6858721471940418E-5</v>
      </c>
      <c r="C72" s="372">
        <f>C65/Assumptions_IS!D59</f>
        <v>1.2799306197375725E-4</v>
      </c>
      <c r="D72" s="372">
        <f>D65/Assumptions_IS!E59</f>
        <v>2.1586511876266039E-4</v>
      </c>
      <c r="E72" s="372">
        <f>E65/Assumptions_IS!F59</f>
        <v>1.0615623024620635E-3</v>
      </c>
      <c r="F72" s="372">
        <f>F65/Assumptions_IS!G59</f>
        <v>4.4299224321242098E-4</v>
      </c>
      <c r="G72" s="323">
        <f t="shared" si="25"/>
        <v>3.8905428957656851E-4</v>
      </c>
      <c r="H72" s="324">
        <f t="shared" si="24"/>
        <v>4.4749340319749414E-4</v>
      </c>
      <c r="I72" s="324">
        <f t="shared" si="24"/>
        <v>5.1139347144224154E-4</v>
      </c>
      <c r="J72" s="324">
        <f t="shared" si="24"/>
        <v>5.7049914197815767E-4</v>
      </c>
      <c r="K72" s="325">
        <f t="shared" si="24"/>
        <v>4.7228650988137658E-4</v>
      </c>
    </row>
    <row r="73" spans="1:11" ht="15.5" x14ac:dyDescent="0.35">
      <c r="B73" s="321"/>
      <c r="C73" s="321"/>
      <c r="D73" s="321"/>
      <c r="G73" s="159"/>
    </row>
    <row r="74" spans="1:11" ht="15.5" x14ac:dyDescent="0.35">
      <c r="B74" s="321"/>
      <c r="C74" s="321"/>
      <c r="D74" s="321"/>
      <c r="G74" s="159"/>
    </row>
    <row r="75" spans="1:11" ht="16" thickBot="1" x14ac:dyDescent="0.4">
      <c r="B75" s="321"/>
      <c r="C75" s="321"/>
      <c r="D75" s="321"/>
      <c r="G75" s="159"/>
    </row>
    <row r="76" spans="1:11" ht="17.5" x14ac:dyDescent="0.35">
      <c r="A76" s="373" t="s">
        <v>214</v>
      </c>
      <c r="B76" s="374"/>
      <c r="C76" s="374"/>
      <c r="D76" s="374"/>
      <c r="E76" s="375"/>
      <c r="F76" s="375"/>
      <c r="G76" s="166"/>
      <c r="H76" s="234"/>
      <c r="I76" s="234"/>
      <c r="J76" s="234"/>
      <c r="K76" s="236"/>
    </row>
    <row r="77" spans="1:11" ht="15.5" x14ac:dyDescent="0.35">
      <c r="A77" s="580" t="s">
        <v>215</v>
      </c>
      <c r="B77" s="376">
        <v>551203000</v>
      </c>
      <c r="C77" s="376">
        <v>6556000</v>
      </c>
      <c r="D77" s="376">
        <v>2928136000</v>
      </c>
      <c r="E77" s="377">
        <v>93233000</v>
      </c>
      <c r="F77" s="377">
        <v>25098000</v>
      </c>
      <c r="G77" s="264">
        <f>G82*Assumptions_IS!H6</f>
        <v>1660843004.5798953</v>
      </c>
      <c r="H77" s="241">
        <f>H82*Assumptions_IS!I6</f>
        <v>1819919503.1840217</v>
      </c>
      <c r="I77" s="241">
        <f>I82*Assumptions_IS!J6</f>
        <v>2265215418.9524946</v>
      </c>
      <c r="J77" s="241">
        <f>J82*Assumptions_IS!K6</f>
        <v>1301340903.8776419</v>
      </c>
      <c r="K77" s="279">
        <f>K82*Assumptions_IS!L6</f>
        <v>1692240215.8398178</v>
      </c>
    </row>
    <row r="78" spans="1:11" ht="15.5" x14ac:dyDescent="0.35">
      <c r="A78" s="580" t="s">
        <v>216</v>
      </c>
      <c r="B78" s="376">
        <v>0</v>
      </c>
      <c r="C78" s="376">
        <v>0</v>
      </c>
      <c r="D78" s="376">
        <v>144626000</v>
      </c>
      <c r="E78" s="377">
        <v>0</v>
      </c>
      <c r="F78" s="377">
        <v>0</v>
      </c>
      <c r="G78" s="264">
        <f>AVERAGE(B78:F78)</f>
        <v>28925200</v>
      </c>
      <c r="H78" s="241">
        <f t="shared" ref="H78:K78" si="26">AVERAGE(C78:G78)</f>
        <v>34710240</v>
      </c>
      <c r="I78" s="241">
        <f t="shared" si="26"/>
        <v>41652288</v>
      </c>
      <c r="J78" s="241">
        <f t="shared" si="26"/>
        <v>21057545.600000001</v>
      </c>
      <c r="K78" s="279">
        <f t="shared" si="26"/>
        <v>25269054.719999999</v>
      </c>
    </row>
    <row r="79" spans="1:11" ht="15.5" x14ac:dyDescent="0.35">
      <c r="A79" s="580" t="s">
        <v>217</v>
      </c>
      <c r="B79" s="376">
        <v>2300000</v>
      </c>
      <c r="C79" s="376">
        <v>3017666.6666666665</v>
      </c>
      <c r="D79" s="376">
        <v>3108222.222222222</v>
      </c>
      <c r="E79" s="378">
        <f>2165535000+137877000+188594000</f>
        <v>2492006000</v>
      </c>
      <c r="F79" s="378">
        <f>9067694000+334746000</f>
        <v>9402440000</v>
      </c>
      <c r="G79" s="264">
        <f>AVERAGE(B79:F79)</f>
        <v>2380574377.7777777</v>
      </c>
      <c r="H79" s="241">
        <f t="shared" ref="H79" si="27">AVERAGE(C79:G79)</f>
        <v>2856229253.3333335</v>
      </c>
      <c r="I79" s="241">
        <f t="shared" ref="I79" si="28">AVERAGE(D79:H79)</f>
        <v>3426871570.666667</v>
      </c>
      <c r="J79" s="241">
        <f t="shared" ref="J79" si="29">AVERAGE(E79:I79)</f>
        <v>4111624240.3555555</v>
      </c>
      <c r="K79" s="279">
        <f t="shared" ref="K79" si="30">AVERAGE(F79:J79)</f>
        <v>4435547888.4266672</v>
      </c>
    </row>
    <row r="80" spans="1:11" ht="15.5" x14ac:dyDescent="0.35">
      <c r="A80" s="580"/>
      <c r="B80" s="379">
        <f t="shared" ref="B80:K80" si="31">SUM(B77:B79)</f>
        <v>553503000</v>
      </c>
      <c r="C80" s="379">
        <f t="shared" si="31"/>
        <v>9573666.666666666</v>
      </c>
      <c r="D80" s="379">
        <f t="shared" si="31"/>
        <v>3075870222.2222223</v>
      </c>
      <c r="E80" s="379">
        <f t="shared" si="31"/>
        <v>2585239000</v>
      </c>
      <c r="F80" s="379">
        <f t="shared" si="31"/>
        <v>9427538000</v>
      </c>
      <c r="G80" s="380">
        <f>SUM(G77:G79)</f>
        <v>4070342582.3576727</v>
      </c>
      <c r="H80" s="381">
        <f t="shared" si="31"/>
        <v>4710858996.517355</v>
      </c>
      <c r="I80" s="381">
        <f t="shared" si="31"/>
        <v>5733739277.6191616</v>
      </c>
      <c r="J80" s="381">
        <f t="shared" si="31"/>
        <v>5434022689.8331976</v>
      </c>
      <c r="K80" s="382">
        <f t="shared" si="31"/>
        <v>6153057158.9864845</v>
      </c>
    </row>
    <row r="81" spans="1:11" ht="15.5" x14ac:dyDescent="0.35">
      <c r="A81" s="580"/>
      <c r="B81" s="376"/>
      <c r="C81" s="376"/>
      <c r="D81" s="376"/>
      <c r="E81" s="378"/>
      <c r="F81" s="378"/>
      <c r="G81" s="173"/>
      <c r="K81" s="215"/>
    </row>
    <row r="82" spans="1:11" ht="16" thickBot="1" x14ac:dyDescent="0.4">
      <c r="A82" s="581" t="s">
        <v>218</v>
      </c>
      <c r="B82" s="383">
        <f>B77/Assumptions_IS!C6</f>
        <v>3.7952015459661093E-3</v>
      </c>
      <c r="C82" s="383">
        <f>C77/Assumptions_IS!D6</f>
        <v>5.1042981896745372E-5</v>
      </c>
      <c r="D82" s="383">
        <f>D77/Assumptions_IS!E6</f>
        <v>2.1781721742665985E-2</v>
      </c>
      <c r="E82" s="383">
        <f>E77/Assumptions_IS!F6</f>
        <v>4.3037668463935053E-4</v>
      </c>
      <c r="F82" s="383">
        <f>F77/Assumptions_IS!G6</f>
        <v>8.2436092764115299E-5</v>
      </c>
      <c r="G82" s="384">
        <f>AVERAGE(B82:F82)</f>
        <v>5.2281558095864603E-3</v>
      </c>
      <c r="H82" s="385">
        <f t="shared" ref="H82:K82" si="32">AVERAGE(C82:G82)</f>
        <v>5.5147466623105311E-3</v>
      </c>
      <c r="I82" s="385">
        <f t="shared" si="32"/>
        <v>6.6074873983932884E-3</v>
      </c>
      <c r="J82" s="385">
        <f t="shared" si="32"/>
        <v>3.5726405295387494E-3</v>
      </c>
      <c r="K82" s="386">
        <f t="shared" si="32"/>
        <v>4.2010932985186286E-3</v>
      </c>
    </row>
    <row r="83" spans="1:11" ht="15.5" x14ac:dyDescent="0.35">
      <c r="B83" s="321"/>
      <c r="C83" s="321"/>
      <c r="D83" s="321"/>
      <c r="G83" s="159"/>
    </row>
    <row r="84" spans="1:11" ht="15.5" x14ac:dyDescent="0.35">
      <c r="B84" s="321"/>
      <c r="C84" s="321"/>
      <c r="D84" s="321"/>
      <c r="G84" s="159"/>
    </row>
    <row r="85" spans="1:11" ht="16" thickBot="1" x14ac:dyDescent="0.4">
      <c r="B85" s="321"/>
      <c r="C85" s="321"/>
      <c r="D85" s="321"/>
      <c r="G85" s="159"/>
    </row>
    <row r="86" spans="1:11" ht="18" thickBot="1" x14ac:dyDescent="0.4">
      <c r="A86" s="387" t="s">
        <v>219</v>
      </c>
      <c r="B86" s="388">
        <v>164940000</v>
      </c>
      <c r="C86" s="388">
        <v>82540000</v>
      </c>
      <c r="D86" s="388">
        <v>95697000</v>
      </c>
      <c r="E86" s="388">
        <v>0</v>
      </c>
      <c r="F86" s="388">
        <v>0</v>
      </c>
      <c r="G86" s="389">
        <f>AVERAGE(B86:F86)</f>
        <v>68635400</v>
      </c>
      <c r="H86" s="390">
        <f t="shared" ref="H86:K86" si="33">AVERAGE(C86:G86)</f>
        <v>49374480</v>
      </c>
      <c r="I86" s="390">
        <f t="shared" si="33"/>
        <v>42741376</v>
      </c>
      <c r="J86" s="390">
        <f t="shared" si="33"/>
        <v>32150251.199999999</v>
      </c>
      <c r="K86" s="391">
        <f t="shared" si="33"/>
        <v>38580301.439999998</v>
      </c>
    </row>
    <row r="87" spans="1:11" ht="15.5" x14ac:dyDescent="0.35">
      <c r="B87" s="321"/>
      <c r="C87" s="321"/>
      <c r="D87" s="321"/>
      <c r="G87" s="159"/>
    </row>
    <row r="88" spans="1:11" ht="16" thickBot="1" x14ac:dyDescent="0.4">
      <c r="B88" s="321"/>
      <c r="C88" s="321"/>
      <c r="D88" s="321"/>
      <c r="G88" s="159"/>
    </row>
    <row r="89" spans="1:11" ht="17.5" x14ac:dyDescent="0.35">
      <c r="A89" s="392" t="s">
        <v>33</v>
      </c>
      <c r="B89" s="393"/>
      <c r="C89" s="393"/>
      <c r="D89" s="393"/>
      <c r="E89" s="334"/>
      <c r="F89" s="334"/>
      <c r="G89" s="394"/>
      <c r="H89" s="395"/>
      <c r="I89" s="395"/>
      <c r="J89" s="395"/>
      <c r="K89" s="396"/>
    </row>
    <row r="90" spans="1:11" ht="15.5" x14ac:dyDescent="0.35">
      <c r="A90" s="280" t="s">
        <v>257</v>
      </c>
      <c r="B90" s="397">
        <f>75000+252935000</f>
        <v>253010000</v>
      </c>
      <c r="C90" s="397">
        <f>1655000+244596000+1943175000</f>
        <v>2189426000</v>
      </c>
      <c r="D90" s="397">
        <f>1357000+71226000</f>
        <v>72583000</v>
      </c>
      <c r="E90" s="398">
        <f>31362000+10107083000+13400000000</f>
        <v>23538445000</v>
      </c>
      <c r="F90" s="398">
        <f>9452000000+2060717000+157621000</f>
        <v>11670338000</v>
      </c>
      <c r="G90" s="339">
        <f>'Cash Flow Statement'!B54</f>
        <v>7620039936.0639267</v>
      </c>
      <c r="H90" s="399">
        <f>'Cash Flow Statement'!C54</f>
        <v>12064176199.556458</v>
      </c>
      <c r="I90" s="399">
        <f>'Cash Flow Statement'!D54</f>
        <v>17308344101.36422</v>
      </c>
      <c r="J90" s="399">
        <f>'Cash Flow Statement'!E54</f>
        <v>26109871571.082359</v>
      </c>
      <c r="K90" s="400">
        <f>'Cash Flow Statement'!F54</f>
        <v>40009933479.414307</v>
      </c>
    </row>
    <row r="91" spans="1:11" ht="15.5" x14ac:dyDescent="0.35">
      <c r="A91" s="280" t="s">
        <v>220</v>
      </c>
      <c r="B91" s="397">
        <v>879000</v>
      </c>
      <c r="C91" s="397">
        <v>281000</v>
      </c>
      <c r="D91" s="397">
        <v>97000</v>
      </c>
      <c r="E91" s="401">
        <v>160000</v>
      </c>
      <c r="F91" s="401">
        <v>269000</v>
      </c>
      <c r="G91" s="402">
        <v>0</v>
      </c>
      <c r="H91" s="403">
        <v>0</v>
      </c>
      <c r="I91" s="403">
        <v>0</v>
      </c>
      <c r="J91" s="403">
        <v>0</v>
      </c>
      <c r="K91" s="404">
        <v>0</v>
      </c>
    </row>
    <row r="92" spans="1:11" ht="16" thickBot="1" x14ac:dyDescent="0.4">
      <c r="A92" s="405" t="s">
        <v>221</v>
      </c>
      <c r="B92" s="406">
        <f t="shared" ref="B92:K92" si="34">SUM(B90:B91)</f>
        <v>253889000</v>
      </c>
      <c r="C92" s="406">
        <f t="shared" si="34"/>
        <v>2189707000</v>
      </c>
      <c r="D92" s="406">
        <f t="shared" si="34"/>
        <v>72680000</v>
      </c>
      <c r="E92" s="406">
        <f t="shared" si="34"/>
        <v>23538605000</v>
      </c>
      <c r="F92" s="406">
        <f t="shared" si="34"/>
        <v>11670607000</v>
      </c>
      <c r="G92" s="407">
        <f t="shared" si="34"/>
        <v>7620039936.0639267</v>
      </c>
      <c r="H92" s="408">
        <f t="shared" si="34"/>
        <v>12064176199.556458</v>
      </c>
      <c r="I92" s="408">
        <f t="shared" si="34"/>
        <v>17308344101.36422</v>
      </c>
      <c r="J92" s="408">
        <f t="shared" si="34"/>
        <v>26109871571.082359</v>
      </c>
      <c r="K92" s="409">
        <f t="shared" si="34"/>
        <v>40009933479.414307</v>
      </c>
    </row>
    <row r="93" spans="1:11" ht="15.5" x14ac:dyDescent="0.35">
      <c r="B93" s="320"/>
      <c r="C93" s="320"/>
      <c r="D93" s="320"/>
      <c r="G93" s="159"/>
    </row>
    <row r="94" spans="1:11" ht="15.5" x14ac:dyDescent="0.35">
      <c r="B94" s="320"/>
      <c r="C94" s="320"/>
      <c r="D94" s="320"/>
      <c r="G94" s="159"/>
    </row>
    <row r="95" spans="1:11" ht="15.5" x14ac:dyDescent="0.35">
      <c r="B95" s="320"/>
      <c r="C95" s="320"/>
      <c r="D95" s="320"/>
      <c r="G95" s="159"/>
    </row>
    <row r="96" spans="1:11" ht="23" thickBot="1" x14ac:dyDescent="0.5">
      <c r="A96" s="313" t="s">
        <v>35</v>
      </c>
      <c r="B96" s="321"/>
      <c r="C96" s="321"/>
      <c r="D96" s="321"/>
      <c r="G96" s="159"/>
    </row>
    <row r="97" spans="1:11" ht="17.5" x14ac:dyDescent="0.35">
      <c r="A97" s="314" t="s">
        <v>36</v>
      </c>
      <c r="B97" s="346"/>
      <c r="C97" s="346"/>
      <c r="D97" s="346"/>
      <c r="E97" s="234"/>
      <c r="F97" s="234"/>
      <c r="G97" s="166"/>
      <c r="H97" s="234"/>
      <c r="I97" s="234"/>
      <c r="J97" s="234"/>
      <c r="K97" s="236"/>
    </row>
    <row r="98" spans="1:11" ht="15.5" x14ac:dyDescent="0.35">
      <c r="A98" s="173" t="s">
        <v>222</v>
      </c>
      <c r="B98" s="316">
        <v>2940000000</v>
      </c>
      <c r="C98" s="316">
        <v>3150000000</v>
      </c>
      <c r="D98" s="316">
        <v>6300000000</v>
      </c>
      <c r="E98" s="316">
        <v>6300000000</v>
      </c>
      <c r="F98" s="316">
        <v>6300000000</v>
      </c>
      <c r="G98" s="410">
        <v>6300000000</v>
      </c>
      <c r="H98" s="411">
        <v>6300000000</v>
      </c>
      <c r="I98" s="411">
        <v>6300000000</v>
      </c>
      <c r="J98" s="411">
        <v>6300000000</v>
      </c>
      <c r="K98" s="412">
        <v>6300000000</v>
      </c>
    </row>
    <row r="99" spans="1:11" ht="15.5" x14ac:dyDescent="0.35">
      <c r="A99" s="173" t="s">
        <v>39</v>
      </c>
      <c r="B99" s="316">
        <f>1943476000+9290728000+1554000</f>
        <v>11235758000</v>
      </c>
      <c r="C99" s="316">
        <f>1943476000+11149288000+1947000</f>
        <v>13094711000</v>
      </c>
      <c r="D99" s="316">
        <f>2780632000+11149288000+1947000</f>
        <v>13931867000</v>
      </c>
      <c r="E99" s="398">
        <f>15254082000+20325928000+1947000</f>
        <v>35581957000</v>
      </c>
      <c r="F99" s="398">
        <f>16979049000+20325928000+1947000</f>
        <v>37306924000</v>
      </c>
      <c r="G99" s="263">
        <f>AVERAGE(D99:F99)</f>
        <v>28940249333.333332</v>
      </c>
      <c r="H99" s="179">
        <f t="shared" ref="H99:K99" si="35">AVERAGE(E99:G99)</f>
        <v>33943043444.444443</v>
      </c>
      <c r="I99" s="179">
        <f t="shared" si="35"/>
        <v>33396738925.925922</v>
      </c>
      <c r="J99" s="179">
        <f t="shared" si="35"/>
        <v>32093343901.234562</v>
      </c>
      <c r="K99" s="216">
        <f t="shared" si="35"/>
        <v>33144375423.868305</v>
      </c>
    </row>
    <row r="100" spans="1:11" ht="15.5" x14ac:dyDescent="0.35">
      <c r="A100" s="173" t="s">
        <v>223</v>
      </c>
      <c r="B100" s="316">
        <v>-10666517000</v>
      </c>
      <c r="C100" s="316">
        <v>-18362739000</v>
      </c>
      <c r="D100" s="316">
        <v>-18184869000</v>
      </c>
      <c r="E100" s="317">
        <v>-18285559000</v>
      </c>
      <c r="F100" s="317">
        <v>-18249656000</v>
      </c>
      <c r="G100" s="263">
        <f>F100+Financials!G21</f>
        <v>615024401.34303284</v>
      </c>
      <c r="H100" s="179">
        <f>G100+Financials!H21</f>
        <v>26782898691.561249</v>
      </c>
      <c r="I100" s="179">
        <f>H100+Financials!I21</f>
        <v>64034604570.340126</v>
      </c>
      <c r="J100" s="179">
        <f>I100+Financials!J21</f>
        <v>124526861659.89941</v>
      </c>
      <c r="K100" s="216">
        <f>J100+Financials!K21</f>
        <v>227834422636.01123</v>
      </c>
    </row>
    <row r="101" spans="1:11" ht="15.5" x14ac:dyDescent="0.35">
      <c r="A101" s="173" t="s">
        <v>224</v>
      </c>
      <c r="B101" s="316">
        <v>0</v>
      </c>
      <c r="C101" s="316">
        <v>1943175000</v>
      </c>
      <c r="D101" s="316">
        <v>0</v>
      </c>
      <c r="E101" s="317">
        <v>0</v>
      </c>
      <c r="F101" s="317">
        <v>0</v>
      </c>
      <c r="G101" s="173"/>
      <c r="K101" s="215"/>
    </row>
    <row r="102" spans="1:11" ht="16" thickBot="1" x14ac:dyDescent="0.4">
      <c r="A102" s="193"/>
      <c r="B102" s="413">
        <f t="shared" ref="B102:K102" si="36">SUM(B98:B101)</f>
        <v>3509241000</v>
      </c>
      <c r="C102" s="413">
        <f t="shared" si="36"/>
        <v>-174853000</v>
      </c>
      <c r="D102" s="413">
        <f t="shared" si="36"/>
        <v>2046998000</v>
      </c>
      <c r="E102" s="413">
        <f t="shared" si="36"/>
        <v>23596398000</v>
      </c>
      <c r="F102" s="413">
        <f t="shared" si="36"/>
        <v>25357268000</v>
      </c>
      <c r="G102" s="414">
        <f t="shared" si="36"/>
        <v>35855273734.676361</v>
      </c>
      <c r="H102" s="415">
        <f t="shared" si="36"/>
        <v>67025942136.005692</v>
      </c>
      <c r="I102" s="415">
        <f t="shared" si="36"/>
        <v>103731343496.26605</v>
      </c>
      <c r="J102" s="415">
        <f t="shared" si="36"/>
        <v>162920205561.13397</v>
      </c>
      <c r="K102" s="416">
        <f t="shared" si="36"/>
        <v>267278798059.87952</v>
      </c>
    </row>
    <row r="103" spans="1:11" x14ac:dyDescent="0.3">
      <c r="G103" s="159"/>
    </row>
    <row r="104" spans="1:11" x14ac:dyDescent="0.3">
      <c r="G104" s="159"/>
    </row>
    <row r="105" spans="1:11" x14ac:dyDescent="0.3">
      <c r="G105" s="159"/>
    </row>
    <row r="106" spans="1:11" ht="22.5" x14ac:dyDescent="0.45">
      <c r="A106" s="313" t="s">
        <v>40</v>
      </c>
      <c r="G106" s="159"/>
    </row>
    <row r="107" spans="1:11" ht="20.5" thickBot="1" x14ac:dyDescent="0.45">
      <c r="A107" s="417" t="s">
        <v>225</v>
      </c>
      <c r="G107" s="159"/>
    </row>
    <row r="108" spans="1:11" ht="17.5" x14ac:dyDescent="0.35">
      <c r="A108" s="314" t="s">
        <v>226</v>
      </c>
      <c r="B108" s="333">
        <v>4300000000</v>
      </c>
      <c r="C108" s="333">
        <v>4215146000</v>
      </c>
      <c r="D108" s="333">
        <v>293924000</v>
      </c>
      <c r="E108" s="327">
        <v>0</v>
      </c>
      <c r="F108" s="327">
        <v>2000000000</v>
      </c>
      <c r="G108" s="418">
        <f>'Fixed Asset and Loan Schedule'!F146</f>
        <v>1815552325.9684825</v>
      </c>
      <c r="H108" s="235">
        <f>'Fixed Asset and Loan Schedule'!F147</f>
        <v>1587759448.5395584</v>
      </c>
      <c r="I108" s="235">
        <f>'Fixed Asset and Loan Schedule'!F148</f>
        <v>1306435244.9148371</v>
      </c>
      <c r="J108" s="235">
        <f>'Fixed Asset and Loan Schedule'!F149</f>
        <v>958999853.43830633</v>
      </c>
      <c r="K108" s="419">
        <f>'Fixed Asset and Loan Schedule'!F150</f>
        <v>529917144.96479082</v>
      </c>
    </row>
    <row r="109" spans="1:11" ht="15.5" x14ac:dyDescent="0.35">
      <c r="A109" s="420" t="s">
        <v>227</v>
      </c>
      <c r="B109" s="316"/>
      <c r="C109" s="316">
        <v>152448000</v>
      </c>
      <c r="D109" s="316">
        <v>148237000</v>
      </c>
      <c r="E109" s="398">
        <v>141745000</v>
      </c>
      <c r="F109" s="317">
        <v>133054000</v>
      </c>
      <c r="G109" s="100">
        <f>F109-($F$109*10%)</f>
        <v>119748600</v>
      </c>
      <c r="H109" s="101">
        <f t="shared" ref="H109:K109" si="37">G109-($F$109*10%)</f>
        <v>106443200</v>
      </c>
      <c r="I109" s="101">
        <f t="shared" si="37"/>
        <v>93137800</v>
      </c>
      <c r="J109" s="101">
        <f t="shared" si="37"/>
        <v>79832400</v>
      </c>
      <c r="K109" s="102">
        <f t="shared" si="37"/>
        <v>66527000</v>
      </c>
    </row>
    <row r="110" spans="1:11" ht="15.5" x14ac:dyDescent="0.35">
      <c r="A110" s="173" t="s">
        <v>174</v>
      </c>
      <c r="B110" s="316">
        <v>13304000</v>
      </c>
      <c r="C110" s="316">
        <v>9922000</v>
      </c>
      <c r="D110" s="316">
        <v>4902000</v>
      </c>
      <c r="E110" s="317">
        <v>284315000</v>
      </c>
      <c r="F110" s="317">
        <v>0</v>
      </c>
      <c r="G110" s="268">
        <f>F110+(F110*G114)</f>
        <v>0</v>
      </c>
      <c r="H110" s="217">
        <f>G110+(G110*H114)</f>
        <v>0</v>
      </c>
      <c r="I110" s="217">
        <f t="shared" ref="I110:K110" si="38">H110+(H110*I114)</f>
        <v>0</v>
      </c>
      <c r="J110" s="217">
        <f t="shared" si="38"/>
        <v>0</v>
      </c>
      <c r="K110" s="218">
        <f t="shared" si="38"/>
        <v>0</v>
      </c>
    </row>
    <row r="111" spans="1:11" ht="15.5" x14ac:dyDescent="0.35">
      <c r="A111" s="173" t="s">
        <v>228</v>
      </c>
      <c r="B111" s="316">
        <v>367090000</v>
      </c>
      <c r="C111" s="316">
        <v>450323000</v>
      </c>
      <c r="D111" s="316">
        <v>377551000</v>
      </c>
      <c r="E111" s="317">
        <v>586749000</v>
      </c>
      <c r="F111" s="317">
        <v>636518000</v>
      </c>
      <c r="G111" s="264">
        <f>G115*Assumptions_IS!H62</f>
        <v>596288299.07383406</v>
      </c>
      <c r="H111" s="241">
        <f>H115*Assumptions_IS!I62</f>
        <v>687098297.4016999</v>
      </c>
      <c r="I111" s="241">
        <f>I115*Assumptions_IS!J62</f>
        <v>846038291.4015739</v>
      </c>
      <c r="J111" s="241">
        <f>J115*Assumptions_IS!K62</f>
        <v>1050627864.7640671</v>
      </c>
      <c r="K111" s="279">
        <f>K115*Assumptions_IS!L62</f>
        <v>1408695450.5142283</v>
      </c>
    </row>
    <row r="112" spans="1:11" ht="15.5" x14ac:dyDescent="0.35">
      <c r="A112" s="173"/>
      <c r="B112" s="358">
        <f t="shared" ref="B112:K112" si="39">B108+B109+B110+B111</f>
        <v>4680394000</v>
      </c>
      <c r="C112" s="358">
        <f t="shared" si="39"/>
        <v>4827839000</v>
      </c>
      <c r="D112" s="358">
        <f t="shared" si="39"/>
        <v>824614000</v>
      </c>
      <c r="E112" s="358">
        <f t="shared" si="39"/>
        <v>1012809000</v>
      </c>
      <c r="F112" s="358">
        <f t="shared" si="39"/>
        <v>2769572000</v>
      </c>
      <c r="G112" s="421">
        <f t="shared" si="39"/>
        <v>2531589225.0423164</v>
      </c>
      <c r="H112" s="422">
        <f t="shared" si="39"/>
        <v>2381300945.9412584</v>
      </c>
      <c r="I112" s="422">
        <f t="shared" si="39"/>
        <v>2245611336.316411</v>
      </c>
      <c r="J112" s="422">
        <f t="shared" si="39"/>
        <v>2089460118.2023735</v>
      </c>
      <c r="K112" s="423">
        <f t="shared" si="39"/>
        <v>2005139595.4790192</v>
      </c>
    </row>
    <row r="113" spans="1:12" ht="15.5" x14ac:dyDescent="0.35">
      <c r="A113" s="173"/>
      <c r="B113" s="316"/>
      <c r="C113" s="316"/>
      <c r="D113" s="316"/>
      <c r="G113" s="173"/>
      <c r="K113" s="215"/>
    </row>
    <row r="114" spans="1:12" ht="15.5" x14ac:dyDescent="0.35">
      <c r="A114" s="173" t="s">
        <v>229</v>
      </c>
      <c r="B114" s="316"/>
      <c r="C114" s="424">
        <f>(C110-B110)/B110</f>
        <v>-0.25420926037282021</v>
      </c>
      <c r="D114" s="424">
        <f>(D110-C110)/C110</f>
        <v>-0.50594638177786733</v>
      </c>
      <c r="E114" s="424">
        <f>(E110-D110)/D110</f>
        <v>56.999796001631985</v>
      </c>
      <c r="F114" s="424">
        <f>(F110-E110)/E110</f>
        <v>-1</v>
      </c>
      <c r="G114" s="425">
        <f>AVERAGE(C114:F114)</f>
        <v>13.809910089870325</v>
      </c>
      <c r="H114" s="426">
        <f t="shared" ref="H114:K114" si="40">AVERAGE(D114:G114)</f>
        <v>17.325939927431111</v>
      </c>
      <c r="I114" s="426">
        <f t="shared" si="40"/>
        <v>21.783911504733354</v>
      </c>
      <c r="J114" s="426">
        <f t="shared" si="40"/>
        <v>12.979940380508697</v>
      </c>
      <c r="K114" s="93">
        <f t="shared" si="40"/>
        <v>16.474925475635871</v>
      </c>
      <c r="L114" s="426"/>
    </row>
    <row r="115" spans="1:12" ht="16" thickBot="1" x14ac:dyDescent="0.4">
      <c r="A115" s="193" t="s">
        <v>230</v>
      </c>
      <c r="B115" s="350">
        <f>B111/Assumptions_IS!C62</f>
        <v>1311035.7142857143</v>
      </c>
      <c r="C115" s="350">
        <f>C111/Assumptions_IS!D62</f>
        <v>1614060.9318996416</v>
      </c>
      <c r="D115" s="350">
        <f>D111/Assumptions_IS!E62</f>
        <v>1367938.4057971016</v>
      </c>
      <c r="E115" s="350">
        <f>E111/Assumptions_IS!F62</f>
        <v>2149263.7362637362</v>
      </c>
      <c r="F115" s="350">
        <f>F111/Assumptions_IS!G62</f>
        <v>2241260.5633802819</v>
      </c>
      <c r="G115" s="405">
        <f>AVERAGE(C115:F115)</f>
        <v>1843130.9093351904</v>
      </c>
      <c r="H115" s="427">
        <f t="shared" ref="H115:K115" si="41">AVERAGE(D115:G115)</f>
        <v>1900398.4036940774</v>
      </c>
      <c r="I115" s="427">
        <f t="shared" si="41"/>
        <v>2033513.4031683214</v>
      </c>
      <c r="J115" s="427">
        <f t="shared" si="41"/>
        <v>2004575.8198944677</v>
      </c>
      <c r="K115" s="428">
        <f t="shared" si="41"/>
        <v>1945404.6340230142</v>
      </c>
      <c r="L115" s="426"/>
    </row>
    <row r="116" spans="1:12" x14ac:dyDescent="0.3">
      <c r="A116" s="180" t="s">
        <v>231</v>
      </c>
      <c r="G116" s="159"/>
    </row>
    <row r="117" spans="1:12" x14ac:dyDescent="0.3">
      <c r="G117" s="159"/>
    </row>
    <row r="118" spans="1:12" ht="20" x14ac:dyDescent="0.4">
      <c r="A118" s="417" t="s">
        <v>232</v>
      </c>
      <c r="G118" s="159"/>
    </row>
    <row r="119" spans="1:12" ht="14.5" thickBot="1" x14ac:dyDescent="0.35">
      <c r="G119" s="159"/>
    </row>
    <row r="120" spans="1:12" ht="17.5" x14ac:dyDescent="0.35">
      <c r="A120" s="314" t="s">
        <v>48</v>
      </c>
      <c r="B120" s="234"/>
      <c r="C120" s="234"/>
      <c r="D120" s="234"/>
      <c r="E120" s="234"/>
      <c r="F120" s="234"/>
      <c r="G120" s="166"/>
      <c r="H120" s="234"/>
      <c r="I120" s="234"/>
      <c r="J120" s="234"/>
      <c r="K120" s="236"/>
    </row>
    <row r="121" spans="1:12" ht="15.5" x14ac:dyDescent="0.35">
      <c r="A121" s="173" t="s">
        <v>233</v>
      </c>
      <c r="B121" s="316">
        <v>11053722000</v>
      </c>
      <c r="C121" s="316">
        <v>10234066000</v>
      </c>
      <c r="D121" s="316">
        <v>14075857000</v>
      </c>
      <c r="E121" s="317">
        <v>32162408000</v>
      </c>
      <c r="F121" s="317">
        <v>35435851000</v>
      </c>
      <c r="G121" s="280">
        <f>(G135/365)*Assumptions_IS!H59</f>
        <v>35114658947.400551</v>
      </c>
      <c r="H121" s="281">
        <f>(H135/365)*Assumptions_IS!I59</f>
        <v>40178027534.876579</v>
      </c>
      <c r="I121" s="281">
        <f>(I135/365)*Assumptions_IS!J59</f>
        <v>45720396158.481834</v>
      </c>
      <c r="J121" s="281">
        <f>(J135/365)*Assumptions_IS!K59</f>
        <v>56428144228.495827</v>
      </c>
      <c r="K121" s="282">
        <f>(K135/365)*Assumptions_IS!L59</f>
        <v>77602450968.924423</v>
      </c>
    </row>
    <row r="122" spans="1:12" ht="15.5" x14ac:dyDescent="0.35">
      <c r="A122" s="173" t="s">
        <v>234</v>
      </c>
      <c r="B122" s="316">
        <v>3848410000</v>
      </c>
      <c r="C122" s="316">
        <v>3351705000</v>
      </c>
      <c r="D122" s="316">
        <v>2487450000</v>
      </c>
      <c r="E122" s="317">
        <v>5938296000</v>
      </c>
      <c r="F122" s="317">
        <v>2821755000</v>
      </c>
      <c r="G122" s="263">
        <f>G136*(Assumptions_IS!H118+Assumptions_IS!H86)</f>
        <v>4608697484.1917601</v>
      </c>
      <c r="H122" s="179">
        <f>H136*(Assumptions_IS!I118+Assumptions_IS!I86)</f>
        <v>4614808005.4240217</v>
      </c>
      <c r="I122" s="179">
        <f>I136*(Assumptions_IS!J118+Assumptions_IS!J86)</f>
        <v>4834711530.7092381</v>
      </c>
      <c r="J122" s="179">
        <f>J136*(Assumptions_IS!K118+Assumptions_IS!K86)</f>
        <v>5870192822.1033554</v>
      </c>
      <c r="K122" s="216">
        <f>K136*(Assumptions_IS!L118+Assumptions_IS!L86)</f>
        <v>6206956304.3732204</v>
      </c>
    </row>
    <row r="123" spans="1:12" ht="15.5" x14ac:dyDescent="0.35">
      <c r="A123" s="173" t="s">
        <v>235</v>
      </c>
      <c r="B123" s="316">
        <v>1709069000</v>
      </c>
      <c r="C123" s="316">
        <v>766813000</v>
      </c>
      <c r="D123" s="316">
        <v>1812441000</v>
      </c>
      <c r="E123" s="317">
        <v>994075000</v>
      </c>
      <c r="F123" s="317">
        <v>562282000</v>
      </c>
      <c r="G123" s="264">
        <f>G137*Assumptions_IS!H18</f>
        <v>2687024784.8550386</v>
      </c>
      <c r="H123" s="241">
        <f>H137*Assumptions_IS!I18</f>
        <v>2669704933.049037</v>
      </c>
      <c r="I123" s="241">
        <f>I137*Assumptions_IS!J18</f>
        <v>3131904330.4472909</v>
      </c>
      <c r="J123" s="241">
        <f>J137*Assumptions_IS!K18</f>
        <v>3174804897.4931593</v>
      </c>
      <c r="K123" s="279">
        <f>K137*Assumptions_IS!L18</f>
        <v>4526387992.7931805</v>
      </c>
    </row>
    <row r="124" spans="1:12" ht="15.5" x14ac:dyDescent="0.35">
      <c r="A124" s="173" t="s">
        <v>236</v>
      </c>
      <c r="B124" s="316">
        <v>41515000</v>
      </c>
      <c r="C124" s="316">
        <v>229127000</v>
      </c>
      <c r="D124" s="316">
        <v>254340000</v>
      </c>
      <c r="E124" s="317">
        <v>1100862000</v>
      </c>
      <c r="F124" s="317">
        <v>266553000</v>
      </c>
      <c r="G124" s="264">
        <f>G139*G55</f>
        <v>751704485.95805693</v>
      </c>
      <c r="H124" s="241">
        <f t="shared" ref="H124:K124" si="42">H139*H55</f>
        <v>907156583.50918424</v>
      </c>
      <c r="I124" s="241">
        <f t="shared" si="42"/>
        <v>1032807617.9032168</v>
      </c>
      <c r="J124" s="241">
        <f t="shared" si="42"/>
        <v>1389390947.0349786</v>
      </c>
      <c r="K124" s="279">
        <f t="shared" si="42"/>
        <v>1545995437.6683531</v>
      </c>
    </row>
    <row r="125" spans="1:12" ht="15.5" x14ac:dyDescent="0.35">
      <c r="A125" s="173" t="s">
        <v>237</v>
      </c>
      <c r="B125" s="316">
        <v>1384467000</v>
      </c>
      <c r="C125" s="316">
        <v>1456967000</v>
      </c>
      <c r="D125" s="316">
        <v>202905000</v>
      </c>
      <c r="E125" s="317">
        <v>0</v>
      </c>
      <c r="F125" s="317">
        <v>4628419000</v>
      </c>
      <c r="G125" s="263">
        <f>AVERAGE(B125:F125)</f>
        <v>1534551600</v>
      </c>
      <c r="H125" s="179">
        <f t="shared" ref="H125:K125" si="43">AVERAGE(C125:G125)</f>
        <v>1564568520</v>
      </c>
      <c r="I125" s="179">
        <f t="shared" si="43"/>
        <v>1586088824</v>
      </c>
      <c r="J125" s="179">
        <f t="shared" si="43"/>
        <v>1862725588.8</v>
      </c>
      <c r="K125" s="216">
        <f t="shared" si="43"/>
        <v>2235270706.5599999</v>
      </c>
    </row>
    <row r="126" spans="1:12" ht="15.5" x14ac:dyDescent="0.35">
      <c r="A126" s="173" t="s">
        <v>238</v>
      </c>
      <c r="B126" s="316">
        <v>1585282000</v>
      </c>
      <c r="C126" s="316">
        <v>1553896000</v>
      </c>
      <c r="D126" s="316">
        <v>1348204000</v>
      </c>
      <c r="E126" s="317">
        <v>5650720000</v>
      </c>
      <c r="F126" s="317">
        <v>1975856000</v>
      </c>
      <c r="G126" s="263">
        <f>AVERAGE(B126:F126)</f>
        <v>2422791600</v>
      </c>
      <c r="H126" s="179">
        <f t="shared" ref="H126:K126" si="44">AVERAGE(C126:G126)</f>
        <v>2590293520</v>
      </c>
      <c r="I126" s="179">
        <f t="shared" si="44"/>
        <v>2797573024</v>
      </c>
      <c r="J126" s="179">
        <f t="shared" si="44"/>
        <v>3087446828.8000002</v>
      </c>
      <c r="K126" s="216">
        <f t="shared" si="44"/>
        <v>2574792194.5599999</v>
      </c>
    </row>
    <row r="127" spans="1:12" ht="15.5" x14ac:dyDescent="0.35">
      <c r="A127" s="173" t="s">
        <v>239</v>
      </c>
      <c r="B127" s="316">
        <v>275126000</v>
      </c>
      <c r="C127" s="316">
        <v>312478000</v>
      </c>
      <c r="D127" s="316">
        <v>207852000</v>
      </c>
      <c r="E127" s="317">
        <v>132948000</v>
      </c>
      <c r="F127" s="317">
        <v>495528000</v>
      </c>
      <c r="G127" s="280">
        <f>G140*Assumptions_IS!H167</f>
        <v>299183790.27292341</v>
      </c>
      <c r="H127" s="281">
        <f>H140*Assumptions_IS!I167</f>
        <v>273179114.71705359</v>
      </c>
      <c r="I127" s="281">
        <f>I140*Assumptions_IS!J167</f>
        <v>246428309.31837896</v>
      </c>
      <c r="J127" s="281">
        <f>J140*Assumptions_IS!K167</f>
        <v>203702649.91502509</v>
      </c>
      <c r="K127" s="282">
        <f>K140*Assumptions_IS!L167</f>
        <v>166275619.76695672</v>
      </c>
    </row>
    <row r="128" spans="1:12" ht="15.5" x14ac:dyDescent="0.35">
      <c r="A128" s="173" t="s">
        <v>240</v>
      </c>
      <c r="B128" s="316">
        <v>46992000</v>
      </c>
      <c r="C128" s="316">
        <v>99644000</v>
      </c>
      <c r="D128" s="316">
        <v>14762000</v>
      </c>
      <c r="E128" s="317">
        <v>8194000</v>
      </c>
      <c r="F128" s="317">
        <v>8359000</v>
      </c>
      <c r="G128" s="263">
        <f>AVERAGE(B128:F128)</f>
        <v>35590200</v>
      </c>
      <c r="H128" s="179">
        <f t="shared" ref="H128:K128" si="45">AVERAGE(C128:G128)</f>
        <v>33309840</v>
      </c>
      <c r="I128" s="179">
        <f t="shared" si="45"/>
        <v>20043008</v>
      </c>
      <c r="J128" s="179">
        <f t="shared" si="45"/>
        <v>21099209.600000001</v>
      </c>
      <c r="K128" s="216">
        <f t="shared" si="45"/>
        <v>23680251.52</v>
      </c>
    </row>
    <row r="129" spans="1:12" ht="15.5" x14ac:dyDescent="0.35">
      <c r="A129" s="173" t="s">
        <v>241</v>
      </c>
      <c r="B129" s="316">
        <v>20766000</v>
      </c>
      <c r="C129" s="316">
        <v>29897000</v>
      </c>
      <c r="D129" s="316">
        <v>18431000</v>
      </c>
      <c r="E129" s="317">
        <v>309930000</v>
      </c>
      <c r="F129" s="317">
        <v>61098000</v>
      </c>
      <c r="G129" s="264">
        <f>G138*Assumptions_IS!H62</f>
        <v>103429713.99420702</v>
      </c>
      <c r="H129" s="241">
        <f>H138*Assumptions_IS!I62</f>
        <v>133344843.32852867</v>
      </c>
      <c r="I129" s="241">
        <f>I138*Assumptions_IS!J62</f>
        <v>175214173.16831121</v>
      </c>
      <c r="J129" s="241">
        <f>J138*Assumptions_IS!K62</f>
        <v>257870733.6736117</v>
      </c>
      <c r="K129" s="279">
        <f>K138*Assumptions_IS!L62</f>
        <v>263113736.86868304</v>
      </c>
    </row>
    <row r="130" spans="1:12" ht="15.5" x14ac:dyDescent="0.35">
      <c r="A130" s="173" t="s">
        <v>242</v>
      </c>
      <c r="B130" s="316">
        <v>2091000</v>
      </c>
      <c r="C130" s="316">
        <v>1539000</v>
      </c>
      <c r="D130" s="316">
        <v>279000</v>
      </c>
      <c r="E130" s="317">
        <v>281000</v>
      </c>
      <c r="F130" s="317">
        <v>4788000</v>
      </c>
      <c r="G130" s="263">
        <f>AVERAGE(B130:F130)</f>
        <v>1795600</v>
      </c>
      <c r="H130" s="179">
        <f t="shared" ref="H130:K130" si="46">AVERAGE(C130:G130)</f>
        <v>1736520</v>
      </c>
      <c r="I130" s="179">
        <f t="shared" si="46"/>
        <v>1776024</v>
      </c>
      <c r="J130" s="179">
        <f t="shared" si="46"/>
        <v>2075428.8</v>
      </c>
      <c r="K130" s="216">
        <f t="shared" si="46"/>
        <v>2434314.56</v>
      </c>
    </row>
    <row r="131" spans="1:12" ht="16" thickBot="1" x14ac:dyDescent="0.4">
      <c r="A131" s="173" t="s">
        <v>243</v>
      </c>
      <c r="B131" s="316"/>
      <c r="C131" s="316"/>
      <c r="D131" s="316">
        <v>86817000</v>
      </c>
      <c r="E131" s="317">
        <v>0</v>
      </c>
      <c r="F131" s="317">
        <v>172393000</v>
      </c>
      <c r="G131" s="429">
        <f>G141*Assumptions_IS!H62</f>
        <v>196381870.51065636</v>
      </c>
      <c r="H131" s="430">
        <f>H141*Assumptions_IS!I62</f>
        <v>219470171.36675268</v>
      </c>
      <c r="I131" s="430">
        <f>I141*Assumptions_IS!J62</f>
        <v>252548194.2341482</v>
      </c>
      <c r="J131" s="430">
        <f>J141*Assumptions_IS!K62</f>
        <v>318146913.95150799</v>
      </c>
      <c r="K131" s="431">
        <f>K141*Assumptions_IS!L62</f>
        <v>439550170.94313252</v>
      </c>
    </row>
    <row r="132" spans="1:12" ht="15.5" x14ac:dyDescent="0.35">
      <c r="A132" s="173"/>
      <c r="B132" s="366">
        <f t="shared" ref="B132:K132" si="47">SUM(B121:B131)</f>
        <v>19967440000</v>
      </c>
      <c r="C132" s="366">
        <f t="shared" si="47"/>
        <v>18036132000</v>
      </c>
      <c r="D132" s="366">
        <f t="shared" si="47"/>
        <v>20509338000</v>
      </c>
      <c r="E132" s="366">
        <f t="shared" si="47"/>
        <v>46297714000</v>
      </c>
      <c r="F132" s="432">
        <f t="shared" si="47"/>
        <v>46432882000</v>
      </c>
      <c r="G132" s="348">
        <f t="shared" si="47"/>
        <v>47755810077.183197</v>
      </c>
      <c r="H132" s="348">
        <f t="shared" si="47"/>
        <v>53185599586.271156</v>
      </c>
      <c r="I132" s="348">
        <f t="shared" si="47"/>
        <v>59799491194.262413</v>
      </c>
      <c r="J132" s="348">
        <f t="shared" si="47"/>
        <v>72615600248.66748</v>
      </c>
      <c r="K132" s="348">
        <f t="shared" si="47"/>
        <v>95586907698.537933</v>
      </c>
    </row>
    <row r="133" spans="1:12" ht="15.5" x14ac:dyDescent="0.35">
      <c r="A133" s="173"/>
      <c r="B133" s="321"/>
      <c r="C133" s="321"/>
      <c r="D133" s="321"/>
      <c r="G133" s="159"/>
    </row>
    <row r="134" spans="1:12" ht="16" thickBot="1" x14ac:dyDescent="0.4">
      <c r="A134" s="173" t="s">
        <v>244</v>
      </c>
      <c r="B134" s="433"/>
      <c r="C134" s="433">
        <f>Assumptions_IS!D59/AVERAGE(B121:C121)</f>
        <v>8.9155123741993929</v>
      </c>
      <c r="D134" s="433">
        <f>Assumptions_IS!E59/AVERAGE(C121:D121)</f>
        <v>7.3099186538398788</v>
      </c>
      <c r="E134" s="433">
        <f>Assumptions_IS!F59/AVERAGE(D121:E121)</f>
        <v>7.4006618544186296</v>
      </c>
      <c r="F134" s="433">
        <f>Assumptions_IS!G59/AVERAGE(E121:F121)</f>
        <v>7.5315478761072825</v>
      </c>
      <c r="G134" s="159"/>
    </row>
    <row r="135" spans="1:12" ht="15.5" x14ac:dyDescent="0.35">
      <c r="A135" s="173" t="s">
        <v>245</v>
      </c>
      <c r="B135" s="434"/>
      <c r="C135" s="434">
        <f t="shared" ref="C135:F135" si="48">365/C134</f>
        <v>40.939879244211888</v>
      </c>
      <c r="D135" s="434">
        <f>365/D134</f>
        <v>49.932156195509315</v>
      </c>
      <c r="E135" s="434">
        <f t="shared" si="48"/>
        <v>49.319913161830733</v>
      </c>
      <c r="F135" s="434">
        <f t="shared" si="48"/>
        <v>48.462813488566979</v>
      </c>
      <c r="G135" s="435">
        <f>AVERAGE(C135:F135)</f>
        <v>47.163690522529727</v>
      </c>
      <c r="H135" s="436">
        <f t="shared" ref="H135:K135" si="49">AVERAGE(D135:G135)</f>
        <v>48.719643342109187</v>
      </c>
      <c r="I135" s="436">
        <f t="shared" si="49"/>
        <v>48.416515128759151</v>
      </c>
      <c r="J135" s="436">
        <f t="shared" si="49"/>
        <v>48.190665620491259</v>
      </c>
      <c r="K135" s="437">
        <f t="shared" si="49"/>
        <v>48.122628653472333</v>
      </c>
    </row>
    <row r="136" spans="1:12" ht="15.5" x14ac:dyDescent="0.35">
      <c r="A136" s="173" t="s">
        <v>246</v>
      </c>
      <c r="B136" s="316">
        <f>B122/(Assumptions_IS!C86+Assumptions_IS!C118)</f>
        <v>5.2314620976906809</v>
      </c>
      <c r="C136" s="316">
        <f>C122/(Assumptions_IS!D86+Assumptions_IS!D118)</f>
        <v>5.0336255355831456</v>
      </c>
      <c r="D136" s="316">
        <f>D122/(Assumptions_IS!E86+Assumptions_IS!E118)</f>
        <v>3.3224319755944935</v>
      </c>
      <c r="E136" s="316">
        <f>E122/(Assumptions_IS!F86+Assumptions_IS!F118)</f>
        <v>6.7989397937979081</v>
      </c>
      <c r="F136" s="316">
        <f>F122/(Assumptions_IS!G86+Assumptions_IS!G118)</f>
        <v>1.9120534879371611</v>
      </c>
      <c r="G136" s="263">
        <f>AVERAGE(B136:F136)</f>
        <v>4.4597025781206776</v>
      </c>
      <c r="H136" s="179">
        <f t="shared" ref="H136:K136" si="50">AVERAGE(C136:G136)</f>
        <v>4.3053506742066769</v>
      </c>
      <c r="I136" s="179">
        <f t="shared" si="50"/>
        <v>4.1596957019313834</v>
      </c>
      <c r="J136" s="179">
        <f t="shared" si="50"/>
        <v>4.3271484471987618</v>
      </c>
      <c r="K136" s="216">
        <f t="shared" si="50"/>
        <v>3.8327901778789326</v>
      </c>
    </row>
    <row r="137" spans="1:12" ht="15.5" x14ac:dyDescent="0.35">
      <c r="A137" s="173" t="s">
        <v>247</v>
      </c>
      <c r="B137" s="326">
        <f>B123/Assumptions_IS!C18</f>
        <v>1.1266365556362715E-2</v>
      </c>
      <c r="C137" s="326">
        <f>C123/Assumptions_IS!D18</f>
        <v>5.8146544643292615E-3</v>
      </c>
      <c r="D137" s="326">
        <f>D123/Assumptions_IS!E18</f>
        <v>1.2980973062784002E-2</v>
      </c>
      <c r="E137" s="326">
        <f>E123/Assumptions_IS!F18</f>
        <v>4.4407318637028504E-3</v>
      </c>
      <c r="F137" s="326">
        <f>F123/Assumptions_IS!G18</f>
        <v>1.7272796580600537E-3</v>
      </c>
      <c r="G137" s="368">
        <f>AVERAGE(B137:F137)</f>
        <v>7.2460009210477769E-3</v>
      </c>
      <c r="H137" s="369">
        <f t="shared" ref="H137:K137" si="51">AVERAGE(C137:G137)</f>
        <v>6.4419279939847886E-3</v>
      </c>
      <c r="I137" s="369">
        <f t="shared" si="51"/>
        <v>6.5673826999158944E-3</v>
      </c>
      <c r="J137" s="369">
        <f t="shared" si="51"/>
        <v>5.2846646273422724E-3</v>
      </c>
      <c r="K137" s="370">
        <f t="shared" si="51"/>
        <v>5.4534511800701574E-3</v>
      </c>
      <c r="L137" s="438"/>
    </row>
    <row r="138" spans="1:12" ht="15.5" x14ac:dyDescent="0.35">
      <c r="A138" s="173" t="s">
        <v>248</v>
      </c>
      <c r="B138" s="316">
        <f>B129/Assumptions_IS!C62</f>
        <v>74164.28571428571</v>
      </c>
      <c r="C138" s="316">
        <f>C129/Assumptions_IS!D62</f>
        <v>107157.70609318996</v>
      </c>
      <c r="D138" s="316">
        <f>D129/Assumptions_IS!E62</f>
        <v>66778.985507246383</v>
      </c>
      <c r="E138" s="316">
        <f>E129/Assumptions_IS!F62</f>
        <v>1135274.7252747254</v>
      </c>
      <c r="F138" s="316">
        <f>F129/Assumptions_IS!G62</f>
        <v>215133.80281690141</v>
      </c>
      <c r="G138" s="263">
        <f>AVERAGE(B138:F138)</f>
        <v>319701.90108126972</v>
      </c>
      <c r="H138" s="179">
        <f t="shared" ref="H138:K138" si="52">AVERAGE(C138:G138)</f>
        <v>368809.42415466654</v>
      </c>
      <c r="I138" s="179">
        <f t="shared" si="52"/>
        <v>421139.76776696194</v>
      </c>
      <c r="J138" s="179">
        <f t="shared" si="52"/>
        <v>492011.92421890498</v>
      </c>
      <c r="K138" s="216">
        <f t="shared" si="52"/>
        <v>363359.36400774086</v>
      </c>
    </row>
    <row r="139" spans="1:12" ht="15.5" x14ac:dyDescent="0.35">
      <c r="A139" s="173" t="s">
        <v>249</v>
      </c>
      <c r="B139" s="326">
        <f>B124/B55</f>
        <v>3.14624630421212E-3</v>
      </c>
      <c r="C139" s="326">
        <f t="shared" ref="C139:F139" si="53">C124/C55</f>
        <v>6.2480894579528046E-2</v>
      </c>
      <c r="D139" s="326">
        <f t="shared" si="53"/>
        <v>3.8601207816828055E-2</v>
      </c>
      <c r="E139" s="326">
        <f t="shared" si="53"/>
        <v>9.737101565747075E-2</v>
      </c>
      <c r="F139" s="326">
        <f t="shared" si="53"/>
        <v>1.3386325611737649E-2</v>
      </c>
      <c r="G139" s="368">
        <f>AVERAGE(B139:F139)</f>
        <v>4.2997137993955319E-2</v>
      </c>
      <c r="H139" s="369">
        <f t="shared" ref="H139:K139" si="54">AVERAGE(C139:G139)</f>
        <v>5.0967316331903954E-2</v>
      </c>
      <c r="I139" s="369">
        <f t="shared" si="54"/>
        <v>4.8664600682379142E-2</v>
      </c>
      <c r="J139" s="369">
        <f t="shared" si="54"/>
        <v>5.0677279255489358E-2</v>
      </c>
      <c r="K139" s="370">
        <f t="shared" si="54"/>
        <v>4.1338531975093087E-2</v>
      </c>
    </row>
    <row r="140" spans="1:12" ht="15.5" x14ac:dyDescent="0.35">
      <c r="A140" s="173" t="s">
        <v>250</v>
      </c>
      <c r="B140" s="433">
        <f>B127/Assumptions_IS!C167</f>
        <v>0.61796072018975057</v>
      </c>
      <c r="C140" s="433">
        <f>C127/Assumptions_IS!D167</f>
        <v>0.53945274061286141</v>
      </c>
      <c r="D140" s="433">
        <f>D127/Assumptions_IS!E167</f>
        <v>0.64518251800347648</v>
      </c>
      <c r="E140" s="433">
        <f>E127/Assumptions_IS!F167</f>
        <v>0.29197009759568504</v>
      </c>
      <c r="F140" s="433">
        <f>F127/Assumptions_IS!G167</f>
        <v>1.0882402030974112</v>
      </c>
      <c r="G140" s="287">
        <f>AVERAGE(B140:F140)</f>
        <v>0.63656125589983703</v>
      </c>
      <c r="H140" s="266">
        <f t="shared" ref="H140:K140" si="55">AVERAGE(C140:G140)</f>
        <v>0.64028136304185423</v>
      </c>
      <c r="I140" s="266">
        <f t="shared" si="55"/>
        <v>0.6604470875276528</v>
      </c>
      <c r="J140" s="266">
        <f t="shared" si="55"/>
        <v>0.663500001432488</v>
      </c>
      <c r="K140" s="267">
        <f t="shared" si="55"/>
        <v>0.73780598219984861</v>
      </c>
    </row>
    <row r="141" spans="1:12" ht="16" thickBot="1" x14ac:dyDescent="0.4">
      <c r="A141" s="193" t="s">
        <v>251</v>
      </c>
      <c r="B141" s="350">
        <v>0</v>
      </c>
      <c r="C141" s="350">
        <v>0</v>
      </c>
      <c r="D141" s="350">
        <f>D131/Assumptions_IS!E62</f>
        <v>314554.34782608697</v>
      </c>
      <c r="E141" s="350">
        <f>E131/Assumptions_IS!F62</f>
        <v>0</v>
      </c>
      <c r="F141" s="350">
        <f>F131/Assumptions_IS!G62</f>
        <v>607017.60563380283</v>
      </c>
      <c r="G141" s="290">
        <f>F141</f>
        <v>607017.60563380283</v>
      </c>
      <c r="H141" s="222">
        <f>G141</f>
        <v>607017.60563380283</v>
      </c>
      <c r="I141" s="222">
        <f t="shared" ref="I141:K141" si="56">H141</f>
        <v>607017.60563380283</v>
      </c>
      <c r="J141" s="222">
        <f t="shared" si="56"/>
        <v>607017.60563380283</v>
      </c>
      <c r="K141" s="223">
        <f t="shared" si="56"/>
        <v>607017.60563380283</v>
      </c>
    </row>
    <row r="142" spans="1:12" ht="15.5" x14ac:dyDescent="0.35">
      <c r="B142" s="316"/>
      <c r="C142" s="316"/>
      <c r="D142" s="316"/>
      <c r="G142" s="159"/>
    </row>
    <row r="143" spans="1:12" ht="16" thickBot="1" x14ac:dyDescent="0.4">
      <c r="B143" s="321"/>
      <c r="C143" s="321"/>
      <c r="D143" s="321"/>
      <c r="G143" s="159"/>
    </row>
    <row r="144" spans="1:12" ht="17.5" x14ac:dyDescent="0.35">
      <c r="A144" s="314" t="s">
        <v>49</v>
      </c>
      <c r="B144" s="333">
        <v>14701779000</v>
      </c>
      <c r="C144" s="333">
        <v>12599469000</v>
      </c>
      <c r="D144" s="333">
        <v>17573548000</v>
      </c>
      <c r="E144" s="327">
        <v>18901244000</v>
      </c>
      <c r="F144" s="327">
        <v>29834030000</v>
      </c>
      <c r="G144" s="439">
        <f>(F144)+(F144*0.1)</f>
        <v>32817433000</v>
      </c>
      <c r="H144" s="440">
        <f t="shared" ref="H144:K144" si="57">(G144)+(G144*0.1)</f>
        <v>36099176300</v>
      </c>
      <c r="I144" s="440">
        <f t="shared" si="57"/>
        <v>39709093930</v>
      </c>
      <c r="J144" s="440">
        <f t="shared" si="57"/>
        <v>43680003323</v>
      </c>
      <c r="K144" s="441">
        <f t="shared" si="57"/>
        <v>48048003655.300003</v>
      </c>
    </row>
    <row r="145" spans="1:11" ht="17.5" x14ac:dyDescent="0.35">
      <c r="A145" s="315" t="s">
        <v>252</v>
      </c>
      <c r="B145" s="316"/>
      <c r="C145" s="316">
        <v>3370000</v>
      </c>
      <c r="D145" s="316">
        <v>4586000</v>
      </c>
      <c r="E145" s="398">
        <v>6460000</v>
      </c>
      <c r="F145" s="317">
        <v>8723000</v>
      </c>
      <c r="G145" s="442">
        <f>G109-H109</f>
        <v>13305400</v>
      </c>
      <c r="H145" s="348">
        <f t="shared" ref="H145:K145" si="58">H109-I109</f>
        <v>13305400</v>
      </c>
      <c r="I145" s="348">
        <f t="shared" si="58"/>
        <v>13305400</v>
      </c>
      <c r="J145" s="348">
        <f t="shared" si="58"/>
        <v>13305400</v>
      </c>
      <c r="K145" s="349">
        <f t="shared" si="58"/>
        <v>66527000</v>
      </c>
    </row>
    <row r="146" spans="1:11" ht="18" thickBot="1" x14ac:dyDescent="0.4">
      <c r="A146" s="443" t="s">
        <v>53</v>
      </c>
      <c r="B146" s="350">
        <v>21768000</v>
      </c>
      <c r="C146" s="350">
        <v>19866000</v>
      </c>
      <c r="D146" s="350">
        <v>19852000</v>
      </c>
      <c r="E146" s="350">
        <v>19852000</v>
      </c>
      <c r="F146" s="350">
        <v>19852000</v>
      </c>
      <c r="G146" s="444">
        <f>AVERAGE(C146:F146)</f>
        <v>19855500</v>
      </c>
      <c r="H146" s="445">
        <f t="shared" ref="H146:K146" si="59">AVERAGE(D146:G146)</f>
        <v>19852875</v>
      </c>
      <c r="I146" s="445">
        <f t="shared" si="59"/>
        <v>19853093.75</v>
      </c>
      <c r="J146" s="445">
        <f t="shared" si="59"/>
        <v>19853367.1875</v>
      </c>
      <c r="K146" s="446">
        <f t="shared" si="59"/>
        <v>19853708.984375</v>
      </c>
    </row>
  </sheetData>
  <mergeCells count="2">
    <mergeCell ref="A15:B15"/>
    <mergeCell ref="A20:C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ED440-7471-4E0C-9A24-D68A23440187}">
  <dimension ref="A3:Y179"/>
  <sheetViews>
    <sheetView showGridLines="0" zoomScale="87" workbookViewId="0">
      <pane xSplit="1" topLeftCell="B1" activePane="topRight" state="frozen"/>
      <selection activeCell="A41" sqref="A41"/>
      <selection pane="topRight" activeCell="E128" sqref="E128"/>
    </sheetView>
  </sheetViews>
  <sheetFormatPr defaultColWidth="12.1796875" defaultRowHeight="15.5" x14ac:dyDescent="0.35"/>
  <cols>
    <col min="1" max="1" width="44.81640625" style="2" bestFit="1" customWidth="1"/>
    <col min="2" max="2" width="22.453125" style="2" bestFit="1" customWidth="1"/>
    <col min="3" max="3" width="19.6328125" style="2" bestFit="1" customWidth="1"/>
    <col min="4" max="4" width="21.6328125" style="2" bestFit="1" customWidth="1"/>
    <col min="5" max="5" width="20.1796875" style="2" bestFit="1" customWidth="1"/>
    <col min="6" max="6" width="22.453125" style="2" bestFit="1" customWidth="1"/>
    <col min="7" max="7" width="18.36328125" style="2" bestFit="1" customWidth="1"/>
    <col min="8" max="8" width="23.54296875" style="2" bestFit="1" customWidth="1"/>
    <col min="9" max="9" width="47" style="2" bestFit="1" customWidth="1"/>
    <col min="10" max="10" width="36.6328125" style="2" bestFit="1" customWidth="1"/>
    <col min="11" max="11" width="30.54296875" style="2" bestFit="1" customWidth="1"/>
    <col min="12" max="12" width="43.90625" style="2" bestFit="1" customWidth="1"/>
    <col min="13" max="13" width="41.90625" style="2" bestFit="1" customWidth="1"/>
    <col min="14" max="14" width="18" style="2" bestFit="1" customWidth="1"/>
    <col min="15" max="16384" width="12.1796875" style="2"/>
  </cols>
  <sheetData>
    <row r="3" spans="1:9" ht="16" thickBot="1" x14ac:dyDescent="0.4"/>
    <row r="4" spans="1:9" ht="21" x14ac:dyDescent="0.5">
      <c r="A4" s="3" t="s">
        <v>258</v>
      </c>
      <c r="B4" s="153">
        <v>43617</v>
      </c>
      <c r="C4" s="153">
        <v>43983</v>
      </c>
      <c r="D4" s="153">
        <v>44348</v>
      </c>
      <c r="E4" s="153">
        <v>44713</v>
      </c>
      <c r="F4" s="154">
        <v>45078</v>
      </c>
    </row>
    <row r="5" spans="1:9" x14ac:dyDescent="0.35">
      <c r="A5" s="4"/>
      <c r="B5" s="647" t="s">
        <v>259</v>
      </c>
      <c r="C5" s="647"/>
      <c r="D5" s="647"/>
      <c r="E5" s="647"/>
      <c r="F5" s="648"/>
    </row>
    <row r="6" spans="1:9" x14ac:dyDescent="0.35">
      <c r="A6" s="4" t="s">
        <v>260</v>
      </c>
      <c r="B6" s="5">
        <v>9292800000</v>
      </c>
      <c r="C6" s="5">
        <v>11151360000</v>
      </c>
      <c r="D6" s="5">
        <v>11151360000</v>
      </c>
      <c r="E6" s="2">
        <v>20328000000</v>
      </c>
      <c r="F6" s="8">
        <v>20328000000</v>
      </c>
      <c r="I6" s="7"/>
    </row>
    <row r="7" spans="1:9" x14ac:dyDescent="0.35">
      <c r="A7" s="4" t="s">
        <v>261</v>
      </c>
      <c r="B7" s="5">
        <v>19143000</v>
      </c>
      <c r="C7" s="5">
        <v>17319000</v>
      </c>
      <c r="D7" s="5">
        <v>22298000</v>
      </c>
      <c r="E7" s="2">
        <v>17173000</v>
      </c>
      <c r="F7" s="8">
        <v>22528000</v>
      </c>
      <c r="I7" s="7"/>
    </row>
    <row r="8" spans="1:9" x14ac:dyDescent="0.35">
      <c r="A8" s="4" t="s">
        <v>262</v>
      </c>
      <c r="B8" s="5">
        <v>5221797000</v>
      </c>
      <c r="C8" s="5">
        <v>6122145000</v>
      </c>
      <c r="D8" s="5">
        <v>5605211000</v>
      </c>
      <c r="E8" s="2">
        <v>5183133000</v>
      </c>
      <c r="F8" s="8">
        <v>4797255000</v>
      </c>
      <c r="I8" s="7"/>
    </row>
    <row r="9" spans="1:9" x14ac:dyDescent="0.35">
      <c r="A9" s="4" t="s">
        <v>263</v>
      </c>
      <c r="B9" s="5">
        <v>747586000</v>
      </c>
      <c r="C9" s="5">
        <v>1102500000</v>
      </c>
      <c r="D9" s="5">
        <v>951724000</v>
      </c>
      <c r="E9" s="2">
        <v>803520000</v>
      </c>
      <c r="F9" s="8">
        <v>667613000</v>
      </c>
      <c r="I9" s="7"/>
    </row>
    <row r="10" spans="1:9" x14ac:dyDescent="0.35">
      <c r="A10" s="4" t="s">
        <v>264</v>
      </c>
      <c r="B10" s="5">
        <v>669664000</v>
      </c>
      <c r="C10" s="5">
        <v>572826000</v>
      </c>
      <c r="D10" s="5">
        <v>744149000</v>
      </c>
      <c r="E10" s="2">
        <v>689040000</v>
      </c>
      <c r="F10" s="8">
        <v>591425000</v>
      </c>
      <c r="I10" s="7"/>
    </row>
    <row r="11" spans="1:9" x14ac:dyDescent="0.35">
      <c r="A11" s="4" t="s">
        <v>265</v>
      </c>
      <c r="B11" s="5">
        <v>162772000</v>
      </c>
      <c r="C11" s="5">
        <v>231353000</v>
      </c>
      <c r="D11" s="5">
        <v>305406000</v>
      </c>
      <c r="E11" s="2">
        <v>262569000</v>
      </c>
      <c r="F11" s="8">
        <v>219736000</v>
      </c>
      <c r="I11" s="7"/>
    </row>
    <row r="12" spans="1:9" x14ac:dyDescent="0.35">
      <c r="A12" s="4" t="s">
        <v>266</v>
      </c>
      <c r="B12" s="5">
        <v>486044000</v>
      </c>
      <c r="C12" s="5">
        <v>459206000</v>
      </c>
      <c r="D12" s="5">
        <v>426808000</v>
      </c>
      <c r="E12" s="2">
        <v>398145000</v>
      </c>
      <c r="F12" s="8">
        <v>370726000</v>
      </c>
      <c r="I12" s="7"/>
    </row>
    <row r="13" spans="1:9" x14ac:dyDescent="0.35">
      <c r="A13" s="4" t="s">
        <v>267</v>
      </c>
      <c r="B13" s="5">
        <v>523082000</v>
      </c>
      <c r="C13" s="5">
        <v>583748000</v>
      </c>
      <c r="D13" s="5">
        <v>539421000</v>
      </c>
      <c r="E13" s="2">
        <v>532364000</v>
      </c>
      <c r="F13" s="8">
        <v>0</v>
      </c>
      <c r="I13" s="7"/>
    </row>
    <row r="14" spans="1:9" x14ac:dyDescent="0.35">
      <c r="A14" s="4" t="s">
        <v>268</v>
      </c>
      <c r="B14" s="5">
        <v>13308000</v>
      </c>
      <c r="C14" s="5">
        <v>11878000</v>
      </c>
      <c r="D14" s="5">
        <v>9403000</v>
      </c>
      <c r="E14" s="2">
        <v>10662000</v>
      </c>
      <c r="F14" s="8">
        <v>7939000</v>
      </c>
      <c r="I14" s="7"/>
    </row>
    <row r="15" spans="1:9" x14ac:dyDescent="0.35">
      <c r="A15" s="4" t="s">
        <v>269</v>
      </c>
      <c r="B15" s="5">
        <v>74608000</v>
      </c>
      <c r="C15" s="5">
        <v>60172000</v>
      </c>
      <c r="D15" s="5">
        <v>80289000</v>
      </c>
      <c r="E15" s="2">
        <v>75783000</v>
      </c>
      <c r="F15" s="8">
        <v>96575000</v>
      </c>
      <c r="I15" s="7"/>
    </row>
    <row r="16" spans="1:9" x14ac:dyDescent="0.35">
      <c r="A16" s="4" t="s">
        <v>270</v>
      </c>
      <c r="B16" s="5">
        <v>182738000</v>
      </c>
      <c r="C16" s="5">
        <v>227785000</v>
      </c>
      <c r="D16" s="5">
        <v>199634000</v>
      </c>
      <c r="E16" s="2">
        <v>170805000</v>
      </c>
      <c r="F16" s="8">
        <v>170166000</v>
      </c>
      <c r="I16" s="7"/>
    </row>
    <row r="17" spans="1:10" x14ac:dyDescent="0.35">
      <c r="A17" s="4" t="s">
        <v>271</v>
      </c>
      <c r="B17" s="5">
        <v>4103000</v>
      </c>
      <c r="C17" s="5">
        <v>48159000</v>
      </c>
      <c r="D17" s="5">
        <v>54041000</v>
      </c>
      <c r="E17" s="2">
        <v>50372000</v>
      </c>
      <c r="F17" s="8">
        <v>120494000</v>
      </c>
      <c r="I17" s="7"/>
    </row>
    <row r="18" spans="1:10" x14ac:dyDescent="0.35">
      <c r="A18" s="4"/>
      <c r="B18" s="71">
        <f>SUM(B6:B17)</f>
        <v>17397645000</v>
      </c>
      <c r="C18" s="71">
        <f>SUM(C6:C17)</f>
        <v>20588451000</v>
      </c>
      <c r="D18" s="71">
        <f>SUM(D6:D17)</f>
        <v>20089744000</v>
      </c>
      <c r="E18" s="71">
        <f>SUM(E6:E17)</f>
        <v>28521566000</v>
      </c>
      <c r="F18" s="72">
        <f>SUM(F6:F17)</f>
        <v>27392457000</v>
      </c>
      <c r="I18" s="7"/>
    </row>
    <row r="19" spans="1:10" ht="16" thickBot="1" x14ac:dyDescent="0.4">
      <c r="A19" s="16"/>
      <c r="B19" s="70"/>
      <c r="C19" s="70"/>
      <c r="D19" s="70"/>
      <c r="E19" s="70"/>
      <c r="F19" s="35"/>
      <c r="I19" s="7"/>
    </row>
    <row r="20" spans="1:10" x14ac:dyDescent="0.35">
      <c r="A20" s="4" t="s">
        <v>272</v>
      </c>
      <c r="F20" s="8"/>
      <c r="I20" s="7"/>
    </row>
    <row r="21" spans="1:10" x14ac:dyDescent="0.35">
      <c r="A21" s="4" t="s">
        <v>260</v>
      </c>
      <c r="B21" s="12">
        <f t="shared" ref="B21:B32" si="0">AVERAGE(C21:F21)</f>
        <v>0.25572916666666667</v>
      </c>
      <c r="C21" s="12">
        <f t="shared" ref="C21:F32" si="1">(C6/B6)-1</f>
        <v>0.19999999999999996</v>
      </c>
      <c r="D21" s="12">
        <f t="shared" si="1"/>
        <v>0</v>
      </c>
      <c r="E21" s="12">
        <f t="shared" si="1"/>
        <v>0.82291666666666674</v>
      </c>
      <c r="F21" s="13">
        <f t="shared" si="1"/>
        <v>0</v>
      </c>
    </row>
    <row r="22" spans="1:10" x14ac:dyDescent="0.35">
      <c r="A22" s="4" t="s">
        <v>261</v>
      </c>
      <c r="B22" s="12">
        <f t="shared" si="0"/>
        <v>6.8547580639765127E-2</v>
      </c>
      <c r="C22" s="12">
        <f t="shared" si="1"/>
        <v>-9.5282871023350535E-2</v>
      </c>
      <c r="D22" s="12">
        <f t="shared" si="1"/>
        <v>0.28748773023846641</v>
      </c>
      <c r="E22" s="12">
        <f t="shared" si="1"/>
        <v>-0.22984124136693873</v>
      </c>
      <c r="F22" s="13">
        <f t="shared" si="1"/>
        <v>0.31182670471088336</v>
      </c>
    </row>
    <row r="23" spans="1:10" x14ac:dyDescent="0.35">
      <c r="A23" s="4" t="s">
        <v>262</v>
      </c>
      <c r="B23" s="12">
        <f t="shared" si="0"/>
        <v>-1.5441359318568826E-2</v>
      </c>
      <c r="C23" s="12">
        <f t="shared" si="1"/>
        <v>0.17242110330983751</v>
      </c>
      <c r="D23" s="12">
        <f t="shared" si="1"/>
        <v>-8.4436745617753273E-2</v>
      </c>
      <c r="E23" s="12">
        <f t="shared" si="1"/>
        <v>-7.5301001157672798E-2</v>
      </c>
      <c r="F23" s="13">
        <f t="shared" si="1"/>
        <v>-7.4448793808686742E-2</v>
      </c>
    </row>
    <row r="24" spans="1:10" x14ac:dyDescent="0.35">
      <c r="A24" s="4" t="s">
        <v>263</v>
      </c>
      <c r="B24" s="12">
        <f t="shared" si="0"/>
        <v>3.2818221616694454E-3</v>
      </c>
      <c r="C24" s="12">
        <f t="shared" si="1"/>
        <v>0.47474671810333535</v>
      </c>
      <c r="D24" s="12">
        <f t="shared" si="1"/>
        <v>-0.13675827664399098</v>
      </c>
      <c r="E24" s="12">
        <f t="shared" si="1"/>
        <v>-0.15572161677124885</v>
      </c>
      <c r="F24" s="13">
        <f t="shared" si="1"/>
        <v>-0.16913953604141774</v>
      </c>
    </row>
    <row r="25" spans="1:10" x14ac:dyDescent="0.35">
      <c r="A25" s="4" t="s">
        <v>264</v>
      </c>
      <c r="B25" s="12">
        <f t="shared" si="0"/>
        <v>-1.5311882619161887E-2</v>
      </c>
      <c r="C25" s="12">
        <f t="shared" si="1"/>
        <v>-0.14460684761313136</v>
      </c>
      <c r="D25" s="12">
        <f t="shared" si="1"/>
        <v>0.29908384046813508</v>
      </c>
      <c r="E25" s="12">
        <f t="shared" si="1"/>
        <v>-7.4056405370429901E-2</v>
      </c>
      <c r="F25" s="13">
        <f t="shared" si="1"/>
        <v>-0.14166811796122136</v>
      </c>
    </row>
    <row r="26" spans="1:10" x14ac:dyDescent="0.35">
      <c r="A26" s="4" t="s">
        <v>265</v>
      </c>
      <c r="B26" s="12">
        <f t="shared" si="0"/>
        <v>0.10950634398280756</v>
      </c>
      <c r="C26" s="12">
        <f t="shared" si="1"/>
        <v>0.42133167866709265</v>
      </c>
      <c r="D26" s="12">
        <f t="shared" si="1"/>
        <v>0.32008662087805217</v>
      </c>
      <c r="E26" s="12">
        <f t="shared" si="1"/>
        <v>-0.14026247028545613</v>
      </c>
      <c r="F26" s="13">
        <f t="shared" si="1"/>
        <v>-0.16313045332845844</v>
      </c>
    </row>
    <row r="27" spans="1:10" x14ac:dyDescent="0.35">
      <c r="A27" s="4" t="s">
        <v>266</v>
      </c>
      <c r="B27" s="12">
        <f t="shared" si="0"/>
        <v>-6.5448241971846788E-2</v>
      </c>
      <c r="C27" s="12">
        <f t="shared" si="1"/>
        <v>-5.5217223132062121E-2</v>
      </c>
      <c r="D27" s="12">
        <f t="shared" si="1"/>
        <v>-7.0552214039015126E-2</v>
      </c>
      <c r="E27" s="12">
        <f t="shared" si="1"/>
        <v>-6.7156660606174201E-2</v>
      </c>
      <c r="F27" s="13">
        <f t="shared" si="1"/>
        <v>-6.8866870110135703E-2</v>
      </c>
      <c r="J27" s="14"/>
    </row>
    <row r="28" spans="1:10" x14ac:dyDescent="0.35">
      <c r="A28" s="4" t="s">
        <v>267</v>
      </c>
      <c r="B28" s="12">
        <f t="shared" si="0"/>
        <v>-0.24325992943505445</v>
      </c>
      <c r="C28" s="12">
        <f t="shared" si="1"/>
        <v>0.11597799197831304</v>
      </c>
      <c r="D28" s="12">
        <f t="shared" si="1"/>
        <v>-7.5935163803559025E-2</v>
      </c>
      <c r="E28" s="12">
        <f t="shared" si="1"/>
        <v>-1.3082545914971822E-2</v>
      </c>
      <c r="F28" s="13">
        <f t="shared" si="1"/>
        <v>-1</v>
      </c>
      <c r="J28" s="15"/>
    </row>
    <row r="29" spans="1:10" x14ac:dyDescent="0.35">
      <c r="A29" s="4" t="s">
        <v>268</v>
      </c>
      <c r="B29" s="12">
        <f t="shared" si="0"/>
        <v>-0.10933053031660933</v>
      </c>
      <c r="C29" s="12">
        <f t="shared" si="1"/>
        <v>-0.10745416290952814</v>
      </c>
      <c r="D29" s="12">
        <f t="shared" si="1"/>
        <v>-0.20836841219060442</v>
      </c>
      <c r="E29" s="12">
        <f t="shared" si="1"/>
        <v>0.13389343826438371</v>
      </c>
      <c r="F29" s="13">
        <f t="shared" si="1"/>
        <v>-0.25539298443068847</v>
      </c>
      <c r="J29" s="15"/>
    </row>
    <row r="30" spans="1:10" x14ac:dyDescent="0.35">
      <c r="A30" s="4" t="s">
        <v>269</v>
      </c>
      <c r="B30" s="12">
        <f t="shared" si="0"/>
        <v>8.9768421560948108E-2</v>
      </c>
      <c r="C30" s="12">
        <f t="shared" si="1"/>
        <v>-0.193491314604332</v>
      </c>
      <c r="D30" s="12">
        <f t="shared" si="1"/>
        <v>0.33432493518580064</v>
      </c>
      <c r="E30" s="12">
        <f t="shared" si="1"/>
        <v>-5.612225834174045E-2</v>
      </c>
      <c r="F30" s="13">
        <f t="shared" si="1"/>
        <v>0.27436232400406424</v>
      </c>
      <c r="J30" s="14"/>
    </row>
    <row r="31" spans="1:10" x14ac:dyDescent="0.35">
      <c r="A31" s="4" t="s">
        <v>270</v>
      </c>
      <c r="B31" s="12">
        <f t="shared" si="0"/>
        <v>-6.3062039831242311E-3</v>
      </c>
      <c r="C31" s="12">
        <f t="shared" si="1"/>
        <v>0.24651139883330231</v>
      </c>
      <c r="D31" s="12">
        <f t="shared" si="1"/>
        <v>-0.12358583752222485</v>
      </c>
      <c r="E31" s="12">
        <f t="shared" si="1"/>
        <v>-0.14440926896220085</v>
      </c>
      <c r="F31" s="13">
        <f t="shared" si="1"/>
        <v>-3.7411082813735286E-3</v>
      </c>
      <c r="J31" s="14"/>
    </row>
    <row r="32" spans="1:10" ht="16" thickBot="1" x14ac:dyDescent="0.4">
      <c r="A32" s="16" t="s">
        <v>271</v>
      </c>
      <c r="B32" s="17">
        <f t="shared" si="0"/>
        <v>3.0459590585709493</v>
      </c>
      <c r="C32" s="17">
        <f t="shared" si="1"/>
        <v>10.737509139653913</v>
      </c>
      <c r="D32" s="17">
        <f t="shared" si="1"/>
        <v>0.12213708756411057</v>
      </c>
      <c r="E32" s="17">
        <f t="shared" si="1"/>
        <v>-6.7892896134416514E-2</v>
      </c>
      <c r="F32" s="18">
        <f t="shared" si="1"/>
        <v>1.3920829032001905</v>
      </c>
      <c r="J32" s="14"/>
    </row>
    <row r="33" spans="1:13" ht="16" thickBot="1" x14ac:dyDescent="0.4">
      <c r="J33" s="14"/>
    </row>
    <row r="34" spans="1:13" x14ac:dyDescent="0.35">
      <c r="A34" s="9"/>
      <c r="B34" s="19" t="s">
        <v>273</v>
      </c>
      <c r="C34" s="11" t="s">
        <v>274</v>
      </c>
      <c r="J34" s="20"/>
    </row>
    <row r="35" spans="1:13" x14ac:dyDescent="0.35">
      <c r="A35" s="4" t="s">
        <v>260</v>
      </c>
      <c r="B35" s="21">
        <v>11151360</v>
      </c>
      <c r="C35" s="22">
        <v>0</v>
      </c>
      <c r="D35" s="23"/>
      <c r="E35" s="649"/>
      <c r="I35" s="649"/>
      <c r="J35" s="14"/>
    </row>
    <row r="36" spans="1:13" x14ac:dyDescent="0.35">
      <c r="A36" s="4" t="s">
        <v>261</v>
      </c>
      <c r="B36" s="21">
        <v>142863000</v>
      </c>
      <c r="C36" s="22">
        <v>0.125</v>
      </c>
      <c r="D36" s="23"/>
      <c r="E36" s="649"/>
      <c r="F36" s="24"/>
      <c r="G36" s="24"/>
      <c r="H36" s="24"/>
      <c r="I36" s="649"/>
      <c r="J36" s="14"/>
      <c r="K36" s="24"/>
      <c r="L36" s="24"/>
      <c r="M36" s="24"/>
    </row>
    <row r="37" spans="1:13" x14ac:dyDescent="0.35">
      <c r="A37" s="4" t="s">
        <v>262</v>
      </c>
      <c r="B37" s="21">
        <v>9787244000</v>
      </c>
      <c r="C37" s="22">
        <v>0.27500000000000002</v>
      </c>
      <c r="D37" s="7"/>
      <c r="E37" s="7"/>
      <c r="F37" s="7"/>
      <c r="G37" s="7"/>
      <c r="H37" s="7"/>
      <c r="I37" s="7"/>
      <c r="J37" s="14"/>
      <c r="K37" s="7"/>
      <c r="L37" s="7"/>
      <c r="M37" s="7"/>
    </row>
    <row r="38" spans="1:13" x14ac:dyDescent="0.35">
      <c r="A38" s="4" t="s">
        <v>263</v>
      </c>
      <c r="B38" s="21">
        <v>2047433000</v>
      </c>
      <c r="C38" s="22">
        <v>0.125</v>
      </c>
      <c r="J38" s="14"/>
    </row>
    <row r="39" spans="1:13" x14ac:dyDescent="0.35">
      <c r="A39" s="4" t="s">
        <v>264</v>
      </c>
      <c r="B39" s="21">
        <v>1392746000</v>
      </c>
      <c r="C39" s="22">
        <v>0.125</v>
      </c>
      <c r="J39" s="14"/>
    </row>
    <row r="40" spans="1:13" x14ac:dyDescent="0.35">
      <c r="A40" s="4" t="s">
        <v>265</v>
      </c>
      <c r="B40" s="21">
        <v>552602000</v>
      </c>
      <c r="C40" s="25">
        <v>0.1</v>
      </c>
      <c r="J40" s="14"/>
    </row>
    <row r="41" spans="1:13" x14ac:dyDescent="0.35">
      <c r="A41" s="4" t="s">
        <v>266</v>
      </c>
      <c r="B41" s="21">
        <v>579019000</v>
      </c>
      <c r="C41" s="26">
        <v>0.215</v>
      </c>
    </row>
    <row r="42" spans="1:13" x14ac:dyDescent="0.35">
      <c r="A42" s="4" t="s">
        <v>267</v>
      </c>
      <c r="B42" s="21">
        <v>846431000</v>
      </c>
      <c r="C42" s="22">
        <v>0.185</v>
      </c>
    </row>
    <row r="43" spans="1:13" x14ac:dyDescent="0.35">
      <c r="A43" s="4" t="s">
        <v>268</v>
      </c>
      <c r="B43" s="21">
        <v>105663</v>
      </c>
      <c r="C43" s="25">
        <v>0.15</v>
      </c>
    </row>
    <row r="44" spans="1:13" x14ac:dyDescent="0.35">
      <c r="A44" s="4" t="s">
        <v>269</v>
      </c>
      <c r="B44" s="21">
        <v>556105000</v>
      </c>
      <c r="C44" s="26">
        <v>0.215</v>
      </c>
    </row>
    <row r="45" spans="1:13" x14ac:dyDescent="0.35">
      <c r="A45" s="4" t="s">
        <v>270</v>
      </c>
      <c r="B45" s="21">
        <v>361541000</v>
      </c>
      <c r="C45" s="27">
        <v>0.185</v>
      </c>
    </row>
    <row r="46" spans="1:13" ht="16" thickBot="1" x14ac:dyDescent="0.4">
      <c r="A46" s="16" t="s">
        <v>271</v>
      </c>
      <c r="B46" s="28">
        <v>126815000</v>
      </c>
      <c r="C46" s="29">
        <v>0.25</v>
      </c>
    </row>
    <row r="48" spans="1:13" ht="16" thickBot="1" x14ac:dyDescent="0.4"/>
    <row r="49" spans="1:25" x14ac:dyDescent="0.35">
      <c r="A49" s="9"/>
      <c r="B49" s="155" t="s">
        <v>260</v>
      </c>
      <c r="C49" s="155" t="s">
        <v>261</v>
      </c>
      <c r="D49" s="155" t="s">
        <v>262</v>
      </c>
      <c r="E49" s="155" t="s">
        <v>263</v>
      </c>
      <c r="F49" s="155" t="s">
        <v>264</v>
      </c>
      <c r="G49" s="155" t="s">
        <v>265</v>
      </c>
      <c r="H49" s="155" t="s">
        <v>266</v>
      </c>
      <c r="I49" s="156" t="s">
        <v>267</v>
      </c>
      <c r="J49" s="156" t="s">
        <v>268</v>
      </c>
      <c r="K49" s="155" t="s">
        <v>269</v>
      </c>
      <c r="L49" s="155" t="s">
        <v>270</v>
      </c>
      <c r="M49" s="155" t="s">
        <v>271</v>
      </c>
      <c r="N49" s="157" t="s">
        <v>221</v>
      </c>
      <c r="O49" s="30"/>
    </row>
    <row r="50" spans="1:25" x14ac:dyDescent="0.35">
      <c r="A50" s="4" t="s">
        <v>274</v>
      </c>
      <c r="B50" s="31">
        <v>0</v>
      </c>
      <c r="C50" s="31">
        <v>0.125</v>
      </c>
      <c r="D50" s="31">
        <v>0.27500000000000002</v>
      </c>
      <c r="E50" s="31">
        <v>0.125</v>
      </c>
      <c r="F50" s="31">
        <v>0.125</v>
      </c>
      <c r="G50" s="32">
        <v>0.1</v>
      </c>
      <c r="H50" s="33">
        <v>0.215</v>
      </c>
      <c r="I50" s="31">
        <v>0.185</v>
      </c>
      <c r="J50" s="32">
        <v>0.15</v>
      </c>
      <c r="K50" s="33">
        <v>0.215</v>
      </c>
      <c r="L50" s="34">
        <v>0.185</v>
      </c>
      <c r="M50" s="32">
        <v>0.25</v>
      </c>
      <c r="N50" s="8"/>
    </row>
    <row r="51" spans="1:25" x14ac:dyDescent="0.35">
      <c r="A51" s="4" t="s">
        <v>275</v>
      </c>
      <c r="B51" s="30" t="s">
        <v>276</v>
      </c>
      <c r="C51" s="30" t="s">
        <v>277</v>
      </c>
      <c r="D51" s="30" t="s">
        <v>278</v>
      </c>
      <c r="E51" s="30" t="s">
        <v>277</v>
      </c>
      <c r="F51" s="30" t="s">
        <v>277</v>
      </c>
      <c r="G51" s="30" t="s">
        <v>277</v>
      </c>
      <c r="H51" s="30" t="s">
        <v>279</v>
      </c>
      <c r="I51" s="30" t="s">
        <v>280</v>
      </c>
      <c r="J51" s="30" t="s">
        <v>277</v>
      </c>
      <c r="K51" s="30" t="s">
        <v>278</v>
      </c>
      <c r="L51" s="30" t="s">
        <v>277</v>
      </c>
      <c r="M51" s="30" t="s">
        <v>278</v>
      </c>
      <c r="N51" s="8"/>
    </row>
    <row r="52" spans="1:25" ht="16" thickBot="1" x14ac:dyDescent="0.4">
      <c r="A52" s="16" t="s">
        <v>281</v>
      </c>
      <c r="B52" s="32">
        <v>0.1</v>
      </c>
      <c r="C52" s="32">
        <v>0.1</v>
      </c>
      <c r="D52" s="32">
        <v>0.1</v>
      </c>
      <c r="E52" s="32">
        <v>0.1</v>
      </c>
      <c r="F52" s="32">
        <v>0.1</v>
      </c>
      <c r="G52" s="32">
        <v>0.1</v>
      </c>
      <c r="H52" s="32">
        <v>0.1</v>
      </c>
      <c r="I52" s="32">
        <v>0.1</v>
      </c>
      <c r="J52" s="32">
        <v>0.1</v>
      </c>
      <c r="K52" s="32">
        <v>0.1</v>
      </c>
      <c r="L52" s="32">
        <v>0.1</v>
      </c>
      <c r="M52" s="32">
        <v>0.1</v>
      </c>
      <c r="N52" s="35"/>
    </row>
    <row r="53" spans="1:25" x14ac:dyDescent="0.35">
      <c r="A53" s="36">
        <v>45078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1"/>
    </row>
    <row r="54" spans="1:25" x14ac:dyDescent="0.35">
      <c r="A54" s="37" t="s">
        <v>282</v>
      </c>
      <c r="N54" s="8"/>
    </row>
    <row r="55" spans="1:25" x14ac:dyDescent="0.35">
      <c r="A55" s="4" t="s">
        <v>288</v>
      </c>
      <c r="B55" s="38">
        <f>B58-B57-B56</f>
        <v>20328000000</v>
      </c>
      <c r="C55" s="38">
        <f>C58-C57-C56+C63</f>
        <v>17173000</v>
      </c>
      <c r="D55" s="38">
        <f t="shared" ref="D55:L55" si="2">D58-D57-D56+D63</f>
        <v>5183133000</v>
      </c>
      <c r="E55" s="38">
        <f t="shared" si="2"/>
        <v>803520000</v>
      </c>
      <c r="F55" s="38">
        <f t="shared" si="2"/>
        <v>689040000</v>
      </c>
      <c r="G55" s="38">
        <f t="shared" si="2"/>
        <v>267417000</v>
      </c>
      <c r="H55" s="38">
        <f t="shared" si="2"/>
        <v>398145000</v>
      </c>
      <c r="I55" s="38">
        <f t="shared" si="2"/>
        <v>79890000</v>
      </c>
      <c r="J55" s="38">
        <f t="shared" si="2"/>
        <v>10662000</v>
      </c>
      <c r="K55" s="38">
        <f t="shared" si="2"/>
        <v>75783000</v>
      </c>
      <c r="L55" s="38">
        <f t="shared" si="2"/>
        <v>170805000</v>
      </c>
      <c r="M55" s="38">
        <f>M58-M57-M56+M63</f>
        <v>51430000</v>
      </c>
      <c r="N55" s="39">
        <f>SUM(B55:M55)</f>
        <v>28074998000</v>
      </c>
      <c r="O55" s="643"/>
      <c r="P55" s="643"/>
      <c r="Q55" s="643"/>
      <c r="R55" s="643"/>
      <c r="S55" s="643"/>
      <c r="T55" s="643"/>
      <c r="U55" s="643"/>
      <c r="V55" s="643"/>
      <c r="W55" s="643"/>
      <c r="X55" s="643"/>
      <c r="Y55" s="643"/>
    </row>
    <row r="56" spans="1:25" x14ac:dyDescent="0.35">
      <c r="A56" s="4" t="s">
        <v>283</v>
      </c>
      <c r="B56" s="38">
        <v>0</v>
      </c>
      <c r="C56" s="40">
        <v>9711000</v>
      </c>
      <c r="D56" s="40">
        <v>219518000</v>
      </c>
      <c r="E56" s="40">
        <v>25842000</v>
      </c>
      <c r="F56" s="40">
        <v>32514000</v>
      </c>
      <c r="G56" s="40">
        <v>0</v>
      </c>
      <c r="H56" s="40">
        <v>5150000</v>
      </c>
      <c r="I56" s="40">
        <v>0</v>
      </c>
      <c r="J56" s="40">
        <v>0</v>
      </c>
      <c r="K56" s="40">
        <v>44995000</v>
      </c>
      <c r="L56" s="40">
        <v>28013000</v>
      </c>
      <c r="M56" s="40">
        <v>98148000</v>
      </c>
      <c r="N56" s="39">
        <f t="shared" ref="N56:N118" si="3">SUM(B56:M56)</f>
        <v>463891000</v>
      </c>
    </row>
    <row r="57" spans="1:25" x14ac:dyDescent="0.35">
      <c r="A57" s="4" t="s">
        <v>284</v>
      </c>
      <c r="B57" s="41">
        <v>0</v>
      </c>
      <c r="C57" s="41">
        <v>0</v>
      </c>
      <c r="D57" s="41">
        <v>0</v>
      </c>
      <c r="E57" s="41">
        <v>0</v>
      </c>
      <c r="F57" s="41">
        <v>0</v>
      </c>
      <c r="G57" s="40">
        <v>-4848000</v>
      </c>
      <c r="H57" s="40">
        <v>0</v>
      </c>
      <c r="I57" s="40">
        <v>0</v>
      </c>
      <c r="J57" s="40">
        <v>0</v>
      </c>
      <c r="K57" s="40">
        <v>-2000</v>
      </c>
      <c r="L57" s="40">
        <v>0</v>
      </c>
      <c r="M57" s="40">
        <v>-3558000</v>
      </c>
      <c r="N57" s="39">
        <f t="shared" si="3"/>
        <v>-8408000</v>
      </c>
    </row>
    <row r="58" spans="1:25" x14ac:dyDescent="0.35">
      <c r="A58" s="4" t="s">
        <v>289</v>
      </c>
      <c r="B58" s="38">
        <f>F6</f>
        <v>20328000000</v>
      </c>
      <c r="C58" s="38">
        <f>F7</f>
        <v>22528000</v>
      </c>
      <c r="D58" s="38">
        <f>$F8</f>
        <v>4797255000</v>
      </c>
      <c r="E58" s="38">
        <f>$F9</f>
        <v>667613000</v>
      </c>
      <c r="F58" s="38">
        <f>$F10</f>
        <v>591425000</v>
      </c>
      <c r="G58" s="38">
        <f>$F11</f>
        <v>219736000</v>
      </c>
      <c r="H58" s="38">
        <f>$F12</f>
        <v>370726000</v>
      </c>
      <c r="I58" s="38">
        <f>$F13</f>
        <v>0</v>
      </c>
      <c r="J58" s="38">
        <f>$F14</f>
        <v>7939000</v>
      </c>
      <c r="K58" s="38">
        <f>$F15</f>
        <v>96575000</v>
      </c>
      <c r="L58" s="38">
        <f>$F16</f>
        <v>170166000</v>
      </c>
      <c r="M58" s="38">
        <f>$F17</f>
        <v>120494000</v>
      </c>
      <c r="N58" s="39">
        <f t="shared" si="3"/>
        <v>27392457000</v>
      </c>
    </row>
    <row r="59" spans="1:25" x14ac:dyDescent="0.35">
      <c r="A59" s="4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39"/>
    </row>
    <row r="60" spans="1:25" x14ac:dyDescent="0.35">
      <c r="A60" s="37" t="s">
        <v>285</v>
      </c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39"/>
    </row>
    <row r="61" spans="1:25" x14ac:dyDescent="0.35">
      <c r="A61" s="4" t="s">
        <v>288</v>
      </c>
      <c r="B61" s="41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39"/>
    </row>
    <row r="62" spans="1:25" x14ac:dyDescent="0.35">
      <c r="A62" s="4" t="s">
        <v>286</v>
      </c>
      <c r="B62" s="41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39"/>
    </row>
    <row r="63" spans="1:25" x14ac:dyDescent="0.35">
      <c r="A63" s="4" t="s">
        <v>289</v>
      </c>
      <c r="B63" s="38">
        <v>0</v>
      </c>
      <c r="C63" s="38">
        <v>4356000</v>
      </c>
      <c r="D63" s="38">
        <v>605396000</v>
      </c>
      <c r="E63" s="38">
        <v>161749000</v>
      </c>
      <c r="F63" s="38">
        <v>130129000</v>
      </c>
      <c r="G63" s="38">
        <v>42833000</v>
      </c>
      <c r="H63" s="38">
        <v>32569000</v>
      </c>
      <c r="I63" s="38">
        <v>79890000</v>
      </c>
      <c r="J63" s="38">
        <v>2723000</v>
      </c>
      <c r="K63" s="38">
        <v>24201000</v>
      </c>
      <c r="L63" s="38">
        <v>28652000</v>
      </c>
      <c r="M63" s="38">
        <v>25526000</v>
      </c>
      <c r="N63" s="39">
        <f>SUM(B63:M63)</f>
        <v>1138024000</v>
      </c>
    </row>
    <row r="64" spans="1:25" x14ac:dyDescent="0.35">
      <c r="A64" s="4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39"/>
    </row>
    <row r="65" spans="1:14" ht="16" thickBot="1" x14ac:dyDescent="0.4">
      <c r="A65" s="42" t="s">
        <v>290</v>
      </c>
      <c r="B65" s="43">
        <f>B58-B63</f>
        <v>20328000000</v>
      </c>
      <c r="C65" s="43">
        <f>C58-C63+C63</f>
        <v>22528000</v>
      </c>
      <c r="D65" s="43">
        <f t="shared" ref="D65:M65" si="4">D58-D63+D63</f>
        <v>4797255000</v>
      </c>
      <c r="E65" s="43">
        <f t="shared" si="4"/>
        <v>667613000</v>
      </c>
      <c r="F65" s="43">
        <f t="shared" si="4"/>
        <v>591425000</v>
      </c>
      <c r="G65" s="43">
        <f t="shared" si="4"/>
        <v>219736000</v>
      </c>
      <c r="H65" s="43">
        <f t="shared" si="4"/>
        <v>370726000</v>
      </c>
      <c r="I65" s="43">
        <f t="shared" si="4"/>
        <v>0</v>
      </c>
      <c r="J65" s="43">
        <f t="shared" si="4"/>
        <v>7939000</v>
      </c>
      <c r="K65" s="43">
        <f t="shared" si="4"/>
        <v>96575000</v>
      </c>
      <c r="L65" s="43">
        <f t="shared" si="4"/>
        <v>170166000</v>
      </c>
      <c r="M65" s="43">
        <f t="shared" si="4"/>
        <v>120494000</v>
      </c>
      <c r="N65" s="44">
        <f t="shared" si="3"/>
        <v>27392457000</v>
      </c>
    </row>
    <row r="66" spans="1:14" x14ac:dyDescent="0.35">
      <c r="A66" s="36">
        <v>45444</v>
      </c>
      <c r="B66" s="45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7"/>
    </row>
    <row r="67" spans="1:14" x14ac:dyDescent="0.35">
      <c r="A67" s="37" t="s">
        <v>282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39"/>
    </row>
    <row r="68" spans="1:14" x14ac:dyDescent="0.35">
      <c r="A68" s="4" t="s">
        <v>289</v>
      </c>
      <c r="B68" s="48">
        <f>B58</f>
        <v>20328000000</v>
      </c>
      <c r="C68" s="48">
        <f t="shared" ref="C68:M68" si="5">C58</f>
        <v>22528000</v>
      </c>
      <c r="D68" s="48">
        <f t="shared" si="5"/>
        <v>4797255000</v>
      </c>
      <c r="E68" s="48">
        <f t="shared" si="5"/>
        <v>667613000</v>
      </c>
      <c r="F68" s="48">
        <f t="shared" si="5"/>
        <v>591425000</v>
      </c>
      <c r="G68" s="48">
        <f t="shared" si="5"/>
        <v>219736000</v>
      </c>
      <c r="H68" s="48">
        <f t="shared" si="5"/>
        <v>370726000</v>
      </c>
      <c r="I68" s="48">
        <f t="shared" si="5"/>
        <v>0</v>
      </c>
      <c r="J68" s="48">
        <f t="shared" si="5"/>
        <v>7939000</v>
      </c>
      <c r="K68" s="48">
        <f t="shared" si="5"/>
        <v>96575000</v>
      </c>
      <c r="L68" s="48">
        <f t="shared" si="5"/>
        <v>170166000</v>
      </c>
      <c r="M68" s="48">
        <f t="shared" si="5"/>
        <v>120494000</v>
      </c>
      <c r="N68" s="39">
        <f t="shared" si="3"/>
        <v>27392457000</v>
      </c>
    </row>
    <row r="69" spans="1:14" x14ac:dyDescent="0.35">
      <c r="A69" s="4" t="s">
        <v>287</v>
      </c>
      <c r="B69" s="5">
        <f>B68*B52</f>
        <v>2032800000</v>
      </c>
      <c r="C69" s="5">
        <f t="shared" ref="C69:M69" si="6">C68*C52</f>
        <v>2252800</v>
      </c>
      <c r="D69" s="5">
        <f t="shared" si="6"/>
        <v>479725500</v>
      </c>
      <c r="E69" s="5">
        <f t="shared" si="6"/>
        <v>66761300</v>
      </c>
      <c r="F69" s="5">
        <f t="shared" si="6"/>
        <v>59142500</v>
      </c>
      <c r="G69" s="5">
        <f t="shared" si="6"/>
        <v>21973600</v>
      </c>
      <c r="H69" s="5">
        <f t="shared" si="6"/>
        <v>37072600</v>
      </c>
      <c r="I69" s="5">
        <f t="shared" si="6"/>
        <v>0</v>
      </c>
      <c r="J69" s="5">
        <f t="shared" si="6"/>
        <v>793900</v>
      </c>
      <c r="K69" s="5">
        <f t="shared" si="6"/>
        <v>9657500</v>
      </c>
      <c r="L69" s="5">
        <f t="shared" si="6"/>
        <v>17016600</v>
      </c>
      <c r="M69" s="5">
        <f t="shared" si="6"/>
        <v>12049400</v>
      </c>
      <c r="N69" s="39">
        <f t="shared" si="3"/>
        <v>2739245700</v>
      </c>
    </row>
    <row r="70" spans="1:14" x14ac:dyDescent="0.35">
      <c r="A70" s="4" t="s">
        <v>291</v>
      </c>
      <c r="B70" s="5">
        <f>B68+B69</f>
        <v>22360800000</v>
      </c>
      <c r="C70" s="5">
        <f t="shared" ref="C70:M70" si="7">C68+C69</f>
        <v>24780800</v>
      </c>
      <c r="D70" s="5">
        <f t="shared" si="7"/>
        <v>5276980500</v>
      </c>
      <c r="E70" s="5">
        <f t="shared" si="7"/>
        <v>734374300</v>
      </c>
      <c r="F70" s="5">
        <f t="shared" si="7"/>
        <v>650567500</v>
      </c>
      <c r="G70" s="5">
        <f t="shared" si="7"/>
        <v>241709600</v>
      </c>
      <c r="H70" s="5">
        <f t="shared" si="7"/>
        <v>407798600</v>
      </c>
      <c r="I70" s="5">
        <f t="shared" si="7"/>
        <v>0</v>
      </c>
      <c r="J70" s="5">
        <f t="shared" si="7"/>
        <v>8732900</v>
      </c>
      <c r="K70" s="5">
        <f t="shared" si="7"/>
        <v>106232500</v>
      </c>
      <c r="L70" s="5">
        <f t="shared" si="7"/>
        <v>187182600</v>
      </c>
      <c r="M70" s="5">
        <f t="shared" si="7"/>
        <v>132543400</v>
      </c>
      <c r="N70" s="39">
        <f t="shared" si="3"/>
        <v>30131702700</v>
      </c>
    </row>
    <row r="71" spans="1:14" x14ac:dyDescent="0.35">
      <c r="A71" s="4"/>
      <c r="B71" s="49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39"/>
    </row>
    <row r="72" spans="1:14" x14ac:dyDescent="0.35">
      <c r="A72" s="37" t="s">
        <v>285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39"/>
    </row>
    <row r="73" spans="1:14" x14ac:dyDescent="0.35">
      <c r="A73" s="4" t="s">
        <v>289</v>
      </c>
      <c r="B73" s="48">
        <v>0</v>
      </c>
      <c r="C73" s="5">
        <f>C63</f>
        <v>4356000</v>
      </c>
      <c r="D73" s="5">
        <f t="shared" ref="D73:M73" si="8">D63</f>
        <v>605396000</v>
      </c>
      <c r="E73" s="5">
        <f t="shared" si="8"/>
        <v>161749000</v>
      </c>
      <c r="F73" s="5">
        <f t="shared" si="8"/>
        <v>130129000</v>
      </c>
      <c r="G73" s="5">
        <f t="shared" si="8"/>
        <v>42833000</v>
      </c>
      <c r="H73" s="5">
        <f t="shared" si="8"/>
        <v>32569000</v>
      </c>
      <c r="I73" s="5">
        <f t="shared" si="8"/>
        <v>79890000</v>
      </c>
      <c r="J73" s="5">
        <f t="shared" si="8"/>
        <v>2723000</v>
      </c>
      <c r="K73" s="5">
        <f t="shared" si="8"/>
        <v>24201000</v>
      </c>
      <c r="L73" s="5">
        <f t="shared" si="8"/>
        <v>28652000</v>
      </c>
      <c r="M73" s="5">
        <f t="shared" si="8"/>
        <v>25526000</v>
      </c>
      <c r="N73" s="39">
        <f t="shared" si="3"/>
        <v>1138024000</v>
      </c>
    </row>
    <row r="74" spans="1:14" x14ac:dyDescent="0.35">
      <c r="A74" s="4" t="s">
        <v>286</v>
      </c>
      <c r="B74" s="5">
        <v>0</v>
      </c>
      <c r="C74" s="5">
        <f>C70*C50</f>
        <v>3097600</v>
      </c>
      <c r="D74" s="5">
        <f>(D70-D73)*D50</f>
        <v>1284685737.5</v>
      </c>
      <c r="E74" s="5">
        <f>E70*E50</f>
        <v>91796787.5</v>
      </c>
      <c r="F74" s="5">
        <f>F70*F50</f>
        <v>81320937.5</v>
      </c>
      <c r="G74" s="5">
        <f>G70*G50</f>
        <v>24170960</v>
      </c>
      <c r="H74" s="5">
        <f>(H70-H73)*H50</f>
        <v>80674364</v>
      </c>
      <c r="I74" s="5">
        <f>I70*I50</f>
        <v>0</v>
      </c>
      <c r="J74" s="5">
        <f>J70*J50</f>
        <v>1309935</v>
      </c>
      <c r="K74" s="5">
        <f>(K70-K73)*K50</f>
        <v>17636772.5</v>
      </c>
      <c r="L74" s="5">
        <f>L70*L50</f>
        <v>34628781</v>
      </c>
      <c r="M74" s="5">
        <f>(M70-M73)*M50</f>
        <v>26754350</v>
      </c>
      <c r="N74" s="39">
        <f t="shared" si="3"/>
        <v>1646076225</v>
      </c>
    </row>
    <row r="75" spans="1:14" x14ac:dyDescent="0.35">
      <c r="A75" s="4" t="s">
        <v>291</v>
      </c>
      <c r="B75" s="48">
        <v>0</v>
      </c>
      <c r="C75" s="5">
        <f>SUM(C73:C74)</f>
        <v>7453600</v>
      </c>
      <c r="D75" s="5">
        <f>D74+D73</f>
        <v>1890081737.5</v>
      </c>
      <c r="E75" s="5">
        <f>E74+E73</f>
        <v>253545787.5</v>
      </c>
      <c r="F75" s="5">
        <f>F74+F73</f>
        <v>211449937.5</v>
      </c>
      <c r="G75" s="5">
        <f>G74+G73</f>
        <v>67003960</v>
      </c>
      <c r="H75" s="5">
        <f t="shared" ref="H75:M75" si="9">H74+H73</f>
        <v>113243364</v>
      </c>
      <c r="I75" s="5">
        <f t="shared" si="9"/>
        <v>79890000</v>
      </c>
      <c r="J75" s="5">
        <f t="shared" si="9"/>
        <v>4032935</v>
      </c>
      <c r="K75" s="5">
        <f t="shared" si="9"/>
        <v>41837772.5</v>
      </c>
      <c r="L75" s="5">
        <f t="shared" si="9"/>
        <v>63280781</v>
      </c>
      <c r="M75" s="5">
        <f t="shared" si="9"/>
        <v>52280350</v>
      </c>
      <c r="N75" s="39">
        <f t="shared" si="3"/>
        <v>2784100225</v>
      </c>
    </row>
    <row r="76" spans="1:14" x14ac:dyDescent="0.35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39"/>
    </row>
    <row r="77" spans="1:14" ht="16" thickBot="1" x14ac:dyDescent="0.4">
      <c r="A77" s="42" t="s">
        <v>292</v>
      </c>
      <c r="B77" s="50">
        <f>B70-B75</f>
        <v>22360800000</v>
      </c>
      <c r="C77" s="50">
        <f>C70-C75</f>
        <v>17327200</v>
      </c>
      <c r="D77" s="50">
        <f t="shared" ref="D77:M77" si="10">D70-D75</f>
        <v>3386898762.5</v>
      </c>
      <c r="E77" s="50">
        <f t="shared" si="10"/>
        <v>480828512.5</v>
      </c>
      <c r="F77" s="50">
        <f t="shared" si="10"/>
        <v>439117562.5</v>
      </c>
      <c r="G77" s="50">
        <f t="shared" si="10"/>
        <v>174705640</v>
      </c>
      <c r="H77" s="50">
        <f t="shared" si="10"/>
        <v>294555236</v>
      </c>
      <c r="I77" s="50">
        <f t="shared" si="10"/>
        <v>-79890000</v>
      </c>
      <c r="J77" s="50">
        <f t="shared" si="10"/>
        <v>4699965</v>
      </c>
      <c r="K77" s="50">
        <f t="shared" si="10"/>
        <v>64394727.5</v>
      </c>
      <c r="L77" s="50">
        <f t="shared" si="10"/>
        <v>123901819</v>
      </c>
      <c r="M77" s="50">
        <f t="shared" si="10"/>
        <v>80263050</v>
      </c>
      <c r="N77" s="44">
        <f t="shared" si="3"/>
        <v>27347602475</v>
      </c>
    </row>
    <row r="78" spans="1:14" x14ac:dyDescent="0.35">
      <c r="A78" s="36">
        <v>45809</v>
      </c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7"/>
    </row>
    <row r="79" spans="1:14" x14ac:dyDescent="0.35">
      <c r="A79" s="37" t="s">
        <v>282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39"/>
    </row>
    <row r="80" spans="1:14" x14ac:dyDescent="0.35">
      <c r="A80" s="4" t="s">
        <v>291</v>
      </c>
      <c r="B80" s="5">
        <f>B70</f>
        <v>22360800000</v>
      </c>
      <c r="C80" s="5">
        <f t="shared" ref="C80:M80" si="11">C70</f>
        <v>24780800</v>
      </c>
      <c r="D80" s="5">
        <f t="shared" si="11"/>
        <v>5276980500</v>
      </c>
      <c r="E80" s="5">
        <f t="shared" si="11"/>
        <v>734374300</v>
      </c>
      <c r="F80" s="5">
        <f t="shared" si="11"/>
        <v>650567500</v>
      </c>
      <c r="G80" s="5">
        <f t="shared" si="11"/>
        <v>241709600</v>
      </c>
      <c r="H80" s="5">
        <f t="shared" si="11"/>
        <v>407798600</v>
      </c>
      <c r="I80" s="5">
        <f t="shared" si="11"/>
        <v>0</v>
      </c>
      <c r="J80" s="5">
        <f t="shared" si="11"/>
        <v>8732900</v>
      </c>
      <c r="K80" s="5">
        <f t="shared" si="11"/>
        <v>106232500</v>
      </c>
      <c r="L80" s="5">
        <f t="shared" si="11"/>
        <v>187182600</v>
      </c>
      <c r="M80" s="5">
        <f t="shared" si="11"/>
        <v>132543400</v>
      </c>
      <c r="N80" s="39">
        <f t="shared" si="3"/>
        <v>30131702700</v>
      </c>
    </row>
    <row r="81" spans="1:14" x14ac:dyDescent="0.35">
      <c r="A81" s="4" t="s">
        <v>287</v>
      </c>
      <c r="B81" s="5">
        <f>B80*B52</f>
        <v>2236080000</v>
      </c>
      <c r="C81" s="5">
        <f t="shared" ref="C81:M81" si="12">C80*C52</f>
        <v>2478080</v>
      </c>
      <c r="D81" s="5">
        <f t="shared" si="12"/>
        <v>527698050</v>
      </c>
      <c r="E81" s="5">
        <f t="shared" si="12"/>
        <v>73437430</v>
      </c>
      <c r="F81" s="5">
        <f t="shared" si="12"/>
        <v>65056750</v>
      </c>
      <c r="G81" s="5">
        <f t="shared" si="12"/>
        <v>24170960</v>
      </c>
      <c r="H81" s="5">
        <f t="shared" si="12"/>
        <v>40779860</v>
      </c>
      <c r="I81" s="5">
        <f t="shared" si="12"/>
        <v>0</v>
      </c>
      <c r="J81" s="5">
        <f t="shared" si="12"/>
        <v>873290</v>
      </c>
      <c r="K81" s="5">
        <f t="shared" si="12"/>
        <v>10623250</v>
      </c>
      <c r="L81" s="5">
        <f t="shared" si="12"/>
        <v>18718260</v>
      </c>
      <c r="M81" s="5">
        <f t="shared" si="12"/>
        <v>13254340</v>
      </c>
      <c r="N81" s="39">
        <f t="shared" si="3"/>
        <v>3013170270</v>
      </c>
    </row>
    <row r="82" spans="1:14" x14ac:dyDescent="0.35">
      <c r="A82" s="4" t="s">
        <v>293</v>
      </c>
      <c r="B82" s="5">
        <f>B81+B80</f>
        <v>24596880000</v>
      </c>
      <c r="C82" s="5">
        <f t="shared" ref="C82:M82" si="13">C81+C80</f>
        <v>27258880</v>
      </c>
      <c r="D82" s="5">
        <f t="shared" si="13"/>
        <v>5804678550</v>
      </c>
      <c r="E82" s="5">
        <f t="shared" si="13"/>
        <v>807811730</v>
      </c>
      <c r="F82" s="5">
        <f t="shared" si="13"/>
        <v>715624250</v>
      </c>
      <c r="G82" s="5">
        <f t="shared" si="13"/>
        <v>265880560</v>
      </c>
      <c r="H82" s="5">
        <f t="shared" si="13"/>
        <v>448578460</v>
      </c>
      <c r="I82" s="5">
        <f t="shared" si="13"/>
        <v>0</v>
      </c>
      <c r="J82" s="5">
        <f t="shared" si="13"/>
        <v>9606190</v>
      </c>
      <c r="K82" s="5">
        <f t="shared" si="13"/>
        <v>116855750</v>
      </c>
      <c r="L82" s="5">
        <f t="shared" si="13"/>
        <v>205900860</v>
      </c>
      <c r="M82" s="5">
        <f t="shared" si="13"/>
        <v>145797740</v>
      </c>
      <c r="N82" s="39">
        <f t="shared" si="3"/>
        <v>33144872970</v>
      </c>
    </row>
    <row r="83" spans="1:14" x14ac:dyDescent="0.35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39"/>
    </row>
    <row r="84" spans="1:14" x14ac:dyDescent="0.35">
      <c r="A84" s="37" t="s">
        <v>285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39"/>
    </row>
    <row r="85" spans="1:14" x14ac:dyDescent="0.35">
      <c r="A85" s="4" t="s">
        <v>291</v>
      </c>
      <c r="B85" s="5"/>
      <c r="C85" s="5">
        <f>C75</f>
        <v>7453600</v>
      </c>
      <c r="D85" s="5">
        <f t="shared" ref="D85:M85" si="14">D75</f>
        <v>1890081737.5</v>
      </c>
      <c r="E85" s="5">
        <f t="shared" si="14"/>
        <v>253545787.5</v>
      </c>
      <c r="F85" s="5">
        <f t="shared" si="14"/>
        <v>211449937.5</v>
      </c>
      <c r="G85" s="5">
        <f t="shared" si="14"/>
        <v>67003960</v>
      </c>
      <c r="H85" s="5">
        <f t="shared" si="14"/>
        <v>113243364</v>
      </c>
      <c r="I85" s="5">
        <f t="shared" si="14"/>
        <v>79890000</v>
      </c>
      <c r="J85" s="5">
        <f t="shared" si="14"/>
        <v>4032935</v>
      </c>
      <c r="K85" s="5">
        <f t="shared" si="14"/>
        <v>41837772.5</v>
      </c>
      <c r="L85" s="5">
        <f t="shared" si="14"/>
        <v>63280781</v>
      </c>
      <c r="M85" s="5">
        <f t="shared" si="14"/>
        <v>52280350</v>
      </c>
      <c r="N85" s="39">
        <f t="shared" si="3"/>
        <v>2784100225</v>
      </c>
    </row>
    <row r="86" spans="1:14" x14ac:dyDescent="0.35">
      <c r="A86" s="4" t="s">
        <v>286</v>
      </c>
      <c r="B86" s="5"/>
      <c r="C86" s="5">
        <f>C82*C50</f>
        <v>3407360</v>
      </c>
      <c r="D86" s="5">
        <f>(D82-D85)*D50</f>
        <v>1076514123.4375</v>
      </c>
      <c r="E86" s="5">
        <f>E82*E50</f>
        <v>100976466.25</v>
      </c>
      <c r="F86" s="5">
        <f t="shared" ref="F86:G86" si="15">F82*F50</f>
        <v>89453031.25</v>
      </c>
      <c r="G86" s="5">
        <f t="shared" si="15"/>
        <v>26588056</v>
      </c>
      <c r="H86" s="5">
        <f>(H82-H85)*H50</f>
        <v>72097045.640000001</v>
      </c>
      <c r="I86" s="5">
        <f>I82*I50</f>
        <v>0</v>
      </c>
      <c r="J86" s="5">
        <f>J82*J50</f>
        <v>1440928.5</v>
      </c>
      <c r="K86" s="5">
        <f>(K82-K85)*K50</f>
        <v>16128865.1625</v>
      </c>
      <c r="L86" s="5">
        <f>L82*L50</f>
        <v>38091659.100000001</v>
      </c>
      <c r="M86" s="5">
        <f>(M82-M85)*M50</f>
        <v>23379347.5</v>
      </c>
      <c r="N86" s="39">
        <f t="shared" si="3"/>
        <v>1448076882.8399999</v>
      </c>
    </row>
    <row r="87" spans="1:14" x14ac:dyDescent="0.35">
      <c r="A87" s="4" t="s">
        <v>293</v>
      </c>
      <c r="B87" s="5"/>
      <c r="C87" s="5">
        <f>C85+C86</f>
        <v>10860960</v>
      </c>
      <c r="D87" s="5">
        <f t="shared" ref="D87:M87" si="16">D85+D86</f>
        <v>2966595860.9375</v>
      </c>
      <c r="E87" s="5">
        <f t="shared" si="16"/>
        <v>354522253.75</v>
      </c>
      <c r="F87" s="5">
        <f t="shared" si="16"/>
        <v>300902968.75</v>
      </c>
      <c r="G87" s="5">
        <f t="shared" si="16"/>
        <v>93592016</v>
      </c>
      <c r="H87" s="5">
        <f t="shared" si="16"/>
        <v>185340409.63999999</v>
      </c>
      <c r="I87" s="5">
        <f t="shared" si="16"/>
        <v>79890000</v>
      </c>
      <c r="J87" s="5">
        <f t="shared" si="16"/>
        <v>5473863.5</v>
      </c>
      <c r="K87" s="5">
        <f t="shared" si="16"/>
        <v>57966637.662500001</v>
      </c>
      <c r="L87" s="5">
        <f t="shared" si="16"/>
        <v>101372440.09999999</v>
      </c>
      <c r="M87" s="5">
        <f t="shared" si="16"/>
        <v>75659697.5</v>
      </c>
      <c r="N87" s="39">
        <f t="shared" si="3"/>
        <v>4232177107.8399997</v>
      </c>
    </row>
    <row r="88" spans="1:14" x14ac:dyDescent="0.35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39"/>
    </row>
    <row r="89" spans="1:14" ht="16" thickBot="1" x14ac:dyDescent="0.4">
      <c r="A89" s="51" t="s">
        <v>294</v>
      </c>
      <c r="B89" s="5">
        <f>B82-B87</f>
        <v>24596880000</v>
      </c>
      <c r="C89" s="5">
        <f t="shared" ref="C89:M89" si="17">C82-C87</f>
        <v>16397920</v>
      </c>
      <c r="D89" s="5">
        <f t="shared" si="17"/>
        <v>2838082689.0625</v>
      </c>
      <c r="E89" s="5">
        <f t="shared" si="17"/>
        <v>453289476.25</v>
      </c>
      <c r="F89" s="5">
        <f t="shared" si="17"/>
        <v>414721281.25</v>
      </c>
      <c r="G89" s="5">
        <f t="shared" si="17"/>
        <v>172288544</v>
      </c>
      <c r="H89" s="5">
        <f t="shared" si="17"/>
        <v>263238050.36000001</v>
      </c>
      <c r="I89" s="5">
        <f t="shared" si="17"/>
        <v>-79890000</v>
      </c>
      <c r="J89" s="5">
        <f t="shared" si="17"/>
        <v>4132326.5</v>
      </c>
      <c r="K89" s="5">
        <f t="shared" si="17"/>
        <v>58889112.337499999</v>
      </c>
      <c r="L89" s="5">
        <f t="shared" si="17"/>
        <v>104528419.90000001</v>
      </c>
      <c r="M89" s="5">
        <f t="shared" si="17"/>
        <v>70138042.5</v>
      </c>
      <c r="N89" s="39">
        <f t="shared" si="3"/>
        <v>28912695862.160004</v>
      </c>
    </row>
    <row r="90" spans="1:14" x14ac:dyDescent="0.35">
      <c r="A90" s="36">
        <v>46174</v>
      </c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7"/>
    </row>
    <row r="91" spans="1:14" x14ac:dyDescent="0.35">
      <c r="A91" s="37" t="s">
        <v>282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39"/>
    </row>
    <row r="92" spans="1:14" x14ac:dyDescent="0.35">
      <c r="A92" s="4" t="s">
        <v>293</v>
      </c>
      <c r="B92" s="5">
        <f>B82</f>
        <v>24596880000</v>
      </c>
      <c r="C92" s="5">
        <f t="shared" ref="C92:M92" si="18">C82</f>
        <v>27258880</v>
      </c>
      <c r="D92" s="5">
        <f t="shared" si="18"/>
        <v>5804678550</v>
      </c>
      <c r="E92" s="5">
        <f t="shared" si="18"/>
        <v>807811730</v>
      </c>
      <c r="F92" s="5">
        <f t="shared" si="18"/>
        <v>715624250</v>
      </c>
      <c r="G92" s="5">
        <f t="shared" si="18"/>
        <v>265880560</v>
      </c>
      <c r="H92" s="5">
        <f t="shared" si="18"/>
        <v>448578460</v>
      </c>
      <c r="I92" s="5">
        <f t="shared" si="18"/>
        <v>0</v>
      </c>
      <c r="J92" s="5">
        <f t="shared" si="18"/>
        <v>9606190</v>
      </c>
      <c r="K92" s="5">
        <f t="shared" si="18"/>
        <v>116855750</v>
      </c>
      <c r="L92" s="5">
        <f t="shared" si="18"/>
        <v>205900860</v>
      </c>
      <c r="M92" s="5">
        <f t="shared" si="18"/>
        <v>145797740</v>
      </c>
      <c r="N92" s="39">
        <f t="shared" si="3"/>
        <v>33144872970</v>
      </c>
    </row>
    <row r="93" spans="1:14" x14ac:dyDescent="0.35">
      <c r="A93" s="4" t="s">
        <v>287</v>
      </c>
      <c r="B93" s="5">
        <f>B92*B52</f>
        <v>2459688000</v>
      </c>
      <c r="C93" s="5">
        <f t="shared" ref="C93:M93" si="19">C92*C52</f>
        <v>2725888</v>
      </c>
      <c r="D93" s="5">
        <f t="shared" si="19"/>
        <v>580467855</v>
      </c>
      <c r="E93" s="5">
        <f t="shared" si="19"/>
        <v>80781173</v>
      </c>
      <c r="F93" s="5">
        <f t="shared" si="19"/>
        <v>71562425</v>
      </c>
      <c r="G93" s="5">
        <f t="shared" si="19"/>
        <v>26588056</v>
      </c>
      <c r="H93" s="5">
        <f t="shared" si="19"/>
        <v>44857846</v>
      </c>
      <c r="I93" s="5">
        <f t="shared" si="19"/>
        <v>0</v>
      </c>
      <c r="J93" s="5">
        <f t="shared" si="19"/>
        <v>960619</v>
      </c>
      <c r="K93" s="5">
        <f t="shared" si="19"/>
        <v>11685575</v>
      </c>
      <c r="L93" s="5">
        <f t="shared" si="19"/>
        <v>20590086</v>
      </c>
      <c r="M93" s="5">
        <f t="shared" si="19"/>
        <v>14579774</v>
      </c>
      <c r="N93" s="39">
        <f t="shared" si="3"/>
        <v>3314487297</v>
      </c>
    </row>
    <row r="94" spans="1:14" x14ac:dyDescent="0.35">
      <c r="A94" s="4" t="s">
        <v>295</v>
      </c>
      <c r="B94" s="5">
        <f>B93+B92</f>
        <v>27056568000</v>
      </c>
      <c r="C94" s="5">
        <f t="shared" ref="C94:M94" si="20">C93+C92</f>
        <v>29984768</v>
      </c>
      <c r="D94" s="5">
        <f t="shared" si="20"/>
        <v>6385146405</v>
      </c>
      <c r="E94" s="5">
        <f t="shared" si="20"/>
        <v>888592903</v>
      </c>
      <c r="F94" s="5">
        <f t="shared" si="20"/>
        <v>787186675</v>
      </c>
      <c r="G94" s="5">
        <f t="shared" si="20"/>
        <v>292468616</v>
      </c>
      <c r="H94" s="5">
        <f t="shared" si="20"/>
        <v>493436306</v>
      </c>
      <c r="I94" s="5">
        <f t="shared" si="20"/>
        <v>0</v>
      </c>
      <c r="J94" s="5">
        <f t="shared" si="20"/>
        <v>10566809</v>
      </c>
      <c r="K94" s="5">
        <f t="shared" si="20"/>
        <v>128541325</v>
      </c>
      <c r="L94" s="5">
        <f t="shared" si="20"/>
        <v>226490946</v>
      </c>
      <c r="M94" s="5">
        <f t="shared" si="20"/>
        <v>160377514</v>
      </c>
      <c r="N94" s="39">
        <f t="shared" si="3"/>
        <v>36459360267</v>
      </c>
    </row>
    <row r="95" spans="1:14" x14ac:dyDescent="0.3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39"/>
    </row>
    <row r="96" spans="1:14" x14ac:dyDescent="0.35">
      <c r="A96" s="37" t="s">
        <v>285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39"/>
    </row>
    <row r="97" spans="1:14" x14ac:dyDescent="0.35">
      <c r="A97" s="4" t="s">
        <v>293</v>
      </c>
      <c r="B97" s="5"/>
      <c r="C97" s="5">
        <f>C87</f>
        <v>10860960</v>
      </c>
      <c r="D97" s="5">
        <f t="shared" ref="D97:M97" si="21">D87</f>
        <v>2966595860.9375</v>
      </c>
      <c r="E97" s="5">
        <f t="shared" si="21"/>
        <v>354522253.75</v>
      </c>
      <c r="F97" s="5">
        <f t="shared" si="21"/>
        <v>300902968.75</v>
      </c>
      <c r="G97" s="5">
        <f t="shared" si="21"/>
        <v>93592016</v>
      </c>
      <c r="H97" s="5">
        <f t="shared" si="21"/>
        <v>185340409.63999999</v>
      </c>
      <c r="I97" s="5">
        <f t="shared" si="21"/>
        <v>79890000</v>
      </c>
      <c r="J97" s="5">
        <f t="shared" si="21"/>
        <v>5473863.5</v>
      </c>
      <c r="K97" s="5">
        <f t="shared" si="21"/>
        <v>57966637.662500001</v>
      </c>
      <c r="L97" s="5">
        <f t="shared" si="21"/>
        <v>101372440.09999999</v>
      </c>
      <c r="M97" s="5">
        <f t="shared" si="21"/>
        <v>75659697.5</v>
      </c>
      <c r="N97" s="39">
        <f t="shared" si="3"/>
        <v>4232177107.8399997</v>
      </c>
    </row>
    <row r="98" spans="1:14" x14ac:dyDescent="0.35">
      <c r="A98" s="4" t="s">
        <v>286</v>
      </c>
      <c r="B98" s="5"/>
      <c r="C98" s="5">
        <f>C94*C50</f>
        <v>3748096</v>
      </c>
      <c r="D98" s="5">
        <f>(D94-D97)*D50</f>
        <v>940101399.61718762</v>
      </c>
      <c r="E98" s="5">
        <f>E94*E50</f>
        <v>111074112.875</v>
      </c>
      <c r="F98" s="5">
        <f t="shared" ref="F98:G98" si="22">F94*F50</f>
        <v>98398334.375</v>
      </c>
      <c r="G98" s="5">
        <f t="shared" si="22"/>
        <v>29246861.600000001</v>
      </c>
      <c r="H98" s="5">
        <f>(H94-H97)*H50</f>
        <v>66240617.717399999</v>
      </c>
      <c r="I98" s="5">
        <f>I94*I50</f>
        <v>0</v>
      </c>
      <c r="J98" s="5">
        <f>J94*J50</f>
        <v>1585021.3499999999</v>
      </c>
      <c r="K98" s="5">
        <f>(K94-K97)*K50</f>
        <v>15173557.777562501</v>
      </c>
      <c r="L98" s="5">
        <f>L94*L50</f>
        <v>41900825.009999998</v>
      </c>
      <c r="M98" s="5">
        <f>(M94-M97)*M50</f>
        <v>21179454.125</v>
      </c>
      <c r="N98" s="39">
        <f t="shared" si="3"/>
        <v>1328648280.44715</v>
      </c>
    </row>
    <row r="99" spans="1:14" x14ac:dyDescent="0.35">
      <c r="A99" s="4" t="s">
        <v>295</v>
      </c>
      <c r="B99" s="5"/>
      <c r="C99" s="5">
        <f>C98+C97</f>
        <v>14609056</v>
      </c>
      <c r="D99" s="5">
        <f t="shared" ref="D99:M99" si="23">D98+D97</f>
        <v>3906697260.5546875</v>
      </c>
      <c r="E99" s="5">
        <f t="shared" si="23"/>
        <v>465596366.625</v>
      </c>
      <c r="F99" s="5">
        <f t="shared" si="23"/>
        <v>399301303.125</v>
      </c>
      <c r="G99" s="5">
        <f t="shared" si="23"/>
        <v>122838877.59999999</v>
      </c>
      <c r="H99" s="5">
        <f t="shared" si="23"/>
        <v>251581027.3574</v>
      </c>
      <c r="I99" s="5">
        <f t="shared" si="23"/>
        <v>79890000</v>
      </c>
      <c r="J99" s="5">
        <f t="shared" si="23"/>
        <v>7058884.8499999996</v>
      </c>
      <c r="K99" s="5">
        <f t="shared" si="23"/>
        <v>73140195.440062508</v>
      </c>
      <c r="L99" s="5">
        <f t="shared" si="23"/>
        <v>143273265.10999998</v>
      </c>
      <c r="M99" s="5">
        <f t="shared" si="23"/>
        <v>96839151.625</v>
      </c>
      <c r="N99" s="39">
        <f t="shared" si="3"/>
        <v>5560825388.2871504</v>
      </c>
    </row>
    <row r="100" spans="1:14" x14ac:dyDescent="0.35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39"/>
    </row>
    <row r="101" spans="1:14" ht="16" thickBot="1" x14ac:dyDescent="0.4">
      <c r="A101" s="42" t="s">
        <v>296</v>
      </c>
      <c r="B101" s="50">
        <f>B94-B99</f>
        <v>27056568000</v>
      </c>
      <c r="C101" s="50">
        <f t="shared" ref="C101:M101" si="24">C94-C99</f>
        <v>15375712</v>
      </c>
      <c r="D101" s="50">
        <f t="shared" si="24"/>
        <v>2478449144.4453125</v>
      </c>
      <c r="E101" s="50">
        <f t="shared" si="24"/>
        <v>422996536.375</v>
      </c>
      <c r="F101" s="50">
        <f t="shared" si="24"/>
        <v>387885371.875</v>
      </c>
      <c r="G101" s="50">
        <f t="shared" si="24"/>
        <v>169629738.40000001</v>
      </c>
      <c r="H101" s="50">
        <f t="shared" si="24"/>
        <v>241855278.6426</v>
      </c>
      <c r="I101" s="50">
        <f t="shared" si="24"/>
        <v>-79890000</v>
      </c>
      <c r="J101" s="50">
        <f t="shared" si="24"/>
        <v>3507924.1500000004</v>
      </c>
      <c r="K101" s="50">
        <f t="shared" si="24"/>
        <v>55401129.559937492</v>
      </c>
      <c r="L101" s="50">
        <f t="shared" si="24"/>
        <v>83217680.890000015</v>
      </c>
      <c r="M101" s="50">
        <f t="shared" si="24"/>
        <v>63538362.375</v>
      </c>
      <c r="N101" s="44">
        <f t="shared" si="3"/>
        <v>30898534878.712852</v>
      </c>
    </row>
    <row r="102" spans="1:14" x14ac:dyDescent="0.35">
      <c r="A102" s="52">
        <v>46539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39"/>
    </row>
    <row r="103" spans="1:14" x14ac:dyDescent="0.35">
      <c r="A103" s="37" t="s">
        <v>282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39"/>
    </row>
    <row r="104" spans="1:14" x14ac:dyDescent="0.35">
      <c r="A104" s="4" t="s">
        <v>295</v>
      </c>
      <c r="B104" s="5">
        <f>B94</f>
        <v>27056568000</v>
      </c>
      <c r="C104" s="5">
        <f t="shared" ref="C104:M104" si="25">C94</f>
        <v>29984768</v>
      </c>
      <c r="D104" s="5">
        <f t="shared" si="25"/>
        <v>6385146405</v>
      </c>
      <c r="E104" s="5">
        <f t="shared" si="25"/>
        <v>888592903</v>
      </c>
      <c r="F104" s="5">
        <f t="shared" si="25"/>
        <v>787186675</v>
      </c>
      <c r="G104" s="5">
        <f t="shared" si="25"/>
        <v>292468616</v>
      </c>
      <c r="H104" s="5">
        <f t="shared" si="25"/>
        <v>493436306</v>
      </c>
      <c r="I104" s="5">
        <f t="shared" si="25"/>
        <v>0</v>
      </c>
      <c r="J104" s="5">
        <f t="shared" si="25"/>
        <v>10566809</v>
      </c>
      <c r="K104" s="5">
        <f t="shared" si="25"/>
        <v>128541325</v>
      </c>
      <c r="L104" s="5">
        <f t="shared" si="25"/>
        <v>226490946</v>
      </c>
      <c r="M104" s="5">
        <f t="shared" si="25"/>
        <v>160377514</v>
      </c>
      <c r="N104" s="39">
        <f t="shared" si="3"/>
        <v>36459360267</v>
      </c>
    </row>
    <row r="105" spans="1:14" x14ac:dyDescent="0.35">
      <c r="A105" s="4" t="s">
        <v>287</v>
      </c>
      <c r="B105" s="5">
        <f>B104*B52</f>
        <v>2705656800</v>
      </c>
      <c r="C105" s="5">
        <f t="shared" ref="C105:M105" si="26">C104*C52</f>
        <v>2998476.8000000003</v>
      </c>
      <c r="D105" s="5">
        <f t="shared" si="26"/>
        <v>638514640.5</v>
      </c>
      <c r="E105" s="5">
        <f t="shared" si="26"/>
        <v>88859290.300000012</v>
      </c>
      <c r="F105" s="5">
        <f t="shared" si="26"/>
        <v>78718667.5</v>
      </c>
      <c r="G105" s="5">
        <f t="shared" si="26"/>
        <v>29246861.600000001</v>
      </c>
      <c r="H105" s="5">
        <f t="shared" si="26"/>
        <v>49343630.600000001</v>
      </c>
      <c r="I105" s="5">
        <f t="shared" si="26"/>
        <v>0</v>
      </c>
      <c r="J105" s="5">
        <f t="shared" si="26"/>
        <v>1056680.9000000001</v>
      </c>
      <c r="K105" s="5">
        <f t="shared" si="26"/>
        <v>12854132.5</v>
      </c>
      <c r="L105" s="5">
        <f t="shared" si="26"/>
        <v>22649094.600000001</v>
      </c>
      <c r="M105" s="5">
        <f t="shared" si="26"/>
        <v>16037751.4</v>
      </c>
      <c r="N105" s="39">
        <f t="shared" si="3"/>
        <v>3645936026.7000003</v>
      </c>
    </row>
    <row r="106" spans="1:14" x14ac:dyDescent="0.35">
      <c r="A106" s="4" t="s">
        <v>324</v>
      </c>
      <c r="B106" s="5">
        <f>B105+B104</f>
        <v>29762224800</v>
      </c>
      <c r="C106" s="5">
        <f t="shared" ref="C106:M106" si="27">C105+C104</f>
        <v>32983244.800000001</v>
      </c>
      <c r="D106" s="5">
        <f t="shared" si="27"/>
        <v>7023661045.5</v>
      </c>
      <c r="E106" s="5">
        <f t="shared" si="27"/>
        <v>977452193.29999995</v>
      </c>
      <c r="F106" s="5">
        <f t="shared" si="27"/>
        <v>865905342.5</v>
      </c>
      <c r="G106" s="5">
        <f t="shared" si="27"/>
        <v>321715477.60000002</v>
      </c>
      <c r="H106" s="5">
        <f t="shared" si="27"/>
        <v>542779936.60000002</v>
      </c>
      <c r="I106" s="5">
        <f t="shared" si="27"/>
        <v>0</v>
      </c>
      <c r="J106" s="5">
        <f t="shared" si="27"/>
        <v>11623489.9</v>
      </c>
      <c r="K106" s="5">
        <f t="shared" si="27"/>
        <v>141395457.5</v>
      </c>
      <c r="L106" s="5">
        <f t="shared" si="27"/>
        <v>249140040.59999999</v>
      </c>
      <c r="M106" s="5">
        <f t="shared" si="27"/>
        <v>176415265.40000001</v>
      </c>
      <c r="N106" s="39">
        <f t="shared" si="3"/>
        <v>40105296293.700005</v>
      </c>
    </row>
    <row r="107" spans="1:14" x14ac:dyDescent="0.35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39"/>
    </row>
    <row r="108" spans="1:14" x14ac:dyDescent="0.35">
      <c r="A108" s="37" t="s">
        <v>285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39"/>
    </row>
    <row r="109" spans="1:14" x14ac:dyDescent="0.35">
      <c r="A109" s="4" t="s">
        <v>295</v>
      </c>
      <c r="B109" s="5"/>
      <c r="C109" s="5">
        <f>C99</f>
        <v>14609056</v>
      </c>
      <c r="D109" s="5">
        <f t="shared" ref="D109:M109" si="28">D99</f>
        <v>3906697260.5546875</v>
      </c>
      <c r="E109" s="5">
        <f t="shared" si="28"/>
        <v>465596366.625</v>
      </c>
      <c r="F109" s="5">
        <f t="shared" si="28"/>
        <v>399301303.125</v>
      </c>
      <c r="G109" s="5">
        <f t="shared" si="28"/>
        <v>122838877.59999999</v>
      </c>
      <c r="H109" s="5">
        <f t="shared" si="28"/>
        <v>251581027.3574</v>
      </c>
      <c r="I109" s="5">
        <f t="shared" si="28"/>
        <v>79890000</v>
      </c>
      <c r="J109" s="5">
        <f t="shared" si="28"/>
        <v>7058884.8499999996</v>
      </c>
      <c r="K109" s="5">
        <f t="shared" si="28"/>
        <v>73140195.440062508</v>
      </c>
      <c r="L109" s="5">
        <f t="shared" si="28"/>
        <v>143273265.10999998</v>
      </c>
      <c r="M109" s="5">
        <f t="shared" si="28"/>
        <v>96839151.625</v>
      </c>
      <c r="N109" s="39">
        <f t="shared" si="3"/>
        <v>5560825388.2871504</v>
      </c>
    </row>
    <row r="110" spans="1:14" x14ac:dyDescent="0.35">
      <c r="A110" s="4" t="s">
        <v>286</v>
      </c>
      <c r="B110" s="5"/>
      <c r="C110" s="5">
        <f>C106*5%</f>
        <v>1649162.2400000002</v>
      </c>
      <c r="D110" s="5">
        <f>(D106-D109)*D50</f>
        <v>857165040.85996103</v>
      </c>
      <c r="E110" s="5">
        <f>E106*E50</f>
        <v>122181524.16249999</v>
      </c>
      <c r="F110" s="5">
        <f t="shared" ref="F110:G110" si="29">F106*F50</f>
        <v>108238167.8125</v>
      </c>
      <c r="G110" s="5">
        <f t="shared" si="29"/>
        <v>32171547.760000005</v>
      </c>
      <c r="H110" s="5">
        <f>(H106-H109)*H50</f>
        <v>62607765.487159006</v>
      </c>
      <c r="I110" s="5">
        <f>I106*I50</f>
        <v>0</v>
      </c>
      <c r="J110" s="5">
        <f>J106*J50</f>
        <v>1743523.4850000001</v>
      </c>
      <c r="K110" s="5">
        <f>(K106-K109)*K50</f>
        <v>14674881.34288656</v>
      </c>
      <c r="L110" s="5">
        <f>L106*L50</f>
        <v>46090907.511</v>
      </c>
      <c r="M110" s="5">
        <f>(M106-M109)*M50</f>
        <v>19894028.443750001</v>
      </c>
      <c r="N110" s="39">
        <f t="shared" si="3"/>
        <v>1266416549.1047564</v>
      </c>
    </row>
    <row r="111" spans="1:14" x14ac:dyDescent="0.35">
      <c r="A111" s="4" t="s">
        <v>324</v>
      </c>
      <c r="B111" s="5"/>
      <c r="C111" s="5">
        <f>C109+C110</f>
        <v>16258218.24</v>
      </c>
      <c r="D111" s="5">
        <f t="shared" ref="D111:M111" si="30">D109+D110</f>
        <v>4763862301.4146481</v>
      </c>
      <c r="E111" s="5">
        <f t="shared" si="30"/>
        <v>587777890.78750002</v>
      </c>
      <c r="F111" s="5">
        <f t="shared" si="30"/>
        <v>507539470.9375</v>
      </c>
      <c r="G111" s="5">
        <f t="shared" si="30"/>
        <v>155010425.36000001</v>
      </c>
      <c r="H111" s="5">
        <f t="shared" si="30"/>
        <v>314188792.84455901</v>
      </c>
      <c r="I111" s="5">
        <f t="shared" si="30"/>
        <v>79890000</v>
      </c>
      <c r="J111" s="5">
        <f t="shared" si="30"/>
        <v>8802408.334999999</v>
      </c>
      <c r="K111" s="5">
        <f t="shared" si="30"/>
        <v>87815076.78294906</v>
      </c>
      <c r="L111" s="5">
        <f t="shared" si="30"/>
        <v>189364172.62099999</v>
      </c>
      <c r="M111" s="5">
        <f t="shared" si="30"/>
        <v>116733180.06874999</v>
      </c>
      <c r="N111" s="39">
        <f t="shared" si="3"/>
        <v>6827241937.3919067</v>
      </c>
    </row>
    <row r="112" spans="1:14" x14ac:dyDescent="0.35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39"/>
    </row>
    <row r="113" spans="1:14" ht="16" thickBot="1" x14ac:dyDescent="0.4">
      <c r="A113" s="42" t="s">
        <v>322</v>
      </c>
      <c r="B113" s="50">
        <f>B106-B111</f>
        <v>29762224800</v>
      </c>
      <c r="C113" s="50">
        <f t="shared" ref="C113:M113" si="31">C106-C111</f>
        <v>16725026.560000001</v>
      </c>
      <c r="D113" s="50">
        <f t="shared" si="31"/>
        <v>2259798744.0853519</v>
      </c>
      <c r="E113" s="50">
        <f t="shared" si="31"/>
        <v>389674302.51249993</v>
      </c>
      <c r="F113" s="50">
        <f t="shared" si="31"/>
        <v>358365871.5625</v>
      </c>
      <c r="G113" s="50">
        <f t="shared" si="31"/>
        <v>166705052.24000001</v>
      </c>
      <c r="H113" s="50">
        <f t="shared" si="31"/>
        <v>228591143.75544101</v>
      </c>
      <c r="I113" s="50">
        <f t="shared" si="31"/>
        <v>-79890000</v>
      </c>
      <c r="J113" s="50">
        <f t="shared" si="31"/>
        <v>2821081.5650000013</v>
      </c>
      <c r="K113" s="50">
        <f t="shared" si="31"/>
        <v>53580380.71705094</v>
      </c>
      <c r="L113" s="50">
        <f t="shared" si="31"/>
        <v>59775867.979000002</v>
      </c>
      <c r="M113" s="50">
        <f t="shared" si="31"/>
        <v>59682085.331250012</v>
      </c>
      <c r="N113" s="44">
        <f t="shared" si="3"/>
        <v>33278054356.308098</v>
      </c>
    </row>
    <row r="114" spans="1:14" x14ac:dyDescent="0.35">
      <c r="A114" s="36">
        <v>46905</v>
      </c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7"/>
    </row>
    <row r="115" spans="1:14" x14ac:dyDescent="0.35">
      <c r="A115" s="37" t="s">
        <v>282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39"/>
    </row>
    <row r="116" spans="1:14" x14ac:dyDescent="0.35">
      <c r="A116" s="4" t="s">
        <v>324</v>
      </c>
      <c r="B116" s="5">
        <f>B106</f>
        <v>29762224800</v>
      </c>
      <c r="C116" s="5">
        <f t="shared" ref="C116:M116" si="32">C106</f>
        <v>32983244.800000001</v>
      </c>
      <c r="D116" s="5">
        <f t="shared" si="32"/>
        <v>7023661045.5</v>
      </c>
      <c r="E116" s="5">
        <f t="shared" si="32"/>
        <v>977452193.29999995</v>
      </c>
      <c r="F116" s="5">
        <f t="shared" si="32"/>
        <v>865905342.5</v>
      </c>
      <c r="G116" s="5">
        <f t="shared" si="32"/>
        <v>321715477.60000002</v>
      </c>
      <c r="H116" s="5">
        <f t="shared" si="32"/>
        <v>542779936.60000002</v>
      </c>
      <c r="I116" s="5">
        <f t="shared" si="32"/>
        <v>0</v>
      </c>
      <c r="J116" s="5">
        <f t="shared" si="32"/>
        <v>11623489.9</v>
      </c>
      <c r="K116" s="5">
        <f t="shared" si="32"/>
        <v>141395457.5</v>
      </c>
      <c r="L116" s="5">
        <f t="shared" si="32"/>
        <v>249140040.59999999</v>
      </c>
      <c r="M116" s="5">
        <f t="shared" si="32"/>
        <v>176415265.40000001</v>
      </c>
      <c r="N116" s="39">
        <f t="shared" si="3"/>
        <v>40105296293.700005</v>
      </c>
    </row>
    <row r="117" spans="1:14" x14ac:dyDescent="0.35">
      <c r="A117" s="4" t="s">
        <v>287</v>
      </c>
      <c r="B117" s="5">
        <f>B116*B52</f>
        <v>2976222480</v>
      </c>
      <c r="C117" s="5">
        <f t="shared" ref="C117:M117" si="33">C116*C52</f>
        <v>3298324.4800000004</v>
      </c>
      <c r="D117" s="5">
        <f t="shared" si="33"/>
        <v>702366104.55000007</v>
      </c>
      <c r="E117" s="5">
        <f t="shared" si="33"/>
        <v>97745219.329999998</v>
      </c>
      <c r="F117" s="5">
        <f t="shared" si="33"/>
        <v>86590534.25</v>
      </c>
      <c r="G117" s="5">
        <f t="shared" si="33"/>
        <v>32171547.760000005</v>
      </c>
      <c r="H117" s="5">
        <f t="shared" si="33"/>
        <v>54277993.660000004</v>
      </c>
      <c r="I117" s="5">
        <f t="shared" si="33"/>
        <v>0</v>
      </c>
      <c r="J117" s="5">
        <f t="shared" si="33"/>
        <v>1162348.99</v>
      </c>
      <c r="K117" s="5">
        <f t="shared" si="33"/>
        <v>14139545.75</v>
      </c>
      <c r="L117" s="5">
        <f t="shared" si="33"/>
        <v>24914004.060000002</v>
      </c>
      <c r="M117" s="5">
        <f t="shared" si="33"/>
        <v>17641526.540000003</v>
      </c>
      <c r="N117" s="39">
        <f t="shared" si="3"/>
        <v>4010529629.3699999</v>
      </c>
    </row>
    <row r="118" spans="1:14" x14ac:dyDescent="0.35">
      <c r="A118" s="4" t="s">
        <v>325</v>
      </c>
      <c r="B118" s="5">
        <f>B117+B116</f>
        <v>32738447280</v>
      </c>
      <c r="C118" s="5">
        <f t="shared" ref="C118:M118" si="34">C117+C116</f>
        <v>36281569.280000001</v>
      </c>
      <c r="D118" s="5">
        <f t="shared" si="34"/>
        <v>7726027150.0500002</v>
      </c>
      <c r="E118" s="5">
        <f t="shared" si="34"/>
        <v>1075197412.6299999</v>
      </c>
      <c r="F118" s="5">
        <f t="shared" si="34"/>
        <v>952495876.75</v>
      </c>
      <c r="G118" s="5">
        <f t="shared" si="34"/>
        <v>353887025.36000001</v>
      </c>
      <c r="H118" s="5">
        <f t="shared" si="34"/>
        <v>597057930.25999999</v>
      </c>
      <c r="I118" s="5">
        <f t="shared" si="34"/>
        <v>0</v>
      </c>
      <c r="J118" s="5">
        <f t="shared" si="34"/>
        <v>12785838.890000001</v>
      </c>
      <c r="K118" s="5">
        <f t="shared" si="34"/>
        <v>155535003.25</v>
      </c>
      <c r="L118" s="5">
        <f t="shared" si="34"/>
        <v>274054044.65999997</v>
      </c>
      <c r="M118" s="5">
        <f t="shared" si="34"/>
        <v>194056791.94</v>
      </c>
      <c r="N118" s="39">
        <f t="shared" si="3"/>
        <v>44115825923.070007</v>
      </c>
    </row>
    <row r="119" spans="1:14" x14ac:dyDescent="0.35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39"/>
    </row>
    <row r="120" spans="1:14" x14ac:dyDescent="0.35">
      <c r="A120" s="37" t="s">
        <v>285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39"/>
    </row>
    <row r="121" spans="1:14" x14ac:dyDescent="0.35">
      <c r="A121" s="4" t="s">
        <v>324</v>
      </c>
      <c r="B121" s="5"/>
      <c r="C121" s="5">
        <f>C111</f>
        <v>16258218.24</v>
      </c>
      <c r="D121" s="5">
        <f t="shared" ref="D121:M121" si="35">D111</f>
        <v>4763862301.4146481</v>
      </c>
      <c r="E121" s="5">
        <f t="shared" si="35"/>
        <v>587777890.78750002</v>
      </c>
      <c r="F121" s="5">
        <f t="shared" si="35"/>
        <v>507539470.9375</v>
      </c>
      <c r="G121" s="5">
        <f t="shared" si="35"/>
        <v>155010425.36000001</v>
      </c>
      <c r="H121" s="5">
        <f t="shared" si="35"/>
        <v>314188792.84455901</v>
      </c>
      <c r="I121" s="5">
        <f t="shared" si="35"/>
        <v>79890000</v>
      </c>
      <c r="J121" s="5">
        <f t="shared" si="35"/>
        <v>8802408.334999999</v>
      </c>
      <c r="K121" s="5">
        <f t="shared" si="35"/>
        <v>87815076.78294906</v>
      </c>
      <c r="L121" s="5">
        <f t="shared" si="35"/>
        <v>189364172.62099999</v>
      </c>
      <c r="M121" s="5">
        <f t="shared" si="35"/>
        <v>116733180.06874999</v>
      </c>
      <c r="N121" s="39">
        <f t="shared" ref="N121:N125" si="36">SUM(B121:M121)</f>
        <v>6827241937.3919067</v>
      </c>
    </row>
    <row r="122" spans="1:14" x14ac:dyDescent="0.35">
      <c r="A122" s="4" t="s">
        <v>286</v>
      </c>
      <c r="B122" s="5"/>
      <c r="C122" s="5">
        <f>C118*C50</f>
        <v>4535196.16</v>
      </c>
      <c r="D122" s="5">
        <f>(D118-D121)*D50</f>
        <v>814595333.37472188</v>
      </c>
      <c r="E122" s="5">
        <f>E118*E50</f>
        <v>134399676.57874998</v>
      </c>
      <c r="F122" s="5">
        <f t="shared" ref="F122:G122" si="37">F118*F50</f>
        <v>119061984.59375</v>
      </c>
      <c r="G122" s="5">
        <f t="shared" si="37"/>
        <v>35388702.536000006</v>
      </c>
      <c r="H122" s="5">
        <f>(H118-H121)*H50</f>
        <v>60816864.544319808</v>
      </c>
      <c r="I122" s="5">
        <f>I118*I50</f>
        <v>0</v>
      </c>
      <c r="J122" s="5">
        <f>J118*J50</f>
        <v>1917875.8334999999</v>
      </c>
      <c r="K122" s="5">
        <f>(K118-K121)*K50</f>
        <v>14559784.190415952</v>
      </c>
      <c r="L122" s="5">
        <f>L118*5%</f>
        <v>13702702.232999999</v>
      </c>
      <c r="M122" s="5">
        <f>(M118-M121)*M50</f>
        <v>19330902.967812501</v>
      </c>
      <c r="N122" s="39">
        <f t="shared" si="36"/>
        <v>1218309023.01227</v>
      </c>
    </row>
    <row r="123" spans="1:14" x14ac:dyDescent="0.35">
      <c r="A123" s="4" t="s">
        <v>325</v>
      </c>
      <c r="B123" s="5"/>
      <c r="C123" s="5">
        <f>C122+C121</f>
        <v>20793414.399999999</v>
      </c>
      <c r="D123" s="5">
        <f t="shared" ref="D123:M123" si="38">D122+D121</f>
        <v>5578457634.7893696</v>
      </c>
      <c r="E123" s="5">
        <f t="shared" si="38"/>
        <v>722177567.36625004</v>
      </c>
      <c r="F123" s="5">
        <f t="shared" si="38"/>
        <v>626601455.53125</v>
      </c>
      <c r="G123" s="5">
        <f t="shared" si="38"/>
        <v>190399127.89600003</v>
      </c>
      <c r="H123" s="5">
        <f t="shared" si="38"/>
        <v>375005657.38887882</v>
      </c>
      <c r="I123" s="5">
        <f t="shared" si="38"/>
        <v>79890000</v>
      </c>
      <c r="J123" s="5">
        <f t="shared" si="38"/>
        <v>10720284.168499999</v>
      </c>
      <c r="K123" s="5">
        <f t="shared" si="38"/>
        <v>102374860.97336501</v>
      </c>
      <c r="L123" s="5">
        <f t="shared" si="38"/>
        <v>203066874.854</v>
      </c>
      <c r="M123" s="5">
        <f t="shared" si="38"/>
        <v>136064083.0365625</v>
      </c>
      <c r="N123" s="39">
        <f t="shared" si="36"/>
        <v>8045550960.4041758</v>
      </c>
    </row>
    <row r="124" spans="1:14" x14ac:dyDescent="0.35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39"/>
    </row>
    <row r="125" spans="1:14" ht="16" thickBot="1" x14ac:dyDescent="0.4">
      <c r="A125" s="42" t="s">
        <v>323</v>
      </c>
      <c r="B125" s="50">
        <f>B118-B123</f>
        <v>32738447280</v>
      </c>
      <c r="C125" s="50">
        <f t="shared" ref="C125:M125" si="39">C118-C123</f>
        <v>15488154.880000003</v>
      </c>
      <c r="D125" s="50">
        <f t="shared" si="39"/>
        <v>2147569515.2606306</v>
      </c>
      <c r="E125" s="50">
        <f t="shared" si="39"/>
        <v>353019845.26374984</v>
      </c>
      <c r="F125" s="50">
        <f t="shared" si="39"/>
        <v>325894421.21875</v>
      </c>
      <c r="G125" s="50">
        <f t="shared" si="39"/>
        <v>163487897.46399999</v>
      </c>
      <c r="H125" s="50">
        <f t="shared" si="39"/>
        <v>222052272.87112117</v>
      </c>
      <c r="I125" s="50">
        <f t="shared" si="39"/>
        <v>-79890000</v>
      </c>
      <c r="J125" s="50">
        <f t="shared" si="39"/>
        <v>2065554.7215000018</v>
      </c>
      <c r="K125" s="50">
        <f t="shared" si="39"/>
        <v>53160142.276634991</v>
      </c>
      <c r="L125" s="50">
        <f t="shared" si="39"/>
        <v>70987169.805999964</v>
      </c>
      <c r="M125" s="50">
        <f t="shared" si="39"/>
        <v>57992708.903437495</v>
      </c>
      <c r="N125" s="44">
        <f t="shared" si="36"/>
        <v>36070274962.665817</v>
      </c>
    </row>
    <row r="129" spans="1:10" ht="16" thickBot="1" x14ac:dyDescent="0.4">
      <c r="A129" s="639"/>
      <c r="B129" s="639"/>
      <c r="C129" s="639"/>
      <c r="D129" s="639"/>
      <c r="E129" s="639"/>
      <c r="F129" s="639"/>
      <c r="G129" s="639"/>
      <c r="H129" s="639"/>
      <c r="I129" s="639"/>
      <c r="J129" s="639"/>
    </row>
    <row r="130" spans="1:10" x14ac:dyDescent="0.35">
      <c r="A130" s="644" t="s">
        <v>297</v>
      </c>
      <c r="B130" s="645"/>
      <c r="C130" s="24"/>
      <c r="D130" s="24"/>
      <c r="E130" s="24"/>
      <c r="F130" s="24"/>
      <c r="G130" s="24"/>
      <c r="H130" s="24"/>
      <c r="I130" s="24"/>
      <c r="J130" s="24"/>
    </row>
    <row r="131" spans="1:10" hidden="1" x14ac:dyDescent="0.35">
      <c r="A131" s="4" t="s">
        <v>298</v>
      </c>
      <c r="B131" s="53">
        <f>N69+N81+N93+N105+N117</f>
        <v>16723368923.07</v>
      </c>
    </row>
    <row r="132" spans="1:10" hidden="1" x14ac:dyDescent="0.35">
      <c r="A132" s="4" t="s">
        <v>299</v>
      </c>
      <c r="B132" s="6">
        <f>B131*40%</f>
        <v>6689347569.2280006</v>
      </c>
    </row>
    <row r="133" spans="1:10" hidden="1" x14ac:dyDescent="0.35">
      <c r="A133" s="4" t="s">
        <v>300</v>
      </c>
      <c r="B133" s="54">
        <f>[1]BS_Assumptions!F108</f>
        <v>4193924000</v>
      </c>
    </row>
    <row r="134" spans="1:10" hidden="1" x14ac:dyDescent="0.35">
      <c r="A134" s="4" t="s">
        <v>301</v>
      </c>
      <c r="B134" s="54">
        <f>B132+B133</f>
        <v>10883271569.228001</v>
      </c>
    </row>
    <row r="135" spans="1:10" x14ac:dyDescent="0.35">
      <c r="A135" s="4" t="s">
        <v>302</v>
      </c>
      <c r="B135" s="54">
        <f>Assumptions_BS!F108</f>
        <v>2000000000</v>
      </c>
    </row>
    <row r="136" spans="1:10" x14ac:dyDescent="0.35">
      <c r="A136" s="4" t="s">
        <v>315</v>
      </c>
      <c r="B136" s="26">
        <v>5.0000000000000001E-3</v>
      </c>
    </row>
    <row r="137" spans="1:10" x14ac:dyDescent="0.35">
      <c r="A137" s="4" t="s">
        <v>303</v>
      </c>
      <c r="B137" s="26">
        <v>0.23</v>
      </c>
    </row>
    <row r="138" spans="1:10" x14ac:dyDescent="0.35">
      <c r="A138" s="4" t="s">
        <v>304</v>
      </c>
      <c r="B138" s="26">
        <f>B137+B136</f>
        <v>0.23500000000000001</v>
      </c>
    </row>
    <row r="139" spans="1:10" x14ac:dyDescent="0.35">
      <c r="A139" s="4" t="s">
        <v>305</v>
      </c>
      <c r="B139" s="8">
        <v>6</v>
      </c>
    </row>
    <row r="140" spans="1:10" x14ac:dyDescent="0.35">
      <c r="A140" s="4" t="s">
        <v>306</v>
      </c>
      <c r="B140" s="55">
        <f>PMT(B138,B139,-B135)</f>
        <v>654447674.03151751</v>
      </c>
    </row>
    <row r="141" spans="1:10" ht="16" thickBot="1" x14ac:dyDescent="0.4">
      <c r="A141" s="16"/>
      <c r="B141" s="29"/>
      <c r="C141" s="638"/>
      <c r="D141" s="639"/>
      <c r="E141" s="639"/>
      <c r="F141" s="639"/>
      <c r="G141" s="639"/>
      <c r="H141" s="639"/>
    </row>
    <row r="143" spans="1:10" ht="16" thickBot="1" x14ac:dyDescent="0.4"/>
    <row r="144" spans="1:10" x14ac:dyDescent="0.35">
      <c r="A144" s="644" t="s">
        <v>307</v>
      </c>
      <c r="B144" s="646"/>
      <c r="C144" s="646"/>
      <c r="D144" s="646"/>
      <c r="E144" s="646"/>
      <c r="F144" s="645"/>
    </row>
    <row r="145" spans="1:6" x14ac:dyDescent="0.35">
      <c r="A145" s="56" t="s">
        <v>308</v>
      </c>
      <c r="B145" s="2" t="s">
        <v>309</v>
      </c>
      <c r="C145" s="2" t="s">
        <v>306</v>
      </c>
      <c r="D145" s="2" t="s">
        <v>326</v>
      </c>
      <c r="E145" s="2" t="s">
        <v>310</v>
      </c>
      <c r="F145" s="8" t="s">
        <v>311</v>
      </c>
    </row>
    <row r="146" spans="1:6" x14ac:dyDescent="0.35">
      <c r="A146" s="56">
        <v>2024</v>
      </c>
      <c r="B146" s="57">
        <f>B135</f>
        <v>2000000000</v>
      </c>
      <c r="C146" s="57">
        <f>$B$140</f>
        <v>654447674.03151751</v>
      </c>
      <c r="D146" s="57">
        <f>B146*$B$138</f>
        <v>470000000</v>
      </c>
      <c r="E146" s="57">
        <f>C146-D146</f>
        <v>184447674.03151751</v>
      </c>
      <c r="F146" s="54">
        <f>B146-E146</f>
        <v>1815552325.9684825</v>
      </c>
    </row>
    <row r="147" spans="1:6" x14ac:dyDescent="0.35">
      <c r="A147" s="56">
        <v>2025</v>
      </c>
      <c r="B147" s="57">
        <f>F146</f>
        <v>1815552325.9684825</v>
      </c>
      <c r="C147" s="57">
        <f t="shared" ref="C147:C159" si="40">$B$140</f>
        <v>654447674.03151751</v>
      </c>
      <c r="D147" s="57">
        <f t="shared" ref="D147:D159" si="41">B147*$B$138</f>
        <v>426654796.60259342</v>
      </c>
      <c r="E147" s="57">
        <f t="shared" ref="E147:E159" si="42">C147-D147</f>
        <v>227792877.42892408</v>
      </c>
      <c r="F147" s="54">
        <f t="shared" ref="F147:F159" si="43">B147-E147</f>
        <v>1587759448.5395584</v>
      </c>
    </row>
    <row r="148" spans="1:6" x14ac:dyDescent="0.35">
      <c r="A148" s="56">
        <v>2026</v>
      </c>
      <c r="B148" s="57">
        <f t="shared" ref="B148:B159" si="44">F147</f>
        <v>1587759448.5395584</v>
      </c>
      <c r="C148" s="57">
        <f t="shared" si="40"/>
        <v>654447674.03151751</v>
      </c>
      <c r="D148" s="57">
        <f t="shared" si="41"/>
        <v>373123470.40679628</v>
      </c>
      <c r="E148" s="57">
        <f t="shared" si="42"/>
        <v>281324203.62472123</v>
      </c>
      <c r="F148" s="54">
        <f t="shared" si="43"/>
        <v>1306435244.9148371</v>
      </c>
    </row>
    <row r="149" spans="1:6" x14ac:dyDescent="0.35">
      <c r="A149" s="56">
        <v>2027</v>
      </c>
      <c r="B149" s="57">
        <f>F148</f>
        <v>1306435244.9148371</v>
      </c>
      <c r="C149" s="57">
        <f t="shared" si="40"/>
        <v>654447674.03151751</v>
      </c>
      <c r="D149" s="57">
        <f t="shared" si="41"/>
        <v>307012282.55498672</v>
      </c>
      <c r="E149" s="57">
        <f t="shared" si="42"/>
        <v>347435391.47653079</v>
      </c>
      <c r="F149" s="54">
        <f t="shared" si="43"/>
        <v>958999853.43830633</v>
      </c>
    </row>
    <row r="150" spans="1:6" x14ac:dyDescent="0.35">
      <c r="A150" s="56">
        <v>2028</v>
      </c>
      <c r="B150" s="57">
        <f t="shared" ref="B150:B151" si="45">F149</f>
        <v>958999853.43830633</v>
      </c>
      <c r="C150" s="57">
        <f t="shared" si="40"/>
        <v>654447674.03151751</v>
      </c>
      <c r="D150" s="57">
        <f t="shared" si="41"/>
        <v>225364965.558002</v>
      </c>
      <c r="E150" s="57">
        <f t="shared" si="42"/>
        <v>429082708.47351551</v>
      </c>
      <c r="F150" s="54">
        <f t="shared" si="43"/>
        <v>529917144.96479082</v>
      </c>
    </row>
    <row r="151" spans="1:6" ht="16" thickBot="1" x14ac:dyDescent="0.4">
      <c r="A151" s="56">
        <v>2029</v>
      </c>
      <c r="B151" s="59">
        <f t="shared" si="45"/>
        <v>529917144.96479082</v>
      </c>
      <c r="C151" s="59">
        <f t="shared" si="40"/>
        <v>654447674.03151751</v>
      </c>
      <c r="D151" s="59">
        <f t="shared" si="41"/>
        <v>124530529.06672585</v>
      </c>
      <c r="E151" s="59">
        <f t="shared" si="42"/>
        <v>529917144.96479166</v>
      </c>
      <c r="F151" s="60">
        <f t="shared" si="43"/>
        <v>-8.3446502685546875E-7</v>
      </c>
    </row>
    <row r="152" spans="1:6" hidden="1" x14ac:dyDescent="0.35">
      <c r="A152" s="24">
        <v>2028</v>
      </c>
      <c r="B152" s="57">
        <f t="shared" si="44"/>
        <v>-8.3446502685546875E-7</v>
      </c>
      <c r="C152" s="57">
        <f t="shared" si="40"/>
        <v>654447674.03151751</v>
      </c>
      <c r="D152" s="57">
        <f t="shared" si="41"/>
        <v>-1.9609928131103516E-7</v>
      </c>
      <c r="E152" s="57">
        <f t="shared" si="42"/>
        <v>654447674.03151774</v>
      </c>
      <c r="F152" s="57">
        <f t="shared" si="43"/>
        <v>-654447674.03151858</v>
      </c>
    </row>
    <row r="153" spans="1:6" hidden="1" x14ac:dyDescent="0.35">
      <c r="A153" s="24">
        <v>2029</v>
      </c>
      <c r="B153" s="57">
        <f t="shared" si="44"/>
        <v>-654447674.03151858</v>
      </c>
      <c r="C153" s="57">
        <f t="shared" si="40"/>
        <v>654447674.03151751</v>
      </c>
      <c r="D153" s="57">
        <f t="shared" si="41"/>
        <v>-153795203.39740688</v>
      </c>
      <c r="E153" s="57">
        <f t="shared" si="42"/>
        <v>808242877.42892432</v>
      </c>
      <c r="F153" s="57">
        <f t="shared" si="43"/>
        <v>-1462690551.460443</v>
      </c>
    </row>
    <row r="154" spans="1:6" hidden="1" x14ac:dyDescent="0.35">
      <c r="A154" s="24">
        <v>2030</v>
      </c>
      <c r="B154" s="57">
        <f t="shared" si="44"/>
        <v>-1462690551.460443</v>
      </c>
      <c r="C154" s="57">
        <f t="shared" si="40"/>
        <v>654447674.03151751</v>
      </c>
      <c r="D154" s="57">
        <f t="shared" si="41"/>
        <v>-343732279.59320414</v>
      </c>
      <c r="E154" s="57">
        <f t="shared" si="42"/>
        <v>998179953.62472165</v>
      </c>
      <c r="F154" s="57">
        <f t="shared" si="43"/>
        <v>-2460870505.0851645</v>
      </c>
    </row>
    <row r="155" spans="1:6" hidden="1" x14ac:dyDescent="0.35">
      <c r="A155" s="24">
        <v>2031</v>
      </c>
      <c r="B155" s="57">
        <f t="shared" si="44"/>
        <v>-2460870505.0851645</v>
      </c>
      <c r="C155" s="57">
        <f t="shared" si="40"/>
        <v>654447674.03151751</v>
      </c>
      <c r="D155" s="57">
        <f t="shared" si="41"/>
        <v>-578304568.69501376</v>
      </c>
      <c r="E155" s="57">
        <f t="shared" si="42"/>
        <v>1232752242.7265313</v>
      </c>
      <c r="F155" s="57">
        <f t="shared" si="43"/>
        <v>-3693622747.8116961</v>
      </c>
    </row>
    <row r="156" spans="1:6" hidden="1" x14ac:dyDescent="0.35">
      <c r="A156" s="24">
        <v>2032</v>
      </c>
      <c r="B156" s="57">
        <f t="shared" si="44"/>
        <v>-3693622747.8116961</v>
      </c>
      <c r="C156" s="57">
        <f t="shared" si="40"/>
        <v>654447674.03151751</v>
      </c>
      <c r="D156" s="57">
        <f t="shared" si="41"/>
        <v>-868001345.73574865</v>
      </c>
      <c r="E156" s="57">
        <f t="shared" si="42"/>
        <v>1522449019.7672663</v>
      </c>
      <c r="F156" s="57">
        <f t="shared" si="43"/>
        <v>-5216071767.5789623</v>
      </c>
    </row>
    <row r="157" spans="1:6" hidden="1" x14ac:dyDescent="0.35">
      <c r="A157" s="24">
        <v>2033</v>
      </c>
      <c r="B157" s="57">
        <f t="shared" si="44"/>
        <v>-5216071767.5789623</v>
      </c>
      <c r="C157" s="57">
        <f t="shared" si="40"/>
        <v>654447674.03151751</v>
      </c>
      <c r="D157" s="57">
        <f t="shared" si="41"/>
        <v>-1225776865.3810563</v>
      </c>
      <c r="E157" s="57">
        <f t="shared" si="42"/>
        <v>1880224539.4125738</v>
      </c>
      <c r="F157" s="57">
        <f t="shared" si="43"/>
        <v>-7096296306.9915361</v>
      </c>
    </row>
    <row r="158" spans="1:6" hidden="1" x14ac:dyDescent="0.35">
      <c r="A158" s="24">
        <v>2034</v>
      </c>
      <c r="B158" s="57">
        <f t="shared" si="44"/>
        <v>-7096296306.9915361</v>
      </c>
      <c r="C158" s="57">
        <f t="shared" si="40"/>
        <v>654447674.03151751</v>
      </c>
      <c r="D158" s="57">
        <f t="shared" si="41"/>
        <v>-1667629632.1430111</v>
      </c>
      <c r="E158" s="57">
        <f t="shared" si="42"/>
        <v>2322077306.1745286</v>
      </c>
      <c r="F158" s="57">
        <f t="shared" si="43"/>
        <v>-9418373613.1660652</v>
      </c>
    </row>
    <row r="159" spans="1:6" hidden="1" x14ac:dyDescent="0.35">
      <c r="A159" s="24">
        <v>2035</v>
      </c>
      <c r="B159" s="57">
        <f t="shared" si="44"/>
        <v>-9418373613.1660652</v>
      </c>
      <c r="C159" s="57">
        <f t="shared" si="40"/>
        <v>654447674.03151751</v>
      </c>
      <c r="D159" s="57">
        <f t="shared" si="41"/>
        <v>-2213317799.0940256</v>
      </c>
      <c r="E159" s="57">
        <f t="shared" si="42"/>
        <v>2867765473.1255431</v>
      </c>
      <c r="F159" s="57">
        <f t="shared" si="43"/>
        <v>-12286139086.291609</v>
      </c>
    </row>
    <row r="160" spans="1:6" x14ac:dyDescent="0.35">
      <c r="A160" s="24"/>
      <c r="B160" s="57"/>
      <c r="C160" s="57"/>
      <c r="D160" s="57"/>
      <c r="E160" s="57"/>
      <c r="F160" s="57"/>
    </row>
    <row r="161" spans="1:6" x14ac:dyDescent="0.35">
      <c r="A161" s="56"/>
    </row>
    <row r="162" spans="1:6" x14ac:dyDescent="0.35">
      <c r="A162" s="638" t="s">
        <v>312</v>
      </c>
      <c r="B162" s="639"/>
      <c r="C162" s="639"/>
      <c r="D162" s="639"/>
      <c r="E162" s="639"/>
      <c r="F162" s="639"/>
    </row>
    <row r="165" spans="1:6" x14ac:dyDescent="0.35">
      <c r="A165" s="639" t="s">
        <v>313</v>
      </c>
      <c r="B165" s="639"/>
    </row>
    <row r="166" spans="1:6" x14ac:dyDescent="0.35">
      <c r="A166" s="2" t="s">
        <v>302</v>
      </c>
      <c r="B166" s="61">
        <v>3000000000</v>
      </c>
    </row>
    <row r="167" spans="1:6" x14ac:dyDescent="0.35">
      <c r="A167" s="2" t="s">
        <v>314</v>
      </c>
      <c r="B167" s="2">
        <v>20</v>
      </c>
    </row>
    <row r="168" spans="1:6" x14ac:dyDescent="0.35">
      <c r="A168" s="2" t="s">
        <v>303</v>
      </c>
      <c r="B168" s="62">
        <f>B137</f>
        <v>0.23</v>
      </c>
    </row>
    <row r="169" spans="1:6" x14ac:dyDescent="0.35">
      <c r="A169" s="2" t="s">
        <v>315</v>
      </c>
      <c r="B169" s="62">
        <f>B136</f>
        <v>5.0000000000000001E-3</v>
      </c>
    </row>
    <row r="170" spans="1:6" x14ac:dyDescent="0.35">
      <c r="A170" s="2" t="s">
        <v>316</v>
      </c>
      <c r="B170" s="62">
        <f>B169+B168</f>
        <v>0.23500000000000001</v>
      </c>
    </row>
    <row r="171" spans="1:6" x14ac:dyDescent="0.35">
      <c r="A171" s="2" t="s">
        <v>306</v>
      </c>
      <c r="B171" s="61">
        <f>PMT(B170, B167, -B166)</f>
        <v>715501992.29849148</v>
      </c>
    </row>
    <row r="172" spans="1:6" ht="16" thickBot="1" x14ac:dyDescent="0.4"/>
    <row r="173" spans="1:6" x14ac:dyDescent="0.35">
      <c r="A173" s="640" t="s">
        <v>317</v>
      </c>
      <c r="B173" s="641"/>
      <c r="C173" s="641"/>
      <c r="D173" s="641"/>
      <c r="E173" s="641"/>
      <c r="F173" s="642"/>
    </row>
    <row r="174" spans="1:6" x14ac:dyDescent="0.35">
      <c r="A174" s="56" t="s">
        <v>318</v>
      </c>
      <c r="B174" s="24" t="s">
        <v>319</v>
      </c>
      <c r="C174" s="24" t="s">
        <v>306</v>
      </c>
      <c r="D174" s="24" t="s">
        <v>320</v>
      </c>
      <c r="E174" s="24" t="s">
        <v>321</v>
      </c>
      <c r="F174" s="63" t="s">
        <v>311</v>
      </c>
    </row>
    <row r="175" spans="1:6" x14ac:dyDescent="0.35">
      <c r="A175" s="56">
        <v>2026</v>
      </c>
      <c r="B175" s="64">
        <f>B166</f>
        <v>3000000000</v>
      </c>
      <c r="C175" s="64">
        <f>$B$171</f>
        <v>715501992.29849148</v>
      </c>
      <c r="D175" s="65">
        <f>B175*$B$170</f>
        <v>705000000</v>
      </c>
      <c r="E175" s="64">
        <f>C175-D175</f>
        <v>10501992.298491478</v>
      </c>
      <c r="F175" s="66">
        <f>B175-E175</f>
        <v>2989498007.7015085</v>
      </c>
    </row>
    <row r="176" spans="1:6" x14ac:dyDescent="0.35">
      <c r="A176" s="56">
        <v>2027</v>
      </c>
      <c r="B176" s="64">
        <f>F175</f>
        <v>2989498007.7015085</v>
      </c>
      <c r="C176" s="64">
        <f t="shared" ref="C176:C179" si="46">$B$171</f>
        <v>715501992.29849148</v>
      </c>
      <c r="D176" s="65">
        <f t="shared" ref="D176:D179" si="47">B176*$B$170</f>
        <v>702532031.80985451</v>
      </c>
      <c r="E176" s="64">
        <f t="shared" ref="E176:E179" si="48">C176-D176</f>
        <v>12969960.488636971</v>
      </c>
      <c r="F176" s="66">
        <f t="shared" ref="F176:F179" si="49">B176-E176</f>
        <v>2976528047.2128716</v>
      </c>
    </row>
    <row r="177" spans="1:6" x14ac:dyDescent="0.35">
      <c r="A177" s="56">
        <v>2028</v>
      </c>
      <c r="B177" s="64">
        <f t="shared" ref="B177:B179" si="50">F176</f>
        <v>2976528047.2128716</v>
      </c>
      <c r="C177" s="64">
        <f t="shared" si="46"/>
        <v>715501992.29849148</v>
      </c>
      <c r="D177" s="65">
        <f t="shared" si="47"/>
        <v>699484091.09502482</v>
      </c>
      <c r="E177" s="64">
        <f t="shared" si="48"/>
        <v>16017901.203466654</v>
      </c>
      <c r="F177" s="66">
        <f t="shared" si="49"/>
        <v>2960510146.0094051</v>
      </c>
    </row>
    <row r="178" spans="1:6" x14ac:dyDescent="0.35">
      <c r="A178" s="56">
        <v>2029</v>
      </c>
      <c r="B178" s="64">
        <f t="shared" si="50"/>
        <v>2960510146.0094051</v>
      </c>
      <c r="C178" s="64">
        <f t="shared" si="46"/>
        <v>715501992.29849148</v>
      </c>
      <c r="D178" s="65">
        <f t="shared" si="47"/>
        <v>695719884.3122102</v>
      </c>
      <c r="E178" s="64">
        <f t="shared" si="48"/>
        <v>19782107.986281276</v>
      </c>
      <c r="F178" s="66">
        <f t="shared" si="49"/>
        <v>2940728038.0231237</v>
      </c>
    </row>
    <row r="179" spans="1:6" ht="16" thickBot="1" x14ac:dyDescent="0.4">
      <c r="A179" s="58">
        <v>2030</v>
      </c>
      <c r="B179" s="67">
        <f t="shared" si="50"/>
        <v>2940728038.0231237</v>
      </c>
      <c r="C179" s="67">
        <f t="shared" si="46"/>
        <v>715501992.29849148</v>
      </c>
      <c r="D179" s="68">
        <f t="shared" si="47"/>
        <v>691071088.9354341</v>
      </c>
      <c r="E179" s="67">
        <f t="shared" si="48"/>
        <v>24430903.363057375</v>
      </c>
      <c r="F179" s="69">
        <f t="shared" si="49"/>
        <v>2916297134.6600666</v>
      </c>
    </row>
  </sheetData>
  <mergeCells count="15">
    <mergeCell ref="B5:F5"/>
    <mergeCell ref="E35:E36"/>
    <mergeCell ref="I35:I36"/>
    <mergeCell ref="O55:P55"/>
    <mergeCell ref="Q55:S55"/>
    <mergeCell ref="A162:F162"/>
    <mergeCell ref="A165:B165"/>
    <mergeCell ref="A173:F173"/>
    <mergeCell ref="V55:W55"/>
    <mergeCell ref="X55:Y55"/>
    <mergeCell ref="A129:J129"/>
    <mergeCell ref="A130:B130"/>
    <mergeCell ref="C141:H141"/>
    <mergeCell ref="A144:F144"/>
    <mergeCell ref="T55:U5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9072E-8AD2-4D11-91FE-760B96F50104}">
  <dimension ref="A1:G58"/>
  <sheetViews>
    <sheetView showGridLines="0" topLeftCell="A34" zoomScale="74" workbookViewId="0">
      <selection activeCell="B58" sqref="B58"/>
    </sheetView>
  </sheetViews>
  <sheetFormatPr defaultColWidth="12.1796875" defaultRowHeight="15.5" x14ac:dyDescent="0.35"/>
  <cols>
    <col min="1" max="1" width="58" style="109" bestFit="1" customWidth="1"/>
    <col min="2" max="4" width="19.1796875" style="109" bestFit="1" customWidth="1"/>
    <col min="5" max="6" width="20.36328125" style="109" bestFit="1" customWidth="1"/>
    <col min="7" max="16384" width="12.1796875" style="109"/>
  </cols>
  <sheetData>
    <row r="1" spans="1:7" ht="20.5" x14ac:dyDescent="0.45">
      <c r="A1" s="106"/>
      <c r="B1" s="107">
        <v>45444</v>
      </c>
      <c r="C1" s="107">
        <v>45809</v>
      </c>
      <c r="D1" s="107">
        <v>46174</v>
      </c>
      <c r="E1" s="107">
        <v>46539</v>
      </c>
      <c r="F1" s="107">
        <v>46905</v>
      </c>
      <c r="G1" s="108"/>
    </row>
    <row r="2" spans="1:7" ht="22.5" x14ac:dyDescent="0.45">
      <c r="A2" s="110" t="s">
        <v>328</v>
      </c>
      <c r="B2" s="111"/>
      <c r="C2" s="111"/>
      <c r="D2" s="111"/>
      <c r="E2" s="111"/>
      <c r="F2" s="111"/>
      <c r="G2" s="112"/>
    </row>
    <row r="3" spans="1:7" ht="20.5" thickBot="1" x14ac:dyDescent="0.45">
      <c r="A3" s="113" t="s">
        <v>329</v>
      </c>
      <c r="G3" s="112"/>
    </row>
    <row r="4" spans="1:7" x14ac:dyDescent="0.35">
      <c r="A4" s="114" t="s">
        <v>363</v>
      </c>
      <c r="B4" s="115">
        <f>Financials!G19</f>
        <v>26569972396.25779</v>
      </c>
      <c r="C4" s="116">
        <f>Financials!H19</f>
        <v>36856160972.138329</v>
      </c>
      <c r="D4" s="116">
        <f>Financials!I19</f>
        <v>52467191378.561798</v>
      </c>
      <c r="E4" s="116">
        <f>Financials!J19</f>
        <v>85200362097.97084</v>
      </c>
      <c r="F4" s="117">
        <f>Financials!K19</f>
        <v>145503607008.60818</v>
      </c>
      <c r="G4" s="112"/>
    </row>
    <row r="5" spans="1:7" x14ac:dyDescent="0.35">
      <c r="A5" s="114" t="s">
        <v>330</v>
      </c>
      <c r="B5" s="118"/>
      <c r="C5" s="119"/>
      <c r="D5" s="119"/>
      <c r="E5" s="119"/>
      <c r="F5" s="120"/>
      <c r="G5" s="112"/>
    </row>
    <row r="6" spans="1:7" x14ac:dyDescent="0.35">
      <c r="A6" s="114" t="s">
        <v>331</v>
      </c>
      <c r="B6" s="118">
        <f>SUM(Assumptions_IS!H165:H167)</f>
        <v>1808600800</v>
      </c>
      <c r="C6" s="119">
        <f>SUM(Assumptions_IS!I165:I167)</f>
        <v>1873598556.6025934</v>
      </c>
      <c r="D6" s="119">
        <f>SUM(Assumptions_IS!J165:J167)</f>
        <v>1845825782.4067962</v>
      </c>
      <c r="E6" s="119">
        <f>SUM(Assumptions_IS!K165:K167)</f>
        <v>1885471656.9549868</v>
      </c>
      <c r="F6" s="120">
        <f>SUM(Assumptions_IS!L165:L167)</f>
        <v>1970172014.838002</v>
      </c>
      <c r="G6" s="112"/>
    </row>
    <row r="7" spans="1:7" x14ac:dyDescent="0.35">
      <c r="A7" s="114" t="s">
        <v>332</v>
      </c>
      <c r="B7" s="118">
        <f>Assumptions_IS!C193</f>
        <v>1657610725</v>
      </c>
      <c r="C7" s="119">
        <f>Assumptions_IS!D193</f>
        <v>1459611382.8399999</v>
      </c>
      <c r="D7" s="119">
        <f>Assumptions_IS!E193</f>
        <v>1340182780.44715</v>
      </c>
      <c r="E7" s="119">
        <f>Assumptions_IS!F193</f>
        <v>1277951049.1047564</v>
      </c>
      <c r="F7" s="120">
        <f>Assumptions_IS!G193</f>
        <v>1229843523.01227</v>
      </c>
      <c r="G7" s="112"/>
    </row>
    <row r="8" spans="1:7" x14ac:dyDescent="0.35">
      <c r="A8" s="114" t="s">
        <v>333</v>
      </c>
      <c r="B8" s="118">
        <f>Assumptions_BS!G111</f>
        <v>596288299.07383406</v>
      </c>
      <c r="C8" s="119">
        <f>Assumptions_BS!H111</f>
        <v>687098297.4016999</v>
      </c>
      <c r="D8" s="119">
        <f>Assumptions_BS!I111</f>
        <v>846038291.4015739</v>
      </c>
      <c r="E8" s="119">
        <f>Assumptions_BS!J111</f>
        <v>1050627864.7640671</v>
      </c>
      <c r="F8" s="120">
        <f>Assumptions_BS!K111</f>
        <v>1408695450.5142283</v>
      </c>
      <c r="G8" s="112"/>
    </row>
    <row r="9" spans="1:7" x14ac:dyDescent="0.35">
      <c r="A9" s="114" t="s">
        <v>334</v>
      </c>
      <c r="B9" s="118">
        <f>-Assumptions_BS!G24</f>
        <v>-45854000</v>
      </c>
      <c r="C9" s="119">
        <f>-Assumptions_BS!H24</f>
        <v>-39825000</v>
      </c>
      <c r="D9" s="119">
        <f>-Assumptions_BS!I24</f>
        <v>-31938600</v>
      </c>
      <c r="E9" s="119">
        <f>-Assumptions_BS!J24</f>
        <v>-25267520</v>
      </c>
      <c r="F9" s="120">
        <f>-Assumptions_BS!K24</f>
        <v>-18535024</v>
      </c>
      <c r="G9" s="112"/>
    </row>
    <row r="10" spans="1:7" x14ac:dyDescent="0.35">
      <c r="A10" s="114" t="s">
        <v>335</v>
      </c>
      <c r="B10" s="118">
        <f>Assumptions_IS!H150</f>
        <v>962200</v>
      </c>
      <c r="C10" s="119">
        <f>Assumptions_IS!I150</f>
        <v>1135240</v>
      </c>
      <c r="D10" s="119">
        <f>Assumptions_IS!J150</f>
        <v>1189888</v>
      </c>
      <c r="E10" s="119">
        <f>Assumptions_IS!K150</f>
        <v>1099865.6000000001</v>
      </c>
      <c r="F10" s="120">
        <f>Assumptions_IS!L150</f>
        <v>1319838.72</v>
      </c>
      <c r="G10" s="112"/>
    </row>
    <row r="11" spans="1:7" x14ac:dyDescent="0.35">
      <c r="A11" s="114" t="s">
        <v>336</v>
      </c>
      <c r="B11" s="118">
        <f>(Assumptions_IS!H143)</f>
        <v>550179000</v>
      </c>
      <c r="C11" s="119">
        <f>(Assumptions_IS!I143)</f>
        <v>649701200</v>
      </c>
      <c r="D11" s="119">
        <f>(Assumptions_IS!J143)</f>
        <v>769926440</v>
      </c>
      <c r="E11" s="119">
        <f>(Assumptions_IS!K143)</f>
        <v>913215528</v>
      </c>
      <c r="F11" s="120">
        <f>(Assumptions_IS!L143)</f>
        <v>1009911433.6</v>
      </c>
      <c r="G11" s="112"/>
    </row>
    <row r="12" spans="1:7" x14ac:dyDescent="0.35">
      <c r="A12" s="114"/>
      <c r="B12" s="125">
        <f>SUM(B6:B11)</f>
        <v>4567787024.0738335</v>
      </c>
      <c r="C12" s="126">
        <f t="shared" ref="C12:F12" si="0">SUM(C6:C11)</f>
        <v>4631319676.8442936</v>
      </c>
      <c r="D12" s="126">
        <f t="shared" si="0"/>
        <v>4771224582.2555199</v>
      </c>
      <c r="E12" s="126">
        <f t="shared" si="0"/>
        <v>5103098444.42381</v>
      </c>
      <c r="F12" s="127">
        <f t="shared" si="0"/>
        <v>5601407236.6845007</v>
      </c>
      <c r="G12" s="112"/>
    </row>
    <row r="13" spans="1:7" ht="16" thickBot="1" x14ac:dyDescent="0.4">
      <c r="A13" s="114" t="s">
        <v>337</v>
      </c>
      <c r="B13" s="121">
        <f>B26</f>
        <v>15371245894.506214</v>
      </c>
      <c r="C13" s="122">
        <f t="shared" ref="C13:F13" si="1">C26</f>
        <v>8444316710.5648956</v>
      </c>
      <c r="D13" s="122">
        <f t="shared" si="1"/>
        <v>13546736909.589691</v>
      </c>
      <c r="E13" s="122">
        <f t="shared" si="1"/>
        <v>34957664304.282059</v>
      </c>
      <c r="F13" s="123">
        <f t="shared" si="1"/>
        <v>46704314024.86702</v>
      </c>
      <c r="G13" s="112"/>
    </row>
    <row r="14" spans="1:7" ht="16" thickBot="1" x14ac:dyDescent="0.4">
      <c r="A14" s="114"/>
      <c r="B14" s="150">
        <f>SUM(B12:B13)</f>
        <v>19939032918.580048</v>
      </c>
      <c r="C14" s="150">
        <f t="shared" ref="C14:F14" si="2">SUM(C12:C13)</f>
        <v>13075636387.409189</v>
      </c>
      <c r="D14" s="150">
        <f>SUM(D12:D13)</f>
        <v>18317961491.845211</v>
      </c>
      <c r="E14" s="150">
        <f t="shared" si="2"/>
        <v>40060762748.705872</v>
      </c>
      <c r="F14" s="150">
        <f t="shared" si="2"/>
        <v>52305721261.551521</v>
      </c>
      <c r="G14" s="112"/>
    </row>
    <row r="15" spans="1:7" ht="16.5" thickTop="1" thickBot="1" x14ac:dyDescent="0.4">
      <c r="A15" s="114"/>
      <c r="B15" s="119"/>
      <c r="C15" s="119"/>
      <c r="D15" s="119"/>
      <c r="E15" s="119"/>
      <c r="F15" s="119"/>
      <c r="G15" s="112"/>
    </row>
    <row r="16" spans="1:7" ht="18" customHeight="1" x14ac:dyDescent="0.35">
      <c r="A16" s="106" t="s">
        <v>338</v>
      </c>
      <c r="B16" s="116"/>
      <c r="C16" s="116"/>
      <c r="D16" s="116"/>
      <c r="E16" s="116"/>
      <c r="F16" s="117"/>
      <c r="G16" s="112"/>
    </row>
    <row r="17" spans="1:7" ht="16" thickBot="1" x14ac:dyDescent="0.4">
      <c r="A17" s="114" t="s">
        <v>382</v>
      </c>
      <c r="B17" s="119"/>
      <c r="C17" s="119"/>
      <c r="D17" s="119"/>
      <c r="E17" s="119"/>
      <c r="F17" s="120"/>
      <c r="G17" s="112"/>
    </row>
    <row r="18" spans="1:7" x14ac:dyDescent="0.35">
      <c r="A18" s="114" t="s">
        <v>28</v>
      </c>
      <c r="B18" s="115">
        <f>-(Assumptions_BS!G48-Assumptions_BS!F48)</f>
        <v>11190192522.606598</v>
      </c>
      <c r="C18" s="116">
        <f>(Assumptions_BS!H48-Assumptions_BS!G48)</f>
        <v>3330837084.9827118</v>
      </c>
      <c r="D18" s="116">
        <f>(Assumptions_BS!I48-Assumptions_BS!H48)</f>
        <v>4591595852.9267807</v>
      </c>
      <c r="E18" s="116">
        <f>(Assumptions_BS!J48-Assumptions_BS!I48)</f>
        <v>15733889040.058144</v>
      </c>
      <c r="F18" s="117">
        <f>(Assumptions_BS!K48-Assumptions_BS!J48)</f>
        <v>14564419590.864136</v>
      </c>
      <c r="G18" s="112"/>
    </row>
    <row r="19" spans="1:7" x14ac:dyDescent="0.35">
      <c r="A19" s="114" t="s">
        <v>339</v>
      </c>
      <c r="B19" s="118">
        <f>(Assumptions_BS!G55-Assumptions_BS!F55)</f>
        <v>-2429671710.5565491</v>
      </c>
      <c r="C19" s="119">
        <f>(Assumptions_BS!H55-Assumptions_BS!G55)</f>
        <v>316127166.8108139</v>
      </c>
      <c r="D19" s="119">
        <f>(Assumptions_BS!I55-Assumptions_BS!H55)</f>
        <v>3424184836.2807846</v>
      </c>
      <c r="E19" s="119">
        <f>(Assumptions_BS!J55-Assumptions_BS!I55)</f>
        <v>6193471830.2547951</v>
      </c>
      <c r="F19" s="120">
        <f>(Assumptions_BS!K55-Assumptions_BS!J55)</f>
        <v>9981964572.1351738</v>
      </c>
      <c r="G19" s="112"/>
    </row>
    <row r="20" spans="1:7" x14ac:dyDescent="0.35">
      <c r="A20" s="124" t="s">
        <v>340</v>
      </c>
      <c r="B20" s="118">
        <f>-(Assumptions_BS!G67-Assumptions_BS!F67)</f>
        <v>-69398412.369357854</v>
      </c>
      <c r="C20" s="119">
        <f>-(Assumptions_BS!H67-Assumptions_BS!G67)</f>
        <v>8079363.8430927396</v>
      </c>
      <c r="D20" s="119">
        <f>-(Assumptions_BS!I67-Assumptions_BS!H67)</f>
        <v>-60055106.507323176</v>
      </c>
      <c r="E20" s="119">
        <f>-(Assumptions_BS!J67-Assumptions_BS!I67)</f>
        <v>-85522208.221914768</v>
      </c>
      <c r="F20" s="120">
        <f>-(Assumptions_BS!K67-Assumptions_BS!J67)</f>
        <v>-94343118.849460423</v>
      </c>
      <c r="G20" s="112"/>
    </row>
    <row r="21" spans="1:7" x14ac:dyDescent="0.35">
      <c r="A21" s="124" t="s">
        <v>341</v>
      </c>
      <c r="B21" s="118">
        <f>-(Assumptions_BS!G80-Assumptions_BS!F80)</f>
        <v>5357195417.6423273</v>
      </c>
      <c r="C21" s="119">
        <f>-(Assumptions_BS!H80-Assumptions_BS!G80)</f>
        <v>-640516414.15968227</v>
      </c>
      <c r="D21" s="119">
        <f>-(Assumptions_BS!I80-Assumptions_BS!H80)</f>
        <v>-1022880281.1018066</v>
      </c>
      <c r="E21" s="119">
        <f>-(Assumptions_BS!J80-Assumptions_BS!I80)</f>
        <v>299716587.78596401</v>
      </c>
      <c r="F21" s="120">
        <f>-(Assumptions_BS!K80-Assumptions_BS!J80)</f>
        <v>-719034469.15328693</v>
      </c>
      <c r="G21" s="112"/>
    </row>
    <row r="22" spans="1:7" x14ac:dyDescent="0.35">
      <c r="A22" s="114"/>
      <c r="B22" s="118">
        <f>SUM(B18:B21)</f>
        <v>14048317817.323017</v>
      </c>
      <c r="C22" s="119">
        <f t="shared" ref="C22:F22" si="3">SUM(C18:C21)</f>
        <v>3014527201.4769363</v>
      </c>
      <c r="D22" s="119">
        <f t="shared" si="3"/>
        <v>6932845301.5984354</v>
      </c>
      <c r="E22" s="119">
        <f t="shared" si="3"/>
        <v>22141555249.876987</v>
      </c>
      <c r="F22" s="120">
        <f t="shared" si="3"/>
        <v>23733006574.996563</v>
      </c>
      <c r="G22" s="112"/>
    </row>
    <row r="23" spans="1:7" x14ac:dyDescent="0.35">
      <c r="A23" s="114"/>
      <c r="B23" s="114"/>
      <c r="F23" s="112"/>
      <c r="G23" s="112"/>
    </row>
    <row r="24" spans="1:7" x14ac:dyDescent="0.35">
      <c r="A24" s="114" t="s">
        <v>342</v>
      </c>
      <c r="B24" s="114"/>
      <c r="F24" s="112"/>
      <c r="G24" s="112"/>
    </row>
    <row r="25" spans="1:7" ht="16" thickBot="1" x14ac:dyDescent="0.4">
      <c r="A25" s="114" t="s">
        <v>48</v>
      </c>
      <c r="B25" s="121">
        <f>Assumptions_BS!G132-Assumptions_BS!F132</f>
        <v>1322928077.183197</v>
      </c>
      <c r="C25" s="122">
        <f>Assumptions_BS!H132-Assumptions_BS!G132</f>
        <v>5429789509.0879593</v>
      </c>
      <c r="D25" s="122">
        <f>Assumptions_BS!I132-Assumptions_BS!H132</f>
        <v>6613891607.9912567</v>
      </c>
      <c r="E25" s="122">
        <f>Assumptions_BS!J132-Assumptions_BS!I132</f>
        <v>12816109054.405067</v>
      </c>
      <c r="F25" s="123">
        <f>Assumptions_BS!K132-Assumptions_BS!J132</f>
        <v>22971307449.870453</v>
      </c>
      <c r="G25" s="112"/>
    </row>
    <row r="26" spans="1:7" ht="16" thickBot="1" x14ac:dyDescent="0.4">
      <c r="A26" s="128"/>
      <c r="B26" s="151">
        <f>SUM(B22:B25)</f>
        <v>15371245894.506214</v>
      </c>
      <c r="C26" s="151">
        <f t="shared" ref="C26:F26" si="4">SUM(C22:C25)</f>
        <v>8444316710.5648956</v>
      </c>
      <c r="D26" s="151">
        <f t="shared" si="4"/>
        <v>13546736909.589691</v>
      </c>
      <c r="E26" s="151">
        <f t="shared" si="4"/>
        <v>34957664304.282059</v>
      </c>
      <c r="F26" s="152">
        <f t="shared" si="4"/>
        <v>46704314024.86702</v>
      </c>
      <c r="G26" s="112"/>
    </row>
    <row r="27" spans="1:7" x14ac:dyDescent="0.35">
      <c r="A27" s="114"/>
      <c r="G27" s="112"/>
    </row>
    <row r="28" spans="1:7" x14ac:dyDescent="0.35">
      <c r="A28" s="114"/>
      <c r="G28" s="112"/>
    </row>
    <row r="29" spans="1:7" ht="16" thickBot="1" x14ac:dyDescent="0.4">
      <c r="A29" s="114"/>
      <c r="G29" s="112"/>
    </row>
    <row r="30" spans="1:7" x14ac:dyDescent="0.35">
      <c r="A30" s="114" t="s">
        <v>343</v>
      </c>
      <c r="B30" s="115">
        <f>-(SUM(Assumptions_IS!H165:H167))</f>
        <v>-1808600800</v>
      </c>
      <c r="C30" s="116">
        <f>-SUM(Assumptions_IS!I165:I167)</f>
        <v>-1873598556.6025934</v>
      </c>
      <c r="D30" s="116">
        <f>-SUM(Assumptions_IS!J165:J167)</f>
        <v>-1845825782.4067962</v>
      </c>
      <c r="E30" s="116">
        <f>-SUM(Assumptions_IS!K165:K167)</f>
        <v>-1885471656.9549868</v>
      </c>
      <c r="F30" s="117">
        <f>-SUM(Assumptions_IS!L165:L167)</f>
        <v>-1970172014.838002</v>
      </c>
      <c r="G30" s="112"/>
    </row>
    <row r="31" spans="1:7" x14ac:dyDescent="0.35">
      <c r="A31" s="114" t="s">
        <v>344</v>
      </c>
      <c r="B31" s="129">
        <f>-Assumptions_IS!H182</f>
        <v>-7705291994.9147587</v>
      </c>
      <c r="C31" s="130">
        <f>-Assumptions_IS!I182</f>
        <v>-10688286681.920115</v>
      </c>
      <c r="D31" s="130">
        <f>-Assumptions_IS!J182</f>
        <v>-15215485499.782921</v>
      </c>
      <c r="E31" s="130">
        <f>-Assumptions_IS!K182</f>
        <v>-24708105008.411541</v>
      </c>
      <c r="F31" s="131">
        <f>-Assumptions_IS!L182</f>
        <v>-42196046032.496368</v>
      </c>
      <c r="G31" s="112"/>
    </row>
    <row r="32" spans="1:7" x14ac:dyDescent="0.35">
      <c r="A32" s="124" t="s">
        <v>345</v>
      </c>
      <c r="B32" s="129">
        <f>-Assumptions_BS!G111</f>
        <v>-596288299.07383406</v>
      </c>
      <c r="C32" s="130">
        <f>-Assumptions_BS!H111</f>
        <v>-687098297.4016999</v>
      </c>
      <c r="D32" s="130">
        <f>-Assumptions_BS!I111</f>
        <v>-846038291.4015739</v>
      </c>
      <c r="E32" s="130">
        <f>-Assumptions_BS!J111</f>
        <v>-1050627864.7640671</v>
      </c>
      <c r="F32" s="131">
        <f>-Assumptions_BS!K111</f>
        <v>-1408695450.5142283</v>
      </c>
      <c r="G32" s="112"/>
    </row>
    <row r="33" spans="1:7" ht="16" thickBot="1" x14ac:dyDescent="0.4">
      <c r="A33" s="114" t="s">
        <v>346</v>
      </c>
      <c r="B33" s="121">
        <f>-(Assumptions_BS!G67-Assumptions_BS!F67)</f>
        <v>-69398412.369357854</v>
      </c>
      <c r="C33" s="122">
        <f>-(Assumptions_BS!H67-Assumptions_BS!G67)</f>
        <v>8079363.8430927396</v>
      </c>
      <c r="D33" s="122">
        <f>-(Assumptions_BS!I67-Assumptions_BS!H67)</f>
        <v>-60055106.507323176</v>
      </c>
      <c r="E33" s="122">
        <f>-(Assumptions_BS!J67-Assumptions_BS!I67)</f>
        <v>-85522208.221914768</v>
      </c>
      <c r="F33" s="123">
        <f>-(Assumptions_BS!K67-Assumptions_BS!J67)</f>
        <v>-94343118.849460423</v>
      </c>
      <c r="G33" s="112"/>
    </row>
    <row r="34" spans="1:7" ht="16" thickBot="1" x14ac:dyDescent="0.4">
      <c r="A34" s="114" t="s">
        <v>347</v>
      </c>
      <c r="B34" s="150">
        <f>B14+SUM(B30:B33)</f>
        <v>9759453412.2220974</v>
      </c>
      <c r="C34" s="150">
        <f t="shared" ref="C34:F34" si="5">C14+SUM(C30:C33)</f>
        <v>-165267784.67212677</v>
      </c>
      <c r="D34" s="150">
        <f>D14+SUM(D30:D33)</f>
        <v>350556811.74659729</v>
      </c>
      <c r="E34" s="150">
        <f t="shared" si="5"/>
        <v>12331036010.353359</v>
      </c>
      <c r="F34" s="150">
        <f t="shared" si="5"/>
        <v>6636464644.8534622</v>
      </c>
      <c r="G34" s="112"/>
    </row>
    <row r="35" spans="1:7" ht="16" thickTop="1" x14ac:dyDescent="0.35">
      <c r="A35" s="114"/>
      <c r="G35" s="112"/>
    </row>
    <row r="36" spans="1:7" x14ac:dyDescent="0.35">
      <c r="A36" s="114"/>
      <c r="G36" s="112"/>
    </row>
    <row r="37" spans="1:7" ht="23" thickBot="1" x14ac:dyDescent="0.5">
      <c r="A37" s="110" t="s">
        <v>348</v>
      </c>
      <c r="G37" s="112"/>
    </row>
    <row r="38" spans="1:7" x14ac:dyDescent="0.35">
      <c r="A38" s="114" t="s">
        <v>349</v>
      </c>
      <c r="B38" s="132">
        <f>-'Fixed Asset and Loan Schedule'!N69</f>
        <v>-2739245700</v>
      </c>
      <c r="C38" s="133">
        <f>-'Fixed Asset and Loan Schedule'!N81</f>
        <v>-3013170270</v>
      </c>
      <c r="D38" s="133">
        <f>-'Fixed Asset and Loan Schedule'!N93</f>
        <v>-3314487297</v>
      </c>
      <c r="E38" s="133">
        <f>-'Fixed Asset and Loan Schedule'!N105</f>
        <v>-3645936026.7000003</v>
      </c>
      <c r="F38" s="134">
        <f>-'Fixed Asset and Loan Schedule'!N117</f>
        <v>-4010529629.3699999</v>
      </c>
      <c r="G38" s="112"/>
    </row>
    <row r="39" spans="1:7" x14ac:dyDescent="0.35">
      <c r="A39" s="114" t="s">
        <v>350</v>
      </c>
      <c r="B39" s="135">
        <v>0</v>
      </c>
      <c r="C39" s="136">
        <v>0</v>
      </c>
      <c r="D39" s="136">
        <v>0</v>
      </c>
      <c r="E39" s="136">
        <v>0</v>
      </c>
      <c r="F39" s="137">
        <v>0</v>
      </c>
      <c r="G39" s="112"/>
    </row>
    <row r="40" spans="1:7" ht="16" thickBot="1" x14ac:dyDescent="0.4">
      <c r="A40" s="114" t="s">
        <v>351</v>
      </c>
      <c r="B40" s="121">
        <f>Assumptions_IS!H143</f>
        <v>550179000</v>
      </c>
      <c r="C40" s="122">
        <f>Assumptions_IS!I143</f>
        <v>649701200</v>
      </c>
      <c r="D40" s="122">
        <f>Assumptions_IS!J143</f>
        <v>769926440</v>
      </c>
      <c r="E40" s="122">
        <f>Assumptions_IS!K143</f>
        <v>913215528</v>
      </c>
      <c r="F40" s="123">
        <f>Assumptions_IS!L143</f>
        <v>1009911433.6</v>
      </c>
      <c r="G40" s="112"/>
    </row>
    <row r="41" spans="1:7" ht="16" thickBot="1" x14ac:dyDescent="0.4">
      <c r="A41" s="114" t="s">
        <v>352</v>
      </c>
      <c r="B41" s="150">
        <f>SUM(B38:B40)</f>
        <v>-2189066700</v>
      </c>
      <c r="C41" s="150">
        <f t="shared" ref="C41:F41" si="6">SUM(C38:C40)</f>
        <v>-2363469070</v>
      </c>
      <c r="D41" s="150">
        <f t="shared" si="6"/>
        <v>-2544560857</v>
      </c>
      <c r="E41" s="150">
        <f t="shared" si="6"/>
        <v>-2732720498.7000003</v>
      </c>
      <c r="F41" s="150">
        <f t="shared" si="6"/>
        <v>-3000618195.77</v>
      </c>
      <c r="G41" s="112"/>
    </row>
    <row r="42" spans="1:7" ht="16" thickTop="1" x14ac:dyDescent="0.35">
      <c r="A42" s="114"/>
      <c r="G42" s="112"/>
    </row>
    <row r="43" spans="1:7" x14ac:dyDescent="0.35">
      <c r="A43" s="114"/>
      <c r="G43" s="112"/>
    </row>
    <row r="44" spans="1:7" ht="23" thickBot="1" x14ac:dyDescent="0.5">
      <c r="A44" s="138" t="s">
        <v>353</v>
      </c>
      <c r="G44" s="112"/>
    </row>
    <row r="45" spans="1:7" x14ac:dyDescent="0.35">
      <c r="A45" s="114" t="s">
        <v>354</v>
      </c>
      <c r="B45" s="139">
        <f>-'Fixed Asset and Loan Schedule'!E146</f>
        <v>-184447674.03151751</v>
      </c>
      <c r="C45" s="140">
        <f>-'Fixed Asset and Loan Schedule'!E147</f>
        <v>-227792877.42892408</v>
      </c>
      <c r="D45" s="140">
        <f>-'Fixed Asset and Loan Schedule'!E148</f>
        <v>-281324203.62472123</v>
      </c>
      <c r="E45" s="140">
        <f>-'Fixed Asset and Loan Schedule'!E149</f>
        <v>-347435391.47653079</v>
      </c>
      <c r="F45" s="141">
        <f>-'Fixed Asset and Loan Schedule'!E150</f>
        <v>-429082708.47351551</v>
      </c>
      <c r="G45" s="112"/>
    </row>
    <row r="46" spans="1:7" x14ac:dyDescent="0.35">
      <c r="A46" s="114" t="s">
        <v>355</v>
      </c>
      <c r="B46" s="129"/>
      <c r="C46" s="130"/>
      <c r="D46" s="130"/>
      <c r="E46" s="130"/>
      <c r="F46" s="131">
        <f>[1]BS_Assumptions!K108</f>
        <v>5977586352.9308891</v>
      </c>
      <c r="G46" s="112"/>
    </row>
    <row r="47" spans="1:7" x14ac:dyDescent="0.35">
      <c r="A47" s="114" t="s">
        <v>356</v>
      </c>
      <c r="B47" s="118">
        <f>Assumptions_BS!G144-Assumptions_BS!F144</f>
        <v>2983403000</v>
      </c>
      <c r="C47" s="119">
        <f>Assumptions_BS!H144-Assumptions_BS!G144</f>
        <v>3281743300</v>
      </c>
      <c r="D47" s="119">
        <f>Assumptions_BS!I144-Assumptions_BS!H144</f>
        <v>3609917630</v>
      </c>
      <c r="E47" s="119">
        <f>Assumptions_BS!J144-Assumptions_BS!I144</f>
        <v>3970909393</v>
      </c>
      <c r="F47" s="120">
        <f>Assumptions_BS!K144-Assumptions_BS!J144</f>
        <v>4368000332.3000031</v>
      </c>
      <c r="G47" s="112"/>
    </row>
    <row r="48" spans="1:7" x14ac:dyDescent="0.35">
      <c r="A48" s="114" t="s">
        <v>357</v>
      </c>
      <c r="B48" s="142">
        <f>-Assumptions_IS!H170</f>
        <v>-28140921</v>
      </c>
      <c r="C48" s="143">
        <f>-Assumptions_IS!I170</f>
        <v>-25014152</v>
      </c>
      <c r="D48" s="143">
        <f>-Assumptions_IS!J170</f>
        <v>-21887383</v>
      </c>
      <c r="E48" s="143">
        <f>-Assumptions_IS!K170</f>
        <v>-18760614</v>
      </c>
      <c r="F48" s="144">
        <f>-Assumptions_IS!L170</f>
        <v>-15633845.000000002</v>
      </c>
      <c r="G48" s="112"/>
    </row>
    <row r="49" spans="1:7" ht="16" thickBot="1" x14ac:dyDescent="0.4">
      <c r="A49" s="114" t="s">
        <v>358</v>
      </c>
      <c r="B49" s="145">
        <v>0</v>
      </c>
      <c r="C49" s="146">
        <v>0</v>
      </c>
      <c r="D49" s="146">
        <v>0</v>
      </c>
      <c r="E49" s="146">
        <v>0</v>
      </c>
      <c r="F49" s="147">
        <v>0</v>
      </c>
      <c r="G49" s="112"/>
    </row>
    <row r="50" spans="1:7" x14ac:dyDescent="0.35">
      <c r="A50" s="114" t="s">
        <v>359</v>
      </c>
      <c r="B50" s="130">
        <f>SUM(B45:B49)</f>
        <v>2770814404.9684825</v>
      </c>
      <c r="C50" s="130">
        <f t="shared" ref="C50:F50" si="7">SUM(C45:C49)</f>
        <v>3028936270.5710759</v>
      </c>
      <c r="D50" s="130">
        <f t="shared" si="7"/>
        <v>3306706043.3752789</v>
      </c>
      <c r="E50" s="130">
        <f t="shared" si="7"/>
        <v>3604713387.523469</v>
      </c>
      <c r="F50" s="130">
        <f t="shared" si="7"/>
        <v>9900870131.7573776</v>
      </c>
      <c r="G50" s="112"/>
    </row>
    <row r="51" spans="1:7" x14ac:dyDescent="0.35">
      <c r="A51" s="114"/>
      <c r="G51" s="112"/>
    </row>
    <row r="52" spans="1:7" x14ac:dyDescent="0.35">
      <c r="A52" s="114" t="s">
        <v>360</v>
      </c>
      <c r="B52" s="119">
        <f>B34+B41+B50</f>
        <v>10341201117.19058</v>
      </c>
      <c r="C52" s="119">
        <f>C34+C41+C50</f>
        <v>500199415.89894915</v>
      </c>
      <c r="D52" s="119">
        <f t="shared" ref="D52:F52" si="8">D34+D41+D50</f>
        <v>1112701998.1218762</v>
      </c>
      <c r="E52" s="119">
        <f t="shared" si="8"/>
        <v>13203028899.176826</v>
      </c>
      <c r="F52" s="119">
        <f t="shared" si="8"/>
        <v>13536716580.840839</v>
      </c>
      <c r="G52" s="112"/>
    </row>
    <row r="53" spans="1:7" ht="16" thickBot="1" x14ac:dyDescent="0.4">
      <c r="A53" s="114" t="s">
        <v>361</v>
      </c>
      <c r="B53" s="119">
        <f>B56-B52</f>
        <v>-2721161181.1266537</v>
      </c>
      <c r="C53" s="119">
        <f>C56-C52</f>
        <v>11563976783.657509</v>
      </c>
      <c r="D53" s="119">
        <f>D56-D52</f>
        <v>16195642103.242344</v>
      </c>
      <c r="E53" s="119">
        <f>E56-E52</f>
        <v>12906842671.905533</v>
      </c>
      <c r="F53" s="119">
        <f>F56-F52</f>
        <v>26473216898.573467</v>
      </c>
      <c r="G53" s="112"/>
    </row>
    <row r="54" spans="1:7" ht="16" thickBot="1" x14ac:dyDescent="0.4">
      <c r="A54" s="114" t="s">
        <v>362</v>
      </c>
      <c r="B54" s="607">
        <f>SUM(B52:B53)</f>
        <v>7620039936.0639267</v>
      </c>
      <c r="C54" s="608">
        <f t="shared" ref="C54:F54" si="9">SUM(C52:C53)</f>
        <v>12064176199.556458</v>
      </c>
      <c r="D54" s="608">
        <f t="shared" si="9"/>
        <v>17308344101.36422</v>
      </c>
      <c r="E54" s="608">
        <f t="shared" si="9"/>
        <v>26109871571.082359</v>
      </c>
      <c r="F54" s="609">
        <f t="shared" si="9"/>
        <v>40009933479.414307</v>
      </c>
      <c r="G54" s="112"/>
    </row>
    <row r="55" spans="1:7" ht="16" thickBot="1" x14ac:dyDescent="0.4">
      <c r="A55" s="128"/>
      <c r="B55" s="148"/>
      <c r="C55" s="148"/>
      <c r="D55" s="148"/>
      <c r="E55" s="148"/>
      <c r="F55" s="148"/>
      <c r="G55" s="149"/>
    </row>
    <row r="56" spans="1:7" hidden="1" x14ac:dyDescent="0.35">
      <c r="A56" s="114"/>
      <c r="B56" s="119">
        <f>[1]Financials!G70-SUM([1]Financials!G34,[1]Financials!G38:G42)</f>
        <v>7620039936.0639267</v>
      </c>
      <c r="C56" s="119">
        <f>[1]Financials!H70-SUM([1]Financials!H34,[1]Financials!H38:H42)</f>
        <v>12064176199.556458</v>
      </c>
      <c r="D56" s="119">
        <f>[1]Financials!I70-SUM([1]Financials!I34,[1]Financials!I38:I42)</f>
        <v>17308344101.36422</v>
      </c>
      <c r="E56" s="119">
        <f>[1]Financials!J70-SUM([1]Financials!J34,[1]Financials!J38:J42)</f>
        <v>26109871571.082359</v>
      </c>
      <c r="F56" s="119">
        <f>[1]Financials!K70-SUM([1]Financials!K34,[1]Financials!K38:K42)</f>
        <v>40009933479.414307</v>
      </c>
    </row>
    <row r="57" spans="1:7" ht="16" thickBot="1" x14ac:dyDescent="0.4"/>
    <row r="58" spans="1:7" ht="20.5" thickBot="1" x14ac:dyDescent="0.45">
      <c r="A58" s="605" t="s">
        <v>450</v>
      </c>
      <c r="B58" s="606">
        <f>Financials!G45-'Cash Flow Statement'!B54</f>
        <v>0</v>
      </c>
      <c r="C58" s="603">
        <f>Financials!H45-'Cash Flow Statement'!C54</f>
        <v>0</v>
      </c>
      <c r="D58" s="603">
        <f>Financials!I45-'Cash Flow Statement'!D54</f>
        <v>0</v>
      </c>
      <c r="E58" s="603">
        <f>Financials!J45-'Cash Flow Statement'!E54</f>
        <v>0</v>
      </c>
      <c r="F58" s="604">
        <f>Financials!K45-'Cash Flow Statement'!F54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E936-E7B8-4E39-974B-646C39B6538D}">
  <dimension ref="A1:BS4"/>
  <sheetViews>
    <sheetView workbookViewId="0">
      <selection activeCell="BR4" sqref="BR4"/>
    </sheetView>
  </sheetViews>
  <sheetFormatPr defaultRowHeight="14.5" x14ac:dyDescent="0.35"/>
  <sheetData>
    <row r="1" spans="1:71" x14ac:dyDescent="0.35">
      <c r="B1" s="582" t="s">
        <v>438</v>
      </c>
      <c r="C1" s="582">
        <v>1960</v>
      </c>
      <c r="D1" s="582">
        <v>1961</v>
      </c>
      <c r="E1" s="582">
        <v>1962</v>
      </c>
      <c r="F1" s="582">
        <v>1963</v>
      </c>
      <c r="G1" s="582">
        <v>1964</v>
      </c>
      <c r="H1" s="582">
        <v>1965</v>
      </c>
      <c r="I1" s="582">
        <v>1966</v>
      </c>
      <c r="J1" s="582">
        <v>1967</v>
      </c>
      <c r="K1" s="582">
        <v>1968</v>
      </c>
      <c r="L1" s="582">
        <v>1969</v>
      </c>
      <c r="M1" s="582">
        <v>1970</v>
      </c>
      <c r="N1" s="582">
        <v>1971</v>
      </c>
      <c r="O1" s="582">
        <v>1972</v>
      </c>
      <c r="P1" s="582">
        <v>1973</v>
      </c>
      <c r="Q1" s="582">
        <v>1974</v>
      </c>
      <c r="R1" s="582">
        <v>1975</v>
      </c>
      <c r="S1" s="582">
        <v>1976</v>
      </c>
      <c r="T1" s="582">
        <v>1977</v>
      </c>
      <c r="U1" s="582">
        <v>1978</v>
      </c>
      <c r="V1" s="582">
        <v>1979</v>
      </c>
      <c r="W1" s="582">
        <v>1980</v>
      </c>
      <c r="X1" s="582">
        <v>1981</v>
      </c>
      <c r="Y1" s="582">
        <v>1982</v>
      </c>
      <c r="Z1" s="582">
        <v>1983</v>
      </c>
      <c r="AA1" s="582">
        <v>1984</v>
      </c>
      <c r="AB1" s="582">
        <v>1985</v>
      </c>
      <c r="AC1" s="582">
        <v>1986</v>
      </c>
      <c r="AD1" s="582">
        <v>1987</v>
      </c>
      <c r="AE1" s="582">
        <v>1988</v>
      </c>
      <c r="AF1" s="582">
        <v>1989</v>
      </c>
      <c r="AG1" s="582">
        <v>1990</v>
      </c>
      <c r="AH1" s="582">
        <v>1991</v>
      </c>
      <c r="AI1" s="582">
        <v>1992</v>
      </c>
      <c r="AJ1" s="582">
        <v>1993</v>
      </c>
      <c r="AK1" s="582">
        <v>1994</v>
      </c>
      <c r="AL1" s="582">
        <v>1995</v>
      </c>
      <c r="AM1" s="582">
        <v>1996</v>
      </c>
      <c r="AN1" s="582">
        <v>1997</v>
      </c>
      <c r="AO1" s="582">
        <v>1998</v>
      </c>
      <c r="AP1" s="582">
        <v>1999</v>
      </c>
      <c r="AQ1" s="582">
        <v>2000</v>
      </c>
      <c r="AR1" s="582">
        <v>2001</v>
      </c>
      <c r="AS1" s="582">
        <v>2002</v>
      </c>
      <c r="AT1" s="582">
        <v>2003</v>
      </c>
      <c r="AU1" s="582">
        <v>2004</v>
      </c>
      <c r="AV1" s="582">
        <v>2005</v>
      </c>
      <c r="AW1" s="582">
        <v>2006</v>
      </c>
      <c r="AX1" s="582">
        <v>2007</v>
      </c>
      <c r="AY1" s="582">
        <v>2008</v>
      </c>
      <c r="AZ1" s="582">
        <v>2009</v>
      </c>
      <c r="BA1" s="582">
        <v>2010</v>
      </c>
      <c r="BB1" s="582">
        <v>2011</v>
      </c>
      <c r="BC1" s="582">
        <v>2012</v>
      </c>
      <c r="BD1" s="582">
        <v>2013</v>
      </c>
      <c r="BE1" s="582">
        <v>2014</v>
      </c>
      <c r="BF1" s="582">
        <v>2015</v>
      </c>
      <c r="BG1" s="582">
        <v>2016</v>
      </c>
      <c r="BH1" s="582">
        <v>2017</v>
      </c>
      <c r="BI1" s="582">
        <v>2018</v>
      </c>
      <c r="BJ1" s="582">
        <v>2019</v>
      </c>
      <c r="BK1" s="582">
        <v>2020</v>
      </c>
      <c r="BL1" s="582">
        <v>2021</v>
      </c>
      <c r="BM1" s="582">
        <v>2022</v>
      </c>
      <c r="BN1" s="583">
        <v>2023</v>
      </c>
      <c r="BO1" s="583">
        <v>2024</v>
      </c>
      <c r="BP1" s="583">
        <v>2025</v>
      </c>
      <c r="BQ1" s="583">
        <v>2026</v>
      </c>
      <c r="BR1" s="583">
        <v>2027</v>
      </c>
      <c r="BS1" s="583">
        <v>2028</v>
      </c>
    </row>
    <row r="2" spans="1:71" x14ac:dyDescent="0.35">
      <c r="A2" t="s">
        <v>439</v>
      </c>
      <c r="B2" t="s">
        <v>440</v>
      </c>
      <c r="C2" s="584">
        <v>6.9500000000000006E-2</v>
      </c>
      <c r="D2" s="584">
        <v>1.6400000000000001E-2</v>
      </c>
      <c r="E2" s="584">
        <v>-5.1999999999999998E-3</v>
      </c>
      <c r="F2" s="584">
        <v>1.46E-2</v>
      </c>
      <c r="G2" s="584">
        <v>4.1799999999999997E-2</v>
      </c>
      <c r="H2" s="584">
        <v>5.57E-2</v>
      </c>
      <c r="I2" s="584">
        <v>7.2300000000000003E-2</v>
      </c>
      <c r="J2" s="584">
        <v>6.8099999999999994E-2</v>
      </c>
      <c r="K2" s="584">
        <v>1.6999999999999999E-3</v>
      </c>
      <c r="L2" s="584">
        <v>3.1899999999999998E-2</v>
      </c>
      <c r="M2" s="584">
        <v>5.3499999999999999E-2</v>
      </c>
      <c r="N2" s="584">
        <v>4.7300000000000002E-2</v>
      </c>
      <c r="O2" s="584">
        <v>5.1799999999999999E-2</v>
      </c>
      <c r="P2" s="584">
        <v>0.23069999999999999</v>
      </c>
      <c r="Q2" s="584">
        <v>0.2666</v>
      </c>
      <c r="R2" s="584">
        <v>0.20899999999999999</v>
      </c>
      <c r="S2" s="584">
        <v>7.1599999999999997E-2</v>
      </c>
      <c r="T2" s="584">
        <v>0.1013</v>
      </c>
      <c r="U2" s="584">
        <v>6.1400000000000003E-2</v>
      </c>
      <c r="V2" s="584">
        <v>8.2699999999999996E-2</v>
      </c>
      <c r="W2" s="584">
        <v>0.11899999999999999</v>
      </c>
      <c r="X2" s="584">
        <v>0.11899999999999999</v>
      </c>
      <c r="Y2" s="584">
        <v>5.8999999999999997E-2</v>
      </c>
      <c r="Z2" s="584">
        <v>6.4000000000000001E-2</v>
      </c>
      <c r="AA2" s="584">
        <v>6.0999999999999999E-2</v>
      </c>
      <c r="AB2" s="584">
        <v>5.6000000000000001E-2</v>
      </c>
      <c r="AC2" s="584">
        <v>3.5000000000000003E-2</v>
      </c>
      <c r="AD2" s="584">
        <v>4.7E-2</v>
      </c>
      <c r="AE2" s="584">
        <v>8.7999999999999995E-2</v>
      </c>
      <c r="AF2" s="584">
        <v>7.9000000000000001E-2</v>
      </c>
      <c r="AG2" s="584">
        <v>9.0999999999999998E-2</v>
      </c>
      <c r="AH2" s="584">
        <v>0.126</v>
      </c>
      <c r="AI2" s="584">
        <v>4.8000000000000001E-2</v>
      </c>
      <c r="AJ2" s="584">
        <v>9.8000000000000004E-2</v>
      </c>
      <c r="AK2" s="584">
        <v>0.113</v>
      </c>
      <c r="AL2" s="584">
        <v>0.13</v>
      </c>
      <c r="AM2" s="584">
        <v>0.108</v>
      </c>
      <c r="AN2" s="584">
        <v>0.128</v>
      </c>
      <c r="AO2" s="584">
        <v>6.8000000000000005E-2</v>
      </c>
      <c r="AP2" s="584">
        <v>5.7000000000000002E-2</v>
      </c>
      <c r="AQ2" s="584">
        <v>3.5999999999999997E-2</v>
      </c>
      <c r="AR2" s="584">
        <v>4.3999999999999997E-2</v>
      </c>
      <c r="AS2" s="584">
        <v>3.5000000000000003E-2</v>
      </c>
      <c r="AT2" s="584">
        <v>3.1E-2</v>
      </c>
      <c r="AU2" s="584">
        <v>4.5999999999999999E-2</v>
      </c>
      <c r="AV2" s="584">
        <v>9.2999999999999999E-2</v>
      </c>
      <c r="AW2" s="584">
        <v>7.9000000000000001E-2</v>
      </c>
      <c r="AX2" s="584">
        <v>7.8E-2</v>
      </c>
      <c r="AY2" s="584">
        <v>0.12</v>
      </c>
      <c r="AZ2" s="584">
        <v>0.19600000000000001</v>
      </c>
      <c r="BA2" s="584">
        <v>0.10100000000000001</v>
      </c>
      <c r="BB2" s="584">
        <v>0.13700000000000001</v>
      </c>
      <c r="BC2" s="584">
        <v>0.11</v>
      </c>
      <c r="BD2" s="584">
        <v>7.3999999999999996E-2</v>
      </c>
      <c r="BE2" s="584">
        <v>8.5999999999999993E-2</v>
      </c>
      <c r="BF2" s="584">
        <v>4.4999999999999998E-2</v>
      </c>
      <c r="BG2" s="584">
        <v>2.9000000000000001E-2</v>
      </c>
      <c r="BH2" s="584">
        <v>4.1000000000000002E-2</v>
      </c>
      <c r="BI2" s="584">
        <v>3.9E-2</v>
      </c>
      <c r="BJ2" s="584">
        <v>6.7000000000000004E-2</v>
      </c>
      <c r="BK2" s="584">
        <v>0.107</v>
      </c>
      <c r="BL2" s="584">
        <v>8.8999999999999996E-2</v>
      </c>
      <c r="BM2" s="584">
        <v>0.121</v>
      </c>
      <c r="BN2" s="585">
        <v>0.29199999999999998</v>
      </c>
      <c r="BO2" s="585">
        <v>0.23599999999999999</v>
      </c>
      <c r="BP2" s="585">
        <v>0.122</v>
      </c>
      <c r="BQ2" s="585">
        <v>7.9000000000000001E-2</v>
      </c>
      <c r="BR2" s="585">
        <v>6.5000000000000002E-2</v>
      </c>
      <c r="BS2" s="585">
        <v>6.5000000000000002E-2</v>
      </c>
    </row>
    <row r="3" spans="1:71" x14ac:dyDescent="0.35">
      <c r="A3" t="s">
        <v>441</v>
      </c>
      <c r="B3" t="s">
        <v>442</v>
      </c>
      <c r="C3" s="584">
        <v>1.46E-2</v>
      </c>
      <c r="D3" s="584">
        <v>1.0699999999999999E-2</v>
      </c>
      <c r="E3" s="584">
        <v>1.2E-2</v>
      </c>
      <c r="F3" s="584">
        <v>1.24E-2</v>
      </c>
      <c r="G3" s="584">
        <v>1.2800000000000001E-2</v>
      </c>
      <c r="H3" s="584">
        <v>1.5900000000000001E-2</v>
      </c>
      <c r="I3" s="584">
        <v>3.0200000000000001E-2</v>
      </c>
      <c r="J3" s="584">
        <v>2.7699999999999999E-2</v>
      </c>
      <c r="K3" s="584">
        <v>4.2700000000000002E-2</v>
      </c>
      <c r="L3" s="584">
        <v>5.4600000000000003E-2</v>
      </c>
      <c r="M3" s="584">
        <v>5.8400000000000001E-2</v>
      </c>
      <c r="N3" s="584">
        <v>4.2900000000000001E-2</v>
      </c>
      <c r="O3" s="584">
        <v>3.27E-2</v>
      </c>
      <c r="P3" s="584">
        <v>6.1800000000000001E-2</v>
      </c>
      <c r="Q3" s="584">
        <v>0.1105</v>
      </c>
      <c r="R3" s="584">
        <v>9.1399999999999995E-2</v>
      </c>
      <c r="S3" s="584">
        <v>5.74E-2</v>
      </c>
      <c r="T3" s="584">
        <v>6.5000000000000002E-2</v>
      </c>
      <c r="U3" s="584">
        <v>7.6300000000000007E-2</v>
      </c>
      <c r="V3" s="584">
        <v>0.1125</v>
      </c>
      <c r="W3" s="586">
        <v>0.13500000000000001</v>
      </c>
      <c r="X3" s="586">
        <v>0.104</v>
      </c>
      <c r="Y3" s="586">
        <v>6.2E-2</v>
      </c>
      <c r="Z3" s="586">
        <v>3.2000000000000001E-2</v>
      </c>
      <c r="AA3" s="586">
        <v>4.3999999999999997E-2</v>
      </c>
      <c r="AB3" s="586">
        <v>3.5000000000000003E-2</v>
      </c>
      <c r="AC3" s="586">
        <v>1.9E-2</v>
      </c>
      <c r="AD3" s="586">
        <v>3.5999999999999997E-2</v>
      </c>
      <c r="AE3" s="586">
        <v>4.1000000000000002E-2</v>
      </c>
      <c r="AF3" s="586">
        <v>4.8000000000000001E-2</v>
      </c>
      <c r="AG3" s="586">
        <v>5.3999999999999999E-2</v>
      </c>
      <c r="AH3" s="586">
        <v>4.2000000000000003E-2</v>
      </c>
      <c r="AI3" s="587">
        <v>0.03</v>
      </c>
      <c r="AJ3" s="587">
        <v>0.03</v>
      </c>
      <c r="AK3" s="586">
        <v>2.5999999999999999E-2</v>
      </c>
      <c r="AL3" s="586">
        <v>2.8000000000000001E-2</v>
      </c>
      <c r="AM3" s="586">
        <v>2.9000000000000001E-2</v>
      </c>
      <c r="AN3" s="586">
        <v>2.3E-2</v>
      </c>
      <c r="AO3" s="586">
        <v>1.4999999999999999E-2</v>
      </c>
      <c r="AP3" s="586">
        <v>2.1999999999999999E-2</v>
      </c>
      <c r="AQ3" s="586">
        <v>3.4000000000000002E-2</v>
      </c>
      <c r="AR3" s="586">
        <v>2.8000000000000001E-2</v>
      </c>
      <c r="AS3" s="586">
        <v>1.6E-2</v>
      </c>
      <c r="AT3" s="586">
        <v>2.3E-2</v>
      </c>
      <c r="AU3" s="586">
        <v>2.7E-2</v>
      </c>
      <c r="AV3" s="586">
        <v>3.4000000000000002E-2</v>
      </c>
      <c r="AW3" s="586">
        <v>3.2000000000000001E-2</v>
      </c>
      <c r="AX3" s="586">
        <v>2.9000000000000001E-2</v>
      </c>
      <c r="AY3" s="586">
        <v>3.7999999999999999E-2</v>
      </c>
      <c r="AZ3" s="586">
        <v>-3.0000000000000001E-3</v>
      </c>
      <c r="BA3" s="586">
        <v>1.6E-2</v>
      </c>
      <c r="BB3" s="586">
        <v>3.1E-2</v>
      </c>
      <c r="BC3" s="586">
        <v>2.1000000000000001E-2</v>
      </c>
      <c r="BD3" s="586">
        <v>1.4999999999999999E-2</v>
      </c>
      <c r="BE3" s="586">
        <v>1.6E-2</v>
      </c>
      <c r="BF3" s="586">
        <v>1E-3</v>
      </c>
      <c r="BG3" s="586">
        <v>1.2999999999999999E-2</v>
      </c>
      <c r="BH3" s="586">
        <v>2.1000000000000001E-2</v>
      </c>
      <c r="BI3" s="586">
        <v>2.4E-2</v>
      </c>
      <c r="BJ3" s="586">
        <v>1.7999999999999999E-2</v>
      </c>
      <c r="BK3" s="586">
        <v>1.2999999999999999E-2</v>
      </c>
      <c r="BL3" s="586">
        <v>4.7E-2</v>
      </c>
      <c r="BM3" s="587">
        <v>0.08</v>
      </c>
      <c r="BN3" s="585">
        <v>4.1000000000000002E-2</v>
      </c>
      <c r="BO3" s="585">
        <v>2.8000000000000001E-2</v>
      </c>
      <c r="BP3" s="585">
        <v>2.4E-2</v>
      </c>
      <c r="BQ3" s="585">
        <v>2.1999999999999999E-2</v>
      </c>
      <c r="BR3" s="585">
        <v>2.1000000000000001E-2</v>
      </c>
      <c r="BS3" s="585">
        <v>2.1000000000000001E-2</v>
      </c>
    </row>
    <row r="4" spans="1:71" x14ac:dyDescent="0.35">
      <c r="A4" t="s">
        <v>443</v>
      </c>
      <c r="C4" s="588">
        <f>C3-C2</f>
        <v>-5.4900000000000004E-2</v>
      </c>
      <c r="D4" s="588">
        <f t="shared" ref="D4:BN4" si="0">D3-D2</f>
        <v>-5.7000000000000019E-3</v>
      </c>
      <c r="E4" s="588">
        <f t="shared" si="0"/>
        <v>1.72E-2</v>
      </c>
      <c r="F4" s="588">
        <f t="shared" si="0"/>
        <v>-2.2000000000000006E-3</v>
      </c>
      <c r="G4" s="588">
        <f t="shared" si="0"/>
        <v>-2.8999999999999998E-2</v>
      </c>
      <c r="H4" s="588">
        <f t="shared" si="0"/>
        <v>-3.9800000000000002E-2</v>
      </c>
      <c r="I4" s="588">
        <f t="shared" si="0"/>
        <v>-4.2099999999999999E-2</v>
      </c>
      <c r="J4" s="588">
        <f t="shared" si="0"/>
        <v>-4.0399999999999991E-2</v>
      </c>
      <c r="K4" s="588">
        <f t="shared" si="0"/>
        <v>4.1000000000000002E-2</v>
      </c>
      <c r="L4" s="588">
        <f t="shared" si="0"/>
        <v>2.2700000000000005E-2</v>
      </c>
      <c r="M4" s="588">
        <f t="shared" si="0"/>
        <v>4.9000000000000016E-3</v>
      </c>
      <c r="N4" s="588">
        <f t="shared" si="0"/>
        <v>-4.4000000000000011E-3</v>
      </c>
      <c r="O4" s="588">
        <f t="shared" si="0"/>
        <v>-1.9099999999999999E-2</v>
      </c>
      <c r="P4" s="588">
        <f t="shared" si="0"/>
        <v>-0.16889999999999999</v>
      </c>
      <c r="Q4" s="588">
        <f t="shared" si="0"/>
        <v>-0.15610000000000002</v>
      </c>
      <c r="R4" s="588">
        <f t="shared" si="0"/>
        <v>-0.1176</v>
      </c>
      <c r="S4" s="588">
        <f t="shared" si="0"/>
        <v>-1.4199999999999997E-2</v>
      </c>
      <c r="T4" s="588">
        <f t="shared" si="0"/>
        <v>-3.6299999999999999E-2</v>
      </c>
      <c r="U4" s="588">
        <f t="shared" si="0"/>
        <v>1.4900000000000004E-2</v>
      </c>
      <c r="V4" s="588">
        <f t="shared" si="0"/>
        <v>2.9800000000000007E-2</v>
      </c>
      <c r="W4" s="588">
        <f t="shared" si="0"/>
        <v>1.6000000000000014E-2</v>
      </c>
      <c r="X4" s="588">
        <f t="shared" si="0"/>
        <v>-1.4999999999999999E-2</v>
      </c>
      <c r="Y4" s="588">
        <f t="shared" si="0"/>
        <v>3.0000000000000027E-3</v>
      </c>
      <c r="Z4" s="588">
        <f t="shared" si="0"/>
        <v>-3.2000000000000001E-2</v>
      </c>
      <c r="AA4" s="588">
        <f t="shared" si="0"/>
        <v>-1.7000000000000001E-2</v>
      </c>
      <c r="AB4" s="588">
        <f t="shared" si="0"/>
        <v>-2.0999999999999998E-2</v>
      </c>
      <c r="AC4" s="588">
        <f t="shared" si="0"/>
        <v>-1.6000000000000004E-2</v>
      </c>
      <c r="AD4" s="588">
        <f t="shared" si="0"/>
        <v>-1.1000000000000003E-2</v>
      </c>
      <c r="AE4" s="588">
        <f t="shared" si="0"/>
        <v>-4.6999999999999993E-2</v>
      </c>
      <c r="AF4" s="588">
        <f t="shared" si="0"/>
        <v>-3.1E-2</v>
      </c>
      <c r="AG4" s="588">
        <f t="shared" si="0"/>
        <v>-3.6999999999999998E-2</v>
      </c>
      <c r="AH4" s="588">
        <f t="shared" si="0"/>
        <v>-8.3999999999999991E-2</v>
      </c>
      <c r="AI4" s="588">
        <f t="shared" si="0"/>
        <v>-1.8000000000000002E-2</v>
      </c>
      <c r="AJ4" s="588">
        <f t="shared" si="0"/>
        <v>-6.8000000000000005E-2</v>
      </c>
      <c r="AK4" s="588">
        <f t="shared" si="0"/>
        <v>-8.7000000000000008E-2</v>
      </c>
      <c r="AL4" s="588">
        <f t="shared" si="0"/>
        <v>-0.10200000000000001</v>
      </c>
      <c r="AM4" s="588">
        <f t="shared" si="0"/>
        <v>-7.9000000000000001E-2</v>
      </c>
      <c r="AN4" s="588">
        <f t="shared" si="0"/>
        <v>-0.10500000000000001</v>
      </c>
      <c r="AO4" s="588">
        <f t="shared" si="0"/>
        <v>-5.3000000000000005E-2</v>
      </c>
      <c r="AP4" s="588">
        <f t="shared" si="0"/>
        <v>-3.5000000000000003E-2</v>
      </c>
      <c r="AQ4" s="588">
        <f t="shared" si="0"/>
        <v>-1.9999999999999948E-3</v>
      </c>
      <c r="AR4" s="588">
        <f t="shared" si="0"/>
        <v>-1.5999999999999997E-2</v>
      </c>
      <c r="AS4" s="588">
        <f t="shared" si="0"/>
        <v>-1.9000000000000003E-2</v>
      </c>
      <c r="AT4" s="588">
        <f t="shared" si="0"/>
        <v>-8.0000000000000002E-3</v>
      </c>
      <c r="AU4" s="588">
        <f t="shared" si="0"/>
        <v>-1.9E-2</v>
      </c>
      <c r="AV4" s="588">
        <f t="shared" si="0"/>
        <v>-5.8999999999999997E-2</v>
      </c>
      <c r="AW4" s="588">
        <f t="shared" si="0"/>
        <v>-4.7E-2</v>
      </c>
      <c r="AX4" s="588">
        <f t="shared" si="0"/>
        <v>-4.9000000000000002E-2</v>
      </c>
      <c r="AY4" s="588">
        <f t="shared" si="0"/>
        <v>-8.199999999999999E-2</v>
      </c>
      <c r="AZ4" s="588">
        <f t="shared" si="0"/>
        <v>-0.19900000000000001</v>
      </c>
      <c r="BA4" s="588">
        <f t="shared" si="0"/>
        <v>-8.5000000000000006E-2</v>
      </c>
      <c r="BB4" s="588">
        <f t="shared" si="0"/>
        <v>-0.10600000000000001</v>
      </c>
      <c r="BC4" s="588">
        <f t="shared" si="0"/>
        <v>-8.8999999999999996E-2</v>
      </c>
      <c r="BD4" s="588">
        <f t="shared" si="0"/>
        <v>-5.8999999999999997E-2</v>
      </c>
      <c r="BE4" s="588">
        <f t="shared" si="0"/>
        <v>-6.9999999999999993E-2</v>
      </c>
      <c r="BF4" s="588">
        <f t="shared" si="0"/>
        <v>-4.3999999999999997E-2</v>
      </c>
      <c r="BG4" s="588">
        <f t="shared" si="0"/>
        <v>-1.6E-2</v>
      </c>
      <c r="BH4" s="588">
        <f t="shared" si="0"/>
        <v>-0.02</v>
      </c>
      <c r="BI4" s="588">
        <f t="shared" si="0"/>
        <v>-1.4999999999999999E-2</v>
      </c>
      <c r="BJ4" s="588">
        <f t="shared" si="0"/>
        <v>-4.9000000000000002E-2</v>
      </c>
      <c r="BK4" s="588">
        <f t="shared" si="0"/>
        <v>-9.4E-2</v>
      </c>
      <c r="BL4" s="588">
        <f t="shared" si="0"/>
        <v>-4.1999999999999996E-2</v>
      </c>
      <c r="BM4" s="588">
        <f t="shared" si="0"/>
        <v>-4.0999999999999995E-2</v>
      </c>
      <c r="BN4" s="588">
        <f t="shared" si="0"/>
        <v>-0.251</v>
      </c>
      <c r="BO4" s="588">
        <f>BO3-BO2</f>
        <v>-0.20799999999999999</v>
      </c>
      <c r="BP4" s="588">
        <f>BP3-BP2</f>
        <v>-9.8000000000000004E-2</v>
      </c>
      <c r="BQ4" s="588">
        <f>BQ3-BQ2</f>
        <v>-5.7000000000000002E-2</v>
      </c>
      <c r="BR4" s="588">
        <f>BR3-BR2</f>
        <v>-4.3999999999999997E-2</v>
      </c>
      <c r="BS4" s="588">
        <f>BS3-BS2</f>
        <v>-4.3999999999999997E-2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4B8EB-29BF-4A67-B120-D27DCEC91EA0}">
  <dimension ref="A2:S256"/>
  <sheetViews>
    <sheetView zoomScale="75" workbookViewId="0">
      <selection activeCell="AG52" sqref="AG52"/>
    </sheetView>
  </sheetViews>
  <sheetFormatPr defaultColWidth="8.90625" defaultRowHeight="14" x14ac:dyDescent="0.3"/>
  <cols>
    <col min="1" max="1" width="30.08984375" style="543" customWidth="1"/>
    <col min="2" max="2" width="14.6328125" style="543" bestFit="1" customWidth="1"/>
    <col min="3" max="3" width="13.90625" style="543" customWidth="1"/>
    <col min="4" max="6" width="14.36328125" style="543" bestFit="1" customWidth="1"/>
    <col min="7" max="7" width="12.6328125" style="543" bestFit="1" customWidth="1"/>
    <col min="8" max="9" width="13.90625" style="543" bestFit="1" customWidth="1"/>
    <col min="10" max="13" width="8.90625" style="543"/>
    <col min="14" max="14" width="10.36328125" style="543" bestFit="1" customWidth="1"/>
    <col min="15" max="15" width="9" style="543" bestFit="1" customWidth="1"/>
    <col min="16" max="16" width="12.08984375" style="543" bestFit="1" customWidth="1"/>
    <col min="17" max="17" width="8.90625" style="543"/>
    <col min="18" max="18" width="20.6328125" style="543" bestFit="1" customWidth="1"/>
    <col min="19" max="19" width="18.453125" style="543" bestFit="1" customWidth="1"/>
    <col min="20" max="16384" width="8.90625" style="543"/>
  </cols>
  <sheetData>
    <row r="2" spans="1:19" x14ac:dyDescent="0.3">
      <c r="A2" s="540" t="s">
        <v>383</v>
      </c>
      <c r="B2" s="541">
        <v>2019</v>
      </c>
      <c r="C2" s="541">
        <v>2020</v>
      </c>
      <c r="D2" s="541">
        <v>2021</v>
      </c>
      <c r="E2" s="541">
        <v>2022</v>
      </c>
      <c r="F2" s="541">
        <v>2023</v>
      </c>
      <c r="G2" s="542">
        <v>2024</v>
      </c>
      <c r="H2" s="542">
        <v>2025</v>
      </c>
      <c r="I2" s="542">
        <v>2026</v>
      </c>
      <c r="J2" s="542">
        <v>2027</v>
      </c>
      <c r="K2" s="542">
        <v>2028</v>
      </c>
    </row>
    <row r="3" spans="1:19" x14ac:dyDescent="0.3">
      <c r="A3" s="543" t="s">
        <v>384</v>
      </c>
      <c r="B3" s="544">
        <v>-13.68</v>
      </c>
      <c r="C3" s="544">
        <v>-17.739999999999998</v>
      </c>
      <c r="D3" s="544">
        <v>1.52</v>
      </c>
      <c r="E3" s="544">
        <v>19.96</v>
      </c>
      <c r="F3" s="543">
        <v>2.9</v>
      </c>
      <c r="G3" s="545">
        <f>'[2]Income Statement'!L20/'Ratios (2)'!$S$7</f>
        <v>0.13055020453687405</v>
      </c>
      <c r="H3" s="545">
        <f>'[2]Income Statement'!M20/'Ratios (2)'!$S$7</f>
        <v>0.14047962495648089</v>
      </c>
      <c r="I3" s="545">
        <f>'[2]Income Statement'!N20/'Ratios (2)'!$S$7</f>
        <v>0.16912414435857689</v>
      </c>
      <c r="J3" s="545">
        <f>'[2]Income Statement'!O20/'Ratios (2)'!$S$7</f>
        <v>0.17865355902871677</v>
      </c>
      <c r="K3" s="545">
        <f>'[2]Income Statement'!P20/'Ratios (2)'!$S$7</f>
        <v>0.21090627806368195</v>
      </c>
      <c r="M3" s="546" t="s">
        <v>385</v>
      </c>
    </row>
    <row r="4" spans="1:19" x14ac:dyDescent="0.3">
      <c r="A4" s="543" t="s">
        <v>386</v>
      </c>
      <c r="B4" s="547"/>
      <c r="C4" s="548">
        <f>((C3/B3)-1)*-1</f>
        <v>-0.29678362573099415</v>
      </c>
      <c r="D4" s="548">
        <f>((D3/C3)-1)*-1</f>
        <v>1.0856820744081173</v>
      </c>
      <c r="E4" s="548">
        <f>(E3/D3)-1</f>
        <v>12.131578947368421</v>
      </c>
      <c r="F4" s="548">
        <f t="shared" ref="F4:K4" si="0">(F3/E3)-1</f>
        <v>-0.85470941883767537</v>
      </c>
      <c r="G4" s="549">
        <f t="shared" si="0"/>
        <v>-0.95498268809073306</v>
      </c>
      <c r="H4" s="549">
        <f t="shared" si="0"/>
        <v>7.6058252492452239E-2</v>
      </c>
      <c r="I4" s="549">
        <f t="shared" si="0"/>
        <v>0.20390515287159805</v>
      </c>
      <c r="J4" s="549">
        <f t="shared" si="0"/>
        <v>5.6345678532661925E-2</v>
      </c>
      <c r="K4" s="549">
        <f t="shared" si="0"/>
        <v>0.1805321943224254</v>
      </c>
    </row>
    <row r="5" spans="1:19" x14ac:dyDescent="0.3">
      <c r="A5" s="543" t="s">
        <v>394</v>
      </c>
      <c r="B5" s="550">
        <f t="shared" ref="B5:K5" si="1">B8/B3</f>
        <v>-1.1842105263157894</v>
      </c>
      <c r="C5" s="550">
        <f t="shared" si="1"/>
        <v>-0.64261555806087944</v>
      </c>
      <c r="D5" s="550">
        <f t="shared" si="1"/>
        <v>16.25</v>
      </c>
      <c r="E5" s="550">
        <f t="shared" si="1"/>
        <v>0.89679358717434854</v>
      </c>
      <c r="F5" s="550">
        <f t="shared" si="1"/>
        <v>4.6896551724137927</v>
      </c>
      <c r="G5" s="545">
        <f t="shared" si="1"/>
        <v>128.37972992425392</v>
      </c>
      <c r="H5" s="545">
        <f t="shared" si="1"/>
        <v>120.10282633675</v>
      </c>
      <c r="I5" s="545">
        <f t="shared" si="1"/>
        <v>106.23202303928676</v>
      </c>
      <c r="J5" s="545">
        <f t="shared" si="1"/>
        <v>93.027421845699436</v>
      </c>
      <c r="K5" s="545">
        <f t="shared" si="1"/>
        <v>77.587145106506028</v>
      </c>
      <c r="M5" s="546" t="s">
        <v>387</v>
      </c>
      <c r="R5" s="540" t="s">
        <v>388</v>
      </c>
      <c r="S5" s="551"/>
    </row>
    <row r="6" spans="1:19" x14ac:dyDescent="0.3">
      <c r="A6" s="543" t="s">
        <v>397</v>
      </c>
      <c r="B6" s="552">
        <f>B8/B7</f>
        <v>2.3800960723004438</v>
      </c>
      <c r="C6" s="552">
        <f>C8/C7</f>
        <v>2.0258178668448137</v>
      </c>
      <c r="D6" s="552">
        <f t="shared" ref="D6:K6" si="2">D8/D7</f>
        <v>3.7959195024054728</v>
      </c>
      <c r="E6" s="552">
        <f t="shared" si="2"/>
        <v>1.2399539485259787</v>
      </c>
      <c r="F6" s="552">
        <f t="shared" si="2"/>
        <v>0.81234883241115596</v>
      </c>
      <c r="G6" s="553">
        <f t="shared" si="2"/>
        <v>0.88734432391380924</v>
      </c>
      <c r="H6" s="553">
        <f t="shared" si="2"/>
        <v>0.66967069652279387</v>
      </c>
      <c r="I6" s="553">
        <f t="shared" si="2"/>
        <v>0.55074463225514037</v>
      </c>
      <c r="J6" s="553">
        <f t="shared" si="2"/>
        <v>0.37216381970130635</v>
      </c>
      <c r="K6" s="553">
        <f t="shared" si="2"/>
        <v>0.24961132058852595</v>
      </c>
      <c r="M6" s="546" t="s">
        <v>389</v>
      </c>
      <c r="N6" s="546" t="s">
        <v>390</v>
      </c>
      <c r="O6" s="546" t="s">
        <v>391</v>
      </c>
      <c r="P6" s="546" t="s">
        <v>392</v>
      </c>
      <c r="R6" s="543" t="s">
        <v>393</v>
      </c>
      <c r="S6" s="554" t="s">
        <v>432</v>
      </c>
    </row>
    <row r="7" spans="1:19" x14ac:dyDescent="0.3">
      <c r="A7" s="543" t="s">
        <v>399</v>
      </c>
      <c r="B7" s="550">
        <f>SUM(Financials!B36,Financials!B47)/'Ratios (2)'!$S$7</f>
        <v>6.8064479365079364</v>
      </c>
      <c r="C7" s="550">
        <f>SUM(Financials!C36,Financials!C47)/'Ratios (2)'!$S$7</f>
        <v>5.6273568253968254</v>
      </c>
      <c r="D7" s="550">
        <f>SUM(Financials!D36,Financials!D47)/'Ratios (2)'!$S$7</f>
        <v>6.5069873015873014</v>
      </c>
      <c r="E7" s="550">
        <f>SUM(Financials!E36,Financials!E47)/'Ratios (2)'!$S$7</f>
        <v>14.436019999999999</v>
      </c>
      <c r="F7" s="550">
        <f>SUM(Financials!F36,Financials!F47)/'Ratios (2)'!$S$7</f>
        <v>16.741576349206348</v>
      </c>
      <c r="G7" s="545">
        <f>SUM(Financials!G36,Financials!G47)/'Ratios (2)'!$S$7</f>
        <v>18.887820148639339</v>
      </c>
      <c r="H7" s="545">
        <f>SUM(Financials!H36,Financials!H47)/'Ratios (2)'!$S$7</f>
        <v>25.194472578248341</v>
      </c>
      <c r="I7" s="545">
        <f>SUM(Financials!I36,Financials!I47)/'Ratios (2)'!$S$7</f>
        <v>32.622015627156955</v>
      </c>
      <c r="J7" s="545">
        <f>SUM(Financials!J36,Financials!J47)/'Ratios (2)'!$S$7</f>
        <v>44.6568933362161</v>
      </c>
      <c r="K7" s="545">
        <f>SUM(Financials!K36,Financials!K47)/'Ratios (2)'!$S$7</f>
        <v>65.55638566960171</v>
      </c>
      <c r="M7" s="543" t="s">
        <v>431</v>
      </c>
      <c r="N7" s="555">
        <v>44743</v>
      </c>
      <c r="O7" s="158">
        <v>17.47</v>
      </c>
      <c r="P7" s="158">
        <v>7296053</v>
      </c>
      <c r="R7" s="543" t="s">
        <v>396</v>
      </c>
      <c r="S7" s="556">
        <f>Financials!F51</f>
        <v>6300000000</v>
      </c>
    </row>
    <row r="8" spans="1:19" x14ac:dyDescent="0.3">
      <c r="A8" s="557" t="s">
        <v>401</v>
      </c>
      <c r="B8" s="558">
        <v>16.2</v>
      </c>
      <c r="C8" s="558">
        <v>11.4</v>
      </c>
      <c r="D8" s="558">
        <v>24.7</v>
      </c>
      <c r="E8" s="558">
        <v>17.899999999999999</v>
      </c>
      <c r="F8" s="558">
        <v>13.6</v>
      </c>
      <c r="G8" s="559">
        <f>AVERAGE(B8:F8)</f>
        <v>16.759999999999998</v>
      </c>
      <c r="H8" s="559">
        <f t="shared" ref="H8:K8" si="3">AVERAGE(C8:G8)</f>
        <v>16.871999999999996</v>
      </c>
      <c r="I8" s="559">
        <f t="shared" si="3"/>
        <v>17.9664</v>
      </c>
      <c r="J8" s="559">
        <f t="shared" si="3"/>
        <v>16.619679999999999</v>
      </c>
      <c r="K8" s="559">
        <f t="shared" si="3"/>
        <v>16.363616</v>
      </c>
      <c r="M8" s="543" t="s">
        <v>431</v>
      </c>
      <c r="N8" s="555">
        <v>44746</v>
      </c>
      <c r="O8" s="158">
        <v>16.91</v>
      </c>
      <c r="P8" s="158">
        <v>4387325</v>
      </c>
      <c r="R8" s="543" t="s">
        <v>398</v>
      </c>
      <c r="S8" s="560">
        <f>6300*O252</f>
        <v>85428</v>
      </c>
    </row>
    <row r="9" spans="1:19" x14ac:dyDescent="0.3">
      <c r="A9" s="561" t="s">
        <v>404</v>
      </c>
      <c r="M9" s="543" t="s">
        <v>431</v>
      </c>
      <c r="N9" s="555">
        <v>44747</v>
      </c>
      <c r="O9" s="158">
        <v>17.100000000000001</v>
      </c>
      <c r="P9" s="158">
        <v>3742527</v>
      </c>
      <c r="R9" s="543" t="s">
        <v>400</v>
      </c>
      <c r="S9" s="556">
        <v>12136</v>
      </c>
    </row>
    <row r="10" spans="1:19" x14ac:dyDescent="0.3">
      <c r="M10" s="543" t="s">
        <v>431</v>
      </c>
      <c r="N10" s="555">
        <v>44748</v>
      </c>
      <c r="O10" s="158">
        <v>17.2</v>
      </c>
      <c r="P10" s="158">
        <v>2651222</v>
      </c>
      <c r="R10" s="543" t="s">
        <v>402</v>
      </c>
      <c r="S10" s="543" t="s">
        <v>403</v>
      </c>
    </row>
    <row r="11" spans="1:19" x14ac:dyDescent="0.3">
      <c r="A11" s="540"/>
      <c r="B11" s="541">
        <v>2019</v>
      </c>
      <c r="C11" s="541">
        <v>2020</v>
      </c>
      <c r="D11" s="541">
        <v>2021</v>
      </c>
      <c r="E11" s="541">
        <v>2022</v>
      </c>
      <c r="F11" s="541">
        <v>2023</v>
      </c>
      <c r="G11" s="542">
        <v>2024</v>
      </c>
      <c r="H11" s="542">
        <v>2025</v>
      </c>
      <c r="I11" s="542">
        <v>2026</v>
      </c>
      <c r="J11" s="542">
        <v>2027</v>
      </c>
      <c r="K11" s="542">
        <v>2028</v>
      </c>
      <c r="M11" s="543" t="s">
        <v>431</v>
      </c>
      <c r="N11" s="555">
        <v>44749</v>
      </c>
      <c r="O11" s="158">
        <v>17.079999999999998</v>
      </c>
      <c r="P11" s="158">
        <v>5075212</v>
      </c>
      <c r="R11" s="557" t="s">
        <v>405</v>
      </c>
      <c r="S11" s="562" t="s">
        <v>435</v>
      </c>
    </row>
    <row r="12" spans="1:19" x14ac:dyDescent="0.3">
      <c r="A12" s="543" t="s">
        <v>407</v>
      </c>
      <c r="B12" s="563">
        <f>Financials!B7/Assumptions_IS!C18</f>
        <v>-2.0926610410021865E-2</v>
      </c>
      <c r="C12" s="563">
        <f>Financials!C7/Assumptions_IS!D18</f>
        <v>-3.3124671054467432E-2</v>
      </c>
      <c r="D12" s="563">
        <f>Financials!D7/Assumptions_IS!E18</f>
        <v>2.3212561733787895E-2</v>
      </c>
      <c r="E12" s="563">
        <f>Financials!E7/Assumptions_IS!F18</f>
        <v>9.056090150097787E-2</v>
      </c>
      <c r="F12" s="563">
        <f>Financials!F7/Assumptions_IS!G18</f>
        <v>2.2426914639591639E-2</v>
      </c>
      <c r="G12" s="564">
        <f>Financials!G7/Assumptions_IS!H18</f>
        <v>7.9597131504298674E-2</v>
      </c>
      <c r="H12" s="564">
        <f>Financials!H7/Assumptions_IS!I18</f>
        <v>9.6585780790212697E-2</v>
      </c>
      <c r="I12" s="564">
        <f>Financials!I7/Assumptions_IS!J18</f>
        <v>0.11740222821740089</v>
      </c>
      <c r="J12" s="564">
        <f>Financials!J7/Assumptions_IS!K18</f>
        <v>0.14912997566395697</v>
      </c>
      <c r="K12" s="564">
        <f>Financials!K7/Assumptions_IS!L18</f>
        <v>0.18185047436717072</v>
      </c>
      <c r="M12" s="543" t="s">
        <v>431</v>
      </c>
      <c r="N12" s="555">
        <v>44755</v>
      </c>
      <c r="O12" s="158">
        <v>17.86</v>
      </c>
      <c r="P12" s="158">
        <v>6560614</v>
      </c>
      <c r="R12" s="561" t="s">
        <v>406</v>
      </c>
    </row>
    <row r="13" spans="1:19" x14ac:dyDescent="0.3">
      <c r="A13" s="543" t="s">
        <v>408</v>
      </c>
      <c r="B13" s="563">
        <f>Financials!B15/Assumptions_IS!C18</f>
        <v>-2.4974335444594004E-2</v>
      </c>
      <c r="C13" s="563">
        <f>Financials!C15/Assumptions_IS!D18</f>
        <v>-3.7257343144089607E-2</v>
      </c>
      <c r="D13" s="563">
        <f>Financials!D15/Assumptions_IS!E18</f>
        <v>2.1176842548140316E-2</v>
      </c>
      <c r="E13" s="563">
        <f>Financials!E15/Assumptions_IS!F18</f>
        <v>7.818014151169432E-2</v>
      </c>
      <c r="F13" s="563">
        <f>Financials!F15/Assumptions_IS!G18</f>
        <v>2.2880128870799273E-2</v>
      </c>
      <c r="G13" s="564">
        <f>Financials!G15/Assumptions_IS!H18</f>
        <v>7.7560765581841759E-2</v>
      </c>
      <c r="H13" s="564">
        <f>Financials!H15/Assumptions_IS!I18</f>
        <v>9.445011600098574E-2</v>
      </c>
      <c r="I13" s="564">
        <f>Financials!I15/Assumptions_IS!J18</f>
        <v>0.11487381656313982</v>
      </c>
      <c r="J13" s="564">
        <f>Financials!J15/Assumptions_IS!K18</f>
        <v>0.14585256170838962</v>
      </c>
      <c r="K13" s="564">
        <f>Financials!K15/Assumptions_IS!L18</f>
        <v>0.17836452901423475</v>
      </c>
      <c r="M13" s="543" t="s">
        <v>431</v>
      </c>
      <c r="N13" s="555">
        <v>44756</v>
      </c>
      <c r="O13" s="158">
        <v>17.75</v>
      </c>
      <c r="P13" s="158">
        <v>7255157</v>
      </c>
    </row>
    <row r="14" spans="1:19" x14ac:dyDescent="0.3">
      <c r="A14" s="557" t="s">
        <v>409</v>
      </c>
      <c r="B14" s="565">
        <f>Financials!B21/Assumptions_IS!C18</f>
        <v>-3.8373465124316684E-2</v>
      </c>
      <c r="C14" s="565">
        <f>Financials!C21/Assumptions_IS!D18</f>
        <v>-5.7559599046182318E-2</v>
      </c>
      <c r="D14" s="565">
        <f>Financials!D21/Assumptions_IS!E18</f>
        <v>6.712051201460574E-3</v>
      </c>
      <c r="E14" s="565">
        <f>Financials!E21/Assumptions_IS!F18</f>
        <v>5.6168116139802937E-2</v>
      </c>
      <c r="F14" s="565">
        <f>Financials!F21/Assumptions_IS!G18</f>
        <v>5.6061342453268678E-3</v>
      </c>
      <c r="G14" s="566">
        <f>Financials!G21/Assumptions_IS!H18</f>
        <v>5.0871689883120297E-2</v>
      </c>
      <c r="H14" s="566">
        <f>Financials!H21/Assumptions_IS!I18</f>
        <v>6.3142394444583083E-2</v>
      </c>
      <c r="I14" s="566">
        <f>Financials!I21/Assumptions_IS!J18</f>
        <v>7.8114202388713402E-2</v>
      </c>
      <c r="J14" s="566">
        <f>Financials!J21/Assumptions_IS!K18</f>
        <v>0.10069320843044895</v>
      </c>
      <c r="K14" s="566">
        <f>Financials!K21/Assumptions_IS!L18</f>
        <v>0.1244662943637074</v>
      </c>
      <c r="M14" s="543" t="s">
        <v>431</v>
      </c>
      <c r="N14" s="555">
        <v>44757</v>
      </c>
      <c r="O14" s="158">
        <v>17.36</v>
      </c>
      <c r="P14" s="158">
        <v>5219907</v>
      </c>
    </row>
    <row r="15" spans="1:19" x14ac:dyDescent="0.3">
      <c r="A15" s="561" t="s">
        <v>404</v>
      </c>
      <c r="M15" s="543" t="s">
        <v>431</v>
      </c>
      <c r="N15" s="555">
        <v>44760</v>
      </c>
      <c r="O15" s="158">
        <v>16.579999999999998</v>
      </c>
      <c r="P15" s="158">
        <v>8161599</v>
      </c>
    </row>
    <row r="16" spans="1:19" x14ac:dyDescent="0.3">
      <c r="M16" s="543" t="s">
        <v>431</v>
      </c>
      <c r="N16" s="555">
        <v>44761</v>
      </c>
      <c r="O16" s="158">
        <v>16.05</v>
      </c>
      <c r="P16" s="158">
        <v>5762948</v>
      </c>
    </row>
    <row r="17" spans="1:16" x14ac:dyDescent="0.3">
      <c r="M17" s="543" t="s">
        <v>431</v>
      </c>
      <c r="N17" s="555">
        <v>44762</v>
      </c>
      <c r="O17" s="158">
        <v>16.059999999999999</v>
      </c>
      <c r="P17" s="158">
        <v>5226190</v>
      </c>
    </row>
    <row r="18" spans="1:16" x14ac:dyDescent="0.3">
      <c r="M18" s="543" t="s">
        <v>431</v>
      </c>
      <c r="N18" s="555">
        <v>44763</v>
      </c>
      <c r="O18" s="158">
        <v>15.09</v>
      </c>
      <c r="P18" s="158">
        <v>5676084</v>
      </c>
    </row>
    <row r="19" spans="1:16" x14ac:dyDescent="0.3">
      <c r="M19" s="543" t="s">
        <v>431</v>
      </c>
      <c r="N19" s="555">
        <v>44764</v>
      </c>
      <c r="O19" s="158">
        <v>15.51</v>
      </c>
      <c r="P19" s="158">
        <v>6650440</v>
      </c>
    </row>
    <row r="20" spans="1:16" x14ac:dyDescent="0.3">
      <c r="A20" s="540"/>
      <c r="B20" s="541">
        <v>2021</v>
      </c>
      <c r="C20" s="541">
        <v>2022</v>
      </c>
      <c r="D20" s="541">
        <v>2023</v>
      </c>
      <c r="E20" s="542">
        <v>2024</v>
      </c>
      <c r="F20" s="542">
        <v>2025</v>
      </c>
      <c r="G20" s="542">
        <v>2026</v>
      </c>
      <c r="H20" s="542">
        <v>2027</v>
      </c>
      <c r="I20" s="542">
        <v>2028</v>
      </c>
      <c r="M20" s="543" t="s">
        <v>431</v>
      </c>
      <c r="N20" s="555">
        <v>44767</v>
      </c>
      <c r="O20" s="158">
        <v>15.64</v>
      </c>
      <c r="P20" s="158">
        <v>2729670</v>
      </c>
    </row>
    <row r="21" spans="1:16" x14ac:dyDescent="0.3">
      <c r="A21" s="567" t="s">
        <v>410</v>
      </c>
      <c r="B21" s="567"/>
      <c r="C21" s="567"/>
      <c r="D21" s="567"/>
      <c r="E21" s="567"/>
      <c r="F21" s="567"/>
      <c r="G21" s="567"/>
      <c r="H21" s="567"/>
      <c r="I21" s="567"/>
      <c r="M21" s="543" t="s">
        <v>431</v>
      </c>
      <c r="N21" s="555">
        <v>44768</v>
      </c>
      <c r="O21" s="158">
        <v>15.83</v>
      </c>
      <c r="P21" s="158">
        <v>6410056</v>
      </c>
    </row>
    <row r="22" spans="1:16" ht="15.5" x14ac:dyDescent="0.35">
      <c r="A22" s="543" t="s">
        <v>411</v>
      </c>
      <c r="B22" s="620">
        <f>(Financials!D40/Financials!D6)*-365</f>
        <v>42.790314575411244</v>
      </c>
      <c r="C22" s="620">
        <f>(Financials!E40/Financials!E6)*-365</f>
        <v>51.336452005142284</v>
      </c>
      <c r="D22" s="620">
        <f>(Financials!F40/Financials!F6)*-365</f>
        <v>50.845516818168612</v>
      </c>
      <c r="E22" s="620">
        <f>(Financials!G40/Financials!G6)*-365</f>
        <v>33.817516439037647</v>
      </c>
      <c r="F22" s="620">
        <f>(Financials!H40/Financials!H6)*-365</f>
        <v>34.412686931132356</v>
      </c>
      <c r="G22" s="620">
        <f>(Financials!I40/Financials!I6)*-365</f>
        <v>34.880267978959019</v>
      </c>
      <c r="H22" s="620">
        <f>(Financials!J40/Financials!J6)*-365</f>
        <v>41.621845833429802</v>
      </c>
      <c r="I22" s="620">
        <f>(Financials!K40/Financials!K6)*-365</f>
        <v>39.038691774135522</v>
      </c>
      <c r="M22" s="543" t="s">
        <v>431</v>
      </c>
      <c r="N22" s="555">
        <v>44769</v>
      </c>
      <c r="O22" s="158">
        <v>15.71</v>
      </c>
      <c r="P22" s="158">
        <v>3629525</v>
      </c>
    </row>
    <row r="23" spans="1:16" x14ac:dyDescent="0.3">
      <c r="A23" s="543" t="s">
        <v>412</v>
      </c>
      <c r="B23" s="550">
        <f>(Financials!D41/Financials!D5)*365</f>
        <v>26.116924704365324</v>
      </c>
      <c r="C23" s="550">
        <f>(Financials!E41/Financials!E5)*365</f>
        <v>21.569725996074922</v>
      </c>
      <c r="D23" s="550">
        <f>(Financials!F41/Financials!F5)*365</f>
        <v>27.755254952558619</v>
      </c>
      <c r="E23" s="550">
        <f>(Financials!G41/Financials!G5)*365</f>
        <v>21.892624460716142</v>
      </c>
      <c r="F23" s="550">
        <f>(Financials!H41/Financials!H5)*365</f>
        <v>19.521801717958116</v>
      </c>
      <c r="G23" s="550">
        <f>(Financials!I41/Financials!I5)*365</f>
        <v>19.717507320243396</v>
      </c>
      <c r="H23" s="550">
        <f>(Financials!J41/Financials!J5)*365</f>
        <v>19.626047237539055</v>
      </c>
      <c r="I23" s="550">
        <f>(Financials!K41/Financials!K5)*365</f>
        <v>18.566626427521964</v>
      </c>
      <c r="M23" s="543" t="s">
        <v>431</v>
      </c>
      <c r="N23" s="555">
        <v>44770</v>
      </c>
      <c r="O23" s="158">
        <v>15.85</v>
      </c>
      <c r="P23" s="158">
        <v>8062618</v>
      </c>
    </row>
    <row r="24" spans="1:16" x14ac:dyDescent="0.3">
      <c r="A24" s="543" t="s">
        <v>413</v>
      </c>
      <c r="B24" s="550">
        <f>-(Financials!D67/Financials!D6)*365</f>
        <v>84.259887756036392</v>
      </c>
      <c r="C24" s="550">
        <f>-(Financials!E67/Financials!E6)*365</f>
        <v>98.797388306389422</v>
      </c>
      <c r="D24" s="550">
        <f>-(Financials!F67/Financials!F6)*365</f>
        <v>66.577693964060202</v>
      </c>
      <c r="E24" s="550">
        <f>-(Financials!G67/Financials!G6)*365</f>
        <v>66.54045657697705</v>
      </c>
      <c r="F24" s="550">
        <f>-(Financials!H67/Financials!H6)*365</f>
        <v>66.31007350447085</v>
      </c>
      <c r="G24" s="550">
        <f>-(Financials!I67/Financials!I6)*365</f>
        <v>64.790924016986196</v>
      </c>
      <c r="H24" s="550">
        <f>-(Financials!J67/Financials!J6)*365</f>
        <v>63.06245895056756</v>
      </c>
      <c r="I24" s="550">
        <f>-(Financials!K67/Financials!K6)*365</f>
        <v>59.713590253654338</v>
      </c>
      <c r="M24" s="543" t="s">
        <v>431</v>
      </c>
      <c r="N24" s="555">
        <v>44771</v>
      </c>
      <c r="O24" s="158">
        <v>15.46</v>
      </c>
      <c r="P24" s="158">
        <v>5399429</v>
      </c>
    </row>
    <row r="25" spans="1:16" x14ac:dyDescent="0.3">
      <c r="A25" s="543" t="s">
        <v>414</v>
      </c>
      <c r="B25" s="548">
        <f>Assumptions_IS!E18/Financials!B48</f>
        <v>3.2560836454284643</v>
      </c>
      <c r="C25" s="548">
        <f>Assumptions_IS!F18/Financials!C48</f>
        <v>6.3142183699652277</v>
      </c>
      <c r="D25" s="548">
        <f>Assumptions_IS!G18/Financials!D48</f>
        <v>7.9409235298221548</v>
      </c>
      <c r="E25" s="548">
        <f>Assumptions_IS!H18/Financials!E48</f>
        <v>4.077418254533371</v>
      </c>
      <c r="F25" s="548">
        <f>Assumptions_IS!I18/Financials!F48</f>
        <v>3.9292575891265682</v>
      </c>
      <c r="G25" s="548">
        <f>Assumptions_IS!J18/Financials!G48</f>
        <v>4.0076868036912243</v>
      </c>
      <c r="H25" s="548">
        <f>Assumptions_IS!K18/Financials!H48</f>
        <v>3.7848945943872443</v>
      </c>
      <c r="I25" s="548">
        <f>Assumptions_IS!L18/Financials!I48</f>
        <v>4.0385829508383866</v>
      </c>
      <c r="M25" s="543" t="s">
        <v>431</v>
      </c>
      <c r="N25" s="555">
        <v>44774</v>
      </c>
      <c r="O25" s="158">
        <v>15.3</v>
      </c>
      <c r="P25" s="158">
        <v>2451239</v>
      </c>
    </row>
    <row r="26" spans="1:16" x14ac:dyDescent="0.3">
      <c r="A26" s="567" t="s">
        <v>415</v>
      </c>
      <c r="B26" s="567"/>
      <c r="C26" s="567"/>
      <c r="D26" s="567"/>
      <c r="E26" s="567"/>
      <c r="F26" s="567"/>
      <c r="G26" s="567"/>
      <c r="H26" s="567"/>
      <c r="I26" s="567"/>
      <c r="M26" s="543" t="s">
        <v>431</v>
      </c>
      <c r="N26" s="555">
        <v>44775</v>
      </c>
      <c r="O26" s="158">
        <v>16.07</v>
      </c>
      <c r="P26" s="158">
        <v>13181520</v>
      </c>
    </row>
    <row r="27" spans="1:16" x14ac:dyDescent="0.3">
      <c r="A27" s="543" t="s">
        <v>416</v>
      </c>
      <c r="B27" s="550">
        <f>Financials!D47/Financials!D71</f>
        <v>0.53303957084767573</v>
      </c>
      <c r="C27" s="550">
        <f>Financials!E47/Financials!E71</f>
        <v>0.9303181949925049</v>
      </c>
      <c r="D27" s="550">
        <f>Financials!F47/Financials!F71</f>
        <v>0.99095706022247743</v>
      </c>
      <c r="E27" s="550">
        <f>Financials!G47/Financials!G71</f>
        <v>1.1167031366280451</v>
      </c>
      <c r="F27" s="550">
        <f>Financials!H47/Financials!H71</f>
        <v>1.4388803543550457</v>
      </c>
      <c r="G27" s="550">
        <f>Financials!I47/Financials!I71</f>
        <v>1.7414731058667809</v>
      </c>
      <c r="H27" s="550">
        <f>Financials!J47/Financials!J71</f>
        <v>2.119143945213132</v>
      </c>
      <c r="I27" s="550">
        <f>Financials!K47/Financials!K71</f>
        <v>2.6078937896220831</v>
      </c>
      <c r="M27" s="543" t="s">
        <v>431</v>
      </c>
      <c r="N27" s="555">
        <v>44776</v>
      </c>
      <c r="O27" s="158">
        <v>17.02</v>
      </c>
      <c r="P27" s="158">
        <v>20252150</v>
      </c>
    </row>
    <row r="28" spans="1:16" x14ac:dyDescent="0.3">
      <c r="A28" s="543" t="s">
        <v>417</v>
      </c>
      <c r="B28" s="550">
        <f>(Financials!D47-Financials!D40)/Financials!D71</f>
        <v>0.25982999290076325</v>
      </c>
      <c r="C28" s="550">
        <f>(Financials!E47-Financials!E40)/Financials!E71</f>
        <v>0.56767511104806001</v>
      </c>
      <c r="D28" s="550">
        <f>(Financials!F47-Financials!F40)/Financials!F71</f>
        <v>0.53248085259864775</v>
      </c>
      <c r="E28" s="550">
        <f>(Financials!G47-Financials!G40)/Financials!G71</f>
        <v>0.81560185583820155</v>
      </c>
      <c r="F28" s="550">
        <f>(Financials!H47-Financials!H40)/Financials!H71</f>
        <v>1.1298547502413276</v>
      </c>
      <c r="G28" s="550">
        <f>(Financials!I47-Financials!I40)/Financials!I71</f>
        <v>1.4180597995975766</v>
      </c>
      <c r="H28" s="550">
        <f>(Financials!J47-Financials!J40)/Financials!J71</f>
        <v>1.7071476986120198</v>
      </c>
      <c r="I28" s="550">
        <f>(Financials!K47-Financials!K40)/Financials!K71</f>
        <v>2.1730839423872741</v>
      </c>
      <c r="M28" s="543" t="s">
        <v>431</v>
      </c>
      <c r="N28" s="555">
        <v>44777</v>
      </c>
      <c r="O28" s="158">
        <v>16.84</v>
      </c>
      <c r="P28" s="158">
        <v>11419870</v>
      </c>
    </row>
    <row r="29" spans="1:16" x14ac:dyDescent="0.3">
      <c r="A29" s="543" t="s">
        <v>418</v>
      </c>
      <c r="B29" s="550">
        <f>D22+D23-D24</f>
        <v>12.023077806667033</v>
      </c>
      <c r="C29" s="550">
        <f t="shared" ref="C29:I29" si="4">E22+E23-E24</f>
        <v>-10.830315677223261</v>
      </c>
      <c r="D29" s="550">
        <f t="shared" si="4"/>
        <v>-12.375584855380382</v>
      </c>
      <c r="E29" s="550">
        <f t="shared" si="4"/>
        <v>-10.193148717783785</v>
      </c>
      <c r="F29" s="550">
        <f t="shared" si="4"/>
        <v>-1.8145658795987032</v>
      </c>
      <c r="G29" s="550">
        <f t="shared" si="4"/>
        <v>-2.1082720519968561</v>
      </c>
      <c r="H29" s="550">
        <f t="shared" si="4"/>
        <v>0</v>
      </c>
      <c r="I29" s="550">
        <f t="shared" si="4"/>
        <v>0</v>
      </c>
      <c r="M29" s="543" t="s">
        <v>431</v>
      </c>
      <c r="N29" s="555">
        <v>44778</v>
      </c>
      <c r="O29" s="158">
        <v>18.010000000000002</v>
      </c>
      <c r="P29" s="158">
        <v>29939090</v>
      </c>
    </row>
    <row r="30" spans="1:16" x14ac:dyDescent="0.3">
      <c r="A30" s="567" t="s">
        <v>419</v>
      </c>
      <c r="B30" s="567"/>
      <c r="C30" s="567"/>
      <c r="D30" s="567"/>
      <c r="E30" s="567"/>
      <c r="F30" s="567"/>
      <c r="G30" s="567"/>
      <c r="H30" s="567"/>
      <c r="I30" s="567"/>
      <c r="M30" s="543" t="s">
        <v>431</v>
      </c>
      <c r="N30" s="555">
        <v>44783</v>
      </c>
      <c r="O30" s="158">
        <v>18.100000000000001</v>
      </c>
      <c r="P30" s="158">
        <v>27682779</v>
      </c>
    </row>
    <row r="31" spans="1:16" x14ac:dyDescent="0.3">
      <c r="A31" s="543" t="s">
        <v>420</v>
      </c>
      <c r="B31" s="563">
        <f>Financials!D76</f>
        <v>0.43585557112964279</v>
      </c>
      <c r="C31" s="563">
        <f>Financials!E76</f>
        <v>0.20782718923342169</v>
      </c>
      <c r="D31" s="563">
        <f>Financials!F76</f>
        <v>0.30182466271523939</v>
      </c>
      <c r="E31" s="563">
        <f>Financials!G76</f>
        <v>0.2910499578473727</v>
      </c>
      <c r="F31" s="563">
        <f>Financials!H76</f>
        <v>0.23743514673069943</v>
      </c>
      <c r="G31" s="563">
        <f>Financials!I76</f>
        <v>0.19957079080410817</v>
      </c>
      <c r="H31" s="563">
        <f>Financials!J76</f>
        <v>0.15866656926638084</v>
      </c>
      <c r="I31" s="563">
        <f>Financials!K76</f>
        <v>0.11762059486117421</v>
      </c>
      <c r="M31" s="543" t="s">
        <v>431</v>
      </c>
      <c r="N31" s="555">
        <v>44784</v>
      </c>
      <c r="O31" s="158">
        <v>18.11</v>
      </c>
      <c r="P31" s="158">
        <v>11957500</v>
      </c>
    </row>
    <row r="32" spans="1:16" x14ac:dyDescent="0.3">
      <c r="A32" s="543" t="s">
        <v>421</v>
      </c>
      <c r="B32" s="563">
        <f>Financials!D72/Financials!D55</f>
        <v>19.026409405382907</v>
      </c>
      <c r="C32" s="563">
        <f>Financials!E72/Financials!E55</f>
        <v>2.8542715714491678</v>
      </c>
      <c r="D32" s="563">
        <f>Financials!F72/Financials!F55</f>
        <v>3.1594359061078663</v>
      </c>
      <c r="E32" s="563">
        <f>Financials!G72/Financials!G55</f>
        <v>2.3187103190853922</v>
      </c>
      <c r="F32" s="563">
        <f>Financials!H72/Financials!H55</f>
        <v>1.3681155711491664</v>
      </c>
      <c r="G32" s="563">
        <f>Financials!I72/Financials!I55</f>
        <v>0.98125939107298665</v>
      </c>
      <c r="H32" s="563">
        <f>Financials!J72/Financials!J55</f>
        <v>0.72684798088240965</v>
      </c>
      <c r="I32" s="563">
        <f>Financials!K72/Financials!K55</f>
        <v>0.54522256428904492</v>
      </c>
      <c r="M32" s="543" t="s">
        <v>431</v>
      </c>
      <c r="N32" s="555">
        <v>44785</v>
      </c>
      <c r="O32" s="158">
        <v>19.46</v>
      </c>
      <c r="P32" s="158">
        <v>27001240</v>
      </c>
    </row>
    <row r="33" spans="1:16" x14ac:dyDescent="0.3">
      <c r="A33" s="543" t="s">
        <v>422</v>
      </c>
      <c r="B33" s="550">
        <f>Financials!D15/-Financials!D17</f>
        <v>2.2546958022974199</v>
      </c>
      <c r="C33" s="550">
        <f>Financials!E15/-Financials!E17</f>
        <v>11.081221047886068</v>
      </c>
      <c r="D33" s="550">
        <f>Financials!F15/-Financials!F17</f>
        <v>1.8318201337039517</v>
      </c>
      <c r="E33" s="550">
        <f>Financials!G15/-Financials!G17</f>
        <v>13.15873906241923</v>
      </c>
      <c r="F33" s="550">
        <f>Financials!H15/-Financials!H17</f>
        <v>17.17856907942393</v>
      </c>
      <c r="G33" s="550">
        <f>Financials!I15/-Financials!I17</f>
        <v>23.7351206852804</v>
      </c>
      <c r="H33" s="550">
        <f>Financials!J15/-Financials!J17</f>
        <v>36.28232098480747</v>
      </c>
      <c r="I33" s="550">
        <f>Financials!K15/-Financials!K17</f>
        <v>58.461417586709693</v>
      </c>
      <c r="M33" s="543" t="s">
        <v>431</v>
      </c>
      <c r="N33" s="555">
        <v>44788</v>
      </c>
      <c r="O33" s="158">
        <v>19.72</v>
      </c>
      <c r="P33" s="158">
        <v>38745078</v>
      </c>
    </row>
    <row r="34" spans="1:16" x14ac:dyDescent="0.3">
      <c r="A34" s="567" t="s">
        <v>423</v>
      </c>
      <c r="B34" s="567"/>
      <c r="C34" s="567"/>
      <c r="D34" s="567"/>
      <c r="E34" s="567"/>
      <c r="F34" s="567"/>
      <c r="G34" s="567"/>
      <c r="H34" s="567"/>
      <c r="I34" s="567"/>
      <c r="M34" s="543" t="s">
        <v>431</v>
      </c>
      <c r="N34" s="555">
        <v>44789</v>
      </c>
      <c r="O34" s="158">
        <v>19.04</v>
      </c>
      <c r="P34" s="158">
        <v>29365789</v>
      </c>
    </row>
    <row r="35" spans="1:16" x14ac:dyDescent="0.3">
      <c r="A35" s="543" t="s">
        <v>407</v>
      </c>
      <c r="B35" s="563">
        <f t="shared" ref="B35:I37" si="5">D12</f>
        <v>2.3212561733787895E-2</v>
      </c>
      <c r="C35" s="563">
        <f t="shared" si="5"/>
        <v>9.056090150097787E-2</v>
      </c>
      <c r="D35" s="563">
        <f t="shared" si="5"/>
        <v>2.2426914639591639E-2</v>
      </c>
      <c r="E35" s="563">
        <f t="shared" si="5"/>
        <v>7.9597131504298674E-2</v>
      </c>
      <c r="F35" s="563">
        <f t="shared" si="5"/>
        <v>9.6585780790212697E-2</v>
      </c>
      <c r="G35" s="563">
        <f t="shared" si="5"/>
        <v>0.11740222821740089</v>
      </c>
      <c r="H35" s="563">
        <f t="shared" si="5"/>
        <v>0.14912997566395697</v>
      </c>
      <c r="I35" s="563">
        <f t="shared" si="5"/>
        <v>0.18185047436717072</v>
      </c>
      <c r="M35" s="543" t="s">
        <v>431</v>
      </c>
      <c r="N35" s="555">
        <v>44790</v>
      </c>
      <c r="O35" s="158">
        <v>18.989999999999998</v>
      </c>
      <c r="P35" s="158">
        <v>11091080</v>
      </c>
    </row>
    <row r="36" spans="1:16" x14ac:dyDescent="0.3">
      <c r="A36" s="543" t="s">
        <v>408</v>
      </c>
      <c r="B36" s="563">
        <f t="shared" si="5"/>
        <v>2.1176842548140316E-2</v>
      </c>
      <c r="C36" s="563">
        <f t="shared" si="5"/>
        <v>7.818014151169432E-2</v>
      </c>
      <c r="D36" s="563">
        <f t="shared" si="5"/>
        <v>2.2880128870799273E-2</v>
      </c>
      <c r="E36" s="563">
        <f t="shared" si="5"/>
        <v>7.7560765581841759E-2</v>
      </c>
      <c r="F36" s="563">
        <f t="shared" si="5"/>
        <v>9.445011600098574E-2</v>
      </c>
      <c r="G36" s="563">
        <f t="shared" si="5"/>
        <v>0.11487381656313982</v>
      </c>
      <c r="H36" s="563">
        <f t="shared" si="5"/>
        <v>0.14585256170838962</v>
      </c>
      <c r="I36" s="563">
        <f t="shared" si="5"/>
        <v>0.17836452901423475</v>
      </c>
      <c r="M36" s="543" t="s">
        <v>431</v>
      </c>
      <c r="N36" s="555">
        <v>44791</v>
      </c>
      <c r="O36" s="158">
        <v>19.91</v>
      </c>
      <c r="P36" s="158">
        <v>41240160</v>
      </c>
    </row>
    <row r="37" spans="1:16" x14ac:dyDescent="0.3">
      <c r="A37" s="543" t="s">
        <v>409</v>
      </c>
      <c r="B37" s="563">
        <f t="shared" si="5"/>
        <v>6.712051201460574E-3</v>
      </c>
      <c r="C37" s="563">
        <f t="shared" si="5"/>
        <v>5.6168116139802937E-2</v>
      </c>
      <c r="D37" s="563">
        <f t="shared" si="5"/>
        <v>5.6061342453268678E-3</v>
      </c>
      <c r="E37" s="563">
        <f t="shared" si="5"/>
        <v>5.0871689883120297E-2</v>
      </c>
      <c r="F37" s="563">
        <f t="shared" si="5"/>
        <v>6.3142394444583083E-2</v>
      </c>
      <c r="G37" s="563">
        <f t="shared" si="5"/>
        <v>7.8114202388713402E-2</v>
      </c>
      <c r="H37" s="563">
        <f t="shared" si="5"/>
        <v>0.10069320843044895</v>
      </c>
      <c r="I37" s="563">
        <f t="shared" si="5"/>
        <v>0.1244662943637074</v>
      </c>
      <c r="M37" s="543" t="s">
        <v>431</v>
      </c>
      <c r="N37" s="555">
        <v>44792</v>
      </c>
      <c r="O37" s="158">
        <v>19.829999999999998</v>
      </c>
      <c r="P37" s="158">
        <v>19455090</v>
      </c>
    </row>
    <row r="38" spans="1:16" x14ac:dyDescent="0.3">
      <c r="A38" s="567" t="s">
        <v>424</v>
      </c>
      <c r="B38" s="567"/>
      <c r="C38" s="567"/>
      <c r="D38" s="567"/>
      <c r="E38" s="567"/>
      <c r="F38" s="567"/>
      <c r="G38" s="567"/>
      <c r="H38" s="567"/>
      <c r="I38" s="567"/>
      <c r="M38" s="543" t="s">
        <v>431</v>
      </c>
      <c r="N38" s="555">
        <v>44795</v>
      </c>
      <c r="O38" s="158">
        <v>19.14</v>
      </c>
      <c r="P38" s="158">
        <v>17526930</v>
      </c>
    </row>
    <row r="39" spans="1:16" x14ac:dyDescent="0.3">
      <c r="A39" s="543" t="s">
        <v>409</v>
      </c>
      <c r="B39" s="563">
        <f>B37</f>
        <v>6.712051201460574E-3</v>
      </c>
      <c r="C39" s="563">
        <f t="shared" ref="C39:I39" si="6">C37</f>
        <v>5.6168116139802937E-2</v>
      </c>
      <c r="D39" s="563">
        <f t="shared" si="6"/>
        <v>5.6061342453268678E-3</v>
      </c>
      <c r="E39" s="563">
        <f t="shared" si="6"/>
        <v>5.0871689883120297E-2</v>
      </c>
      <c r="F39" s="563">
        <f t="shared" si="6"/>
        <v>6.3142394444583083E-2</v>
      </c>
      <c r="G39" s="563">
        <f t="shared" si="6"/>
        <v>7.8114202388713402E-2</v>
      </c>
      <c r="H39" s="563">
        <f t="shared" si="6"/>
        <v>0.10069320843044895</v>
      </c>
      <c r="I39" s="563">
        <f t="shared" si="6"/>
        <v>0.1244662943637074</v>
      </c>
      <c r="M39" s="543" t="s">
        <v>431</v>
      </c>
      <c r="N39" s="555">
        <v>44796</v>
      </c>
      <c r="O39" s="158">
        <v>19.21</v>
      </c>
      <c r="P39" s="158">
        <v>15827020</v>
      </c>
    </row>
    <row r="40" spans="1:16" x14ac:dyDescent="0.3">
      <c r="A40" s="543" t="s">
        <v>414</v>
      </c>
      <c r="B40" s="563">
        <f>B25</f>
        <v>3.2560836454284643</v>
      </c>
      <c r="C40" s="563">
        <f t="shared" ref="C40:I40" si="7">C25</f>
        <v>6.3142183699652277</v>
      </c>
      <c r="D40" s="563">
        <f t="shared" si="7"/>
        <v>7.9409235298221548</v>
      </c>
      <c r="E40" s="563">
        <f t="shared" si="7"/>
        <v>4.077418254533371</v>
      </c>
      <c r="F40" s="563">
        <f t="shared" si="7"/>
        <v>3.9292575891265682</v>
      </c>
      <c r="G40" s="563">
        <f t="shared" si="7"/>
        <v>4.0076868036912243</v>
      </c>
      <c r="H40" s="563">
        <f t="shared" si="7"/>
        <v>3.7848945943872443</v>
      </c>
      <c r="I40" s="563">
        <f t="shared" si="7"/>
        <v>4.0385829508383866</v>
      </c>
      <c r="M40" s="543" t="s">
        <v>431</v>
      </c>
      <c r="N40" s="555">
        <v>44797</v>
      </c>
      <c r="O40" s="158">
        <v>19.190000000000001</v>
      </c>
      <c r="P40" s="158">
        <v>10438600</v>
      </c>
    </row>
    <row r="41" spans="1:16" x14ac:dyDescent="0.3">
      <c r="A41" s="543" t="s">
        <v>425</v>
      </c>
      <c r="B41" s="563">
        <f>Financials!D21/Financials!D48</f>
        <v>2.286079774562241E-2</v>
      </c>
      <c r="C41" s="563">
        <f>Financials!E21/Financials!E48</f>
        <v>0.13825041211398392</v>
      </c>
      <c r="D41" s="563">
        <f>Financials!F21/Financials!F48</f>
        <v>1.7302868950033731E-2</v>
      </c>
      <c r="E41" s="563">
        <f>Financials!G21/Financials!G48</f>
        <v>0.15853569606943804</v>
      </c>
      <c r="F41" s="563">
        <f>Financials!H21/Financials!H48</f>
        <v>0.16486278197794926</v>
      </c>
      <c r="G41" s="563">
        <f>Financials!I21/Financials!I48</f>
        <v>0.18125701534473454</v>
      </c>
      <c r="H41" s="563">
        <f>Financials!J21/Financials!J48</f>
        <v>0.21501597743218462</v>
      </c>
      <c r="I41" s="563">
        <f>Financials!K21/Financials!K48</f>
        <v>0.25013620540962028</v>
      </c>
      <c r="M41" s="543" t="s">
        <v>431</v>
      </c>
      <c r="N41" s="555">
        <v>44798</v>
      </c>
      <c r="O41" s="158">
        <v>18.86</v>
      </c>
      <c r="P41" s="158">
        <v>7365276</v>
      </c>
    </row>
    <row r="42" spans="1:16" x14ac:dyDescent="0.3">
      <c r="A42" s="543" t="s">
        <v>426</v>
      </c>
      <c r="B42" s="563">
        <f>((Assumptions_IS!E156/Assumptions_IS!D156)-1)/((Assumptions_IS!E18/Assumptions_IS!D18)-1)</f>
        <v>6.4788615224804618</v>
      </c>
      <c r="C42" s="563">
        <f>((Assumptions_IS!F156/Assumptions_IS!E156)-1)/((Assumptions_IS!F18/Assumptions_IS!E18)-1)</f>
        <v>2.247115811160838E-2</v>
      </c>
      <c r="D42" s="563">
        <f>((Assumptions_IS!G156/Assumptions_IS!F156)-1)/((Assumptions_IS!G18/Assumptions_IS!F18)-1)</f>
        <v>0.85653880291181395</v>
      </c>
      <c r="E42" s="563">
        <f>((Assumptions_IS!H156/Assumptions_IS!G156)-1)/((Assumptions_IS!H18/Assumptions_IS!G18)-1)</f>
        <v>2.7488059019654285</v>
      </c>
      <c r="F42" s="563">
        <f>((Assumptions_IS!I156/Assumptions_IS!H156)-1)/((Assumptions_IS!I18/Assumptions_IS!H18)-1)</f>
        <v>1.2295356382377505</v>
      </c>
      <c r="G42" s="563">
        <f>((Assumptions_IS!J156/Assumptions_IS!I156)-1)/((Assumptions_IS!J18/Assumptions_IS!I18)-1)</f>
        <v>1.0891910341668865</v>
      </c>
      <c r="H42" s="563">
        <f>((Assumptions_IS!K156/Assumptions_IS!J156)-1)/((Assumptions_IS!K18/Assumptions_IS!J18)-1)</f>
        <v>1.1869489884047613</v>
      </c>
      <c r="I42" s="563">
        <f>((Assumptions_IS!L156/Assumptions_IS!K156)-1)/((Assumptions_IS!L18/Assumptions_IS!K18)-1)</f>
        <v>1.0261507938372478</v>
      </c>
      <c r="M42" s="543" t="s">
        <v>431</v>
      </c>
      <c r="N42" s="555">
        <v>44799</v>
      </c>
      <c r="O42" s="158">
        <v>19.079999999999998</v>
      </c>
      <c r="P42" s="158">
        <v>16788029</v>
      </c>
    </row>
    <row r="43" spans="1:16" x14ac:dyDescent="0.3">
      <c r="A43" s="543" t="s">
        <v>427</v>
      </c>
      <c r="B43" s="563">
        <f>Financials!D21/Financials!D55</f>
        <v>0.45781969498748898</v>
      </c>
      <c r="C43" s="563">
        <f>Financials!E21/Financials!E55</f>
        <v>0.53285463315205994</v>
      </c>
      <c r="D43" s="563">
        <f>Financials!F21/Financials!F55</f>
        <v>7.1970174389449207E-2</v>
      </c>
      <c r="E43" s="563">
        <f>Financials!G21/Financials!G55</f>
        <v>0.52613405048693351</v>
      </c>
      <c r="F43" s="563">
        <f>Financials!H21/Financials!H55</f>
        <v>0.39041412110432816</v>
      </c>
      <c r="G43" s="563">
        <f>Financials!I21/Financials!I55</f>
        <v>0.35911716385047887</v>
      </c>
      <c r="H43" s="563">
        <f>Financials!J21/Financials!J55</f>
        <v>0.37129990648618633</v>
      </c>
      <c r="I43" s="563">
        <f>Financials!K21/Financials!K55</f>
        <v>0.38651610874487474</v>
      </c>
      <c r="M43" s="543" t="s">
        <v>431</v>
      </c>
      <c r="N43" s="555">
        <v>44802</v>
      </c>
      <c r="O43" s="158">
        <v>18.98</v>
      </c>
      <c r="P43" s="158">
        <v>10336830</v>
      </c>
    </row>
    <row r="44" spans="1:16" x14ac:dyDescent="0.3">
      <c r="A44" s="567" t="s">
        <v>428</v>
      </c>
      <c r="B44" s="567"/>
      <c r="C44" s="567"/>
      <c r="D44" s="567"/>
      <c r="E44" s="567"/>
      <c r="F44" s="567"/>
      <c r="G44" s="567"/>
      <c r="H44" s="567"/>
      <c r="I44" s="567"/>
      <c r="M44" s="543" t="s">
        <v>431</v>
      </c>
      <c r="N44" s="555">
        <v>44803</v>
      </c>
      <c r="O44" s="158">
        <v>18.91</v>
      </c>
      <c r="P44" s="158">
        <v>10943390</v>
      </c>
    </row>
    <row r="45" spans="1:16" x14ac:dyDescent="0.3">
      <c r="A45" s="543" t="s">
        <v>394</v>
      </c>
      <c r="B45" s="550">
        <f>D5</f>
        <v>16.25</v>
      </c>
      <c r="C45" s="550">
        <f t="shared" ref="C45:I46" si="8">E5</f>
        <v>0.89679358717434854</v>
      </c>
      <c r="D45" s="550">
        <f t="shared" si="8"/>
        <v>4.6896551724137927</v>
      </c>
      <c r="E45" s="550">
        <f t="shared" si="8"/>
        <v>128.37972992425392</v>
      </c>
      <c r="F45" s="550">
        <f t="shared" si="8"/>
        <v>120.10282633675</v>
      </c>
      <c r="G45" s="550">
        <f t="shared" si="8"/>
        <v>106.23202303928676</v>
      </c>
      <c r="H45" s="550">
        <f t="shared" si="8"/>
        <v>93.027421845699436</v>
      </c>
      <c r="I45" s="550">
        <f t="shared" si="8"/>
        <v>77.587145106506028</v>
      </c>
      <c r="M45" s="543" t="s">
        <v>431</v>
      </c>
      <c r="N45" s="555">
        <v>44804</v>
      </c>
      <c r="O45" s="158">
        <v>18.829999999999998</v>
      </c>
      <c r="P45" s="158">
        <v>5373801</v>
      </c>
    </row>
    <row r="46" spans="1:16" x14ac:dyDescent="0.3">
      <c r="A46" s="543" t="s">
        <v>397</v>
      </c>
      <c r="B46" s="552">
        <f>D6</f>
        <v>3.7959195024054728</v>
      </c>
      <c r="C46" s="552">
        <f t="shared" si="8"/>
        <v>1.2399539485259787</v>
      </c>
      <c r="D46" s="552">
        <f t="shared" si="8"/>
        <v>0.81234883241115596</v>
      </c>
      <c r="E46" s="552">
        <f t="shared" si="8"/>
        <v>0.88734432391380924</v>
      </c>
      <c r="F46" s="552">
        <f t="shared" si="8"/>
        <v>0.66967069652279387</v>
      </c>
      <c r="G46" s="552">
        <f t="shared" si="8"/>
        <v>0.55074463225514037</v>
      </c>
      <c r="H46" s="552">
        <f t="shared" si="8"/>
        <v>0.37216381970130635</v>
      </c>
      <c r="I46" s="552">
        <f t="shared" si="8"/>
        <v>0.24961132058852595</v>
      </c>
      <c r="M46" s="543" t="s">
        <v>431</v>
      </c>
      <c r="N46" s="555">
        <v>44805</v>
      </c>
      <c r="O46" s="158">
        <v>19.14</v>
      </c>
      <c r="P46" s="158">
        <v>11114760</v>
      </c>
    </row>
    <row r="47" spans="1:16" ht="14.4" customHeight="1" x14ac:dyDescent="0.3">
      <c r="A47" s="543" t="s">
        <v>429</v>
      </c>
      <c r="B47" s="568">
        <f>D8/(Financials!D5/Assumptions_BS!D98)</f>
        <v>1.6898684669631854</v>
      </c>
      <c r="C47" s="568">
        <f>E8/(Financials!E5/Assumptions_BS!E98)</f>
        <v>0.58944347352343218</v>
      </c>
      <c r="D47" s="568">
        <f>F8/(Financials!F5/Assumptions_BS!F98)</f>
        <v>0.32719723444709875</v>
      </c>
      <c r="E47" s="568">
        <f>G8/(Financials!G5/Assumptions_BS!G98)</f>
        <v>0.36225295213770659</v>
      </c>
      <c r="F47" s="568">
        <f>H8/(Financials!H5/Assumptions_BS!H98)</f>
        <v>0.31940643308411176</v>
      </c>
      <c r="G47" s="568">
        <f>I8/(Financials!I5/Assumptions_BS!I98)</f>
        <v>0.28810745209659394</v>
      </c>
      <c r="H47" s="568">
        <f>J8/(Financials!J5/Assumptions_BS!J98)</f>
        <v>0.20534872377974722</v>
      </c>
      <c r="I47" s="568">
        <f>K8/(Financials!K5/Assumptions_BS!K98)</f>
        <v>0.14021898062958188</v>
      </c>
      <c r="M47" s="543" t="s">
        <v>431</v>
      </c>
      <c r="N47" s="555">
        <v>44806</v>
      </c>
      <c r="O47" s="158">
        <v>18.82</v>
      </c>
      <c r="P47" s="158">
        <v>6485030</v>
      </c>
    </row>
    <row r="48" spans="1:16" x14ac:dyDescent="0.3">
      <c r="A48" s="557" t="s">
        <v>430</v>
      </c>
      <c r="B48" s="558">
        <f>D7</f>
        <v>6.5069873015873014</v>
      </c>
      <c r="C48" s="558">
        <f t="shared" ref="C48:I48" si="9">E7</f>
        <v>14.436019999999999</v>
      </c>
      <c r="D48" s="558">
        <f t="shared" si="9"/>
        <v>16.741576349206348</v>
      </c>
      <c r="E48" s="558">
        <f t="shared" si="9"/>
        <v>18.887820148639339</v>
      </c>
      <c r="F48" s="558">
        <f t="shared" si="9"/>
        <v>25.194472578248341</v>
      </c>
      <c r="G48" s="558">
        <f t="shared" si="9"/>
        <v>32.622015627156955</v>
      </c>
      <c r="H48" s="558">
        <f t="shared" si="9"/>
        <v>44.6568933362161</v>
      </c>
      <c r="I48" s="558">
        <f t="shared" si="9"/>
        <v>65.55638566960171</v>
      </c>
      <c r="M48" s="543" t="s">
        <v>431</v>
      </c>
      <c r="N48" s="555">
        <v>44809</v>
      </c>
      <c r="O48" s="158">
        <v>17.91</v>
      </c>
      <c r="P48" s="158">
        <v>12792470</v>
      </c>
    </row>
    <row r="49" spans="1:16" x14ac:dyDescent="0.3">
      <c r="M49" s="543" t="s">
        <v>431</v>
      </c>
      <c r="N49" s="555">
        <v>44810</v>
      </c>
      <c r="O49" s="158">
        <v>17.93</v>
      </c>
      <c r="P49" s="158">
        <v>8934389</v>
      </c>
    </row>
    <row r="50" spans="1:16" x14ac:dyDescent="0.3">
      <c r="M50" s="543" t="s">
        <v>431</v>
      </c>
      <c r="N50" s="555">
        <v>44811</v>
      </c>
      <c r="O50" s="158">
        <v>17.95</v>
      </c>
      <c r="P50" s="158">
        <v>6239656</v>
      </c>
    </row>
    <row r="51" spans="1:16" x14ac:dyDescent="0.3">
      <c r="M51" s="543" t="s">
        <v>431</v>
      </c>
      <c r="N51" s="555">
        <v>44812</v>
      </c>
      <c r="O51" s="158">
        <v>17.920000000000002</v>
      </c>
      <c r="P51" s="158">
        <v>2410252</v>
      </c>
    </row>
    <row r="52" spans="1:16" ht="14.5" thickBot="1" x14ac:dyDescent="0.35">
      <c r="M52" s="543" t="s">
        <v>431</v>
      </c>
      <c r="N52" s="555">
        <v>44813</v>
      </c>
      <c r="O52" s="158">
        <v>17.78</v>
      </c>
      <c r="P52" s="158">
        <v>5095034</v>
      </c>
    </row>
    <row r="53" spans="1:16" ht="14.5" x14ac:dyDescent="0.3">
      <c r="A53" s="621" t="s">
        <v>308</v>
      </c>
      <c r="B53" s="622" t="s">
        <v>459</v>
      </c>
      <c r="C53" s="622" t="s">
        <v>460</v>
      </c>
      <c r="D53" s="622" t="s">
        <v>461</v>
      </c>
      <c r="E53" s="622" t="s">
        <v>431</v>
      </c>
      <c r="F53" s="623" t="s">
        <v>462</v>
      </c>
      <c r="M53" s="543" t="s">
        <v>431</v>
      </c>
      <c r="N53" s="555">
        <v>44816</v>
      </c>
      <c r="O53" s="158">
        <v>17.739999999999998</v>
      </c>
      <c r="P53" s="158">
        <v>2441664</v>
      </c>
    </row>
    <row r="54" spans="1:16" ht="14.5" x14ac:dyDescent="0.3">
      <c r="A54" s="624" t="s">
        <v>463</v>
      </c>
      <c r="B54" s="625">
        <v>0.28000000000000003</v>
      </c>
      <c r="C54" s="625">
        <v>0.18</v>
      </c>
      <c r="D54" s="625">
        <v>0.19</v>
      </c>
      <c r="E54" s="625">
        <v>0.13</v>
      </c>
      <c r="F54" s="626">
        <v>0.22</v>
      </c>
      <c r="M54" s="543" t="s">
        <v>431</v>
      </c>
      <c r="N54" s="555">
        <v>44817</v>
      </c>
      <c r="O54" s="158">
        <v>17.649999999999999</v>
      </c>
      <c r="P54" s="158">
        <v>2224830</v>
      </c>
    </row>
    <row r="55" spans="1:16" ht="14.5" x14ac:dyDescent="0.3">
      <c r="A55" s="624" t="s">
        <v>464</v>
      </c>
      <c r="B55" s="625">
        <v>0.33</v>
      </c>
      <c r="C55" s="625">
        <v>0.18</v>
      </c>
      <c r="D55" s="625">
        <v>0.17</v>
      </c>
      <c r="E55" s="625">
        <v>0.12</v>
      </c>
      <c r="F55" s="626">
        <v>0.2</v>
      </c>
      <c r="M55" s="543" t="s">
        <v>431</v>
      </c>
      <c r="N55" s="555">
        <v>44818</v>
      </c>
      <c r="O55" s="158">
        <v>17.559999999999999</v>
      </c>
      <c r="P55" s="158">
        <v>4516670</v>
      </c>
    </row>
    <row r="56" spans="1:16" ht="14.5" x14ac:dyDescent="0.3">
      <c r="A56" s="624" t="s">
        <v>465</v>
      </c>
      <c r="B56" s="625">
        <v>0.31</v>
      </c>
      <c r="C56" s="625">
        <v>0.17</v>
      </c>
      <c r="D56" s="625">
        <v>0.17</v>
      </c>
      <c r="E56" s="625">
        <v>0.13</v>
      </c>
      <c r="F56" s="626">
        <v>0.23</v>
      </c>
      <c r="M56" s="543" t="s">
        <v>431</v>
      </c>
      <c r="N56" s="555">
        <v>44819</v>
      </c>
      <c r="O56" s="158">
        <v>17.510000000000002</v>
      </c>
      <c r="P56" s="158">
        <v>5191075</v>
      </c>
    </row>
    <row r="57" spans="1:16" ht="14.5" x14ac:dyDescent="0.3">
      <c r="A57" s="624" t="s">
        <v>466</v>
      </c>
      <c r="B57" s="625">
        <v>0.4</v>
      </c>
      <c r="C57" s="625">
        <v>0.16</v>
      </c>
      <c r="D57" s="625">
        <v>0.16</v>
      </c>
      <c r="E57" s="625">
        <v>0.11</v>
      </c>
      <c r="F57" s="626">
        <v>0.17</v>
      </c>
      <c r="M57" s="543" t="s">
        <v>431</v>
      </c>
      <c r="N57" s="555">
        <v>44820</v>
      </c>
      <c r="O57" s="158">
        <v>17.46</v>
      </c>
      <c r="P57" s="158">
        <v>3089884</v>
      </c>
    </row>
    <row r="58" spans="1:16" ht="14.5" x14ac:dyDescent="0.3">
      <c r="A58" s="624" t="s">
        <v>467</v>
      </c>
      <c r="B58" s="625">
        <v>0.47</v>
      </c>
      <c r="C58" s="625">
        <v>0.16</v>
      </c>
      <c r="D58" s="625">
        <v>0.15</v>
      </c>
      <c r="E58" s="625">
        <v>0.12</v>
      </c>
      <c r="F58" s="626">
        <v>0.1</v>
      </c>
      <c r="M58" s="543" t="s">
        <v>431</v>
      </c>
      <c r="N58" s="555">
        <v>44823</v>
      </c>
      <c r="O58" s="158">
        <v>17.239999999999998</v>
      </c>
      <c r="P58" s="158">
        <v>2196208</v>
      </c>
    </row>
    <row r="59" spans="1:16" ht="15" thickBot="1" x14ac:dyDescent="0.35">
      <c r="A59" s="627" t="s">
        <v>468</v>
      </c>
      <c r="B59" s="628">
        <v>0.42</v>
      </c>
      <c r="C59" s="628">
        <v>0.2</v>
      </c>
      <c r="D59" s="628">
        <v>0.15</v>
      </c>
      <c r="E59" s="628">
        <v>0.14000000000000001</v>
      </c>
      <c r="F59" s="629">
        <v>0.1</v>
      </c>
      <c r="M59" s="543" t="s">
        <v>431</v>
      </c>
      <c r="N59" s="555">
        <v>44824</v>
      </c>
      <c r="O59" s="158">
        <v>17.11</v>
      </c>
      <c r="P59" s="158">
        <v>2716991</v>
      </c>
    </row>
    <row r="60" spans="1:16" x14ac:dyDescent="0.3">
      <c r="M60" s="543" t="s">
        <v>431</v>
      </c>
      <c r="N60" s="555">
        <v>44825</v>
      </c>
      <c r="O60" s="158">
        <v>16.739999999999998</v>
      </c>
      <c r="P60" s="158">
        <v>2381426</v>
      </c>
    </row>
    <row r="61" spans="1:16" x14ac:dyDescent="0.3">
      <c r="M61" s="543" t="s">
        <v>431</v>
      </c>
      <c r="N61" s="555">
        <v>44826</v>
      </c>
      <c r="O61" s="158">
        <v>16.55</v>
      </c>
      <c r="P61" s="158">
        <v>7700936</v>
      </c>
    </row>
    <row r="62" spans="1:16" x14ac:dyDescent="0.3">
      <c r="M62" s="543" t="s">
        <v>431</v>
      </c>
      <c r="N62" s="555">
        <v>44827</v>
      </c>
      <c r="O62" s="158">
        <v>16.18</v>
      </c>
      <c r="P62" s="158">
        <v>2909060</v>
      </c>
    </row>
    <row r="63" spans="1:16" x14ac:dyDescent="0.3">
      <c r="M63" s="543" t="s">
        <v>431</v>
      </c>
      <c r="N63" s="555">
        <v>44830</v>
      </c>
      <c r="O63" s="158">
        <v>17.34</v>
      </c>
      <c r="P63" s="158">
        <v>8558752</v>
      </c>
    </row>
    <row r="64" spans="1:16" x14ac:dyDescent="0.3">
      <c r="M64" s="543" t="s">
        <v>431</v>
      </c>
      <c r="N64" s="555">
        <v>44831</v>
      </c>
      <c r="O64" s="158">
        <v>17.579999999999998</v>
      </c>
      <c r="P64" s="158">
        <v>6808060</v>
      </c>
    </row>
    <row r="65" spans="13:16" x14ac:dyDescent="0.3">
      <c r="M65" s="543" t="s">
        <v>431</v>
      </c>
      <c r="N65" s="555">
        <v>44832</v>
      </c>
      <c r="O65" s="158">
        <v>17.600000000000001</v>
      </c>
      <c r="P65" s="158">
        <v>9329718</v>
      </c>
    </row>
    <row r="66" spans="13:16" x14ac:dyDescent="0.3">
      <c r="M66" s="543" t="s">
        <v>431</v>
      </c>
      <c r="N66" s="555">
        <v>44833</v>
      </c>
      <c r="O66" s="158">
        <v>17.38</v>
      </c>
      <c r="P66" s="158">
        <v>3362953</v>
      </c>
    </row>
    <row r="67" spans="13:16" x14ac:dyDescent="0.3">
      <c r="M67" s="543" t="s">
        <v>431</v>
      </c>
      <c r="N67" s="555">
        <v>44834</v>
      </c>
      <c r="O67" s="158">
        <v>17.22</v>
      </c>
      <c r="P67" s="158">
        <v>4096723</v>
      </c>
    </row>
    <row r="68" spans="13:16" x14ac:dyDescent="0.3">
      <c r="M68" s="543" t="s">
        <v>431</v>
      </c>
      <c r="N68" s="555">
        <v>44837</v>
      </c>
      <c r="O68" s="158">
        <v>16.98</v>
      </c>
      <c r="P68" s="158">
        <v>4020774</v>
      </c>
    </row>
    <row r="69" spans="13:16" x14ac:dyDescent="0.3">
      <c r="M69" s="543" t="s">
        <v>431</v>
      </c>
      <c r="N69" s="555">
        <v>44838</v>
      </c>
      <c r="O69" s="158">
        <v>16.95</v>
      </c>
      <c r="P69" s="158">
        <v>4650860</v>
      </c>
    </row>
    <row r="70" spans="13:16" x14ac:dyDescent="0.3">
      <c r="M70" s="543" t="s">
        <v>431</v>
      </c>
      <c r="N70" s="555">
        <v>44839</v>
      </c>
      <c r="O70" s="158">
        <v>16.95</v>
      </c>
      <c r="P70" s="158">
        <v>3323534</v>
      </c>
    </row>
    <row r="71" spans="13:16" x14ac:dyDescent="0.3">
      <c r="M71" s="543" t="s">
        <v>431</v>
      </c>
      <c r="N71" s="555">
        <v>44840</v>
      </c>
      <c r="O71" s="158">
        <v>17.45</v>
      </c>
      <c r="P71" s="158">
        <v>12692230</v>
      </c>
    </row>
    <row r="72" spans="13:16" x14ac:dyDescent="0.3">
      <c r="M72" s="543" t="s">
        <v>431</v>
      </c>
      <c r="N72" s="555">
        <v>44841</v>
      </c>
      <c r="O72" s="158">
        <v>17.13</v>
      </c>
      <c r="P72" s="158">
        <v>5041766</v>
      </c>
    </row>
    <row r="73" spans="13:16" x14ac:dyDescent="0.3">
      <c r="M73" s="543" t="s">
        <v>431</v>
      </c>
      <c r="N73" s="555">
        <v>44844</v>
      </c>
      <c r="O73" s="158">
        <v>17.46</v>
      </c>
      <c r="P73" s="158">
        <v>6442381</v>
      </c>
    </row>
    <row r="74" spans="13:16" x14ac:dyDescent="0.3">
      <c r="M74" s="543" t="s">
        <v>431</v>
      </c>
      <c r="N74" s="555">
        <v>44845</v>
      </c>
      <c r="O74" s="158">
        <v>18.22</v>
      </c>
      <c r="P74" s="158">
        <v>32408789</v>
      </c>
    </row>
    <row r="75" spans="13:16" x14ac:dyDescent="0.3">
      <c r="M75" s="543" t="s">
        <v>431</v>
      </c>
      <c r="N75" s="555">
        <v>44846</v>
      </c>
      <c r="O75" s="158">
        <v>17.82</v>
      </c>
      <c r="P75" s="158">
        <v>9522696</v>
      </c>
    </row>
    <row r="76" spans="13:16" x14ac:dyDescent="0.3">
      <c r="M76" s="543" t="s">
        <v>431</v>
      </c>
      <c r="N76" s="555">
        <v>44847</v>
      </c>
      <c r="O76" s="158">
        <v>17.98</v>
      </c>
      <c r="P76" s="158">
        <v>9604598</v>
      </c>
    </row>
    <row r="77" spans="13:16" x14ac:dyDescent="0.3">
      <c r="M77" s="543" t="s">
        <v>431</v>
      </c>
      <c r="N77" s="555">
        <v>44848</v>
      </c>
      <c r="O77" s="158">
        <v>17.62</v>
      </c>
      <c r="P77" s="158">
        <v>3989671</v>
      </c>
    </row>
    <row r="78" spans="13:16" x14ac:dyDescent="0.3">
      <c r="M78" s="543" t="s">
        <v>431</v>
      </c>
      <c r="N78" s="555">
        <v>44851</v>
      </c>
      <c r="O78" s="158">
        <v>17.23</v>
      </c>
      <c r="P78" s="158">
        <v>2075618</v>
      </c>
    </row>
    <row r="79" spans="13:16" x14ac:dyDescent="0.3">
      <c r="M79" s="543" t="s">
        <v>431</v>
      </c>
      <c r="N79" s="555">
        <v>44852</v>
      </c>
      <c r="O79" s="158">
        <v>16.97</v>
      </c>
      <c r="P79" s="158">
        <v>6587883</v>
      </c>
    </row>
    <row r="80" spans="13:16" x14ac:dyDescent="0.3">
      <c r="M80" s="543" t="s">
        <v>431</v>
      </c>
      <c r="N80" s="555">
        <v>44853</v>
      </c>
      <c r="O80" s="158">
        <v>17.329999999999998</v>
      </c>
      <c r="P80" s="158">
        <v>3918379</v>
      </c>
    </row>
    <row r="81" spans="13:16" x14ac:dyDescent="0.3">
      <c r="M81" s="543" t="s">
        <v>431</v>
      </c>
      <c r="N81" s="555">
        <v>44854</v>
      </c>
      <c r="O81" s="158">
        <v>17.43</v>
      </c>
      <c r="P81" s="158">
        <v>7057063</v>
      </c>
    </row>
    <row r="82" spans="13:16" x14ac:dyDescent="0.3">
      <c r="M82" s="543" t="s">
        <v>431</v>
      </c>
      <c r="N82" s="555">
        <v>44855</v>
      </c>
      <c r="O82" s="158">
        <v>17.809999999999999</v>
      </c>
      <c r="P82" s="158">
        <v>21049551</v>
      </c>
    </row>
    <row r="83" spans="13:16" x14ac:dyDescent="0.3">
      <c r="M83" s="543" t="s">
        <v>431</v>
      </c>
      <c r="N83" s="555">
        <v>44858</v>
      </c>
      <c r="O83" s="158">
        <v>17.91</v>
      </c>
      <c r="P83" s="158">
        <v>9543550</v>
      </c>
    </row>
    <row r="84" spans="13:16" x14ac:dyDescent="0.3">
      <c r="M84" s="543" t="s">
        <v>431</v>
      </c>
      <c r="N84" s="555">
        <v>44859</v>
      </c>
      <c r="O84" s="158">
        <v>17.57</v>
      </c>
      <c r="P84" s="158">
        <v>4945667</v>
      </c>
    </row>
    <row r="85" spans="13:16" x14ac:dyDescent="0.3">
      <c r="M85" s="543" t="s">
        <v>431</v>
      </c>
      <c r="N85" s="555">
        <v>44860</v>
      </c>
      <c r="O85" s="158">
        <v>16.8</v>
      </c>
      <c r="P85" s="158">
        <v>6484119</v>
      </c>
    </row>
    <row r="86" spans="13:16" x14ac:dyDescent="0.3">
      <c r="M86" s="543" t="s">
        <v>431</v>
      </c>
      <c r="N86" s="555">
        <v>44861</v>
      </c>
      <c r="O86" s="158">
        <v>16.96</v>
      </c>
      <c r="P86" s="158">
        <v>6666159</v>
      </c>
    </row>
    <row r="87" spans="13:16" x14ac:dyDescent="0.3">
      <c r="M87" s="543" t="s">
        <v>431</v>
      </c>
      <c r="N87" s="555">
        <v>44862</v>
      </c>
      <c r="O87" s="158">
        <v>16.260000000000002</v>
      </c>
      <c r="P87" s="158">
        <v>7041498</v>
      </c>
    </row>
    <row r="88" spans="13:16" x14ac:dyDescent="0.3">
      <c r="M88" s="543" t="s">
        <v>431</v>
      </c>
      <c r="N88" s="555">
        <v>44865</v>
      </c>
      <c r="O88" s="158">
        <v>16.399999999999999</v>
      </c>
      <c r="P88" s="158">
        <v>1766355</v>
      </c>
    </row>
    <row r="89" spans="13:16" x14ac:dyDescent="0.3">
      <c r="M89" s="543" t="s">
        <v>431</v>
      </c>
      <c r="N89" s="555">
        <v>44866</v>
      </c>
      <c r="O89" s="158">
        <v>17.16</v>
      </c>
      <c r="P89" s="158">
        <v>7171777</v>
      </c>
    </row>
    <row r="90" spans="13:16" x14ac:dyDescent="0.3">
      <c r="M90" s="543" t="s">
        <v>431</v>
      </c>
      <c r="N90" s="555">
        <v>44867</v>
      </c>
      <c r="O90" s="158">
        <v>17</v>
      </c>
      <c r="P90" s="158">
        <v>5252572</v>
      </c>
    </row>
    <row r="91" spans="13:16" x14ac:dyDescent="0.3">
      <c r="M91" s="543" t="s">
        <v>431</v>
      </c>
      <c r="N91" s="555">
        <v>44868</v>
      </c>
      <c r="O91" s="158">
        <v>17.07</v>
      </c>
      <c r="P91" s="158">
        <v>3442339</v>
      </c>
    </row>
    <row r="92" spans="13:16" x14ac:dyDescent="0.3">
      <c r="M92" s="543" t="s">
        <v>431</v>
      </c>
      <c r="N92" s="555">
        <v>44869</v>
      </c>
      <c r="O92" s="158">
        <v>16.739999999999998</v>
      </c>
      <c r="P92" s="158">
        <v>4772708</v>
      </c>
    </row>
    <row r="93" spans="13:16" x14ac:dyDescent="0.3">
      <c r="M93" s="543" t="s">
        <v>431</v>
      </c>
      <c r="N93" s="555">
        <v>44872</v>
      </c>
      <c r="O93" s="158">
        <v>16.920000000000002</v>
      </c>
      <c r="P93" s="158">
        <v>1740478</v>
      </c>
    </row>
    <row r="94" spans="13:16" x14ac:dyDescent="0.3">
      <c r="M94" s="543" t="s">
        <v>431</v>
      </c>
      <c r="N94" s="555">
        <v>44873</v>
      </c>
      <c r="O94" s="158">
        <v>17.190000000000001</v>
      </c>
      <c r="P94" s="158">
        <v>7154012</v>
      </c>
    </row>
    <row r="95" spans="13:16" x14ac:dyDescent="0.3">
      <c r="M95" s="543" t="s">
        <v>431</v>
      </c>
      <c r="N95" s="555">
        <v>44875</v>
      </c>
      <c r="O95" s="158">
        <v>17.82</v>
      </c>
      <c r="P95" s="158">
        <v>8819766</v>
      </c>
    </row>
    <row r="96" spans="13:16" x14ac:dyDescent="0.3">
      <c r="M96" s="543" t="s">
        <v>431</v>
      </c>
      <c r="N96" s="555">
        <v>44876</v>
      </c>
      <c r="O96" s="158">
        <v>17.940000000000001</v>
      </c>
      <c r="P96" s="158">
        <v>14858830</v>
      </c>
    </row>
    <row r="97" spans="13:16" x14ac:dyDescent="0.3">
      <c r="M97" s="543" t="s">
        <v>431</v>
      </c>
      <c r="N97" s="555">
        <v>44879</v>
      </c>
      <c r="O97" s="158">
        <v>17.350000000000001</v>
      </c>
      <c r="P97" s="158">
        <v>4693848</v>
      </c>
    </row>
    <row r="98" spans="13:16" x14ac:dyDescent="0.3">
      <c r="M98" s="543" t="s">
        <v>431</v>
      </c>
      <c r="N98" s="555">
        <v>44880</v>
      </c>
      <c r="O98" s="158">
        <v>17.53</v>
      </c>
      <c r="P98" s="158">
        <v>5476393</v>
      </c>
    </row>
    <row r="99" spans="13:16" x14ac:dyDescent="0.3">
      <c r="M99" s="543" t="s">
        <v>431</v>
      </c>
      <c r="N99" s="555">
        <v>44881</v>
      </c>
      <c r="O99" s="158">
        <v>17.510000000000002</v>
      </c>
      <c r="P99" s="158">
        <v>2260428</v>
      </c>
    </row>
    <row r="100" spans="13:16" x14ac:dyDescent="0.3">
      <c r="M100" s="543" t="s">
        <v>431</v>
      </c>
      <c r="N100" s="555">
        <v>44882</v>
      </c>
      <c r="O100" s="158">
        <v>17.2</v>
      </c>
      <c r="P100" s="158">
        <v>3442012</v>
      </c>
    </row>
    <row r="101" spans="13:16" x14ac:dyDescent="0.3">
      <c r="M101" s="543" t="s">
        <v>431</v>
      </c>
      <c r="N101" s="555">
        <v>44883</v>
      </c>
      <c r="O101" s="158">
        <v>17.239999999999998</v>
      </c>
      <c r="P101" s="158">
        <v>3339276</v>
      </c>
    </row>
    <row r="102" spans="13:16" x14ac:dyDescent="0.3">
      <c r="M102" s="543" t="s">
        <v>431</v>
      </c>
      <c r="N102" s="555">
        <v>44886</v>
      </c>
      <c r="O102" s="158">
        <v>17.23</v>
      </c>
      <c r="P102" s="158">
        <v>2584238</v>
      </c>
    </row>
    <row r="103" spans="13:16" x14ac:dyDescent="0.3">
      <c r="M103" s="543" t="s">
        <v>431</v>
      </c>
      <c r="N103" s="555">
        <v>44887</v>
      </c>
      <c r="O103" s="158">
        <v>17.28</v>
      </c>
      <c r="P103" s="158">
        <v>1910484</v>
      </c>
    </row>
    <row r="104" spans="13:16" x14ac:dyDescent="0.3">
      <c r="M104" s="543" t="s">
        <v>431</v>
      </c>
      <c r="N104" s="555">
        <v>44888</v>
      </c>
      <c r="O104" s="158">
        <v>17.190000000000001</v>
      </c>
      <c r="P104" s="158">
        <v>875065</v>
      </c>
    </row>
    <row r="105" spans="13:16" x14ac:dyDescent="0.3">
      <c r="M105" s="543" t="s">
        <v>431</v>
      </c>
      <c r="N105" s="555">
        <v>44889</v>
      </c>
      <c r="O105" s="158">
        <v>17.29</v>
      </c>
      <c r="P105" s="158">
        <v>1793959</v>
      </c>
    </row>
    <row r="106" spans="13:16" x14ac:dyDescent="0.3">
      <c r="M106" s="543" t="s">
        <v>431</v>
      </c>
      <c r="N106" s="555">
        <v>44890</v>
      </c>
      <c r="O106" s="158">
        <v>17.010000000000002</v>
      </c>
      <c r="P106" s="158">
        <v>5587847</v>
      </c>
    </row>
    <row r="107" spans="13:16" x14ac:dyDescent="0.3">
      <c r="M107" s="543" t="s">
        <v>431</v>
      </c>
      <c r="N107" s="555">
        <v>44893</v>
      </c>
      <c r="O107" s="158">
        <v>16.37</v>
      </c>
      <c r="P107" s="158">
        <v>4010277</v>
      </c>
    </row>
    <row r="108" spans="13:16" x14ac:dyDescent="0.3">
      <c r="M108" s="543" t="s">
        <v>431</v>
      </c>
      <c r="N108" s="555">
        <v>44894</v>
      </c>
      <c r="O108" s="158">
        <v>16.48</v>
      </c>
      <c r="P108" s="158">
        <v>1210824</v>
      </c>
    </row>
    <row r="109" spans="13:16" x14ac:dyDescent="0.3">
      <c r="M109" s="543" t="s">
        <v>431</v>
      </c>
      <c r="N109" s="555">
        <v>44895</v>
      </c>
      <c r="O109" s="158">
        <v>16.27</v>
      </c>
      <c r="P109" s="158">
        <v>2102538</v>
      </c>
    </row>
    <row r="110" spans="13:16" x14ac:dyDescent="0.3">
      <c r="M110" s="543" t="s">
        <v>431</v>
      </c>
      <c r="N110" s="555">
        <v>44896</v>
      </c>
      <c r="O110" s="158">
        <v>16.309999999999999</v>
      </c>
      <c r="P110" s="158">
        <v>1685067</v>
      </c>
    </row>
    <row r="111" spans="13:16" x14ac:dyDescent="0.3">
      <c r="M111" s="543" t="s">
        <v>431</v>
      </c>
      <c r="N111" s="555">
        <v>44897</v>
      </c>
      <c r="O111" s="158">
        <v>16.100000000000001</v>
      </c>
      <c r="P111" s="158">
        <v>1708932</v>
      </c>
    </row>
    <row r="112" spans="13:16" x14ac:dyDescent="0.3">
      <c r="M112" s="543" t="s">
        <v>431</v>
      </c>
      <c r="N112" s="555">
        <v>44900</v>
      </c>
      <c r="O112" s="158">
        <v>15.8</v>
      </c>
      <c r="P112" s="158">
        <v>703029</v>
      </c>
    </row>
    <row r="113" spans="13:16" x14ac:dyDescent="0.3">
      <c r="M113" s="543" t="s">
        <v>431</v>
      </c>
      <c r="N113" s="555">
        <v>44901</v>
      </c>
      <c r="O113" s="158">
        <v>15.75</v>
      </c>
      <c r="P113" s="158">
        <v>860576</v>
      </c>
    </row>
    <row r="114" spans="13:16" x14ac:dyDescent="0.3">
      <c r="M114" s="543" t="s">
        <v>431</v>
      </c>
      <c r="N114" s="555">
        <v>44902</v>
      </c>
      <c r="O114" s="158">
        <v>16.079999999999998</v>
      </c>
      <c r="P114" s="158">
        <v>2519453</v>
      </c>
    </row>
    <row r="115" spans="13:16" x14ac:dyDescent="0.3">
      <c r="M115" s="543" t="s">
        <v>431</v>
      </c>
      <c r="N115" s="555">
        <v>44903</v>
      </c>
      <c r="O115" s="158">
        <v>15.86</v>
      </c>
      <c r="P115" s="158">
        <v>1099019</v>
      </c>
    </row>
    <row r="116" spans="13:16" x14ac:dyDescent="0.3">
      <c r="M116" s="543" t="s">
        <v>431</v>
      </c>
      <c r="N116" s="555">
        <v>44904</v>
      </c>
      <c r="O116" s="158">
        <v>15.66</v>
      </c>
      <c r="P116" s="158">
        <v>1058502</v>
      </c>
    </row>
    <row r="117" spans="13:16" x14ac:dyDescent="0.3">
      <c r="M117" s="543" t="s">
        <v>431</v>
      </c>
      <c r="N117" s="555">
        <v>44907</v>
      </c>
      <c r="O117" s="158">
        <v>15.51</v>
      </c>
      <c r="P117" s="158">
        <v>1175505</v>
      </c>
    </row>
    <row r="118" spans="13:16" x14ac:dyDescent="0.3">
      <c r="M118" s="543" t="s">
        <v>431</v>
      </c>
      <c r="N118" s="555">
        <v>44908</v>
      </c>
      <c r="O118" s="158">
        <v>15.64</v>
      </c>
      <c r="P118" s="158">
        <v>2949529</v>
      </c>
    </row>
    <row r="119" spans="13:16" x14ac:dyDescent="0.3">
      <c r="M119" s="543" t="s">
        <v>431</v>
      </c>
      <c r="N119" s="555">
        <v>44909</v>
      </c>
      <c r="O119" s="158">
        <v>15.63</v>
      </c>
      <c r="P119" s="158">
        <v>1691824</v>
      </c>
    </row>
    <row r="120" spans="13:16" x14ac:dyDescent="0.3">
      <c r="M120" s="543" t="s">
        <v>431</v>
      </c>
      <c r="N120" s="555">
        <v>44910</v>
      </c>
      <c r="O120" s="158">
        <v>15.43</v>
      </c>
      <c r="P120" s="158">
        <v>2045233</v>
      </c>
    </row>
    <row r="121" spans="13:16" x14ac:dyDescent="0.3">
      <c r="M121" s="543" t="s">
        <v>431</v>
      </c>
      <c r="N121" s="555">
        <v>44911</v>
      </c>
      <c r="O121" s="158">
        <v>15.36</v>
      </c>
      <c r="P121" s="158">
        <v>1370906</v>
      </c>
    </row>
    <row r="122" spans="13:16" x14ac:dyDescent="0.3">
      <c r="M122" s="543" t="s">
        <v>431</v>
      </c>
      <c r="N122" s="555">
        <v>44914</v>
      </c>
      <c r="O122" s="158">
        <v>15.14</v>
      </c>
      <c r="P122" s="158">
        <v>1608835</v>
      </c>
    </row>
    <row r="123" spans="13:16" x14ac:dyDescent="0.3">
      <c r="M123" s="543" t="s">
        <v>431</v>
      </c>
      <c r="N123" s="555">
        <v>44915</v>
      </c>
      <c r="O123" s="158">
        <v>14.01</v>
      </c>
      <c r="P123" s="158">
        <v>5022575</v>
      </c>
    </row>
    <row r="124" spans="13:16" x14ac:dyDescent="0.3">
      <c r="M124" s="543" t="s">
        <v>431</v>
      </c>
      <c r="N124" s="555">
        <v>44916</v>
      </c>
      <c r="O124" s="158">
        <v>12.96</v>
      </c>
      <c r="P124" s="158">
        <v>5046845</v>
      </c>
    </row>
    <row r="125" spans="13:16" x14ac:dyDescent="0.3">
      <c r="M125" s="543" t="s">
        <v>431</v>
      </c>
      <c r="N125" s="555">
        <v>44917</v>
      </c>
      <c r="O125" s="158">
        <v>13.23</v>
      </c>
      <c r="P125" s="158">
        <v>13016810</v>
      </c>
    </row>
    <row r="126" spans="13:16" x14ac:dyDescent="0.3">
      <c r="M126" s="543" t="s">
        <v>431</v>
      </c>
      <c r="N126" s="555">
        <v>44918</v>
      </c>
      <c r="O126" s="158">
        <v>12.63</v>
      </c>
      <c r="P126" s="158">
        <v>6114135</v>
      </c>
    </row>
    <row r="127" spans="13:16" x14ac:dyDescent="0.3">
      <c r="M127" s="543" t="s">
        <v>431</v>
      </c>
      <c r="N127" s="555">
        <v>44921</v>
      </c>
      <c r="O127" s="158">
        <v>13.32</v>
      </c>
      <c r="P127" s="158">
        <v>6337078</v>
      </c>
    </row>
    <row r="128" spans="13:16" x14ac:dyDescent="0.3">
      <c r="M128" s="543" t="s">
        <v>431</v>
      </c>
      <c r="N128" s="555">
        <v>44922</v>
      </c>
      <c r="O128" s="158">
        <v>13</v>
      </c>
      <c r="P128" s="158">
        <v>3477810</v>
      </c>
    </row>
    <row r="129" spans="13:16" x14ac:dyDescent="0.3">
      <c r="M129" s="543" t="s">
        <v>431</v>
      </c>
      <c r="N129" s="555">
        <v>44923</v>
      </c>
      <c r="O129" s="158">
        <v>13.02</v>
      </c>
      <c r="P129" s="158">
        <v>8319319</v>
      </c>
    </row>
    <row r="130" spans="13:16" x14ac:dyDescent="0.3">
      <c r="M130" s="543" t="s">
        <v>431</v>
      </c>
      <c r="N130" s="555">
        <v>44924</v>
      </c>
      <c r="O130" s="158">
        <v>12.9</v>
      </c>
      <c r="P130" s="158">
        <v>7532863</v>
      </c>
    </row>
    <row r="131" spans="13:16" x14ac:dyDescent="0.3">
      <c r="M131" s="543" t="s">
        <v>431</v>
      </c>
      <c r="N131" s="555">
        <v>44925</v>
      </c>
      <c r="O131" s="158">
        <v>12.97</v>
      </c>
      <c r="P131" s="158">
        <v>3271012</v>
      </c>
    </row>
    <row r="132" spans="13:16" x14ac:dyDescent="0.3">
      <c r="M132" s="543" t="s">
        <v>431</v>
      </c>
      <c r="N132" s="555">
        <v>44928</v>
      </c>
      <c r="O132" s="158">
        <v>13.56</v>
      </c>
      <c r="P132" s="158">
        <v>12733240</v>
      </c>
    </row>
    <row r="133" spans="13:16" x14ac:dyDescent="0.3">
      <c r="M133" s="543" t="s">
        <v>431</v>
      </c>
      <c r="N133" s="555">
        <v>44929</v>
      </c>
      <c r="O133" s="158">
        <v>13.26</v>
      </c>
      <c r="P133" s="158">
        <v>3398373</v>
      </c>
    </row>
    <row r="134" spans="13:16" x14ac:dyDescent="0.3">
      <c r="M134" s="543" t="s">
        <v>431</v>
      </c>
      <c r="N134" s="555">
        <v>44930</v>
      </c>
      <c r="O134" s="158">
        <v>13.07</v>
      </c>
      <c r="P134" s="158">
        <v>3410789</v>
      </c>
    </row>
    <row r="135" spans="13:16" x14ac:dyDescent="0.3">
      <c r="M135" s="543" t="s">
        <v>431</v>
      </c>
      <c r="N135" s="555">
        <v>44931</v>
      </c>
      <c r="O135" s="158">
        <v>13.01</v>
      </c>
      <c r="P135" s="158">
        <v>2226895</v>
      </c>
    </row>
    <row r="136" spans="13:16" x14ac:dyDescent="0.3">
      <c r="M136" s="543" t="s">
        <v>431</v>
      </c>
      <c r="N136" s="555">
        <v>44932</v>
      </c>
      <c r="O136" s="158">
        <v>13.81</v>
      </c>
      <c r="P136" s="158">
        <v>16077000</v>
      </c>
    </row>
    <row r="137" spans="13:16" x14ac:dyDescent="0.3">
      <c r="M137" s="543" t="s">
        <v>431</v>
      </c>
      <c r="N137" s="555">
        <v>44935</v>
      </c>
      <c r="O137" s="158">
        <v>13.75</v>
      </c>
      <c r="P137" s="158">
        <v>17570449</v>
      </c>
    </row>
    <row r="138" spans="13:16" x14ac:dyDescent="0.3">
      <c r="M138" s="543" t="s">
        <v>431</v>
      </c>
      <c r="N138" s="555">
        <v>44936</v>
      </c>
      <c r="O138" s="158">
        <v>14.11</v>
      </c>
      <c r="P138" s="158">
        <v>14030580</v>
      </c>
    </row>
    <row r="139" spans="13:16" x14ac:dyDescent="0.3">
      <c r="M139" s="543" t="s">
        <v>431</v>
      </c>
      <c r="N139" s="555">
        <v>44937</v>
      </c>
      <c r="O139" s="158">
        <v>14</v>
      </c>
      <c r="P139" s="158">
        <v>5956990</v>
      </c>
    </row>
    <row r="140" spans="13:16" x14ac:dyDescent="0.3">
      <c r="M140" s="543" t="s">
        <v>431</v>
      </c>
      <c r="N140" s="555">
        <v>44938</v>
      </c>
      <c r="O140" s="158">
        <v>14.02</v>
      </c>
      <c r="P140" s="158">
        <v>9803463</v>
      </c>
    </row>
    <row r="141" spans="13:16" x14ac:dyDescent="0.3">
      <c r="M141" s="543" t="s">
        <v>431</v>
      </c>
      <c r="N141" s="555">
        <v>44939</v>
      </c>
      <c r="O141" s="158">
        <v>13.5</v>
      </c>
      <c r="P141" s="158">
        <v>4792020</v>
      </c>
    </row>
    <row r="142" spans="13:16" x14ac:dyDescent="0.3">
      <c r="M142" s="543" t="s">
        <v>431</v>
      </c>
      <c r="N142" s="555">
        <v>44942</v>
      </c>
      <c r="O142" s="158">
        <v>12.94</v>
      </c>
      <c r="P142" s="158">
        <v>3890615</v>
      </c>
    </row>
    <row r="143" spans="13:16" x14ac:dyDescent="0.3">
      <c r="M143" s="543" t="s">
        <v>431</v>
      </c>
      <c r="N143" s="555">
        <v>44943</v>
      </c>
      <c r="O143" s="158">
        <v>12.18</v>
      </c>
      <c r="P143" s="158">
        <v>3486882</v>
      </c>
    </row>
    <row r="144" spans="13:16" x14ac:dyDescent="0.3">
      <c r="M144" s="543" t="s">
        <v>431</v>
      </c>
      <c r="N144" s="555">
        <v>44944</v>
      </c>
      <c r="O144" s="158">
        <v>12.43</v>
      </c>
      <c r="P144" s="158">
        <v>4320865</v>
      </c>
    </row>
    <row r="145" spans="13:16" x14ac:dyDescent="0.3">
      <c r="M145" s="543" t="s">
        <v>431</v>
      </c>
      <c r="N145" s="555">
        <v>44945</v>
      </c>
      <c r="O145" s="158">
        <v>12.51</v>
      </c>
      <c r="P145" s="158">
        <v>4918102</v>
      </c>
    </row>
    <row r="146" spans="13:16" x14ac:dyDescent="0.3">
      <c r="M146" s="543" t="s">
        <v>431</v>
      </c>
      <c r="N146" s="555">
        <v>44946</v>
      </c>
      <c r="O146" s="158">
        <v>12.23</v>
      </c>
      <c r="P146" s="158">
        <v>2813920</v>
      </c>
    </row>
    <row r="147" spans="13:16" x14ac:dyDescent="0.3">
      <c r="M147" s="543" t="s">
        <v>431</v>
      </c>
      <c r="N147" s="555">
        <v>44949</v>
      </c>
      <c r="O147" s="158">
        <v>12.25</v>
      </c>
      <c r="P147" s="158">
        <v>1242546</v>
      </c>
    </row>
    <row r="148" spans="13:16" x14ac:dyDescent="0.3">
      <c r="M148" s="543" t="s">
        <v>431</v>
      </c>
      <c r="N148" s="555">
        <v>44950</v>
      </c>
      <c r="O148" s="158">
        <v>12.49</v>
      </c>
      <c r="P148" s="158">
        <v>3006215</v>
      </c>
    </row>
    <row r="149" spans="13:16" x14ac:dyDescent="0.3">
      <c r="M149" s="543" t="s">
        <v>431</v>
      </c>
      <c r="N149" s="555">
        <v>44951</v>
      </c>
      <c r="O149" s="158">
        <v>12.66</v>
      </c>
      <c r="P149" s="158">
        <v>6727002</v>
      </c>
    </row>
    <row r="150" spans="13:16" x14ac:dyDescent="0.3">
      <c r="M150" s="543" t="s">
        <v>431</v>
      </c>
      <c r="N150" s="555">
        <v>44952</v>
      </c>
      <c r="O150" s="158">
        <v>13.66</v>
      </c>
      <c r="P150" s="158">
        <v>10375510</v>
      </c>
    </row>
    <row r="151" spans="13:16" x14ac:dyDescent="0.3">
      <c r="M151" s="543" t="s">
        <v>431</v>
      </c>
      <c r="N151" s="555">
        <v>44953</v>
      </c>
      <c r="O151" s="158">
        <v>13.61</v>
      </c>
      <c r="P151" s="158">
        <v>14225350</v>
      </c>
    </row>
    <row r="152" spans="13:16" x14ac:dyDescent="0.3">
      <c r="M152" s="543" t="s">
        <v>431</v>
      </c>
      <c r="N152" s="555">
        <v>44956</v>
      </c>
      <c r="O152" s="158">
        <v>13.66</v>
      </c>
      <c r="P152" s="158">
        <v>21142830</v>
      </c>
    </row>
    <row r="153" spans="13:16" x14ac:dyDescent="0.3">
      <c r="M153" s="543" t="s">
        <v>431</v>
      </c>
      <c r="N153" s="555">
        <v>44957</v>
      </c>
      <c r="O153" s="158">
        <v>13.65</v>
      </c>
      <c r="P153" s="158">
        <v>7748506</v>
      </c>
    </row>
    <row r="154" spans="13:16" x14ac:dyDescent="0.3">
      <c r="M154" s="543" t="s">
        <v>431</v>
      </c>
      <c r="N154" s="555">
        <v>44958</v>
      </c>
      <c r="O154" s="158">
        <v>13.69</v>
      </c>
      <c r="P154" s="158">
        <v>4715810</v>
      </c>
    </row>
    <row r="155" spans="13:16" x14ac:dyDescent="0.3">
      <c r="M155" s="543" t="s">
        <v>431</v>
      </c>
      <c r="N155" s="555">
        <v>44959</v>
      </c>
      <c r="O155" s="158">
        <v>13.6</v>
      </c>
      <c r="P155" s="158">
        <v>2200792</v>
      </c>
    </row>
    <row r="156" spans="13:16" x14ac:dyDescent="0.3">
      <c r="M156" s="543" t="s">
        <v>431</v>
      </c>
      <c r="N156" s="555">
        <v>44960</v>
      </c>
      <c r="O156" s="158">
        <v>13.4</v>
      </c>
      <c r="P156" s="158">
        <v>1864672</v>
      </c>
    </row>
    <row r="157" spans="13:16" x14ac:dyDescent="0.3">
      <c r="M157" s="543" t="s">
        <v>431</v>
      </c>
      <c r="N157" s="555">
        <v>44963</v>
      </c>
      <c r="O157" s="158">
        <v>13.64</v>
      </c>
      <c r="P157" s="158">
        <v>2862000</v>
      </c>
    </row>
    <row r="158" spans="13:16" x14ac:dyDescent="0.3">
      <c r="M158" s="543" t="s">
        <v>431</v>
      </c>
      <c r="N158" s="555">
        <v>44964</v>
      </c>
      <c r="O158" s="158">
        <v>13.23</v>
      </c>
      <c r="P158" s="158">
        <v>7382807</v>
      </c>
    </row>
    <row r="159" spans="13:16" x14ac:dyDescent="0.3">
      <c r="M159" s="543" t="s">
        <v>431</v>
      </c>
      <c r="N159" s="555">
        <v>44965</v>
      </c>
      <c r="O159" s="158">
        <v>13.26</v>
      </c>
      <c r="P159" s="158">
        <v>7891245</v>
      </c>
    </row>
    <row r="160" spans="13:16" x14ac:dyDescent="0.3">
      <c r="M160" s="543" t="s">
        <v>431</v>
      </c>
      <c r="N160" s="555">
        <v>44966</v>
      </c>
      <c r="O160" s="158">
        <v>13.66</v>
      </c>
      <c r="P160" s="158">
        <v>11272140</v>
      </c>
    </row>
    <row r="161" spans="13:16" x14ac:dyDescent="0.3">
      <c r="M161" s="543" t="s">
        <v>431</v>
      </c>
      <c r="N161" s="555">
        <v>44967</v>
      </c>
      <c r="O161" s="158">
        <v>13.35</v>
      </c>
      <c r="P161" s="158">
        <v>5757564</v>
      </c>
    </row>
    <row r="162" spans="13:16" x14ac:dyDescent="0.3">
      <c r="M162" s="543" t="s">
        <v>431</v>
      </c>
      <c r="N162" s="555">
        <v>44970</v>
      </c>
      <c r="O162" s="158">
        <v>13.3</v>
      </c>
      <c r="P162" s="158">
        <v>1474053</v>
      </c>
    </row>
    <row r="163" spans="13:16" x14ac:dyDescent="0.3">
      <c r="M163" s="543" t="s">
        <v>431</v>
      </c>
      <c r="N163" s="555">
        <v>44971</v>
      </c>
      <c r="O163" s="158">
        <v>13.07</v>
      </c>
      <c r="P163" s="158">
        <v>1594345</v>
      </c>
    </row>
    <row r="164" spans="13:16" x14ac:dyDescent="0.3">
      <c r="M164" s="543" t="s">
        <v>431</v>
      </c>
      <c r="N164" s="555">
        <v>44972</v>
      </c>
      <c r="O164" s="158">
        <v>13.19</v>
      </c>
      <c r="P164" s="158">
        <v>3309941</v>
      </c>
    </row>
    <row r="165" spans="13:16" x14ac:dyDescent="0.3">
      <c r="M165" s="543" t="s">
        <v>431</v>
      </c>
      <c r="N165" s="555">
        <v>44973</v>
      </c>
      <c r="O165" s="158">
        <v>13.2</v>
      </c>
      <c r="P165" s="158">
        <v>2703634</v>
      </c>
    </row>
    <row r="166" spans="13:16" x14ac:dyDescent="0.3">
      <c r="M166" s="543" t="s">
        <v>431</v>
      </c>
      <c r="N166" s="555">
        <v>44974</v>
      </c>
      <c r="O166" s="158">
        <v>13.15</v>
      </c>
      <c r="P166" s="158">
        <v>580875</v>
      </c>
    </row>
    <row r="167" spans="13:16" x14ac:dyDescent="0.3">
      <c r="M167" s="543" t="s">
        <v>431</v>
      </c>
      <c r="N167" s="555">
        <v>44977</v>
      </c>
      <c r="O167" s="158">
        <v>12.99</v>
      </c>
      <c r="P167" s="158">
        <v>3591351</v>
      </c>
    </row>
    <row r="168" spans="13:16" x14ac:dyDescent="0.3">
      <c r="M168" s="543" t="s">
        <v>431</v>
      </c>
      <c r="N168" s="555">
        <v>44978</v>
      </c>
      <c r="O168" s="158">
        <v>13.26</v>
      </c>
      <c r="P168" s="158">
        <v>2635492</v>
      </c>
    </row>
    <row r="169" spans="13:16" x14ac:dyDescent="0.3">
      <c r="M169" s="543" t="s">
        <v>431</v>
      </c>
      <c r="N169" s="555">
        <v>44979</v>
      </c>
      <c r="O169" s="158">
        <v>13.23</v>
      </c>
      <c r="P169" s="158">
        <v>1566504</v>
      </c>
    </row>
    <row r="170" spans="13:16" x14ac:dyDescent="0.3">
      <c r="M170" s="543" t="s">
        <v>431</v>
      </c>
      <c r="N170" s="555">
        <v>44980</v>
      </c>
      <c r="O170" s="158">
        <v>12.99</v>
      </c>
      <c r="P170" s="158">
        <v>1510282</v>
      </c>
    </row>
    <row r="171" spans="13:16" x14ac:dyDescent="0.3">
      <c r="M171" s="543" t="s">
        <v>431</v>
      </c>
      <c r="N171" s="555">
        <v>44981</v>
      </c>
      <c r="O171" s="158">
        <v>12.7</v>
      </c>
      <c r="P171" s="158">
        <v>4122000</v>
      </c>
    </row>
    <row r="172" spans="13:16" x14ac:dyDescent="0.3">
      <c r="M172" s="543" t="s">
        <v>431</v>
      </c>
      <c r="N172" s="555">
        <v>44984</v>
      </c>
      <c r="O172" s="158">
        <v>12.73</v>
      </c>
      <c r="P172" s="158">
        <v>1876949</v>
      </c>
    </row>
    <row r="173" spans="13:16" x14ac:dyDescent="0.3">
      <c r="M173" s="543" t="s">
        <v>431</v>
      </c>
      <c r="N173" s="555">
        <v>44985</v>
      </c>
      <c r="O173" s="158">
        <v>12.48</v>
      </c>
      <c r="P173" s="158">
        <v>1080001</v>
      </c>
    </row>
    <row r="174" spans="13:16" x14ac:dyDescent="0.3">
      <c r="M174" s="543" t="s">
        <v>431</v>
      </c>
      <c r="N174" s="555">
        <v>44986</v>
      </c>
      <c r="O174" s="158">
        <v>12.41</v>
      </c>
      <c r="P174" s="158">
        <v>2654273</v>
      </c>
    </row>
    <row r="175" spans="13:16" x14ac:dyDescent="0.3">
      <c r="M175" s="543" t="s">
        <v>431</v>
      </c>
      <c r="N175" s="555">
        <v>44987</v>
      </c>
      <c r="O175" s="158">
        <v>12.21</v>
      </c>
      <c r="P175" s="158">
        <v>1309373</v>
      </c>
    </row>
    <row r="176" spans="13:16" x14ac:dyDescent="0.3">
      <c r="M176" s="543" t="s">
        <v>431</v>
      </c>
      <c r="N176" s="555">
        <v>44988</v>
      </c>
      <c r="O176" s="158">
        <v>12.67</v>
      </c>
      <c r="P176" s="158">
        <v>5690568</v>
      </c>
    </row>
    <row r="177" spans="13:16" x14ac:dyDescent="0.3">
      <c r="M177" s="543" t="s">
        <v>431</v>
      </c>
      <c r="N177" s="555">
        <v>44991</v>
      </c>
      <c r="O177" s="158">
        <v>12.8</v>
      </c>
      <c r="P177" s="158">
        <v>5208413</v>
      </c>
    </row>
    <row r="178" spans="13:16" x14ac:dyDescent="0.3">
      <c r="M178" s="543" t="s">
        <v>431</v>
      </c>
      <c r="N178" s="555">
        <v>44992</v>
      </c>
      <c r="O178" s="158">
        <v>12.66</v>
      </c>
      <c r="P178" s="158">
        <v>846165</v>
      </c>
    </row>
    <row r="179" spans="13:16" x14ac:dyDescent="0.3">
      <c r="M179" s="543" t="s">
        <v>431</v>
      </c>
      <c r="N179" s="555">
        <v>44993</v>
      </c>
      <c r="O179" s="158">
        <v>12.67</v>
      </c>
      <c r="P179" s="158">
        <v>2515660</v>
      </c>
    </row>
    <row r="180" spans="13:16" x14ac:dyDescent="0.3">
      <c r="M180" s="543" t="s">
        <v>431</v>
      </c>
      <c r="N180" s="555">
        <v>44994</v>
      </c>
      <c r="O180" s="158">
        <v>13.09</v>
      </c>
      <c r="P180" s="158">
        <v>4598800</v>
      </c>
    </row>
    <row r="181" spans="13:16" x14ac:dyDescent="0.3">
      <c r="M181" s="543" t="s">
        <v>431</v>
      </c>
      <c r="N181" s="555">
        <v>44995</v>
      </c>
      <c r="O181" s="158">
        <v>13.28</v>
      </c>
      <c r="P181" s="158">
        <v>5244268</v>
      </c>
    </row>
    <row r="182" spans="13:16" x14ac:dyDescent="0.3">
      <c r="M182" s="543" t="s">
        <v>431</v>
      </c>
      <c r="N182" s="555">
        <v>44998</v>
      </c>
      <c r="O182" s="158">
        <v>13.07</v>
      </c>
      <c r="P182" s="158">
        <v>3208979</v>
      </c>
    </row>
    <row r="183" spans="13:16" x14ac:dyDescent="0.3">
      <c r="M183" s="543" t="s">
        <v>431</v>
      </c>
      <c r="N183" s="555">
        <v>44999</v>
      </c>
      <c r="O183" s="158">
        <v>13.14</v>
      </c>
      <c r="P183" s="158">
        <v>1718672</v>
      </c>
    </row>
    <row r="184" spans="13:16" x14ac:dyDescent="0.3">
      <c r="M184" s="543" t="s">
        <v>431</v>
      </c>
      <c r="N184" s="555">
        <v>45000</v>
      </c>
      <c r="O184" s="158">
        <v>13.28</v>
      </c>
      <c r="P184" s="158">
        <v>3299817</v>
      </c>
    </row>
    <row r="185" spans="13:16" x14ac:dyDescent="0.3">
      <c r="M185" s="543" t="s">
        <v>431</v>
      </c>
      <c r="N185" s="555">
        <v>45001</v>
      </c>
      <c r="O185" s="158">
        <v>13.28</v>
      </c>
      <c r="P185" s="158">
        <v>5642567</v>
      </c>
    </row>
    <row r="186" spans="13:16" x14ac:dyDescent="0.3">
      <c r="M186" s="543" t="s">
        <v>431</v>
      </c>
      <c r="N186" s="555">
        <v>45002</v>
      </c>
      <c r="O186" s="158">
        <v>13.27</v>
      </c>
      <c r="P186" s="158">
        <v>708031</v>
      </c>
    </row>
    <row r="187" spans="13:16" x14ac:dyDescent="0.3">
      <c r="M187" s="543" t="s">
        <v>431</v>
      </c>
      <c r="N187" s="555">
        <v>45005</v>
      </c>
      <c r="O187" s="158">
        <v>13.11</v>
      </c>
      <c r="P187" s="158">
        <v>896768</v>
      </c>
    </row>
    <row r="188" spans="13:16" x14ac:dyDescent="0.3">
      <c r="M188" s="543" t="s">
        <v>431</v>
      </c>
      <c r="N188" s="555">
        <v>45006</v>
      </c>
      <c r="O188" s="158">
        <v>13.22</v>
      </c>
      <c r="P188" s="158">
        <v>2079305</v>
      </c>
    </row>
    <row r="189" spans="13:16" x14ac:dyDescent="0.3">
      <c r="M189" s="543" t="s">
        <v>431</v>
      </c>
      <c r="N189" s="555">
        <v>45007</v>
      </c>
      <c r="O189" s="158">
        <v>12.92</v>
      </c>
      <c r="P189" s="158">
        <v>1321070</v>
      </c>
    </row>
    <row r="190" spans="13:16" x14ac:dyDescent="0.3">
      <c r="M190" s="543" t="s">
        <v>431</v>
      </c>
      <c r="N190" s="555">
        <v>45009</v>
      </c>
      <c r="O190" s="158">
        <v>12.74</v>
      </c>
      <c r="P190" s="158">
        <v>350292</v>
      </c>
    </row>
    <row r="191" spans="13:16" x14ac:dyDescent="0.3">
      <c r="M191" s="543" t="s">
        <v>431</v>
      </c>
      <c r="N191" s="555">
        <v>45012</v>
      </c>
      <c r="O191" s="158">
        <v>12.48</v>
      </c>
      <c r="P191" s="158">
        <v>641444</v>
      </c>
    </row>
    <row r="192" spans="13:16" x14ac:dyDescent="0.3">
      <c r="M192" s="543" t="s">
        <v>431</v>
      </c>
      <c r="N192" s="555">
        <v>45013</v>
      </c>
      <c r="O192" s="158">
        <v>12.63</v>
      </c>
      <c r="P192" s="158">
        <v>345598</v>
      </c>
    </row>
    <row r="193" spans="13:16" x14ac:dyDescent="0.3">
      <c r="M193" s="543" t="s">
        <v>431</v>
      </c>
      <c r="N193" s="555">
        <v>45014</v>
      </c>
      <c r="O193" s="158">
        <v>12.46</v>
      </c>
      <c r="P193" s="158">
        <v>1047312</v>
      </c>
    </row>
    <row r="194" spans="13:16" x14ac:dyDescent="0.3">
      <c r="M194" s="543" t="s">
        <v>431</v>
      </c>
      <c r="N194" s="555">
        <v>45015</v>
      </c>
      <c r="O194" s="158">
        <v>12.26</v>
      </c>
      <c r="P194" s="158">
        <v>837114</v>
      </c>
    </row>
    <row r="195" spans="13:16" x14ac:dyDescent="0.3">
      <c r="M195" s="543" t="s">
        <v>431</v>
      </c>
      <c r="N195" s="555">
        <v>45016</v>
      </c>
      <c r="O195" s="158">
        <v>12.14</v>
      </c>
      <c r="P195" s="158">
        <v>1081579</v>
      </c>
    </row>
    <row r="196" spans="13:16" x14ac:dyDescent="0.3">
      <c r="M196" s="543" t="s">
        <v>431</v>
      </c>
      <c r="N196" s="555">
        <v>45019</v>
      </c>
      <c r="O196" s="158">
        <v>12.23</v>
      </c>
      <c r="P196" s="158">
        <v>1322532</v>
      </c>
    </row>
    <row r="197" spans="13:16" x14ac:dyDescent="0.3">
      <c r="M197" s="543" t="s">
        <v>431</v>
      </c>
      <c r="N197" s="555">
        <v>45020</v>
      </c>
      <c r="O197" s="158">
        <v>12.23</v>
      </c>
      <c r="P197" s="158">
        <v>779074</v>
      </c>
    </row>
    <row r="198" spans="13:16" x14ac:dyDescent="0.3">
      <c r="M198" s="543" t="s">
        <v>431</v>
      </c>
      <c r="N198" s="555">
        <v>45021</v>
      </c>
      <c r="O198" s="158">
        <v>12.26</v>
      </c>
      <c r="P198" s="158">
        <v>449282</v>
      </c>
    </row>
    <row r="199" spans="13:16" x14ac:dyDescent="0.3">
      <c r="M199" s="543" t="s">
        <v>431</v>
      </c>
      <c r="N199" s="555">
        <v>45022</v>
      </c>
      <c r="O199" s="158">
        <v>12.48</v>
      </c>
      <c r="P199" s="158">
        <v>1530741</v>
      </c>
    </row>
    <row r="200" spans="13:16" x14ac:dyDescent="0.3">
      <c r="M200" s="543" t="s">
        <v>431</v>
      </c>
      <c r="N200" s="555">
        <v>45023</v>
      </c>
      <c r="O200" s="158">
        <v>12.35</v>
      </c>
      <c r="P200" s="158">
        <v>632106</v>
      </c>
    </row>
    <row r="201" spans="13:16" x14ac:dyDescent="0.3">
      <c r="M201" s="543" t="s">
        <v>431</v>
      </c>
      <c r="N201" s="555">
        <v>45026</v>
      </c>
      <c r="O201" s="158">
        <v>12.19</v>
      </c>
      <c r="P201" s="158">
        <v>250468</v>
      </c>
    </row>
    <row r="202" spans="13:16" x14ac:dyDescent="0.3">
      <c r="M202" s="543" t="s">
        <v>431</v>
      </c>
      <c r="N202" s="555">
        <v>45027</v>
      </c>
      <c r="O202" s="158">
        <v>12.3</v>
      </c>
      <c r="P202" s="158">
        <v>456428</v>
      </c>
    </row>
    <row r="203" spans="13:16" x14ac:dyDescent="0.3">
      <c r="M203" s="543" t="s">
        <v>431</v>
      </c>
      <c r="N203" s="555">
        <v>45028</v>
      </c>
      <c r="O203" s="158">
        <v>12.4</v>
      </c>
      <c r="P203" s="158">
        <v>1124226</v>
      </c>
    </row>
    <row r="204" spans="13:16" x14ac:dyDescent="0.3">
      <c r="M204" s="543" t="s">
        <v>431</v>
      </c>
      <c r="N204" s="555">
        <v>45029</v>
      </c>
      <c r="O204" s="158">
        <v>12.34</v>
      </c>
      <c r="P204" s="158">
        <v>495463</v>
      </c>
    </row>
    <row r="205" spans="13:16" x14ac:dyDescent="0.3">
      <c r="M205" s="543" t="s">
        <v>431</v>
      </c>
      <c r="N205" s="555">
        <v>45033</v>
      </c>
      <c r="O205" s="158">
        <v>12.3</v>
      </c>
      <c r="P205" s="158">
        <v>357221</v>
      </c>
    </row>
    <row r="206" spans="13:16" x14ac:dyDescent="0.3">
      <c r="M206" s="543" t="s">
        <v>431</v>
      </c>
      <c r="N206" s="555">
        <v>45034</v>
      </c>
      <c r="O206" s="158">
        <v>12.27</v>
      </c>
      <c r="P206" s="158">
        <v>132465</v>
      </c>
    </row>
    <row r="207" spans="13:16" x14ac:dyDescent="0.3">
      <c r="M207" s="543" t="s">
        <v>431</v>
      </c>
      <c r="N207" s="555">
        <v>45035</v>
      </c>
      <c r="O207" s="158">
        <v>12.55</v>
      </c>
      <c r="P207" s="158">
        <v>2497386</v>
      </c>
    </row>
    <row r="208" spans="13:16" x14ac:dyDescent="0.3">
      <c r="M208" s="543" t="s">
        <v>431</v>
      </c>
      <c r="N208" s="555">
        <v>45036</v>
      </c>
      <c r="O208" s="158">
        <v>13.52</v>
      </c>
      <c r="P208" s="158">
        <v>11539530</v>
      </c>
    </row>
    <row r="209" spans="13:16" x14ac:dyDescent="0.3">
      <c r="M209" s="543" t="s">
        <v>431</v>
      </c>
      <c r="N209" s="555">
        <v>45042</v>
      </c>
      <c r="O209" s="158">
        <v>14.22</v>
      </c>
      <c r="P209" s="158">
        <v>16012170</v>
      </c>
    </row>
    <row r="210" spans="13:16" x14ac:dyDescent="0.3">
      <c r="M210" s="543" t="s">
        <v>431</v>
      </c>
      <c r="N210" s="555">
        <v>45043</v>
      </c>
      <c r="O210" s="158">
        <v>13.91</v>
      </c>
      <c r="P210" s="158">
        <v>6884986</v>
      </c>
    </row>
    <row r="211" spans="13:16" x14ac:dyDescent="0.3">
      <c r="M211" s="543" t="s">
        <v>431</v>
      </c>
      <c r="N211" s="555">
        <v>45044</v>
      </c>
      <c r="O211" s="158">
        <v>14.68</v>
      </c>
      <c r="P211" s="158">
        <v>22176199</v>
      </c>
    </row>
    <row r="212" spans="13:16" x14ac:dyDescent="0.3">
      <c r="M212" s="543" t="s">
        <v>431</v>
      </c>
      <c r="N212" s="555">
        <v>45048</v>
      </c>
      <c r="O212" s="158">
        <v>14.26</v>
      </c>
      <c r="P212" s="158">
        <v>7163884</v>
      </c>
    </row>
    <row r="213" spans="13:16" x14ac:dyDescent="0.3">
      <c r="M213" s="543" t="s">
        <v>431</v>
      </c>
      <c r="N213" s="555">
        <v>45049</v>
      </c>
      <c r="O213" s="158">
        <v>13.91</v>
      </c>
      <c r="P213" s="158">
        <v>8542194</v>
      </c>
    </row>
    <row r="214" spans="13:16" x14ac:dyDescent="0.3">
      <c r="M214" s="543" t="s">
        <v>431</v>
      </c>
      <c r="N214" s="555">
        <v>45050</v>
      </c>
      <c r="O214" s="158">
        <v>14</v>
      </c>
      <c r="P214" s="158">
        <v>4407502</v>
      </c>
    </row>
    <row r="215" spans="13:16" x14ac:dyDescent="0.3">
      <c r="M215" s="543" t="s">
        <v>431</v>
      </c>
      <c r="N215" s="555">
        <v>45051</v>
      </c>
      <c r="O215" s="158">
        <v>14</v>
      </c>
      <c r="P215" s="158">
        <v>1194615</v>
      </c>
    </row>
    <row r="216" spans="13:16" x14ac:dyDescent="0.3">
      <c r="M216" s="543" t="s">
        <v>431</v>
      </c>
      <c r="N216" s="555">
        <v>45054</v>
      </c>
      <c r="O216" s="158">
        <v>14.16</v>
      </c>
      <c r="P216" s="158">
        <v>11367780</v>
      </c>
    </row>
    <row r="217" spans="13:16" x14ac:dyDescent="0.3">
      <c r="M217" s="543" t="s">
        <v>431</v>
      </c>
      <c r="N217" s="555">
        <v>45055</v>
      </c>
      <c r="O217" s="158">
        <v>13.87</v>
      </c>
      <c r="P217" s="158">
        <v>4824902</v>
      </c>
    </row>
    <row r="218" spans="13:16" x14ac:dyDescent="0.3">
      <c r="M218" s="543" t="s">
        <v>431</v>
      </c>
      <c r="N218" s="555">
        <v>45056</v>
      </c>
      <c r="O218" s="158">
        <v>13.63</v>
      </c>
      <c r="P218" s="158">
        <v>1541839</v>
      </c>
    </row>
    <row r="219" spans="13:16" x14ac:dyDescent="0.3">
      <c r="M219" s="543" t="s">
        <v>431</v>
      </c>
      <c r="N219" s="555">
        <v>45057</v>
      </c>
      <c r="O219" s="158">
        <v>13.86</v>
      </c>
      <c r="P219" s="158">
        <v>2205332</v>
      </c>
    </row>
    <row r="220" spans="13:16" x14ac:dyDescent="0.3">
      <c r="M220" s="543" t="s">
        <v>431</v>
      </c>
      <c r="N220" s="555">
        <v>45058</v>
      </c>
      <c r="O220" s="158">
        <v>13.88</v>
      </c>
      <c r="P220" s="158">
        <v>2329070</v>
      </c>
    </row>
    <row r="221" spans="13:16" x14ac:dyDescent="0.3">
      <c r="M221" s="543" t="s">
        <v>431</v>
      </c>
      <c r="N221" s="555">
        <v>45061</v>
      </c>
      <c r="O221" s="158">
        <v>13.69</v>
      </c>
      <c r="P221" s="158">
        <v>1339225</v>
      </c>
    </row>
    <row r="222" spans="13:16" x14ac:dyDescent="0.3">
      <c r="M222" s="543" t="s">
        <v>431</v>
      </c>
      <c r="N222" s="555">
        <v>45062</v>
      </c>
      <c r="O222" s="158">
        <v>13.83</v>
      </c>
      <c r="P222" s="158">
        <v>1144273</v>
      </c>
    </row>
    <row r="223" spans="13:16" x14ac:dyDescent="0.3">
      <c r="M223" s="543" t="s">
        <v>431</v>
      </c>
      <c r="N223" s="555">
        <v>45063</v>
      </c>
      <c r="O223" s="158">
        <v>13.79</v>
      </c>
      <c r="P223" s="158">
        <v>1492862</v>
      </c>
    </row>
    <row r="224" spans="13:16" x14ac:dyDescent="0.3">
      <c r="M224" s="543" t="s">
        <v>431</v>
      </c>
      <c r="N224" s="555">
        <v>45064</v>
      </c>
      <c r="O224" s="158">
        <v>13.96</v>
      </c>
      <c r="P224" s="158">
        <v>7526334</v>
      </c>
    </row>
    <row r="225" spans="13:16" x14ac:dyDescent="0.3">
      <c r="M225" s="543" t="s">
        <v>431</v>
      </c>
      <c r="N225" s="555">
        <v>45065</v>
      </c>
      <c r="O225" s="158">
        <v>13.83</v>
      </c>
      <c r="P225" s="158">
        <v>2934030</v>
      </c>
    </row>
    <row r="226" spans="13:16" x14ac:dyDescent="0.3">
      <c r="M226" s="543" t="s">
        <v>431</v>
      </c>
      <c r="N226" s="555">
        <v>45068</v>
      </c>
      <c r="O226" s="158">
        <v>13.69</v>
      </c>
      <c r="P226" s="158">
        <v>939525</v>
      </c>
    </row>
    <row r="227" spans="13:16" x14ac:dyDescent="0.3">
      <c r="M227" s="543" t="s">
        <v>431</v>
      </c>
      <c r="N227" s="555">
        <v>45069</v>
      </c>
      <c r="O227" s="158">
        <v>13.69</v>
      </c>
      <c r="P227" s="158">
        <v>1536342</v>
      </c>
    </row>
    <row r="228" spans="13:16" x14ac:dyDescent="0.3">
      <c r="M228" s="543" t="s">
        <v>431</v>
      </c>
      <c r="N228" s="555">
        <v>45070</v>
      </c>
      <c r="O228" s="158">
        <v>13.77</v>
      </c>
      <c r="P228" s="158">
        <v>2665354</v>
      </c>
    </row>
    <row r="229" spans="13:16" x14ac:dyDescent="0.3">
      <c r="M229" s="543" t="s">
        <v>431</v>
      </c>
      <c r="N229" s="555">
        <v>45071</v>
      </c>
      <c r="O229" s="158">
        <v>14.1</v>
      </c>
      <c r="P229" s="158">
        <v>8370529</v>
      </c>
    </row>
    <row r="230" spans="13:16" x14ac:dyDescent="0.3">
      <c r="M230" s="543" t="s">
        <v>431</v>
      </c>
      <c r="N230" s="555">
        <v>45072</v>
      </c>
      <c r="O230" s="158">
        <v>13.96</v>
      </c>
      <c r="P230" s="158">
        <v>4312807</v>
      </c>
    </row>
    <row r="231" spans="13:16" x14ac:dyDescent="0.3">
      <c r="M231" s="543" t="s">
        <v>431</v>
      </c>
      <c r="N231" s="555">
        <v>45075</v>
      </c>
      <c r="O231" s="158">
        <v>13.9</v>
      </c>
      <c r="P231" s="158">
        <v>4364495</v>
      </c>
    </row>
    <row r="232" spans="13:16" x14ac:dyDescent="0.3">
      <c r="M232" s="543" t="s">
        <v>431</v>
      </c>
      <c r="N232" s="555">
        <v>45076</v>
      </c>
      <c r="O232" s="158">
        <v>14.15</v>
      </c>
      <c r="P232" s="158">
        <v>2160354</v>
      </c>
    </row>
    <row r="233" spans="13:16" x14ac:dyDescent="0.3">
      <c r="M233" s="543" t="s">
        <v>431</v>
      </c>
      <c r="N233" s="555">
        <v>45077</v>
      </c>
      <c r="O233" s="158">
        <v>14.01</v>
      </c>
      <c r="P233" s="158">
        <v>1939279</v>
      </c>
    </row>
    <row r="234" spans="13:16" x14ac:dyDescent="0.3">
      <c r="M234" s="543" t="s">
        <v>431</v>
      </c>
      <c r="N234" s="555">
        <v>45078</v>
      </c>
      <c r="O234" s="158">
        <v>14.22</v>
      </c>
      <c r="P234" s="158">
        <v>4031577</v>
      </c>
    </row>
    <row r="235" spans="13:16" x14ac:dyDescent="0.3">
      <c r="M235" s="543" t="s">
        <v>431</v>
      </c>
      <c r="N235" s="555">
        <v>45079</v>
      </c>
      <c r="O235" s="158">
        <v>14.06</v>
      </c>
      <c r="P235" s="158">
        <v>1070343</v>
      </c>
    </row>
    <row r="236" spans="13:16" x14ac:dyDescent="0.3">
      <c r="M236" s="543" t="s">
        <v>431</v>
      </c>
      <c r="N236" s="555">
        <v>45082</v>
      </c>
      <c r="O236" s="158">
        <v>14.36</v>
      </c>
      <c r="P236" s="158">
        <v>5738026</v>
      </c>
    </row>
    <row r="237" spans="13:16" x14ac:dyDescent="0.3">
      <c r="M237" s="543" t="s">
        <v>431</v>
      </c>
      <c r="N237" s="555">
        <v>45083</v>
      </c>
      <c r="O237" s="158">
        <v>15.06</v>
      </c>
      <c r="P237" s="158">
        <v>20519211</v>
      </c>
    </row>
    <row r="238" spans="13:16" x14ac:dyDescent="0.3">
      <c r="M238" s="543" t="s">
        <v>431</v>
      </c>
      <c r="N238" s="555">
        <v>45084</v>
      </c>
      <c r="O238" s="158">
        <v>14.79</v>
      </c>
      <c r="P238" s="158">
        <v>11614230</v>
      </c>
    </row>
    <row r="239" spans="13:16" x14ac:dyDescent="0.3">
      <c r="M239" s="543" t="s">
        <v>431</v>
      </c>
      <c r="N239" s="555">
        <v>45085</v>
      </c>
      <c r="O239" s="158">
        <v>14.47</v>
      </c>
      <c r="P239" s="158">
        <v>9600621</v>
      </c>
    </row>
    <row r="240" spans="13:16" x14ac:dyDescent="0.3">
      <c r="M240" s="543" t="s">
        <v>431</v>
      </c>
      <c r="N240" s="555">
        <v>45086</v>
      </c>
      <c r="O240" s="158">
        <v>14.45</v>
      </c>
      <c r="P240" s="158">
        <v>1740428</v>
      </c>
    </row>
    <row r="241" spans="13:16" x14ac:dyDescent="0.3">
      <c r="M241" s="543" t="s">
        <v>431</v>
      </c>
      <c r="N241" s="555">
        <v>45089</v>
      </c>
      <c r="O241" s="158">
        <v>14.67</v>
      </c>
      <c r="P241" s="158">
        <v>10796480</v>
      </c>
    </row>
    <row r="242" spans="13:16" x14ac:dyDescent="0.3">
      <c r="M242" s="543" t="s">
        <v>431</v>
      </c>
      <c r="N242" s="555">
        <v>45090</v>
      </c>
      <c r="O242" s="158">
        <v>14.51</v>
      </c>
      <c r="P242" s="158">
        <v>6148570</v>
      </c>
    </row>
    <row r="243" spans="13:16" x14ac:dyDescent="0.3">
      <c r="M243" s="543" t="s">
        <v>431</v>
      </c>
      <c r="N243" s="555">
        <v>45091</v>
      </c>
      <c r="O243" s="158">
        <v>14.22</v>
      </c>
      <c r="P243" s="158">
        <v>3592139</v>
      </c>
    </row>
    <row r="244" spans="13:16" x14ac:dyDescent="0.3">
      <c r="M244" s="543" t="s">
        <v>431</v>
      </c>
      <c r="N244" s="555">
        <v>45092</v>
      </c>
      <c r="O244" s="158">
        <v>14.25</v>
      </c>
      <c r="P244" s="158">
        <v>3324031</v>
      </c>
    </row>
    <row r="245" spans="13:16" x14ac:dyDescent="0.3">
      <c r="M245" s="543" t="s">
        <v>431</v>
      </c>
      <c r="N245" s="555">
        <v>45093</v>
      </c>
      <c r="O245" s="158">
        <v>14.14</v>
      </c>
      <c r="P245" s="158">
        <v>1574847</v>
      </c>
    </row>
    <row r="246" spans="13:16" x14ac:dyDescent="0.3">
      <c r="M246" s="543" t="s">
        <v>431</v>
      </c>
      <c r="N246" s="555">
        <v>45096</v>
      </c>
      <c r="O246" s="158">
        <v>13.93</v>
      </c>
      <c r="P246" s="158">
        <v>4088360</v>
      </c>
    </row>
    <row r="247" spans="13:16" x14ac:dyDescent="0.3">
      <c r="M247" s="543" t="s">
        <v>431</v>
      </c>
      <c r="N247" s="555">
        <v>45097</v>
      </c>
      <c r="O247" s="158">
        <v>13.72</v>
      </c>
      <c r="P247" s="158">
        <v>1822469</v>
      </c>
    </row>
    <row r="248" spans="13:16" x14ac:dyDescent="0.3">
      <c r="M248" s="543" t="s">
        <v>431</v>
      </c>
      <c r="N248" s="555">
        <v>45098</v>
      </c>
      <c r="O248" s="158">
        <v>13.39</v>
      </c>
      <c r="P248" s="158">
        <v>992910</v>
      </c>
    </row>
    <row r="249" spans="13:16" x14ac:dyDescent="0.3">
      <c r="M249" s="543" t="s">
        <v>431</v>
      </c>
      <c r="N249" s="555">
        <v>45099</v>
      </c>
      <c r="O249" s="158">
        <v>13.36</v>
      </c>
      <c r="P249" s="158">
        <v>1270424</v>
      </c>
    </row>
    <row r="250" spans="13:16" x14ac:dyDescent="0.3">
      <c r="M250" s="543" t="s">
        <v>431</v>
      </c>
      <c r="N250" s="555">
        <v>45100</v>
      </c>
      <c r="O250" s="158">
        <v>13.16</v>
      </c>
      <c r="P250" s="158">
        <v>2268473</v>
      </c>
    </row>
    <row r="251" spans="13:16" x14ac:dyDescent="0.3">
      <c r="M251" s="543" t="s">
        <v>431</v>
      </c>
      <c r="N251" s="555">
        <v>45103</v>
      </c>
      <c r="O251" s="158">
        <v>13.69</v>
      </c>
      <c r="P251" s="158">
        <v>4886457</v>
      </c>
    </row>
    <row r="252" spans="13:16" x14ac:dyDescent="0.3">
      <c r="M252" s="543" t="s">
        <v>431</v>
      </c>
      <c r="N252" s="555">
        <v>45104</v>
      </c>
      <c r="O252" s="158">
        <v>13.56</v>
      </c>
      <c r="P252" s="158">
        <v>3267734</v>
      </c>
    </row>
    <row r="255" spans="13:16" x14ac:dyDescent="0.3">
      <c r="N255" s="543" t="s">
        <v>433</v>
      </c>
      <c r="O255" s="543">
        <f>MIN(O7:O252)</f>
        <v>12.14</v>
      </c>
    </row>
    <row r="256" spans="13:16" x14ac:dyDescent="0.3">
      <c r="N256" s="543" t="s">
        <v>434</v>
      </c>
      <c r="O256" s="543">
        <f>MAX(O7:O252)</f>
        <v>19.91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E1C0-B75A-4812-8F8C-24EA9F2CCFD2}">
  <dimension ref="A1:AG2496"/>
  <sheetViews>
    <sheetView showGridLines="0" zoomScale="77" workbookViewId="0">
      <selection activeCell="F18" sqref="F18"/>
    </sheetView>
  </sheetViews>
  <sheetFormatPr defaultColWidth="12.453125" defaultRowHeight="15.5" x14ac:dyDescent="0.35"/>
  <cols>
    <col min="1" max="1" width="38.90625" style="73" bestFit="1" customWidth="1"/>
    <col min="2" max="3" width="14.08984375" style="73" customWidth="1"/>
    <col min="4" max="4" width="33.08984375" style="73" bestFit="1" customWidth="1"/>
    <col min="5" max="9" width="32" style="85" customWidth="1"/>
    <col min="10" max="11" width="12.453125" style="73"/>
    <col min="12" max="12" width="0" style="73" hidden="1" customWidth="1"/>
    <col min="13" max="17" width="12.453125" style="73"/>
    <col min="18" max="18" width="16.08984375" style="73" bestFit="1" customWidth="1"/>
    <col min="19" max="16384" width="12.453125" style="73"/>
  </cols>
  <sheetData>
    <row r="1" spans="1:19" ht="30.5" thickBot="1" x14ac:dyDescent="0.65">
      <c r="A1" s="650" t="s">
        <v>364</v>
      </c>
      <c r="B1" s="650"/>
      <c r="C1" s="650"/>
      <c r="D1" s="650"/>
      <c r="E1" s="650"/>
      <c r="F1" s="650"/>
      <c r="G1" s="650"/>
      <c r="H1" s="650"/>
      <c r="I1" s="650"/>
      <c r="J1" s="650"/>
      <c r="K1" s="650"/>
      <c r="L1" s="650"/>
      <c r="M1" s="650"/>
      <c r="N1" s="650"/>
      <c r="O1" s="650"/>
      <c r="P1" s="650"/>
      <c r="Q1" s="650"/>
      <c r="R1" s="650"/>
      <c r="S1" s="650"/>
    </row>
    <row r="2" spans="1:19" x14ac:dyDescent="0.35">
      <c r="A2" s="630" t="s">
        <v>365</v>
      </c>
      <c r="B2" s="631" t="s">
        <v>366</v>
      </c>
      <c r="D2" s="79" t="s">
        <v>308</v>
      </c>
      <c r="E2" s="80">
        <v>2024</v>
      </c>
      <c r="F2" s="80">
        <v>2025</v>
      </c>
      <c r="G2" s="81">
        <v>2026</v>
      </c>
      <c r="H2" s="80">
        <v>2027</v>
      </c>
      <c r="I2" s="81">
        <v>2028</v>
      </c>
    </row>
    <row r="3" spans="1:19" x14ac:dyDescent="0.35">
      <c r="A3" s="74" t="s">
        <v>367</v>
      </c>
      <c r="B3" s="78">
        <v>0.23</v>
      </c>
      <c r="D3" s="82"/>
      <c r="E3" s="83">
        <v>1</v>
      </c>
      <c r="F3" s="83">
        <v>2</v>
      </c>
      <c r="G3" s="83">
        <v>3</v>
      </c>
      <c r="H3" s="83">
        <v>4</v>
      </c>
      <c r="I3" s="84">
        <v>5</v>
      </c>
      <c r="L3" s="85">
        <v>2</v>
      </c>
    </row>
    <row r="4" spans="1:19" x14ac:dyDescent="0.35">
      <c r="A4" s="74" t="s">
        <v>368</v>
      </c>
      <c r="B4" s="78">
        <v>4.4999999999999998E-2</v>
      </c>
      <c r="D4" s="74"/>
      <c r="I4" s="86"/>
      <c r="L4" s="73">
        <v>3</v>
      </c>
    </row>
    <row r="5" spans="1:19" x14ac:dyDescent="0.35">
      <c r="A5" s="74" t="s">
        <v>369</v>
      </c>
      <c r="B5" s="598">
        <f>SLOPE(S25:S2311,R25:R2311)</f>
        <v>1.5373191058036242</v>
      </c>
      <c r="D5" s="74" t="s">
        <v>370</v>
      </c>
      <c r="E5" s="87">
        <f>'Cash Flow Statement'!B52</f>
        <v>10341201117.19058</v>
      </c>
      <c r="F5" s="87">
        <f>'Cash Flow Statement'!C52</f>
        <v>500199415.89894915</v>
      </c>
      <c r="G5" s="87">
        <f>'Cash Flow Statement'!D52</f>
        <v>1112701998.1218762</v>
      </c>
      <c r="H5" s="87">
        <f>'Cash Flow Statement'!E52</f>
        <v>13203028899.176826</v>
      </c>
      <c r="I5" s="88">
        <f>'Cash Flow Statement'!F52</f>
        <v>13536716580.840839</v>
      </c>
      <c r="L5" s="73">
        <v>4</v>
      </c>
    </row>
    <row r="6" spans="1:19" x14ac:dyDescent="0.35">
      <c r="A6" s="74" t="s">
        <v>303</v>
      </c>
      <c r="B6" s="89">
        <f>'Fixed Asset and Loan Schedule'!B137</f>
        <v>0.23</v>
      </c>
      <c r="D6" s="74" t="s">
        <v>371</v>
      </c>
      <c r="E6" s="90">
        <f>E5/(1+$B$14)^E3</f>
        <v>8212261797.69909</v>
      </c>
      <c r="F6" s="90">
        <f>F5/(1+$B$14)^F3</f>
        <v>315447277.01650733</v>
      </c>
      <c r="G6" s="90">
        <f>G5/(1+$B$14)^G3</f>
        <v>557255382.31129849</v>
      </c>
      <c r="H6" s="90">
        <f>H5/(1+$B$14)^H3</f>
        <v>5250985017.3193245</v>
      </c>
      <c r="I6" s="91">
        <f>I5/(1+$B$14)^I3</f>
        <v>4275356584.0445042</v>
      </c>
    </row>
    <row r="7" spans="1:19" x14ac:dyDescent="0.35">
      <c r="A7" s="74" t="s">
        <v>315</v>
      </c>
      <c r="B7" s="89">
        <f>'Fixed Asset and Loan Schedule'!B136</f>
        <v>5.0000000000000001E-3</v>
      </c>
      <c r="D7" s="74"/>
      <c r="E7" s="87"/>
      <c r="F7" s="87"/>
      <c r="G7" s="87"/>
      <c r="H7" s="87"/>
      <c r="I7" s="88"/>
    </row>
    <row r="8" spans="1:19" x14ac:dyDescent="0.35">
      <c r="A8" s="74" t="s">
        <v>316</v>
      </c>
      <c r="B8" s="89">
        <f>B6+B7</f>
        <v>0.23500000000000001</v>
      </c>
      <c r="D8" s="74" t="s">
        <v>372</v>
      </c>
      <c r="E8" s="90">
        <f>((I6*(1+B11))/(B14-B11))</f>
        <v>-7368082381.7457657</v>
      </c>
      <c r="F8" s="87"/>
      <c r="G8" s="87"/>
      <c r="H8" s="87"/>
      <c r="I8" s="88"/>
    </row>
    <row r="9" spans="1:19" x14ac:dyDescent="0.35">
      <c r="A9" s="74" t="s">
        <v>373</v>
      </c>
      <c r="B9" s="92">
        <f>B3+(B4*B5)</f>
        <v>0.29917935976116311</v>
      </c>
      <c r="D9" s="74" t="s">
        <v>374</v>
      </c>
      <c r="E9" s="90">
        <f>E8/(1+B14)</f>
        <v>-5851217936.8917446</v>
      </c>
      <c r="I9" s="86"/>
    </row>
    <row r="10" spans="1:19" ht="16" thickBot="1" x14ac:dyDescent="0.4">
      <c r="A10" s="74" t="s">
        <v>375</v>
      </c>
      <c r="B10" s="97">
        <f>B8*(1-B15)</f>
        <v>0.16685</v>
      </c>
      <c r="D10" s="77" t="s">
        <v>376</v>
      </c>
      <c r="E10" s="94">
        <f>SUM(E6:I6)+E9</f>
        <v>12760088121.49898</v>
      </c>
      <c r="F10" s="95"/>
      <c r="G10" s="95"/>
      <c r="H10" s="95"/>
      <c r="I10" s="96"/>
    </row>
    <row r="11" spans="1:19" x14ac:dyDescent="0.35">
      <c r="A11" s="74" t="s">
        <v>377</v>
      </c>
      <c r="B11" s="602">
        <v>2</v>
      </c>
    </row>
    <row r="12" spans="1:19" x14ac:dyDescent="0.35">
      <c r="A12" s="74" t="s">
        <v>378</v>
      </c>
      <c r="B12" s="97">
        <f>Financials!F76</f>
        <v>0.30182466271523939</v>
      </c>
    </row>
    <row r="13" spans="1:19" x14ac:dyDescent="0.35">
      <c r="A13" s="74" t="s">
        <v>379</v>
      </c>
      <c r="B13" s="97">
        <f>1-B12</f>
        <v>0.69817533728476056</v>
      </c>
      <c r="D13" s="610" t="s">
        <v>453</v>
      </c>
      <c r="E13" s="615">
        <f>E10</f>
        <v>12760088121.49898</v>
      </c>
    </row>
    <row r="14" spans="1:19" x14ac:dyDescent="0.35">
      <c r="A14" s="74" t="s">
        <v>380</v>
      </c>
      <c r="B14" s="92">
        <f>(B13*B9)+(B12*B10)</f>
        <v>0.25923909538392648</v>
      </c>
      <c r="D14" s="616" t="s">
        <v>396</v>
      </c>
      <c r="E14" s="617">
        <f>'Ratios (2)'!S7</f>
        <v>6300000000</v>
      </c>
    </row>
    <row r="15" spans="1:19" ht="16" thickBot="1" x14ac:dyDescent="0.4">
      <c r="A15" s="77" t="s">
        <v>381</v>
      </c>
      <c r="B15" s="98">
        <v>0.28999999999999998</v>
      </c>
      <c r="D15" s="610" t="s">
        <v>454</v>
      </c>
      <c r="E15" s="618">
        <f>E13/E14</f>
        <v>2.0254108129363462</v>
      </c>
    </row>
    <row r="16" spans="1:19" x14ac:dyDescent="0.35">
      <c r="B16" s="593"/>
      <c r="E16" s="90"/>
    </row>
    <row r="17" spans="1:33" x14ac:dyDescent="0.35">
      <c r="U17" s="563"/>
      <c r="V17" s="563"/>
    </row>
    <row r="21" spans="1:33" x14ac:dyDescent="0.35">
      <c r="A21" s="619" t="s">
        <v>451</v>
      </c>
      <c r="B21" s="99"/>
    </row>
    <row r="22" spans="1:33" x14ac:dyDescent="0.35">
      <c r="M22" s="600" t="s">
        <v>444</v>
      </c>
      <c r="N22" s="599"/>
      <c r="O22" s="599"/>
      <c r="P22" s="599"/>
      <c r="Q22" s="599"/>
      <c r="R22" s="599"/>
      <c r="S22" s="599"/>
    </row>
    <row r="23" spans="1:33" x14ac:dyDescent="0.35">
      <c r="A23" s="652" t="s">
        <v>452</v>
      </c>
      <c r="B23" s="651" t="s">
        <v>380</v>
      </c>
      <c r="C23" s="651"/>
      <c r="D23" s="651"/>
      <c r="E23" s="651"/>
      <c r="F23" s="651"/>
      <c r="G23" s="651"/>
      <c r="M23" s="601" t="s">
        <v>390</v>
      </c>
      <c r="N23" s="601" t="s">
        <v>389</v>
      </c>
      <c r="O23" s="601" t="s">
        <v>391</v>
      </c>
      <c r="P23" s="601" t="s">
        <v>445</v>
      </c>
      <c r="Q23" s="601" t="s">
        <v>446</v>
      </c>
      <c r="R23" s="601" t="s">
        <v>447</v>
      </c>
      <c r="S23" s="601" t="s">
        <v>448</v>
      </c>
    </row>
    <row r="24" spans="1:33" x14ac:dyDescent="0.35">
      <c r="A24" s="652"/>
      <c r="B24" s="611">
        <f>E15</f>
        <v>2.0254108129363462</v>
      </c>
      <c r="C24" s="612">
        <v>0.23</v>
      </c>
      <c r="D24" s="612">
        <f>C24+1%</f>
        <v>0.24000000000000002</v>
      </c>
      <c r="E24" s="612">
        <f t="shared" ref="E24:G24" si="0">D24+1%</f>
        <v>0.25</v>
      </c>
      <c r="F24" s="612">
        <f t="shared" si="0"/>
        <v>0.26</v>
      </c>
      <c r="G24" s="612">
        <f t="shared" si="0"/>
        <v>0.27</v>
      </c>
      <c r="M24" s="526">
        <v>41456</v>
      </c>
      <c r="N24" s="524" t="s">
        <v>449</v>
      </c>
      <c r="O24" s="524">
        <v>21363.16</v>
      </c>
      <c r="P24" s="73" t="s">
        <v>431</v>
      </c>
      <c r="Q24">
        <v>9.69</v>
      </c>
      <c r="AA24" s="589">
        <v>41456</v>
      </c>
      <c r="AB24" s="590" t="s">
        <v>449</v>
      </c>
      <c r="AC24" s="590">
        <v>21363.16</v>
      </c>
      <c r="AD24" s="591" t="s">
        <v>395</v>
      </c>
      <c r="AE24" s="590">
        <v>109.95</v>
      </c>
      <c r="AF24" s="590"/>
      <c r="AG24" s="590"/>
    </row>
    <row r="25" spans="1:33" x14ac:dyDescent="0.35">
      <c r="A25" s="652"/>
      <c r="B25" s="613">
        <v>0.02</v>
      </c>
      <c r="C25" s="610">
        <f t="dataTable" ref="C25:G29" dt2D="1" dtr="1" r1="B14" r2="B11"/>
        <v>6.1746023195947073</v>
      </c>
      <c r="D25" s="610">
        <v>5.8278359297346016</v>
      </c>
      <c r="E25" s="610">
        <v>5.5148565230707094</v>
      </c>
      <c r="F25" s="614">
        <v>5.23122945039683</v>
      </c>
      <c r="G25" s="614">
        <v>4.9732437876672826</v>
      </c>
      <c r="M25" s="526">
        <v>41458</v>
      </c>
      <c r="N25" s="524" t="s">
        <v>449</v>
      </c>
      <c r="O25" s="524">
        <v>21802.86</v>
      </c>
      <c r="P25" s="73" t="s">
        <v>431</v>
      </c>
      <c r="Q25">
        <v>9.8000000000000007</v>
      </c>
      <c r="R25" s="563">
        <f>(O25/O24)-1</f>
        <v>2.0582161066059479E-2</v>
      </c>
      <c r="S25" s="563">
        <f>(Q25/Q24)-1</f>
        <v>1.1351909184726727E-2</v>
      </c>
      <c r="AA25" s="589">
        <v>41458</v>
      </c>
      <c r="AB25" s="590" t="s">
        <v>449</v>
      </c>
      <c r="AC25" s="590">
        <v>21802.86</v>
      </c>
      <c r="AD25" s="591" t="s">
        <v>395</v>
      </c>
      <c r="AE25" s="590">
        <v>109.95</v>
      </c>
      <c r="AF25" s="592">
        <f>(AC25/AC24)-1</f>
        <v>2.0582161066059479E-2</v>
      </c>
      <c r="AG25" s="592">
        <f>(AE25/AE24)-1</f>
        <v>0</v>
      </c>
    </row>
    <row r="26" spans="1:33" x14ac:dyDescent="0.35">
      <c r="A26" s="652"/>
      <c r="B26" s="613">
        <f>B25+1%</f>
        <v>0.03</v>
      </c>
      <c r="C26" s="610">
        <v>6.3563203157497039</v>
      </c>
      <c r="D26" s="610">
        <v>5.9864794672159007</v>
      </c>
      <c r="E26" s="610">
        <v>5.6540029967895729</v>
      </c>
      <c r="F26" s="614">
        <v>5.3537985465052707</v>
      </c>
      <c r="G26" s="614">
        <v>5.0816372107350887</v>
      </c>
      <c r="M26" s="526">
        <v>41460</v>
      </c>
      <c r="N26" s="524" t="s">
        <v>449</v>
      </c>
      <c r="O26" s="524">
        <v>22178.34</v>
      </c>
      <c r="P26" s="73" t="s">
        <v>431</v>
      </c>
      <c r="Q26">
        <v>10.130000000000001</v>
      </c>
      <c r="R26" s="563">
        <f t="shared" ref="R26:R89" si="1">(O26/O25)-1</f>
        <v>1.7221593864291229E-2</v>
      </c>
      <c r="S26" s="563">
        <f t="shared" ref="S26:S89" si="2">(Q26/Q25)-1</f>
        <v>3.3673469387755173E-2</v>
      </c>
      <c r="AA26" s="589">
        <v>41460</v>
      </c>
      <c r="AB26" s="590" t="s">
        <v>449</v>
      </c>
      <c r="AC26" s="590">
        <v>22178.34</v>
      </c>
      <c r="AD26" s="591" t="s">
        <v>395</v>
      </c>
      <c r="AE26" s="590">
        <v>108</v>
      </c>
      <c r="AF26" s="592">
        <f t="shared" ref="AF26:AF91" si="3">(AC26/AC25)-1</f>
        <v>1.7221593864291229E-2</v>
      </c>
      <c r="AG26" s="592">
        <f t="shared" ref="AG26:AG91" si="4">(AE26/AE25)-1</f>
        <v>-1.7735334242837686E-2</v>
      </c>
    </row>
    <row r="27" spans="1:33" x14ac:dyDescent="0.35">
      <c r="A27" s="652"/>
      <c r="B27" s="613">
        <f t="shared" ref="B27:B29" si="5">B26+1%</f>
        <v>0.04</v>
      </c>
      <c r="C27" s="610">
        <v>6.5571665220262814</v>
      </c>
      <c r="D27" s="610">
        <v>6.1609873584453325</v>
      </c>
      <c r="E27" s="610">
        <v>5.8064015156245183</v>
      </c>
      <c r="F27" s="614">
        <v>5.4875102877144792</v>
      </c>
      <c r="G27" s="614">
        <v>5.1994561488522688</v>
      </c>
      <c r="M27" s="526">
        <v>41464</v>
      </c>
      <c r="N27" s="524" t="s">
        <v>449</v>
      </c>
      <c r="O27" s="524">
        <v>22721.22</v>
      </c>
      <c r="P27" s="73" t="s">
        <v>431</v>
      </c>
      <c r="Q27">
        <v>10.5</v>
      </c>
      <c r="R27" s="563">
        <f t="shared" si="1"/>
        <v>2.447793658136721E-2</v>
      </c>
      <c r="S27" s="563">
        <f t="shared" si="2"/>
        <v>3.6525172754195312E-2</v>
      </c>
      <c r="AA27" s="589">
        <v>41464</v>
      </c>
      <c r="AB27" s="590" t="s">
        <v>449</v>
      </c>
      <c r="AC27" s="590">
        <v>22721.22</v>
      </c>
      <c r="AD27" s="591" t="s">
        <v>395</v>
      </c>
      <c r="AE27" s="590">
        <v>104</v>
      </c>
      <c r="AF27" s="592">
        <f t="shared" si="3"/>
        <v>2.447793658136721E-2</v>
      </c>
      <c r="AG27" s="592">
        <f t="shared" si="4"/>
        <v>-3.703703703703709E-2</v>
      </c>
    </row>
    <row r="28" spans="1:33" x14ac:dyDescent="0.35">
      <c r="A28" s="652"/>
      <c r="B28" s="613">
        <f t="shared" si="5"/>
        <v>0.05</v>
      </c>
      <c r="C28" s="610">
        <v>6.7803289734446999</v>
      </c>
      <c r="D28" s="610">
        <v>6.3538645013831241</v>
      </c>
      <c r="E28" s="610">
        <v>5.9740398863429585</v>
      </c>
      <c r="F28" s="614">
        <v>5.6339564804674218</v>
      </c>
      <c r="G28" s="614">
        <v>5.3279858995255562</v>
      </c>
      <c r="M28" s="555">
        <v>41465</v>
      </c>
      <c r="N28" s="543" t="s">
        <v>449</v>
      </c>
      <c r="O28" s="543">
        <v>22984.94</v>
      </c>
      <c r="P28" s="73" t="s">
        <v>431</v>
      </c>
      <c r="Q28" s="158">
        <v>10.51</v>
      </c>
      <c r="R28" s="563">
        <f t="shared" si="1"/>
        <v>1.160677111528341E-2</v>
      </c>
      <c r="S28" s="563">
        <f t="shared" si="2"/>
        <v>9.5238095238103782E-4</v>
      </c>
      <c r="AA28" s="589"/>
      <c r="AB28" s="590"/>
      <c r="AC28" s="590"/>
      <c r="AD28" s="591"/>
      <c r="AE28" s="590"/>
      <c r="AF28" s="592"/>
      <c r="AG28" s="592"/>
    </row>
    <row r="29" spans="1:33" x14ac:dyDescent="0.35">
      <c r="A29" s="652"/>
      <c r="B29" s="613">
        <f t="shared" si="5"/>
        <v>6.0000000000000005E-2</v>
      </c>
      <c r="C29" s="610">
        <v>7.0297458309123435</v>
      </c>
      <c r="D29" s="610">
        <v>6.5681724379806692</v>
      </c>
      <c r="E29" s="610">
        <v>6.1593244013475505</v>
      </c>
      <c r="F29" s="614">
        <v>5.7950472924956573</v>
      </c>
      <c r="G29" s="614">
        <v>5.4687565788343946</v>
      </c>
      <c r="M29" s="526">
        <v>41467</v>
      </c>
      <c r="N29" s="524" t="s">
        <v>449</v>
      </c>
      <c r="O29" s="524">
        <v>23037.32</v>
      </c>
      <c r="P29" s="73" t="s">
        <v>431</v>
      </c>
      <c r="Q29">
        <v>10.42</v>
      </c>
      <c r="R29" s="563">
        <f t="shared" si="1"/>
        <v>2.2788834776161782E-3</v>
      </c>
      <c r="S29" s="563">
        <f t="shared" si="2"/>
        <v>-8.5632730732635443E-3</v>
      </c>
      <c r="AA29" s="589"/>
      <c r="AB29" s="590"/>
      <c r="AC29" s="590"/>
      <c r="AD29" s="591"/>
      <c r="AE29" s="590"/>
      <c r="AF29" s="592"/>
      <c r="AG29" s="592"/>
    </row>
    <row r="30" spans="1:33" x14ac:dyDescent="0.35">
      <c r="A30" s="652"/>
      <c r="B30" s="610"/>
      <c r="C30" s="610"/>
      <c r="D30" s="610"/>
      <c r="E30" s="614"/>
      <c r="F30" s="614"/>
      <c r="G30" s="614"/>
      <c r="M30" s="555">
        <v>41470</v>
      </c>
      <c r="N30" s="543" t="s">
        <v>449</v>
      </c>
      <c r="O30" s="543">
        <v>23172.35</v>
      </c>
      <c r="P30" s="73" t="s">
        <v>431</v>
      </c>
      <c r="Q30" s="158">
        <v>10.42</v>
      </c>
      <c r="R30" s="563">
        <f t="shared" si="1"/>
        <v>5.8613588733411603E-3</v>
      </c>
      <c r="S30" s="563">
        <f t="shared" si="2"/>
        <v>0</v>
      </c>
      <c r="AA30" s="589">
        <v>41465</v>
      </c>
      <c r="AB30" s="590" t="s">
        <v>449</v>
      </c>
      <c r="AC30" s="590">
        <v>22984.94</v>
      </c>
      <c r="AD30" s="591" t="s">
        <v>395</v>
      </c>
      <c r="AE30" s="590">
        <v>102</v>
      </c>
      <c r="AF30" s="592">
        <f>(AC30/AC27)-1</f>
        <v>1.160677111528341E-2</v>
      </c>
      <c r="AG30" s="592">
        <f>(AE30/AE27)-1</f>
        <v>-1.9230769230769273E-2</v>
      </c>
    </row>
    <row r="31" spans="1:33" x14ac:dyDescent="0.35">
      <c r="M31" s="526">
        <v>41484</v>
      </c>
      <c r="N31" s="524" t="s">
        <v>449</v>
      </c>
      <c r="O31" s="524">
        <v>23315.15</v>
      </c>
      <c r="P31" s="73" t="s">
        <v>431</v>
      </c>
      <c r="Q31">
        <v>10.33</v>
      </c>
      <c r="R31" s="563">
        <f t="shared" si="1"/>
        <v>6.1625169652625988E-3</v>
      </c>
      <c r="S31" s="563">
        <f t="shared" si="2"/>
        <v>-8.6372360844529927E-3</v>
      </c>
      <c r="AA31" s="594">
        <v>41467</v>
      </c>
      <c r="AB31" s="595" t="s">
        <v>449</v>
      </c>
      <c r="AC31" s="595">
        <v>23037.32</v>
      </c>
      <c r="AD31" s="596" t="s">
        <v>395</v>
      </c>
      <c r="AE31" s="595">
        <v>101.5</v>
      </c>
      <c r="AF31" s="597">
        <f t="shared" si="3"/>
        <v>2.2788834776161782E-3</v>
      </c>
      <c r="AG31" s="597">
        <f t="shared" si="4"/>
        <v>-4.9019607843137081E-3</v>
      </c>
    </row>
    <row r="32" spans="1:33" x14ac:dyDescent="0.35">
      <c r="C32" s="610" t="s">
        <v>455</v>
      </c>
      <c r="D32" s="610">
        <f>MIN(C25:G29)</f>
        <v>4.9732437876672826</v>
      </c>
      <c r="M32" s="526">
        <v>41491</v>
      </c>
      <c r="N32" s="524" t="s">
        <v>449</v>
      </c>
      <c r="O32" s="524">
        <v>22701.3</v>
      </c>
      <c r="P32" s="73" t="s">
        <v>431</v>
      </c>
      <c r="Q32">
        <v>9.86</v>
      </c>
      <c r="R32" s="563">
        <f t="shared" si="1"/>
        <v>-2.6328374468961302E-2</v>
      </c>
      <c r="S32" s="563">
        <f t="shared" si="2"/>
        <v>-4.5498547918683463E-2</v>
      </c>
      <c r="AA32" s="589">
        <v>41470</v>
      </c>
      <c r="AB32" s="590" t="s">
        <v>449</v>
      </c>
      <c r="AC32" s="590">
        <v>23172.35</v>
      </c>
      <c r="AD32" s="591" t="s">
        <v>395</v>
      </c>
      <c r="AE32" s="590">
        <v>104</v>
      </c>
      <c r="AF32" s="592">
        <f t="shared" si="3"/>
        <v>5.8613588733411603E-3</v>
      </c>
      <c r="AG32" s="592">
        <f t="shared" si="4"/>
        <v>2.4630541871921263E-2</v>
      </c>
    </row>
    <row r="33" spans="3:33" x14ac:dyDescent="0.35">
      <c r="C33" s="610" t="s">
        <v>456</v>
      </c>
      <c r="D33" s="610">
        <f>MAX(C25:G29)</f>
        <v>7.0297458309123435</v>
      </c>
      <c r="M33" s="526">
        <v>41498</v>
      </c>
      <c r="N33" s="524" t="s">
        <v>449</v>
      </c>
      <c r="O33" s="524">
        <v>23437.99</v>
      </c>
      <c r="P33" s="73" t="s">
        <v>431</v>
      </c>
      <c r="Q33">
        <v>9.94</v>
      </c>
      <c r="R33" s="563">
        <f t="shared" si="1"/>
        <v>3.2451445511931132E-2</v>
      </c>
      <c r="S33" s="563">
        <f t="shared" si="2"/>
        <v>8.113590263691739E-3</v>
      </c>
      <c r="AA33" s="589">
        <v>41484</v>
      </c>
      <c r="AB33" s="590" t="s">
        <v>449</v>
      </c>
      <c r="AC33" s="590">
        <v>23315.15</v>
      </c>
      <c r="AD33" s="591" t="s">
        <v>395</v>
      </c>
      <c r="AE33" s="590">
        <v>109.2</v>
      </c>
      <c r="AF33" s="592">
        <f t="shared" si="3"/>
        <v>6.1625169652625988E-3</v>
      </c>
      <c r="AG33" s="592">
        <f t="shared" si="4"/>
        <v>5.0000000000000044E-2</v>
      </c>
    </row>
    <row r="34" spans="3:33" x14ac:dyDescent="0.35">
      <c r="C34" s="610" t="s">
        <v>457</v>
      </c>
      <c r="D34" s="610">
        <f>AVERAGE(C25:G29)</f>
        <v>5.8582700265142771</v>
      </c>
      <c r="M34" s="555">
        <v>41499</v>
      </c>
      <c r="N34" s="543" t="s">
        <v>449</v>
      </c>
      <c r="O34" s="543">
        <v>23613.200000000001</v>
      </c>
      <c r="P34" s="73" t="s">
        <v>431</v>
      </c>
      <c r="Q34" s="158">
        <v>9.99</v>
      </c>
      <c r="R34" s="563">
        <f t="shared" si="1"/>
        <v>7.4754703794992494E-3</v>
      </c>
      <c r="S34" s="563">
        <f t="shared" si="2"/>
        <v>5.0301810865192031E-3</v>
      </c>
      <c r="AA34" s="594">
        <v>41491</v>
      </c>
      <c r="AB34" s="595" t="s">
        <v>449</v>
      </c>
      <c r="AC34" s="595">
        <v>22701.3</v>
      </c>
      <c r="AD34" s="596" t="s">
        <v>395</v>
      </c>
      <c r="AE34" s="595">
        <v>110.69</v>
      </c>
      <c r="AF34" s="597">
        <f>(AC34/AC33)-1</f>
        <v>-2.6328374468961302E-2</v>
      </c>
      <c r="AG34" s="597">
        <f>(AE34/AE33)-1</f>
        <v>1.3644688644688596E-2</v>
      </c>
    </row>
    <row r="35" spans="3:33" x14ac:dyDescent="0.35">
      <c r="M35" s="526">
        <v>41506</v>
      </c>
      <c r="N35" s="524" t="s">
        <v>449</v>
      </c>
      <c r="O35" s="524">
        <v>23487.23</v>
      </c>
      <c r="P35" s="73" t="s">
        <v>431</v>
      </c>
      <c r="Q35">
        <v>9.8000000000000007</v>
      </c>
      <c r="R35" s="563">
        <f t="shared" si="1"/>
        <v>-5.3347280334729019E-3</v>
      </c>
      <c r="S35" s="563">
        <f t="shared" si="2"/>
        <v>-1.9019019019018923E-2</v>
      </c>
      <c r="AA35" s="589">
        <v>41498</v>
      </c>
      <c r="AB35" s="590" t="s">
        <v>449</v>
      </c>
      <c r="AC35" s="590">
        <v>23437.99</v>
      </c>
      <c r="AD35" s="591" t="s">
        <v>395</v>
      </c>
      <c r="AE35" s="590">
        <v>105.16</v>
      </c>
      <c r="AF35" s="592">
        <f t="shared" si="3"/>
        <v>3.2451445511931132E-2</v>
      </c>
      <c r="AG35" s="592">
        <f t="shared" si="4"/>
        <v>-4.9959345921040788E-2</v>
      </c>
    </row>
    <row r="36" spans="3:33" x14ac:dyDescent="0.35">
      <c r="M36" s="526">
        <v>41509</v>
      </c>
      <c r="N36" s="524" t="s">
        <v>449</v>
      </c>
      <c r="O36" s="524">
        <v>22714.68</v>
      </c>
      <c r="P36" s="73" t="s">
        <v>431</v>
      </c>
      <c r="Q36">
        <v>9.34</v>
      </c>
      <c r="R36" s="563">
        <f t="shared" si="1"/>
        <v>-3.2892341923675072E-2</v>
      </c>
      <c r="S36" s="563">
        <f t="shared" si="2"/>
        <v>-4.69387755102042E-2</v>
      </c>
      <c r="AA36" s="589">
        <v>41499</v>
      </c>
      <c r="AB36" s="590" t="s">
        <v>449</v>
      </c>
      <c r="AC36" s="590">
        <v>23613.200000000001</v>
      </c>
      <c r="AD36" s="591" t="s">
        <v>395</v>
      </c>
      <c r="AE36" s="590">
        <v>99.91</v>
      </c>
      <c r="AF36" s="592">
        <f t="shared" si="3"/>
        <v>7.4754703794992494E-3</v>
      </c>
      <c r="AG36" s="592">
        <f t="shared" si="4"/>
        <v>-4.9923925446938022E-2</v>
      </c>
    </row>
    <row r="37" spans="3:33" x14ac:dyDescent="0.35">
      <c r="M37" s="555">
        <v>41512</v>
      </c>
      <c r="N37" s="543" t="s">
        <v>449</v>
      </c>
      <c r="O37" s="543">
        <v>22922.240000000002</v>
      </c>
      <c r="P37" s="73" t="s">
        <v>431</v>
      </c>
      <c r="Q37" s="158">
        <v>9.3800000000000008</v>
      </c>
      <c r="R37" s="563">
        <f t="shared" si="1"/>
        <v>9.1377030184884855E-3</v>
      </c>
      <c r="S37" s="563">
        <f t="shared" si="2"/>
        <v>4.282655246252709E-3</v>
      </c>
      <c r="AA37" s="589">
        <v>41506</v>
      </c>
      <c r="AB37" s="590" t="s">
        <v>449</v>
      </c>
      <c r="AC37" s="590">
        <v>23487.23</v>
      </c>
      <c r="AD37" s="591" t="s">
        <v>395</v>
      </c>
      <c r="AE37" s="590">
        <v>102</v>
      </c>
      <c r="AF37" s="592">
        <f t="shared" si="3"/>
        <v>-5.3347280334729019E-3</v>
      </c>
      <c r="AG37" s="592">
        <f t="shared" si="4"/>
        <v>2.0918826944249957E-2</v>
      </c>
    </row>
    <row r="38" spans="3:33" x14ac:dyDescent="0.35">
      <c r="M38" s="526">
        <v>41514</v>
      </c>
      <c r="N38" s="524" t="s">
        <v>449</v>
      </c>
      <c r="O38" s="524">
        <v>22236.33</v>
      </c>
      <c r="P38" s="73" t="s">
        <v>431</v>
      </c>
      <c r="Q38">
        <v>8.73</v>
      </c>
      <c r="R38" s="563">
        <f t="shared" si="1"/>
        <v>-2.9923340825329436E-2</v>
      </c>
      <c r="S38" s="563">
        <f t="shared" si="2"/>
        <v>-6.9296375266524546E-2</v>
      </c>
      <c r="AA38" s="589">
        <v>41509</v>
      </c>
      <c r="AB38" s="590" t="s">
        <v>449</v>
      </c>
      <c r="AC38" s="590">
        <v>22714.68</v>
      </c>
      <c r="AD38" s="591" t="s">
        <v>395</v>
      </c>
      <c r="AE38" s="590">
        <v>101</v>
      </c>
      <c r="AF38" s="592">
        <f t="shared" si="3"/>
        <v>-3.2892341923675072E-2</v>
      </c>
      <c r="AG38" s="592">
        <f t="shared" si="4"/>
        <v>-9.8039215686274161E-3</v>
      </c>
    </row>
    <row r="39" spans="3:33" x14ac:dyDescent="0.35">
      <c r="M39" s="555">
        <v>41515</v>
      </c>
      <c r="N39" s="543" t="s">
        <v>449</v>
      </c>
      <c r="O39" s="543">
        <v>22214.73</v>
      </c>
      <c r="P39" s="73" t="s">
        <v>431</v>
      </c>
      <c r="Q39" s="158">
        <v>8.5399999999999991</v>
      </c>
      <c r="R39" s="563">
        <f t="shared" si="1"/>
        <v>-9.7138331730106664E-4</v>
      </c>
      <c r="S39" s="563">
        <f t="shared" si="2"/>
        <v>-2.1764032073310569E-2</v>
      </c>
      <c r="AA39" s="589">
        <v>41512</v>
      </c>
      <c r="AB39" s="590" t="s">
        <v>449</v>
      </c>
      <c r="AC39" s="590">
        <v>22922.240000000002</v>
      </c>
      <c r="AD39" s="591" t="s">
        <v>395</v>
      </c>
      <c r="AE39" s="590">
        <v>103.95</v>
      </c>
      <c r="AF39" s="592">
        <f t="shared" si="3"/>
        <v>9.1377030184884855E-3</v>
      </c>
      <c r="AG39" s="592">
        <f t="shared" si="4"/>
        <v>2.9207920792079234E-2</v>
      </c>
    </row>
    <row r="40" spans="3:33" x14ac:dyDescent="0.35">
      <c r="M40" s="555">
        <v>41516</v>
      </c>
      <c r="N40" s="543" t="s">
        <v>449</v>
      </c>
      <c r="O40" s="543">
        <v>22160.85</v>
      </c>
      <c r="P40" s="73" t="s">
        <v>431</v>
      </c>
      <c r="Q40" s="158">
        <v>8.41</v>
      </c>
      <c r="R40" s="563">
        <f t="shared" si="1"/>
        <v>-2.4254177295875978E-3</v>
      </c>
      <c r="S40" s="563">
        <f t="shared" si="2"/>
        <v>-1.5222482435597096E-2</v>
      </c>
      <c r="AA40" s="589">
        <v>41514</v>
      </c>
      <c r="AB40" s="590" t="s">
        <v>449</v>
      </c>
      <c r="AC40" s="590">
        <v>22236.33</v>
      </c>
      <c r="AD40" s="591" t="s">
        <v>395</v>
      </c>
      <c r="AE40" s="590">
        <v>103.95</v>
      </c>
      <c r="AF40" s="592">
        <f t="shared" si="3"/>
        <v>-2.9923340825329436E-2</v>
      </c>
      <c r="AG40" s="592">
        <f t="shared" si="4"/>
        <v>0</v>
      </c>
    </row>
    <row r="41" spans="3:33" x14ac:dyDescent="0.35">
      <c r="M41" s="555">
        <v>41519</v>
      </c>
      <c r="N41" s="543" t="s">
        <v>449</v>
      </c>
      <c r="O41" s="543">
        <v>21724.68</v>
      </c>
      <c r="P41" s="73" t="s">
        <v>431</v>
      </c>
      <c r="Q41" s="158">
        <v>8.0299999999999994</v>
      </c>
      <c r="R41" s="563">
        <f t="shared" si="1"/>
        <v>-1.9682006782230754E-2</v>
      </c>
      <c r="S41" s="563">
        <f t="shared" si="2"/>
        <v>-4.5184304399524478E-2</v>
      </c>
      <c r="AA41" s="589">
        <v>41515</v>
      </c>
      <c r="AB41" s="590" t="s">
        <v>449</v>
      </c>
      <c r="AC41" s="590">
        <v>22214.73</v>
      </c>
      <c r="AD41" s="591" t="s">
        <v>395</v>
      </c>
      <c r="AE41" s="590">
        <v>100.8</v>
      </c>
      <c r="AF41" s="592">
        <f t="shared" si="3"/>
        <v>-9.7138331730106664E-4</v>
      </c>
      <c r="AG41" s="592">
        <f t="shared" si="4"/>
        <v>-3.0303030303030387E-2</v>
      </c>
    </row>
    <row r="42" spans="3:33" x14ac:dyDescent="0.35">
      <c r="M42" s="555">
        <v>41520</v>
      </c>
      <c r="N42" s="543" t="s">
        <v>449</v>
      </c>
      <c r="O42" s="543">
        <v>21808.48</v>
      </c>
      <c r="P42" s="73" t="s">
        <v>431</v>
      </c>
      <c r="Q42" s="158">
        <v>8.16</v>
      </c>
      <c r="R42" s="563">
        <f t="shared" si="1"/>
        <v>3.8573640670425124E-3</v>
      </c>
      <c r="S42" s="563">
        <f t="shared" si="2"/>
        <v>1.6189290161892966E-2</v>
      </c>
      <c r="AA42" s="589">
        <v>41516</v>
      </c>
      <c r="AB42" s="590" t="s">
        <v>449</v>
      </c>
      <c r="AC42" s="590">
        <v>22160.85</v>
      </c>
      <c r="AD42" s="591" t="s">
        <v>395</v>
      </c>
      <c r="AE42" s="590">
        <v>103.95</v>
      </c>
      <c r="AF42" s="592">
        <f t="shared" si="3"/>
        <v>-2.4254177295875978E-3</v>
      </c>
      <c r="AG42" s="592">
        <f t="shared" si="4"/>
        <v>3.125E-2</v>
      </c>
    </row>
    <row r="43" spans="3:33" x14ac:dyDescent="0.35">
      <c r="M43" s="526">
        <v>41523</v>
      </c>
      <c r="N43" s="524" t="s">
        <v>449</v>
      </c>
      <c r="O43" s="524">
        <v>22765.87</v>
      </c>
      <c r="P43" s="73" t="s">
        <v>431</v>
      </c>
      <c r="Q43">
        <v>8.99</v>
      </c>
      <c r="R43" s="563">
        <f t="shared" si="1"/>
        <v>4.3899895820341372E-2</v>
      </c>
      <c r="S43" s="563">
        <f t="shared" si="2"/>
        <v>0.10171568627450989</v>
      </c>
      <c r="AA43" s="589">
        <v>41519</v>
      </c>
      <c r="AB43" s="590" t="s">
        <v>449</v>
      </c>
      <c r="AC43" s="590">
        <v>21724.68</v>
      </c>
      <c r="AD43" s="591" t="s">
        <v>395</v>
      </c>
      <c r="AE43" s="590">
        <v>103.95</v>
      </c>
      <c r="AF43" s="592">
        <f t="shared" si="3"/>
        <v>-1.9682006782230754E-2</v>
      </c>
      <c r="AG43" s="592">
        <f t="shared" si="4"/>
        <v>0</v>
      </c>
    </row>
    <row r="44" spans="3:33" x14ac:dyDescent="0.35">
      <c r="M44" s="526">
        <v>41527</v>
      </c>
      <c r="N44" s="524" t="s">
        <v>449</v>
      </c>
      <c r="O44" s="524">
        <v>22992.17</v>
      </c>
      <c r="P44" s="73" t="s">
        <v>431</v>
      </c>
      <c r="Q44">
        <v>8.8699999999999992</v>
      </c>
      <c r="R44" s="563">
        <f t="shared" si="1"/>
        <v>9.9403185558031293E-3</v>
      </c>
      <c r="S44" s="563">
        <f t="shared" si="2"/>
        <v>-1.3348164627363879E-2</v>
      </c>
      <c r="AA44" s="589">
        <v>41520</v>
      </c>
      <c r="AB44" s="590" t="s">
        <v>449</v>
      </c>
      <c r="AC44" s="590">
        <v>21808.48</v>
      </c>
      <c r="AD44" s="591" t="s">
        <v>395</v>
      </c>
      <c r="AE44" s="590">
        <v>104</v>
      </c>
      <c r="AF44" s="592">
        <f t="shared" si="3"/>
        <v>3.8573640670425124E-3</v>
      </c>
      <c r="AG44" s="592">
        <f t="shared" si="4"/>
        <v>4.8100048100052639E-4</v>
      </c>
    </row>
    <row r="45" spans="3:33" x14ac:dyDescent="0.35">
      <c r="M45" s="526">
        <v>41529</v>
      </c>
      <c r="N45" s="524" t="s">
        <v>449</v>
      </c>
      <c r="O45" s="524">
        <v>23222.21</v>
      </c>
      <c r="P45" s="73" t="s">
        <v>431</v>
      </c>
      <c r="Q45">
        <v>8.76</v>
      </c>
      <c r="R45" s="563">
        <f t="shared" si="1"/>
        <v>1.0005145229876167E-2</v>
      </c>
      <c r="S45" s="563">
        <f t="shared" si="2"/>
        <v>-1.2401352874858995E-2</v>
      </c>
      <c r="AA45" s="589">
        <v>41523</v>
      </c>
      <c r="AB45" s="590" t="s">
        <v>449</v>
      </c>
      <c r="AC45" s="590">
        <v>22765.87</v>
      </c>
      <c r="AD45" s="591" t="s">
        <v>395</v>
      </c>
      <c r="AE45" s="590">
        <v>102</v>
      </c>
      <c r="AF45" s="592">
        <f t="shared" si="3"/>
        <v>4.3899895820341372E-2</v>
      </c>
      <c r="AG45" s="592">
        <f t="shared" si="4"/>
        <v>-1.9230769230769273E-2</v>
      </c>
    </row>
    <row r="46" spans="3:33" x14ac:dyDescent="0.35">
      <c r="M46" s="555">
        <v>41530</v>
      </c>
      <c r="N46" s="543" t="s">
        <v>449</v>
      </c>
      <c r="O46" s="543">
        <v>23168.04</v>
      </c>
      <c r="P46" s="73" t="s">
        <v>431</v>
      </c>
      <c r="Q46" s="158">
        <v>8.76</v>
      </c>
      <c r="R46" s="563">
        <f t="shared" si="1"/>
        <v>-2.3326806535639566E-3</v>
      </c>
      <c r="S46" s="563">
        <f t="shared" si="2"/>
        <v>0</v>
      </c>
      <c r="AA46" s="589">
        <v>41527</v>
      </c>
      <c r="AB46" s="590" t="s">
        <v>449</v>
      </c>
      <c r="AC46" s="590">
        <v>22992.17</v>
      </c>
      <c r="AD46" s="591" t="s">
        <v>395</v>
      </c>
      <c r="AE46" s="590">
        <v>101</v>
      </c>
      <c r="AF46" s="592">
        <f t="shared" si="3"/>
        <v>9.9403185558031293E-3</v>
      </c>
      <c r="AG46" s="592">
        <f t="shared" si="4"/>
        <v>-9.8039215686274161E-3</v>
      </c>
    </row>
    <row r="47" spans="3:33" x14ac:dyDescent="0.35">
      <c r="M47" s="555">
        <v>41533</v>
      </c>
      <c r="N47" s="543" t="s">
        <v>449</v>
      </c>
      <c r="O47" s="543">
        <v>23242.68</v>
      </c>
      <c r="P47" s="73" t="s">
        <v>431</v>
      </c>
      <c r="Q47" s="158">
        <v>8.74</v>
      </c>
      <c r="R47" s="563">
        <f t="shared" si="1"/>
        <v>3.2216795205808335E-3</v>
      </c>
      <c r="S47" s="563">
        <f t="shared" si="2"/>
        <v>-2.2831050228310223E-3</v>
      </c>
      <c r="AA47" s="589">
        <v>41529</v>
      </c>
      <c r="AB47" s="590" t="s">
        <v>449</v>
      </c>
      <c r="AC47" s="590">
        <v>23222.21</v>
      </c>
      <c r="AD47" s="591" t="s">
        <v>395</v>
      </c>
      <c r="AE47" s="590">
        <v>101.5</v>
      </c>
      <c r="AF47" s="592">
        <f t="shared" si="3"/>
        <v>1.0005145229876167E-2</v>
      </c>
      <c r="AG47" s="592">
        <f t="shared" si="4"/>
        <v>4.9504950495049549E-3</v>
      </c>
    </row>
    <row r="48" spans="3:33" x14ac:dyDescent="0.35">
      <c r="M48" s="555">
        <v>41534</v>
      </c>
      <c r="N48" s="543" t="s">
        <v>449</v>
      </c>
      <c r="O48" s="543">
        <v>23066.5</v>
      </c>
      <c r="P48" s="73" t="s">
        <v>431</v>
      </c>
      <c r="Q48" s="158">
        <v>8.89</v>
      </c>
      <c r="R48" s="563">
        <f t="shared" si="1"/>
        <v>-7.5800208925993484E-3</v>
      </c>
      <c r="S48" s="563">
        <f t="shared" si="2"/>
        <v>1.7162471395881118E-2</v>
      </c>
      <c r="AA48" s="589">
        <v>41530</v>
      </c>
      <c r="AB48" s="590" t="s">
        <v>449</v>
      </c>
      <c r="AC48" s="590">
        <v>23168.04</v>
      </c>
      <c r="AD48" s="591" t="s">
        <v>395</v>
      </c>
      <c r="AE48" s="590">
        <v>100</v>
      </c>
      <c r="AF48" s="592">
        <f t="shared" si="3"/>
        <v>-2.3326806535639566E-3</v>
      </c>
      <c r="AG48" s="592">
        <f t="shared" si="4"/>
        <v>-1.4778325123152691E-2</v>
      </c>
    </row>
    <row r="49" spans="13:33" x14ac:dyDescent="0.35">
      <c r="M49" s="555">
        <v>41535</v>
      </c>
      <c r="N49" s="543" t="s">
        <v>449</v>
      </c>
      <c r="O49" s="543">
        <v>22930.06</v>
      </c>
      <c r="P49" s="73" t="s">
        <v>431</v>
      </c>
      <c r="Q49" s="158">
        <v>9.14</v>
      </c>
      <c r="R49" s="563">
        <f t="shared" si="1"/>
        <v>-5.9150716406909387E-3</v>
      </c>
      <c r="S49" s="563">
        <f t="shared" si="2"/>
        <v>2.8121484814398245E-2</v>
      </c>
      <c r="AA49" s="589">
        <v>41533</v>
      </c>
      <c r="AB49" s="590" t="s">
        <v>449</v>
      </c>
      <c r="AC49" s="590">
        <v>23242.68</v>
      </c>
      <c r="AD49" s="591" t="s">
        <v>395</v>
      </c>
      <c r="AE49" s="590">
        <v>95</v>
      </c>
      <c r="AF49" s="592">
        <f t="shared" si="3"/>
        <v>3.2216795205808335E-3</v>
      </c>
      <c r="AG49" s="592">
        <f t="shared" si="4"/>
        <v>-5.0000000000000044E-2</v>
      </c>
    </row>
    <row r="50" spans="13:33" x14ac:dyDescent="0.35">
      <c r="M50" s="555">
        <v>41536</v>
      </c>
      <c r="N50" s="543" t="s">
        <v>449</v>
      </c>
      <c r="O50" s="543">
        <v>23456.98</v>
      </c>
      <c r="P50" s="73" t="s">
        <v>431</v>
      </c>
      <c r="Q50" s="158">
        <v>9.01</v>
      </c>
      <c r="R50" s="563">
        <f t="shared" si="1"/>
        <v>2.2979442705339581E-2</v>
      </c>
      <c r="S50" s="563">
        <f t="shared" si="2"/>
        <v>-1.422319474835898E-2</v>
      </c>
      <c r="AA50" s="589">
        <v>41534</v>
      </c>
      <c r="AB50" s="590" t="s">
        <v>449</v>
      </c>
      <c r="AC50" s="590">
        <v>23066.5</v>
      </c>
      <c r="AD50" s="591" t="s">
        <v>395</v>
      </c>
      <c r="AE50" s="590">
        <v>95</v>
      </c>
      <c r="AF50" s="592">
        <f t="shared" si="3"/>
        <v>-7.5800208925993484E-3</v>
      </c>
      <c r="AG50" s="592">
        <f t="shared" si="4"/>
        <v>0</v>
      </c>
    </row>
    <row r="51" spans="13:33" x14ac:dyDescent="0.35">
      <c r="M51" s="555">
        <v>41537</v>
      </c>
      <c r="N51" s="543" t="s">
        <v>449</v>
      </c>
      <c r="O51" s="543">
        <v>23595.61</v>
      </c>
      <c r="P51" s="73" t="s">
        <v>431</v>
      </c>
      <c r="Q51" s="158">
        <v>8.91</v>
      </c>
      <c r="R51" s="563">
        <f t="shared" si="1"/>
        <v>5.9099679498384461E-3</v>
      </c>
      <c r="S51" s="563">
        <f t="shared" si="2"/>
        <v>-1.1098779134295134E-2</v>
      </c>
      <c r="AA51" s="589">
        <v>41535</v>
      </c>
      <c r="AB51" s="590" t="s">
        <v>449</v>
      </c>
      <c r="AC51" s="590">
        <v>22930.06</v>
      </c>
      <c r="AD51" s="591" t="s">
        <v>395</v>
      </c>
      <c r="AE51" s="590">
        <v>99.75</v>
      </c>
      <c r="AF51" s="592">
        <f t="shared" si="3"/>
        <v>-5.9150716406909387E-3</v>
      </c>
      <c r="AG51" s="592">
        <f t="shared" si="4"/>
        <v>5.0000000000000044E-2</v>
      </c>
    </row>
    <row r="52" spans="13:33" x14ac:dyDescent="0.35">
      <c r="M52" s="526">
        <v>41541</v>
      </c>
      <c r="N52" s="524" t="s">
        <v>449</v>
      </c>
      <c r="O52" s="524">
        <v>23088.49</v>
      </c>
      <c r="P52" s="73" t="s">
        <v>431</v>
      </c>
      <c r="Q52">
        <v>8.7799999999999994</v>
      </c>
      <c r="R52" s="563">
        <f t="shared" si="1"/>
        <v>-2.1492133494323662E-2</v>
      </c>
      <c r="S52" s="563">
        <f t="shared" si="2"/>
        <v>-1.4590347923681302E-2</v>
      </c>
      <c r="AA52" s="594">
        <v>41536</v>
      </c>
      <c r="AB52" s="595" t="s">
        <v>449</v>
      </c>
      <c r="AC52" s="595">
        <v>23456.98</v>
      </c>
      <c r="AD52" s="596" t="s">
        <v>395</v>
      </c>
      <c r="AE52" s="595">
        <v>102.52</v>
      </c>
      <c r="AF52" s="597">
        <f t="shared" si="3"/>
        <v>2.2979442705339581E-2</v>
      </c>
      <c r="AG52" s="597">
        <f t="shared" si="4"/>
        <v>2.7769423558897222E-2</v>
      </c>
    </row>
    <row r="53" spans="13:33" x14ac:dyDescent="0.35">
      <c r="M53" s="555">
        <v>41542</v>
      </c>
      <c r="N53" s="543" t="s">
        <v>449</v>
      </c>
      <c r="O53" s="543">
        <v>23060.9</v>
      </c>
      <c r="P53" s="73" t="s">
        <v>431</v>
      </c>
      <c r="Q53" s="158">
        <v>8.6300000000000008</v>
      </c>
      <c r="R53" s="563">
        <f t="shared" si="1"/>
        <v>-1.1949677090186128E-3</v>
      </c>
      <c r="S53" s="563">
        <f t="shared" si="2"/>
        <v>-1.7084282460136491E-2</v>
      </c>
      <c r="AA53" s="589">
        <v>41537</v>
      </c>
      <c r="AB53" s="590" t="s">
        <v>449</v>
      </c>
      <c r="AC53" s="590">
        <v>23595.61</v>
      </c>
      <c r="AD53" s="591" t="s">
        <v>395</v>
      </c>
      <c r="AE53" s="590">
        <v>101.93</v>
      </c>
      <c r="AF53" s="592">
        <f t="shared" si="3"/>
        <v>5.9099679498384461E-3</v>
      </c>
      <c r="AG53" s="592">
        <f t="shared" si="4"/>
        <v>-5.7549746390946899E-3</v>
      </c>
    </row>
    <row r="54" spans="13:33" x14ac:dyDescent="0.35">
      <c r="M54" s="555">
        <v>41543</v>
      </c>
      <c r="N54" s="543" t="s">
        <v>449</v>
      </c>
      <c r="O54" s="543">
        <v>22780.82</v>
      </c>
      <c r="P54" s="73" t="s">
        <v>431</v>
      </c>
      <c r="Q54" s="158">
        <v>8.4600000000000009</v>
      </c>
      <c r="R54" s="563">
        <f t="shared" si="1"/>
        <v>-1.2145232840002018E-2</v>
      </c>
      <c r="S54" s="563">
        <f t="shared" si="2"/>
        <v>-1.9698725376593229E-2</v>
      </c>
      <c r="AA54" s="589">
        <v>41541</v>
      </c>
      <c r="AB54" s="590" t="s">
        <v>449</v>
      </c>
      <c r="AC54" s="590">
        <v>23088.49</v>
      </c>
      <c r="AD54" s="591" t="s">
        <v>395</v>
      </c>
      <c r="AE54" s="590">
        <v>100</v>
      </c>
      <c r="AF54" s="592">
        <f t="shared" si="3"/>
        <v>-2.1492133494323662E-2</v>
      </c>
      <c r="AG54" s="592">
        <f t="shared" si="4"/>
        <v>-1.8934562935347898E-2</v>
      </c>
    </row>
    <row r="55" spans="13:33" x14ac:dyDescent="0.35">
      <c r="M55" s="555">
        <v>41544</v>
      </c>
      <c r="N55" s="543" t="s">
        <v>449</v>
      </c>
      <c r="O55" s="543">
        <v>22387.31</v>
      </c>
      <c r="P55" s="73" t="s">
        <v>431</v>
      </c>
      <c r="Q55" s="158">
        <v>8.35</v>
      </c>
      <c r="R55" s="563">
        <f t="shared" si="1"/>
        <v>-1.7273741682696131E-2</v>
      </c>
      <c r="S55" s="563">
        <f t="shared" si="2"/>
        <v>-1.3002364066194039E-2</v>
      </c>
      <c r="AA55" s="589">
        <v>41542</v>
      </c>
      <c r="AB55" s="590" t="s">
        <v>449</v>
      </c>
      <c r="AC55" s="590">
        <v>23060.9</v>
      </c>
      <c r="AD55" s="591" t="s">
        <v>395</v>
      </c>
      <c r="AE55" s="590">
        <v>101.9</v>
      </c>
      <c r="AF55" s="592">
        <f t="shared" si="3"/>
        <v>-1.1949677090186128E-3</v>
      </c>
      <c r="AG55" s="592">
        <f t="shared" si="4"/>
        <v>1.9000000000000128E-2</v>
      </c>
    </row>
    <row r="56" spans="13:33" x14ac:dyDescent="0.35">
      <c r="M56" s="555">
        <v>41547</v>
      </c>
      <c r="N56" s="543" t="s">
        <v>449</v>
      </c>
      <c r="O56" s="543">
        <v>21832.68</v>
      </c>
      <c r="P56" s="73" t="s">
        <v>431</v>
      </c>
      <c r="Q56" s="158">
        <v>8.16</v>
      </c>
      <c r="R56" s="563">
        <f t="shared" si="1"/>
        <v>-2.4774302942157878E-2</v>
      </c>
      <c r="S56" s="563">
        <f t="shared" si="2"/>
        <v>-2.2754491017964007E-2</v>
      </c>
      <c r="AA56" s="589">
        <v>41543</v>
      </c>
      <c r="AB56" s="590" t="s">
        <v>449</v>
      </c>
      <c r="AC56" s="590">
        <v>22780.82</v>
      </c>
      <c r="AD56" s="591" t="s">
        <v>395</v>
      </c>
      <c r="AE56" s="590">
        <v>100.5</v>
      </c>
      <c r="AF56" s="592">
        <f t="shared" si="3"/>
        <v>-1.2145232840002018E-2</v>
      </c>
      <c r="AG56" s="592">
        <f t="shared" si="4"/>
        <v>-1.3738959764475034E-2</v>
      </c>
    </row>
    <row r="57" spans="13:33" x14ac:dyDescent="0.35">
      <c r="M57" s="555">
        <v>41548</v>
      </c>
      <c r="N57" s="543" t="s">
        <v>449</v>
      </c>
      <c r="O57" s="543">
        <v>21980.42</v>
      </c>
      <c r="P57" s="73" t="s">
        <v>431</v>
      </c>
      <c r="Q57" s="158">
        <v>8.31</v>
      </c>
      <c r="R57" s="563">
        <f t="shared" si="1"/>
        <v>6.7669200482944891E-3</v>
      </c>
      <c r="S57" s="563">
        <f t="shared" si="2"/>
        <v>1.8382352941176405E-2</v>
      </c>
      <c r="AA57" s="589">
        <v>41544</v>
      </c>
      <c r="AB57" s="590" t="s">
        <v>449</v>
      </c>
      <c r="AC57" s="590">
        <v>22387.31</v>
      </c>
      <c r="AD57" s="591" t="s">
        <v>395</v>
      </c>
      <c r="AE57" s="590">
        <v>98</v>
      </c>
      <c r="AF57" s="592">
        <f t="shared" si="3"/>
        <v>-1.7273741682696131E-2</v>
      </c>
      <c r="AG57" s="592">
        <f t="shared" si="4"/>
        <v>-2.4875621890547261E-2</v>
      </c>
    </row>
    <row r="58" spans="13:33" x14ac:dyDescent="0.35">
      <c r="M58" s="526">
        <v>41550</v>
      </c>
      <c r="N58" s="524" t="s">
        <v>449</v>
      </c>
      <c r="O58" s="524">
        <v>22152.35</v>
      </c>
      <c r="P58" s="73" t="s">
        <v>431</v>
      </c>
      <c r="Q58">
        <v>8.5299999999999994</v>
      </c>
      <c r="R58" s="563">
        <f t="shared" si="1"/>
        <v>7.8219615457757463E-3</v>
      </c>
      <c r="S58" s="563">
        <f t="shared" si="2"/>
        <v>2.6474127557159832E-2</v>
      </c>
      <c r="AA58" s="589">
        <v>41547</v>
      </c>
      <c r="AB58" s="590" t="s">
        <v>449</v>
      </c>
      <c r="AC58" s="590">
        <v>21832.68</v>
      </c>
      <c r="AD58" s="591" t="s">
        <v>395</v>
      </c>
      <c r="AE58" s="590">
        <v>99.1</v>
      </c>
      <c r="AF58" s="592">
        <f t="shared" si="3"/>
        <v>-2.4774302942157878E-2</v>
      </c>
      <c r="AG58" s="592">
        <f t="shared" si="4"/>
        <v>1.1224489795918391E-2</v>
      </c>
    </row>
    <row r="59" spans="13:33" x14ac:dyDescent="0.35">
      <c r="M59" s="526">
        <v>41554</v>
      </c>
      <c r="N59" s="524" t="s">
        <v>449</v>
      </c>
      <c r="O59" s="524">
        <v>21864.85</v>
      </c>
      <c r="P59" s="73" t="s">
        <v>431</v>
      </c>
      <c r="Q59">
        <v>8.06</v>
      </c>
      <c r="R59" s="563">
        <f t="shared" si="1"/>
        <v>-1.2978307041916493E-2</v>
      </c>
      <c r="S59" s="563">
        <f t="shared" si="2"/>
        <v>-5.5099648300117154E-2</v>
      </c>
      <c r="AA59" s="589">
        <v>41548</v>
      </c>
      <c r="AB59" s="590" t="s">
        <v>449</v>
      </c>
      <c r="AC59" s="590">
        <v>21980.42</v>
      </c>
      <c r="AD59" s="591" t="s">
        <v>395</v>
      </c>
      <c r="AE59" s="590">
        <v>100</v>
      </c>
      <c r="AF59" s="592">
        <f t="shared" si="3"/>
        <v>6.7669200482944891E-3</v>
      </c>
      <c r="AG59" s="592">
        <f t="shared" si="4"/>
        <v>9.0817356205852295E-3</v>
      </c>
    </row>
    <row r="60" spans="13:33" x14ac:dyDescent="0.35">
      <c r="M60" s="555">
        <v>41555</v>
      </c>
      <c r="N60" s="543" t="s">
        <v>449</v>
      </c>
      <c r="O60" s="543">
        <v>22080.47</v>
      </c>
      <c r="P60" s="73" t="s">
        <v>431</v>
      </c>
      <c r="Q60" s="158">
        <v>8.1999999999999993</v>
      </c>
      <c r="R60" s="563">
        <f t="shared" si="1"/>
        <v>9.8614900170823638E-3</v>
      </c>
      <c r="S60" s="563">
        <f t="shared" si="2"/>
        <v>1.7369727047146233E-2</v>
      </c>
      <c r="AA60" s="594">
        <v>41550</v>
      </c>
      <c r="AB60" s="595" t="s">
        <v>449</v>
      </c>
      <c r="AC60" s="595">
        <v>22152.35</v>
      </c>
      <c r="AD60" s="596" t="s">
        <v>395</v>
      </c>
      <c r="AE60" s="595">
        <v>101.31</v>
      </c>
      <c r="AF60" s="597">
        <f t="shared" si="3"/>
        <v>7.8219615457757463E-3</v>
      </c>
      <c r="AG60" s="597">
        <f t="shared" si="4"/>
        <v>1.3100000000000112E-2</v>
      </c>
    </row>
    <row r="61" spans="13:33" x14ac:dyDescent="0.35">
      <c r="M61" s="526">
        <v>41557</v>
      </c>
      <c r="N61" s="524" t="s">
        <v>449</v>
      </c>
      <c r="O61" s="524">
        <v>21674.98</v>
      </c>
      <c r="P61" s="73" t="s">
        <v>431</v>
      </c>
      <c r="Q61">
        <v>8.26</v>
      </c>
      <c r="R61" s="563">
        <f t="shared" si="1"/>
        <v>-1.8364192428874992E-2</v>
      </c>
      <c r="S61" s="563">
        <f t="shared" si="2"/>
        <v>7.3170731707317138E-3</v>
      </c>
      <c r="AA61" s="589">
        <v>41554</v>
      </c>
      <c r="AB61" s="590" t="s">
        <v>449</v>
      </c>
      <c r="AC61" s="590">
        <v>21864.85</v>
      </c>
      <c r="AD61" s="591" t="s">
        <v>395</v>
      </c>
      <c r="AE61" s="590">
        <v>100</v>
      </c>
      <c r="AF61" s="592">
        <f t="shared" si="3"/>
        <v>-1.2978307041916493E-2</v>
      </c>
      <c r="AG61" s="592">
        <f t="shared" si="4"/>
        <v>-1.293060902181431E-2</v>
      </c>
    </row>
    <row r="62" spans="13:33" x14ac:dyDescent="0.35">
      <c r="M62" s="555">
        <v>41558</v>
      </c>
      <c r="N62" s="543" t="s">
        <v>449</v>
      </c>
      <c r="O62" s="543">
        <v>21775.39</v>
      </c>
      <c r="P62" s="73" t="s">
        <v>431</v>
      </c>
      <c r="Q62" s="158">
        <v>8.18</v>
      </c>
      <c r="R62" s="563">
        <f t="shared" si="1"/>
        <v>4.6325302260947776E-3</v>
      </c>
      <c r="S62" s="563">
        <f t="shared" si="2"/>
        <v>-9.6852300242130651E-3</v>
      </c>
      <c r="AA62" s="589">
        <v>41555</v>
      </c>
      <c r="AB62" s="590" t="s">
        <v>449</v>
      </c>
      <c r="AC62" s="590">
        <v>22080.47</v>
      </c>
      <c r="AD62" s="591" t="s">
        <v>395</v>
      </c>
      <c r="AE62" s="590">
        <v>102</v>
      </c>
      <c r="AF62" s="592">
        <f t="shared" si="3"/>
        <v>9.8614900170823638E-3</v>
      </c>
      <c r="AG62" s="592">
        <f t="shared" si="4"/>
        <v>2.0000000000000018E-2</v>
      </c>
    </row>
    <row r="63" spans="13:33" x14ac:dyDescent="0.35">
      <c r="M63" s="526">
        <v>41568</v>
      </c>
      <c r="N63" s="524" t="s">
        <v>449</v>
      </c>
      <c r="O63" s="524">
        <v>21754.95</v>
      </c>
      <c r="P63" s="73" t="s">
        <v>431</v>
      </c>
      <c r="Q63">
        <v>7.76</v>
      </c>
      <c r="R63" s="563">
        <f t="shared" si="1"/>
        <v>-9.386743475087167E-4</v>
      </c>
      <c r="S63" s="563">
        <f t="shared" si="2"/>
        <v>-5.1344743276283578E-2</v>
      </c>
      <c r="AA63" s="594">
        <v>41557</v>
      </c>
      <c r="AB63" s="595" t="s">
        <v>449</v>
      </c>
      <c r="AC63" s="595">
        <v>21674.98</v>
      </c>
      <c r="AD63" s="596" t="s">
        <v>395</v>
      </c>
      <c r="AE63" s="595">
        <v>97.25</v>
      </c>
      <c r="AF63" s="597">
        <f t="shared" si="3"/>
        <v>-1.8364192428874992E-2</v>
      </c>
      <c r="AG63" s="597">
        <f t="shared" si="4"/>
        <v>-4.6568627450980338E-2</v>
      </c>
    </row>
    <row r="64" spans="13:33" x14ac:dyDescent="0.35">
      <c r="M64" s="555">
        <v>41569</v>
      </c>
      <c r="N64" s="543" t="s">
        <v>449</v>
      </c>
      <c r="O64" s="543">
        <v>22230.43</v>
      </c>
      <c r="P64" s="73" t="s">
        <v>431</v>
      </c>
      <c r="Q64" s="158">
        <v>7.74</v>
      </c>
      <c r="R64" s="563">
        <f t="shared" si="1"/>
        <v>2.1856175261262267E-2</v>
      </c>
      <c r="S64" s="563">
        <f t="shared" si="2"/>
        <v>-2.5773195876288568E-3</v>
      </c>
      <c r="AA64" s="594">
        <v>41558</v>
      </c>
      <c r="AB64" s="595" t="s">
        <v>449</v>
      </c>
      <c r="AC64" s="595">
        <v>21775.39</v>
      </c>
      <c r="AD64" s="596" t="s">
        <v>395</v>
      </c>
      <c r="AE64" s="595">
        <v>102.11</v>
      </c>
      <c r="AF64" s="597">
        <f t="shared" si="3"/>
        <v>4.6325302260947776E-3</v>
      </c>
      <c r="AG64" s="597">
        <f t="shared" si="4"/>
        <v>4.997429305912604E-2</v>
      </c>
    </row>
    <row r="65" spans="13:33" x14ac:dyDescent="0.35">
      <c r="M65" s="555">
        <v>41570</v>
      </c>
      <c r="N65" s="543" t="s">
        <v>449</v>
      </c>
      <c r="O65" s="543">
        <v>22347.29</v>
      </c>
      <c r="P65" s="73" t="s">
        <v>431</v>
      </c>
      <c r="Q65" s="158">
        <v>7.71</v>
      </c>
      <c r="R65" s="563">
        <f t="shared" si="1"/>
        <v>5.2567584162790393E-3</v>
      </c>
      <c r="S65" s="563">
        <f t="shared" si="2"/>
        <v>-3.8759689922480689E-3</v>
      </c>
      <c r="AA65" s="594">
        <v>41568</v>
      </c>
      <c r="AB65" s="595" t="s">
        <v>449</v>
      </c>
      <c r="AC65" s="595">
        <v>21754.95</v>
      </c>
      <c r="AD65" s="596" t="s">
        <v>395</v>
      </c>
      <c r="AE65" s="595">
        <v>95.98</v>
      </c>
      <c r="AF65" s="597">
        <f t="shared" si="3"/>
        <v>-9.386743475087167E-4</v>
      </c>
      <c r="AG65" s="597">
        <f t="shared" si="4"/>
        <v>-6.0033297424346266E-2</v>
      </c>
    </row>
    <row r="66" spans="13:33" x14ac:dyDescent="0.35">
      <c r="M66" s="555">
        <v>41571</v>
      </c>
      <c r="N66" s="543" t="s">
        <v>449</v>
      </c>
      <c r="O66" s="543">
        <v>22360.85</v>
      </c>
      <c r="P66" s="73" t="s">
        <v>431</v>
      </c>
      <c r="Q66" s="158">
        <v>7.71</v>
      </c>
      <c r="R66" s="563">
        <f t="shared" si="1"/>
        <v>6.0678498377186862E-4</v>
      </c>
      <c r="S66" s="563">
        <f t="shared" si="2"/>
        <v>0</v>
      </c>
      <c r="AA66" s="594">
        <v>41569</v>
      </c>
      <c r="AB66" s="595" t="s">
        <v>449</v>
      </c>
      <c r="AC66" s="595">
        <v>22230.43</v>
      </c>
      <c r="AD66" s="596" t="s">
        <v>395</v>
      </c>
      <c r="AE66" s="595">
        <v>100.65</v>
      </c>
      <c r="AF66" s="597">
        <f t="shared" si="3"/>
        <v>2.1856175261262267E-2</v>
      </c>
      <c r="AG66" s="597">
        <f t="shared" si="4"/>
        <v>4.8655969993748771E-2</v>
      </c>
    </row>
    <row r="67" spans="13:33" x14ac:dyDescent="0.35">
      <c r="M67" s="555">
        <v>41572</v>
      </c>
      <c r="N67" s="543" t="s">
        <v>449</v>
      </c>
      <c r="O67" s="543">
        <v>22445.59</v>
      </c>
      <c r="P67" s="73" t="s">
        <v>431</v>
      </c>
      <c r="Q67" s="158">
        <v>7.53</v>
      </c>
      <c r="R67" s="563">
        <f t="shared" si="1"/>
        <v>3.789659158752956E-3</v>
      </c>
      <c r="S67" s="563">
        <f t="shared" si="2"/>
        <v>-2.3346303501945442E-2</v>
      </c>
      <c r="AA67" s="589">
        <v>41570</v>
      </c>
      <c r="AB67" s="590" t="s">
        <v>449</v>
      </c>
      <c r="AC67" s="590">
        <v>22347.29</v>
      </c>
      <c r="AD67" s="591" t="s">
        <v>395</v>
      </c>
      <c r="AE67" s="590">
        <v>102.45</v>
      </c>
      <c r="AF67" s="592">
        <f t="shared" si="3"/>
        <v>5.2567584162790393E-3</v>
      </c>
      <c r="AG67" s="592">
        <f t="shared" si="4"/>
        <v>1.78837555886735E-2</v>
      </c>
    </row>
    <row r="68" spans="13:33" x14ac:dyDescent="0.35">
      <c r="M68" s="526">
        <v>41576</v>
      </c>
      <c r="N68" s="524" t="s">
        <v>449</v>
      </c>
      <c r="O68" s="524">
        <v>22276.65</v>
      </c>
      <c r="P68" s="73" t="s">
        <v>431</v>
      </c>
      <c r="Q68">
        <v>7.41</v>
      </c>
      <c r="R68" s="563">
        <f t="shared" si="1"/>
        <v>-7.5266455459623849E-3</v>
      </c>
      <c r="S68" s="563">
        <f t="shared" si="2"/>
        <v>-1.5936254980079667E-2</v>
      </c>
      <c r="AA68" s="589">
        <v>41571</v>
      </c>
      <c r="AB68" s="590" t="s">
        <v>449</v>
      </c>
      <c r="AC68" s="590">
        <v>22360.85</v>
      </c>
      <c r="AD68" s="591" t="s">
        <v>395</v>
      </c>
      <c r="AE68" s="590">
        <v>98.08</v>
      </c>
      <c r="AF68" s="592">
        <f t="shared" si="3"/>
        <v>6.0678498377186862E-4</v>
      </c>
      <c r="AG68" s="592">
        <f t="shared" si="4"/>
        <v>-4.2654953635919979E-2</v>
      </c>
    </row>
    <row r="69" spans="13:33" x14ac:dyDescent="0.35">
      <c r="M69" s="555">
        <v>41577</v>
      </c>
      <c r="N69" s="543" t="s">
        <v>449</v>
      </c>
      <c r="O69" s="543">
        <v>22310.6</v>
      </c>
      <c r="P69" s="73" t="s">
        <v>431</v>
      </c>
      <c r="Q69" s="158">
        <v>7.36</v>
      </c>
      <c r="R69" s="563">
        <f t="shared" si="1"/>
        <v>1.5240173006263458E-3</v>
      </c>
      <c r="S69" s="563">
        <f t="shared" si="2"/>
        <v>-6.7476383265856477E-3</v>
      </c>
      <c r="AA69" s="589">
        <v>41572</v>
      </c>
      <c r="AB69" s="590" t="s">
        <v>449</v>
      </c>
      <c r="AC69" s="590">
        <v>22445.59</v>
      </c>
      <c r="AD69" s="591" t="s">
        <v>395</v>
      </c>
      <c r="AE69" s="590">
        <v>101</v>
      </c>
      <c r="AF69" s="592">
        <f t="shared" si="3"/>
        <v>3.789659158752956E-3</v>
      </c>
      <c r="AG69" s="592">
        <f t="shared" si="4"/>
        <v>2.9771615008156616E-2</v>
      </c>
    </row>
    <row r="70" spans="13:33" x14ac:dyDescent="0.35">
      <c r="M70" s="555">
        <v>41578</v>
      </c>
      <c r="N70" s="543" t="s">
        <v>449</v>
      </c>
      <c r="O70" s="543">
        <v>22775.85</v>
      </c>
      <c r="P70" s="73" t="s">
        <v>431</v>
      </c>
      <c r="Q70" s="158">
        <v>7.34</v>
      </c>
      <c r="R70" s="563">
        <f t="shared" si="1"/>
        <v>2.0853316360832874E-2</v>
      </c>
      <c r="S70" s="563">
        <f t="shared" si="2"/>
        <v>-2.7173913043478937E-3</v>
      </c>
      <c r="AA70" s="589">
        <v>41576</v>
      </c>
      <c r="AB70" s="590" t="s">
        <v>449</v>
      </c>
      <c r="AC70" s="590">
        <v>22276.65</v>
      </c>
      <c r="AD70" s="591" t="s">
        <v>395</v>
      </c>
      <c r="AE70" s="590">
        <v>101</v>
      </c>
      <c r="AF70" s="592">
        <f t="shared" si="3"/>
        <v>-7.5266455459623849E-3</v>
      </c>
      <c r="AG70" s="592">
        <f t="shared" si="4"/>
        <v>0</v>
      </c>
    </row>
    <row r="71" spans="13:33" x14ac:dyDescent="0.35">
      <c r="M71" s="555">
        <v>41579</v>
      </c>
      <c r="N71" s="543" t="s">
        <v>449</v>
      </c>
      <c r="O71" s="543">
        <v>22649.09</v>
      </c>
      <c r="P71" s="73" t="s">
        <v>431</v>
      </c>
      <c r="Q71" s="158">
        <v>7.36</v>
      </c>
      <c r="R71" s="563">
        <f t="shared" si="1"/>
        <v>-5.5655442058144544E-3</v>
      </c>
      <c r="S71" s="563">
        <f t="shared" si="2"/>
        <v>2.7247956403271267E-3</v>
      </c>
      <c r="AA71" s="589">
        <v>41577</v>
      </c>
      <c r="AB71" s="590" t="s">
        <v>449</v>
      </c>
      <c r="AC71" s="590">
        <v>22310.6</v>
      </c>
      <c r="AD71" s="591" t="s">
        <v>395</v>
      </c>
      <c r="AE71" s="590">
        <v>101.81</v>
      </c>
      <c r="AF71" s="592">
        <f t="shared" si="3"/>
        <v>1.5240173006263458E-3</v>
      </c>
      <c r="AG71" s="592">
        <f t="shared" si="4"/>
        <v>8.0198019801980269E-3</v>
      </c>
    </row>
    <row r="72" spans="13:33" x14ac:dyDescent="0.35">
      <c r="M72" s="555">
        <v>41582</v>
      </c>
      <c r="N72" s="543" t="s">
        <v>449</v>
      </c>
      <c r="O72" s="543">
        <v>22377.83</v>
      </c>
      <c r="P72" s="73" t="s">
        <v>431</v>
      </c>
      <c r="Q72" s="158">
        <v>7.22</v>
      </c>
      <c r="R72" s="563">
        <f t="shared" si="1"/>
        <v>-1.1976640121082016E-2</v>
      </c>
      <c r="S72" s="563">
        <f t="shared" si="2"/>
        <v>-1.9021739130434812E-2</v>
      </c>
      <c r="AA72" s="589">
        <v>41578</v>
      </c>
      <c r="AB72" s="590" t="s">
        <v>449</v>
      </c>
      <c r="AC72" s="590">
        <v>22775.85</v>
      </c>
      <c r="AD72" s="591" t="s">
        <v>395</v>
      </c>
      <c r="AE72" s="590">
        <v>97</v>
      </c>
      <c r="AF72" s="592">
        <f t="shared" si="3"/>
        <v>2.0853316360832874E-2</v>
      </c>
      <c r="AG72" s="592">
        <f t="shared" si="4"/>
        <v>-4.7244867891169884E-2</v>
      </c>
    </row>
    <row r="73" spans="13:33" x14ac:dyDescent="0.35">
      <c r="M73" s="526">
        <v>41584</v>
      </c>
      <c r="N73" s="524" t="s">
        <v>449</v>
      </c>
      <c r="O73" s="524">
        <v>23165.21</v>
      </c>
      <c r="P73" s="73" t="s">
        <v>431</v>
      </c>
      <c r="Q73">
        <v>7.3</v>
      </c>
      <c r="R73" s="563">
        <f t="shared" si="1"/>
        <v>3.5185717292516516E-2</v>
      </c>
      <c r="S73" s="563">
        <f t="shared" si="2"/>
        <v>1.1080332409972415E-2</v>
      </c>
      <c r="AA73" s="589">
        <v>41579</v>
      </c>
      <c r="AB73" s="590" t="s">
        <v>449</v>
      </c>
      <c r="AC73" s="590">
        <v>22649.09</v>
      </c>
      <c r="AD73" s="591" t="s">
        <v>395</v>
      </c>
      <c r="AE73" s="590">
        <v>100.26</v>
      </c>
      <c r="AF73" s="592">
        <f t="shared" si="3"/>
        <v>-5.5655442058144544E-3</v>
      </c>
      <c r="AG73" s="592">
        <f t="shared" si="4"/>
        <v>3.3608247422680426E-2</v>
      </c>
    </row>
    <row r="74" spans="13:33" x14ac:dyDescent="0.35">
      <c r="M74" s="555">
        <v>41585</v>
      </c>
      <c r="N74" s="543" t="s">
        <v>449</v>
      </c>
      <c r="O74" s="543">
        <v>23220.21</v>
      </c>
      <c r="P74" s="73" t="s">
        <v>431</v>
      </c>
      <c r="Q74" s="158">
        <v>7.28</v>
      </c>
      <c r="R74" s="563">
        <f t="shared" si="1"/>
        <v>2.374250006798917E-3</v>
      </c>
      <c r="S74" s="563">
        <f t="shared" si="2"/>
        <v>-2.739726027397249E-3</v>
      </c>
      <c r="AA74" s="594">
        <v>41582</v>
      </c>
      <c r="AB74" s="595" t="s">
        <v>449</v>
      </c>
      <c r="AC74" s="595">
        <v>22377.83</v>
      </c>
      <c r="AD74" s="596" t="s">
        <v>395</v>
      </c>
      <c r="AE74" s="595">
        <v>96</v>
      </c>
      <c r="AF74" s="597">
        <f t="shared" si="3"/>
        <v>-1.1976640121082016E-2</v>
      </c>
      <c r="AG74" s="597">
        <f t="shared" si="4"/>
        <v>-4.2489527229204072E-2</v>
      </c>
    </row>
    <row r="75" spans="13:33" x14ac:dyDescent="0.35">
      <c r="M75" s="555">
        <v>41586</v>
      </c>
      <c r="N75" s="543" t="s">
        <v>449</v>
      </c>
      <c r="O75" s="543">
        <v>23367.15</v>
      </c>
      <c r="P75" s="73" t="s">
        <v>431</v>
      </c>
      <c r="Q75" s="158">
        <v>7.33</v>
      </c>
      <c r="R75" s="563">
        <f t="shared" si="1"/>
        <v>6.3281081437249753E-3</v>
      </c>
      <c r="S75" s="563">
        <f t="shared" si="2"/>
        <v>6.8681318681318437E-3</v>
      </c>
      <c r="AA75" s="594">
        <v>41584</v>
      </c>
      <c r="AB75" s="595" t="s">
        <v>449</v>
      </c>
      <c r="AC75" s="595">
        <v>23165.21</v>
      </c>
      <c r="AD75" s="596" t="s">
        <v>395</v>
      </c>
      <c r="AE75" s="595">
        <v>98</v>
      </c>
      <c r="AF75" s="597">
        <f t="shared" si="3"/>
        <v>3.5185717292516516E-2</v>
      </c>
      <c r="AG75" s="597">
        <f t="shared" si="4"/>
        <v>2.0833333333333259E-2</v>
      </c>
    </row>
    <row r="76" spans="13:33" x14ac:dyDescent="0.35">
      <c r="M76" s="526">
        <v>41591</v>
      </c>
      <c r="N76" s="524" t="s">
        <v>449</v>
      </c>
      <c r="O76" s="524">
        <v>23287.06</v>
      </c>
      <c r="P76" s="73" t="s">
        <v>431</v>
      </c>
      <c r="Q76">
        <v>7.37</v>
      </c>
      <c r="R76" s="563">
        <f t="shared" si="1"/>
        <v>-3.4274612008738936E-3</v>
      </c>
      <c r="S76" s="563">
        <f t="shared" si="2"/>
        <v>5.4570259208730487E-3</v>
      </c>
      <c r="AA76" s="594">
        <v>41585</v>
      </c>
      <c r="AB76" s="595" t="s">
        <v>449</v>
      </c>
      <c r="AC76" s="595">
        <v>23220.21</v>
      </c>
      <c r="AD76" s="596" t="s">
        <v>395</v>
      </c>
      <c r="AE76" s="595">
        <v>98</v>
      </c>
      <c r="AF76" s="597">
        <f t="shared" si="3"/>
        <v>2.374250006798917E-3</v>
      </c>
      <c r="AG76" s="597">
        <f t="shared" si="4"/>
        <v>0</v>
      </c>
    </row>
    <row r="77" spans="13:33" x14ac:dyDescent="0.35">
      <c r="M77" s="555">
        <v>41596</v>
      </c>
      <c r="N77" s="543" t="s">
        <v>449</v>
      </c>
      <c r="O77" s="543">
        <v>23611.24</v>
      </c>
      <c r="P77" s="73" t="s">
        <v>431</v>
      </c>
      <c r="Q77" s="158">
        <v>7.57</v>
      </c>
      <c r="R77" s="563">
        <f t="shared" si="1"/>
        <v>1.3921035974485463E-2</v>
      </c>
      <c r="S77" s="563">
        <f t="shared" si="2"/>
        <v>2.7137042062415295E-2</v>
      </c>
      <c r="AA77" s="594">
        <v>41586</v>
      </c>
      <c r="AB77" s="595" t="s">
        <v>449</v>
      </c>
      <c r="AC77" s="595">
        <v>23367.15</v>
      </c>
      <c r="AD77" s="596" t="s">
        <v>395</v>
      </c>
      <c r="AE77" s="595">
        <v>98</v>
      </c>
      <c r="AF77" s="597">
        <f t="shared" si="3"/>
        <v>6.3281081437249753E-3</v>
      </c>
      <c r="AG77" s="597">
        <f t="shared" si="4"/>
        <v>0</v>
      </c>
    </row>
    <row r="78" spans="13:33" x14ac:dyDescent="0.35">
      <c r="M78" s="555">
        <v>41597</v>
      </c>
      <c r="N78" s="543" t="s">
        <v>449</v>
      </c>
      <c r="O78" s="543">
        <v>23819.43</v>
      </c>
      <c r="P78" s="73" t="s">
        <v>431</v>
      </c>
      <c r="Q78" s="158">
        <v>7.59</v>
      </c>
      <c r="R78" s="563">
        <f t="shared" si="1"/>
        <v>8.8174106908402994E-3</v>
      </c>
      <c r="S78" s="563">
        <f t="shared" si="2"/>
        <v>2.6420079260236484E-3</v>
      </c>
      <c r="AA78" s="594">
        <v>41591</v>
      </c>
      <c r="AB78" s="595" t="s">
        <v>449</v>
      </c>
      <c r="AC78" s="595">
        <v>23287.06</v>
      </c>
      <c r="AD78" s="596" t="s">
        <v>395</v>
      </c>
      <c r="AE78" s="595">
        <v>99.33</v>
      </c>
      <c r="AF78" s="597">
        <f t="shared" si="3"/>
        <v>-3.4274612008738936E-3</v>
      </c>
      <c r="AG78" s="597">
        <f t="shared" si="4"/>
        <v>1.3571428571428568E-2</v>
      </c>
    </row>
    <row r="79" spans="13:33" x14ac:dyDescent="0.35">
      <c r="M79" s="555">
        <v>41598</v>
      </c>
      <c r="N79" s="543" t="s">
        <v>449</v>
      </c>
      <c r="O79" s="543">
        <v>23800.97</v>
      </c>
      <c r="P79" s="73" t="s">
        <v>431</v>
      </c>
      <c r="Q79" s="158">
        <v>7.58</v>
      </c>
      <c r="R79" s="563">
        <f t="shared" si="1"/>
        <v>-7.7499755451737595E-4</v>
      </c>
      <c r="S79" s="563">
        <f t="shared" si="2"/>
        <v>-1.3175230566534468E-3</v>
      </c>
      <c r="AA79" s="594">
        <v>41596</v>
      </c>
      <c r="AB79" s="595" t="s">
        <v>449</v>
      </c>
      <c r="AC79" s="595">
        <v>23611.24</v>
      </c>
      <c r="AD79" s="596" t="s">
        <v>395</v>
      </c>
      <c r="AE79" s="595">
        <v>99.79</v>
      </c>
      <c r="AF79" s="597">
        <f t="shared" si="3"/>
        <v>1.3921035974485463E-2</v>
      </c>
      <c r="AG79" s="597">
        <f t="shared" si="4"/>
        <v>4.6310278868419985E-3</v>
      </c>
    </row>
    <row r="80" spans="13:33" x14ac:dyDescent="0.35">
      <c r="M80" s="555">
        <v>41599</v>
      </c>
      <c r="N80" s="543" t="s">
        <v>449</v>
      </c>
      <c r="O80" s="543">
        <v>23784.18</v>
      </c>
      <c r="P80" s="73" t="s">
        <v>431</v>
      </c>
      <c r="Q80" s="158">
        <v>7.71</v>
      </c>
      <c r="R80" s="563">
        <f t="shared" si="1"/>
        <v>-7.0543343401552328E-4</v>
      </c>
      <c r="S80" s="563">
        <f t="shared" si="2"/>
        <v>1.715039577836408E-2</v>
      </c>
      <c r="AA80" s="589">
        <v>41597</v>
      </c>
      <c r="AB80" s="590" t="s">
        <v>449</v>
      </c>
      <c r="AC80" s="590">
        <v>23819.43</v>
      </c>
      <c r="AD80" s="591" t="s">
        <v>395</v>
      </c>
      <c r="AE80" s="590">
        <v>98.5</v>
      </c>
      <c r="AF80" s="592">
        <f t="shared" si="3"/>
        <v>8.8174106908402994E-3</v>
      </c>
      <c r="AG80" s="592">
        <f t="shared" si="4"/>
        <v>-1.2927147008718332E-2</v>
      </c>
    </row>
    <row r="81" spans="13:33" x14ac:dyDescent="0.35">
      <c r="M81" s="526">
        <v>41604</v>
      </c>
      <c r="N81" s="524" t="s">
        <v>449</v>
      </c>
      <c r="O81" s="524">
        <v>23798.7</v>
      </c>
      <c r="P81" s="73" t="s">
        <v>431</v>
      </c>
      <c r="Q81">
        <v>7.77</v>
      </c>
      <c r="R81" s="563">
        <f t="shared" si="1"/>
        <v>6.1048982979450273E-4</v>
      </c>
      <c r="S81" s="563">
        <f t="shared" si="2"/>
        <v>7.7821011673151474E-3</v>
      </c>
      <c r="AA81" s="589">
        <v>41598</v>
      </c>
      <c r="AB81" s="590" t="s">
        <v>449</v>
      </c>
      <c r="AC81" s="590">
        <v>23800.97</v>
      </c>
      <c r="AD81" s="591" t="s">
        <v>395</v>
      </c>
      <c r="AE81" s="590">
        <v>98.82</v>
      </c>
      <c r="AF81" s="592">
        <f t="shared" si="3"/>
        <v>-7.7499755451737595E-4</v>
      </c>
      <c r="AG81" s="592">
        <f t="shared" si="4"/>
        <v>3.2487309644668727E-3</v>
      </c>
    </row>
    <row r="82" spans="13:33" x14ac:dyDescent="0.35">
      <c r="M82" s="555">
        <v>41605</v>
      </c>
      <c r="N82" s="543" t="s">
        <v>449</v>
      </c>
      <c r="O82" s="543">
        <v>23768.35</v>
      </c>
      <c r="P82" s="73" t="s">
        <v>431</v>
      </c>
      <c r="Q82" s="158">
        <v>7.88</v>
      </c>
      <c r="R82" s="563">
        <f t="shared" si="1"/>
        <v>-1.2752797421708983E-3</v>
      </c>
      <c r="S82" s="563">
        <f t="shared" si="2"/>
        <v>1.4157014157014203E-2</v>
      </c>
      <c r="AA82" s="594">
        <v>41599</v>
      </c>
      <c r="AB82" s="595" t="s">
        <v>449</v>
      </c>
      <c r="AC82" s="595">
        <v>23784.18</v>
      </c>
      <c r="AD82" s="596" t="s">
        <v>395</v>
      </c>
      <c r="AE82" s="595">
        <v>98.82</v>
      </c>
      <c r="AF82" s="597">
        <f t="shared" si="3"/>
        <v>-7.0543343401552328E-4</v>
      </c>
      <c r="AG82" s="597">
        <f t="shared" si="4"/>
        <v>0</v>
      </c>
    </row>
    <row r="83" spans="13:33" x14ac:dyDescent="0.35">
      <c r="M83" s="526">
        <v>41607</v>
      </c>
      <c r="N83" s="524" t="s">
        <v>449</v>
      </c>
      <c r="O83" s="524">
        <v>24302.19</v>
      </c>
      <c r="P83" s="73" t="s">
        <v>431</v>
      </c>
      <c r="Q83">
        <v>7.88</v>
      </c>
      <c r="R83" s="563">
        <f t="shared" si="1"/>
        <v>2.2460120286010632E-2</v>
      </c>
      <c r="S83" s="563">
        <f t="shared" si="2"/>
        <v>0</v>
      </c>
      <c r="AA83" s="594">
        <v>41604</v>
      </c>
      <c r="AB83" s="595" t="s">
        <v>449</v>
      </c>
      <c r="AC83" s="595">
        <v>23798.7</v>
      </c>
      <c r="AD83" s="596" t="s">
        <v>395</v>
      </c>
      <c r="AE83" s="595">
        <v>97.75</v>
      </c>
      <c r="AF83" s="597">
        <f t="shared" si="3"/>
        <v>6.1048982979450273E-4</v>
      </c>
      <c r="AG83" s="597">
        <f t="shared" si="4"/>
        <v>-1.0827767658368681E-2</v>
      </c>
    </row>
    <row r="84" spans="13:33" x14ac:dyDescent="0.35">
      <c r="M84" s="526">
        <v>41611</v>
      </c>
      <c r="N84" s="524" t="s">
        <v>449</v>
      </c>
      <c r="O84" s="524">
        <v>24588.47</v>
      </c>
      <c r="P84" s="73" t="s">
        <v>431</v>
      </c>
      <c r="Q84">
        <v>8.3000000000000007</v>
      </c>
      <c r="R84" s="563">
        <f t="shared" si="1"/>
        <v>1.1780008303778455E-2</v>
      </c>
      <c r="S84" s="563">
        <f t="shared" si="2"/>
        <v>5.3299492385787017E-2</v>
      </c>
      <c r="AA84" s="594">
        <v>41605</v>
      </c>
      <c r="AB84" s="595" t="s">
        <v>449</v>
      </c>
      <c r="AC84" s="595">
        <v>23768.35</v>
      </c>
      <c r="AD84" s="596" t="s">
        <v>395</v>
      </c>
      <c r="AE84" s="595">
        <v>97</v>
      </c>
      <c r="AF84" s="597">
        <f t="shared" si="3"/>
        <v>-1.2752797421708983E-3</v>
      </c>
      <c r="AG84" s="597">
        <f t="shared" si="4"/>
        <v>-7.6726342710997653E-3</v>
      </c>
    </row>
    <row r="85" spans="13:33" x14ac:dyDescent="0.35">
      <c r="M85" s="526">
        <v>41617</v>
      </c>
      <c r="N85" s="524" t="s">
        <v>449</v>
      </c>
      <c r="O85" s="524">
        <v>24998.89</v>
      </c>
      <c r="P85" s="73" t="s">
        <v>431</v>
      </c>
      <c r="Q85">
        <v>8.4499999999999993</v>
      </c>
      <c r="R85" s="563">
        <f t="shared" si="1"/>
        <v>1.6691563159480838E-2</v>
      </c>
      <c r="S85" s="563">
        <f t="shared" si="2"/>
        <v>1.8072289156626287E-2</v>
      </c>
      <c r="AA85" s="594">
        <v>41607</v>
      </c>
      <c r="AB85" s="595" t="s">
        <v>449</v>
      </c>
      <c r="AC85" s="595">
        <v>24302.19</v>
      </c>
      <c r="AD85" s="596" t="s">
        <v>395</v>
      </c>
      <c r="AE85" s="595">
        <v>97</v>
      </c>
      <c r="AF85" s="597">
        <f t="shared" si="3"/>
        <v>2.2460120286010632E-2</v>
      </c>
      <c r="AG85" s="597">
        <f t="shared" si="4"/>
        <v>0</v>
      </c>
    </row>
    <row r="86" spans="13:33" x14ac:dyDescent="0.35">
      <c r="M86" s="555">
        <v>41618</v>
      </c>
      <c r="N86" s="543" t="s">
        <v>449</v>
      </c>
      <c r="O86" s="543">
        <v>24878.68</v>
      </c>
      <c r="P86" s="73" t="s">
        <v>431</v>
      </c>
      <c r="Q86" s="158">
        <v>8.3000000000000007</v>
      </c>
      <c r="R86" s="563">
        <f t="shared" si="1"/>
        <v>-4.8086135024394405E-3</v>
      </c>
      <c r="S86" s="563">
        <f t="shared" si="2"/>
        <v>-1.7751479289940697E-2</v>
      </c>
      <c r="AA86" s="594">
        <v>41611</v>
      </c>
      <c r="AB86" s="595" t="s">
        <v>449</v>
      </c>
      <c r="AC86" s="595">
        <v>24588.47</v>
      </c>
      <c r="AD86" s="596" t="s">
        <v>395</v>
      </c>
      <c r="AE86" s="595">
        <v>97.74</v>
      </c>
      <c r="AF86" s="597">
        <f t="shared" si="3"/>
        <v>1.1780008303778455E-2</v>
      </c>
      <c r="AG86" s="597">
        <f t="shared" si="4"/>
        <v>7.628865979381283E-3</v>
      </c>
    </row>
    <row r="87" spans="13:33" x14ac:dyDescent="0.35">
      <c r="M87" s="526">
        <v>41620</v>
      </c>
      <c r="N87" s="524" t="s">
        <v>449</v>
      </c>
      <c r="O87" s="524">
        <v>25072</v>
      </c>
      <c r="P87" s="73" t="s">
        <v>431</v>
      </c>
      <c r="Q87">
        <v>8.26</v>
      </c>
      <c r="R87" s="563">
        <f t="shared" si="1"/>
        <v>7.7705087247394999E-3</v>
      </c>
      <c r="S87" s="563">
        <f t="shared" si="2"/>
        <v>-4.8192771084338837E-3</v>
      </c>
      <c r="AA87" s="589">
        <v>41617</v>
      </c>
      <c r="AB87" s="590" t="s">
        <v>449</v>
      </c>
      <c r="AC87" s="590">
        <v>24998.89</v>
      </c>
      <c r="AD87" s="591" t="s">
        <v>395</v>
      </c>
      <c r="AE87" s="590">
        <v>92.86</v>
      </c>
      <c r="AF87" s="592">
        <f t="shared" si="3"/>
        <v>1.6691563159480838E-2</v>
      </c>
      <c r="AG87" s="592">
        <f t="shared" si="4"/>
        <v>-4.9928381420094037E-2</v>
      </c>
    </row>
    <row r="88" spans="13:33" x14ac:dyDescent="0.35">
      <c r="M88" s="555">
        <v>41621</v>
      </c>
      <c r="N88" s="543" t="s">
        <v>449</v>
      </c>
      <c r="O88" s="543">
        <v>25256.7</v>
      </c>
      <c r="P88" s="73" t="s">
        <v>431</v>
      </c>
      <c r="Q88" s="158">
        <v>8.3699999999999992</v>
      </c>
      <c r="R88" s="563">
        <f t="shared" si="1"/>
        <v>7.3667836630504357E-3</v>
      </c>
      <c r="S88" s="563">
        <f t="shared" si="2"/>
        <v>1.3317191283293006E-2</v>
      </c>
      <c r="AA88" s="589">
        <v>41618</v>
      </c>
      <c r="AB88" s="590" t="s">
        <v>449</v>
      </c>
      <c r="AC88" s="590">
        <v>24878.68</v>
      </c>
      <c r="AD88" s="591" t="s">
        <v>395</v>
      </c>
      <c r="AE88" s="590">
        <v>95.14</v>
      </c>
      <c r="AF88" s="592">
        <f t="shared" si="3"/>
        <v>-4.8086135024394405E-3</v>
      </c>
      <c r="AG88" s="592">
        <f t="shared" si="4"/>
        <v>2.4553090674133138E-2</v>
      </c>
    </row>
    <row r="89" spans="13:33" x14ac:dyDescent="0.35">
      <c r="M89" s="526">
        <v>41626</v>
      </c>
      <c r="N89" s="524" t="s">
        <v>449</v>
      </c>
      <c r="O89" s="524">
        <v>25524.46</v>
      </c>
      <c r="P89" s="73" t="s">
        <v>431</v>
      </c>
      <c r="Q89">
        <v>8.68</v>
      </c>
      <c r="R89" s="563">
        <f t="shared" si="1"/>
        <v>1.0601543352852794E-2</v>
      </c>
      <c r="S89" s="563">
        <f t="shared" si="2"/>
        <v>3.7037037037037202E-2</v>
      </c>
      <c r="AA89" s="589">
        <v>41620</v>
      </c>
      <c r="AB89" s="590" t="s">
        <v>449</v>
      </c>
      <c r="AC89" s="590">
        <v>25072</v>
      </c>
      <c r="AD89" s="591" t="s">
        <v>395</v>
      </c>
      <c r="AE89" s="590">
        <v>95.15</v>
      </c>
      <c r="AF89" s="592">
        <f t="shared" si="3"/>
        <v>7.7705087247394999E-3</v>
      </c>
      <c r="AG89" s="592">
        <f t="shared" si="4"/>
        <v>1.0510826150933461E-4</v>
      </c>
    </row>
    <row r="90" spans="13:33" x14ac:dyDescent="0.35">
      <c r="M90" s="555">
        <v>41627</v>
      </c>
      <c r="N90" s="543" t="s">
        <v>449</v>
      </c>
      <c r="O90" s="543">
        <v>25472.65</v>
      </c>
      <c r="P90" s="73" t="s">
        <v>431</v>
      </c>
      <c r="Q90" s="158">
        <v>8.41</v>
      </c>
      <c r="R90" s="563">
        <f t="shared" ref="R90:R153" si="6">(O90/O89)-1</f>
        <v>-2.0298176729300899E-3</v>
      </c>
      <c r="S90" s="563">
        <f t="shared" ref="S90:S153" si="7">(Q90/Q89)-1</f>
        <v>-3.1105990783410142E-2</v>
      </c>
      <c r="AA90" s="589">
        <v>41621</v>
      </c>
      <c r="AB90" s="590" t="s">
        <v>449</v>
      </c>
      <c r="AC90" s="590">
        <v>25256.7</v>
      </c>
      <c r="AD90" s="591" t="s">
        <v>395</v>
      </c>
      <c r="AE90" s="590">
        <v>96.83</v>
      </c>
      <c r="AF90" s="592">
        <f t="shared" si="3"/>
        <v>7.3667836630504357E-3</v>
      </c>
      <c r="AG90" s="592">
        <f t="shared" si="4"/>
        <v>1.7656332107199191E-2</v>
      </c>
    </row>
    <row r="91" spans="13:33" x14ac:dyDescent="0.35">
      <c r="M91" s="555">
        <v>41628</v>
      </c>
      <c r="N91" s="543" t="s">
        <v>449</v>
      </c>
      <c r="O91" s="543">
        <v>25579.33</v>
      </c>
      <c r="P91" s="73" t="s">
        <v>431</v>
      </c>
      <c r="Q91" s="158">
        <v>8.5299999999999994</v>
      </c>
      <c r="R91" s="563">
        <f t="shared" si="6"/>
        <v>4.1880212698717223E-3</v>
      </c>
      <c r="S91" s="563">
        <f t="shared" si="7"/>
        <v>1.4268727705112783E-2</v>
      </c>
      <c r="AA91" s="594">
        <v>41626</v>
      </c>
      <c r="AB91" s="595" t="s">
        <v>449</v>
      </c>
      <c r="AC91" s="595">
        <v>25524.46</v>
      </c>
      <c r="AD91" s="596" t="s">
        <v>395</v>
      </c>
      <c r="AE91" s="595">
        <v>95.56</v>
      </c>
      <c r="AF91" s="597">
        <f t="shared" si="3"/>
        <v>1.0601543352852794E-2</v>
      </c>
      <c r="AG91" s="597">
        <f t="shared" si="4"/>
        <v>-1.3115769906020813E-2</v>
      </c>
    </row>
    <row r="92" spans="13:33" x14ac:dyDescent="0.35">
      <c r="M92" s="555">
        <v>41631</v>
      </c>
      <c r="N92" s="543" t="s">
        <v>449</v>
      </c>
      <c r="O92" s="543">
        <v>25417.63</v>
      </c>
      <c r="P92" s="73" t="s">
        <v>431</v>
      </c>
      <c r="Q92" s="158">
        <v>8.73</v>
      </c>
      <c r="R92" s="563">
        <f t="shared" si="6"/>
        <v>-6.3215103757604529E-3</v>
      </c>
      <c r="S92" s="563">
        <f t="shared" si="7"/>
        <v>2.3446658851113744E-2</v>
      </c>
      <c r="AA92" s="589">
        <v>41627</v>
      </c>
      <c r="AB92" s="590" t="s">
        <v>449</v>
      </c>
      <c r="AC92" s="590">
        <v>25472.65</v>
      </c>
      <c r="AD92" s="591" t="s">
        <v>395</v>
      </c>
      <c r="AE92" s="590">
        <v>91.5</v>
      </c>
      <c r="AF92" s="592">
        <f t="shared" ref="AF92:AF155" si="8">(AC92/AC91)-1</f>
        <v>-2.0298176729300899E-3</v>
      </c>
      <c r="AG92" s="592">
        <f t="shared" ref="AG92:AG155" si="9">(AE92/AE91)-1</f>
        <v>-4.2486395981582326E-2</v>
      </c>
    </row>
    <row r="93" spans="13:33" x14ac:dyDescent="0.35">
      <c r="M93" s="555">
        <v>41632</v>
      </c>
      <c r="N93" s="543" t="s">
        <v>449</v>
      </c>
      <c r="O93" s="543">
        <v>25366.69</v>
      </c>
      <c r="P93" s="73" t="s">
        <v>431</v>
      </c>
      <c r="Q93" s="158">
        <v>8.6</v>
      </c>
      <c r="R93" s="563">
        <f t="shared" si="6"/>
        <v>-2.004120761849304E-3</v>
      </c>
      <c r="S93" s="563">
        <f t="shared" si="7"/>
        <v>-1.4891179839633506E-2</v>
      </c>
      <c r="AA93" s="589">
        <v>41628</v>
      </c>
      <c r="AB93" s="590" t="s">
        <v>449</v>
      </c>
      <c r="AC93" s="590">
        <v>25579.33</v>
      </c>
      <c r="AD93" s="591" t="s">
        <v>395</v>
      </c>
      <c r="AE93" s="590">
        <v>94.29</v>
      </c>
      <c r="AF93" s="592">
        <f t="shared" si="8"/>
        <v>4.1880212698717223E-3</v>
      </c>
      <c r="AG93" s="592">
        <f t="shared" si="9"/>
        <v>3.0491803278688501E-2</v>
      </c>
    </row>
    <row r="94" spans="13:33" x14ac:dyDescent="0.35">
      <c r="M94" s="555">
        <v>41634</v>
      </c>
      <c r="N94" s="543" t="s">
        <v>449</v>
      </c>
      <c r="O94" s="543">
        <v>25370.03</v>
      </c>
      <c r="P94" s="73" t="s">
        <v>431</v>
      </c>
      <c r="Q94" s="158">
        <v>9.02</v>
      </c>
      <c r="R94" s="563">
        <f t="shared" si="6"/>
        <v>1.3166873565295667E-4</v>
      </c>
      <c r="S94" s="563">
        <f t="shared" si="7"/>
        <v>4.8837209302325491E-2</v>
      </c>
      <c r="AA94" s="594">
        <v>41631</v>
      </c>
      <c r="AB94" s="595" t="s">
        <v>449</v>
      </c>
      <c r="AC94" s="595">
        <v>25417.63</v>
      </c>
      <c r="AD94" s="596" t="s">
        <v>395</v>
      </c>
      <c r="AE94" s="595">
        <v>94.85</v>
      </c>
      <c r="AF94" s="597">
        <f t="shared" si="8"/>
        <v>-6.3215103757604529E-3</v>
      </c>
      <c r="AG94" s="597">
        <f t="shared" si="9"/>
        <v>5.9391239792130346E-3</v>
      </c>
    </row>
    <row r="95" spans="13:33" x14ac:dyDescent="0.35">
      <c r="M95" s="555">
        <v>41635</v>
      </c>
      <c r="N95" s="543" t="s">
        <v>449</v>
      </c>
      <c r="O95" s="543">
        <v>25258.05</v>
      </c>
      <c r="P95" s="73" t="s">
        <v>431</v>
      </c>
      <c r="Q95" s="158">
        <v>8.89</v>
      </c>
      <c r="R95" s="563">
        <f t="shared" si="6"/>
        <v>-4.4138694357082064E-3</v>
      </c>
      <c r="S95" s="563">
        <f t="shared" si="7"/>
        <v>-1.4412416851441123E-2</v>
      </c>
      <c r="AA95" s="589">
        <v>41632</v>
      </c>
      <c r="AB95" s="590" t="s">
        <v>449</v>
      </c>
      <c r="AC95" s="590">
        <v>25366.69</v>
      </c>
      <c r="AD95" s="591" t="s">
        <v>395</v>
      </c>
      <c r="AE95" s="590">
        <v>94.85</v>
      </c>
      <c r="AF95" s="592">
        <f t="shared" si="8"/>
        <v>-2.004120761849304E-3</v>
      </c>
      <c r="AG95" s="592">
        <f t="shared" si="9"/>
        <v>0</v>
      </c>
    </row>
    <row r="96" spans="13:33" x14ac:dyDescent="0.35">
      <c r="M96" s="526">
        <v>41642</v>
      </c>
      <c r="N96" s="524" t="s">
        <v>449</v>
      </c>
      <c r="O96" s="524">
        <v>26046.71</v>
      </c>
      <c r="P96" s="73" t="s">
        <v>431</v>
      </c>
      <c r="Q96">
        <v>9.1</v>
      </c>
      <c r="R96" s="563">
        <f t="shared" si="6"/>
        <v>3.1224104790353868E-2</v>
      </c>
      <c r="S96" s="563">
        <f t="shared" si="7"/>
        <v>2.3622047244094446E-2</v>
      </c>
      <c r="AA96" s="589">
        <v>41634</v>
      </c>
      <c r="AB96" s="590" t="s">
        <v>449</v>
      </c>
      <c r="AC96" s="590">
        <v>25370.03</v>
      </c>
      <c r="AD96" s="591" t="s">
        <v>395</v>
      </c>
      <c r="AE96" s="590">
        <v>95.02</v>
      </c>
      <c r="AF96" s="592">
        <f t="shared" si="8"/>
        <v>1.3166873565295667E-4</v>
      </c>
      <c r="AG96" s="592">
        <f t="shared" si="9"/>
        <v>1.7923036373221901E-3</v>
      </c>
    </row>
    <row r="97" spans="13:33" x14ac:dyDescent="0.35">
      <c r="M97" s="555">
        <v>41645</v>
      </c>
      <c r="N97" s="543" t="s">
        <v>449</v>
      </c>
      <c r="O97" s="543">
        <v>26169.83</v>
      </c>
      <c r="P97" s="73" t="s">
        <v>431</v>
      </c>
      <c r="Q97" s="158">
        <v>9.01</v>
      </c>
      <c r="R97" s="563">
        <f t="shared" si="6"/>
        <v>4.7268925710772791E-3</v>
      </c>
      <c r="S97" s="563">
        <f t="shared" si="7"/>
        <v>-9.890109890109855E-3</v>
      </c>
      <c r="AA97" s="594">
        <v>41635</v>
      </c>
      <c r="AB97" s="595" t="s">
        <v>449</v>
      </c>
      <c r="AC97" s="595">
        <v>25258.05</v>
      </c>
      <c r="AD97" s="596" t="s">
        <v>395</v>
      </c>
      <c r="AE97" s="595">
        <v>95.02</v>
      </c>
      <c r="AF97" s="597">
        <f t="shared" si="8"/>
        <v>-4.4138694357082064E-3</v>
      </c>
      <c r="AG97" s="597">
        <f t="shared" si="9"/>
        <v>0</v>
      </c>
    </row>
    <row r="98" spans="13:33" x14ac:dyDescent="0.35">
      <c r="M98" s="526">
        <v>41649</v>
      </c>
      <c r="N98" s="524" t="s">
        <v>449</v>
      </c>
      <c r="O98" s="524">
        <v>26488.32</v>
      </c>
      <c r="P98" s="73" t="s">
        <v>431</v>
      </c>
      <c r="Q98">
        <v>8.8699999999999992</v>
      </c>
      <c r="R98" s="563">
        <f t="shared" si="6"/>
        <v>1.2170121089819741E-2</v>
      </c>
      <c r="S98" s="563">
        <f t="shared" si="7"/>
        <v>-1.5538290788013387E-2</v>
      </c>
      <c r="AA98" s="594">
        <v>41642</v>
      </c>
      <c r="AB98" s="595" t="s">
        <v>449</v>
      </c>
      <c r="AC98" s="595">
        <v>26046.71</v>
      </c>
      <c r="AD98" s="596" t="s">
        <v>395</v>
      </c>
      <c r="AE98" s="595">
        <v>100</v>
      </c>
      <c r="AF98" s="597">
        <f t="shared" si="8"/>
        <v>3.1224104790353868E-2</v>
      </c>
      <c r="AG98" s="597">
        <f t="shared" si="9"/>
        <v>5.2410018943380487E-2</v>
      </c>
    </row>
    <row r="99" spans="13:33" x14ac:dyDescent="0.35">
      <c r="M99" s="555">
        <v>41652</v>
      </c>
      <c r="N99" s="543" t="s">
        <v>449</v>
      </c>
      <c r="O99" s="543">
        <v>26590.69</v>
      </c>
      <c r="P99" s="73" t="s">
        <v>431</v>
      </c>
      <c r="Q99" s="158">
        <v>8.8800000000000008</v>
      </c>
      <c r="R99" s="563">
        <f t="shared" si="6"/>
        <v>3.8647222624914601E-3</v>
      </c>
      <c r="S99" s="563">
        <f t="shared" si="7"/>
        <v>1.1273957158963732E-3</v>
      </c>
      <c r="AA99" s="594">
        <v>41645</v>
      </c>
      <c r="AB99" s="595" t="s">
        <v>449</v>
      </c>
      <c r="AC99" s="595">
        <v>26169.83</v>
      </c>
      <c r="AD99" s="596" t="s">
        <v>395</v>
      </c>
      <c r="AE99" s="595">
        <v>104</v>
      </c>
      <c r="AF99" s="597">
        <f t="shared" si="8"/>
        <v>4.7268925710772791E-3</v>
      </c>
      <c r="AG99" s="597">
        <f t="shared" si="9"/>
        <v>4.0000000000000036E-2</v>
      </c>
    </row>
    <row r="100" spans="13:33" x14ac:dyDescent="0.35">
      <c r="M100" s="555">
        <v>41654</v>
      </c>
      <c r="N100" s="543" t="s">
        <v>449</v>
      </c>
      <c r="O100" s="543">
        <v>26761.78</v>
      </c>
      <c r="P100" s="73" t="s">
        <v>431</v>
      </c>
      <c r="Q100" s="158">
        <v>8.86</v>
      </c>
      <c r="R100" s="563">
        <f t="shared" si="6"/>
        <v>6.4342068596188184E-3</v>
      </c>
      <c r="S100" s="563">
        <f t="shared" si="7"/>
        <v>-2.2522522522524513E-3</v>
      </c>
      <c r="AA100" s="594">
        <v>41649</v>
      </c>
      <c r="AB100" s="595" t="s">
        <v>449</v>
      </c>
      <c r="AC100" s="595">
        <v>26488.32</v>
      </c>
      <c r="AD100" s="596" t="s">
        <v>395</v>
      </c>
      <c r="AE100" s="595">
        <v>103</v>
      </c>
      <c r="AF100" s="597">
        <f t="shared" si="8"/>
        <v>1.2170121089819741E-2</v>
      </c>
      <c r="AG100" s="597">
        <f t="shared" si="9"/>
        <v>-9.6153846153845812E-3</v>
      </c>
    </row>
    <row r="101" spans="13:33" x14ac:dyDescent="0.35">
      <c r="M101" s="555">
        <v>41655</v>
      </c>
      <c r="N101" s="543" t="s">
        <v>449</v>
      </c>
      <c r="O101" s="543">
        <v>26730.240000000002</v>
      </c>
      <c r="P101" s="73" t="s">
        <v>431</v>
      </c>
      <c r="Q101" s="158">
        <v>8.7799999999999994</v>
      </c>
      <c r="R101" s="563">
        <f t="shared" si="6"/>
        <v>-1.1785464195579465E-3</v>
      </c>
      <c r="S101" s="563">
        <f t="shared" si="7"/>
        <v>-9.0293453724604733E-3</v>
      </c>
      <c r="AA101" s="589">
        <v>41652</v>
      </c>
      <c r="AB101" s="590" t="s">
        <v>449</v>
      </c>
      <c r="AC101" s="590">
        <v>26590.69</v>
      </c>
      <c r="AD101" s="591" t="s">
        <v>395</v>
      </c>
      <c r="AE101" s="590">
        <v>100</v>
      </c>
      <c r="AF101" s="592">
        <f t="shared" si="8"/>
        <v>3.8647222624914601E-3</v>
      </c>
      <c r="AG101" s="592">
        <f t="shared" si="9"/>
        <v>-2.9126213592232997E-2</v>
      </c>
    </row>
    <row r="102" spans="13:33" x14ac:dyDescent="0.35">
      <c r="M102" s="555">
        <v>41656</v>
      </c>
      <c r="N102" s="543" t="s">
        <v>449</v>
      </c>
      <c r="O102" s="543">
        <v>26913.85</v>
      </c>
      <c r="P102" s="73" t="s">
        <v>431</v>
      </c>
      <c r="Q102" s="158">
        <v>8.85</v>
      </c>
      <c r="R102" s="563">
        <f t="shared" si="6"/>
        <v>6.8689993056552101E-3</v>
      </c>
      <c r="S102" s="563">
        <f t="shared" si="7"/>
        <v>7.9726651480638289E-3</v>
      </c>
      <c r="AA102" s="589">
        <v>41654</v>
      </c>
      <c r="AB102" s="590" t="s">
        <v>449</v>
      </c>
      <c r="AC102" s="590">
        <v>26761.78</v>
      </c>
      <c r="AD102" s="591" t="s">
        <v>395</v>
      </c>
      <c r="AE102" s="590">
        <v>102.94</v>
      </c>
      <c r="AF102" s="592">
        <f t="shared" si="8"/>
        <v>6.4342068596188184E-3</v>
      </c>
      <c r="AG102" s="592">
        <f t="shared" si="9"/>
        <v>2.9399999999999871E-2</v>
      </c>
    </row>
    <row r="103" spans="13:33" x14ac:dyDescent="0.35">
      <c r="M103" s="526">
        <v>41662</v>
      </c>
      <c r="N103" s="524" t="s">
        <v>449</v>
      </c>
      <c r="O103" s="524">
        <v>27064.34</v>
      </c>
      <c r="P103" s="73" t="s">
        <v>431</v>
      </c>
      <c r="Q103">
        <v>9.5500000000000007</v>
      </c>
      <c r="R103" s="563">
        <f t="shared" si="6"/>
        <v>5.5915448737360318E-3</v>
      </c>
      <c r="S103" s="563">
        <f t="shared" si="7"/>
        <v>7.9096045197740272E-2</v>
      </c>
      <c r="AA103" s="594">
        <v>41655</v>
      </c>
      <c r="AB103" s="595" t="s">
        <v>449</v>
      </c>
      <c r="AC103" s="595">
        <v>26730.240000000002</v>
      </c>
      <c r="AD103" s="596" t="s">
        <v>395</v>
      </c>
      <c r="AE103" s="595">
        <v>100.7</v>
      </c>
      <c r="AF103" s="597">
        <f t="shared" si="8"/>
        <v>-1.1785464195579465E-3</v>
      </c>
      <c r="AG103" s="597">
        <f t="shared" si="9"/>
        <v>-2.1760248688556416E-2</v>
      </c>
    </row>
    <row r="104" spans="13:33" x14ac:dyDescent="0.35">
      <c r="M104" s="526">
        <v>41666</v>
      </c>
      <c r="N104" s="524" t="s">
        <v>449</v>
      </c>
      <c r="O104" s="524">
        <v>26670.6</v>
      </c>
      <c r="P104" s="73" t="s">
        <v>431</v>
      </c>
      <c r="Q104">
        <v>9.2200000000000006</v>
      </c>
      <c r="R104" s="563">
        <f t="shared" si="6"/>
        <v>-1.454829491500631E-2</v>
      </c>
      <c r="S104" s="563">
        <f t="shared" si="7"/>
        <v>-3.4554973821989576E-2</v>
      </c>
      <c r="AA104" s="594">
        <v>41656</v>
      </c>
      <c r="AB104" s="595" t="s">
        <v>449</v>
      </c>
      <c r="AC104" s="595">
        <v>26913.85</v>
      </c>
      <c r="AD104" s="596" t="s">
        <v>395</v>
      </c>
      <c r="AE104" s="595">
        <v>100</v>
      </c>
      <c r="AF104" s="597">
        <f t="shared" si="8"/>
        <v>6.8689993056552101E-3</v>
      </c>
      <c r="AG104" s="597">
        <f t="shared" si="9"/>
        <v>-6.9513406156902491E-3</v>
      </c>
    </row>
    <row r="105" spans="13:33" x14ac:dyDescent="0.35">
      <c r="M105" s="555">
        <v>41667</v>
      </c>
      <c r="N105" s="543" t="s">
        <v>449</v>
      </c>
      <c r="O105" s="543">
        <v>26653.73</v>
      </c>
      <c r="P105" s="73" t="s">
        <v>431</v>
      </c>
      <c r="Q105" s="158">
        <v>9.23</v>
      </c>
      <c r="R105" s="563">
        <f t="shared" si="6"/>
        <v>-6.3253170157395733E-4</v>
      </c>
      <c r="S105" s="563">
        <f t="shared" si="7"/>
        <v>1.0845986984815426E-3</v>
      </c>
      <c r="AA105" s="594">
        <v>41662</v>
      </c>
      <c r="AB105" s="595" t="s">
        <v>449</v>
      </c>
      <c r="AC105" s="595">
        <v>27064.34</v>
      </c>
      <c r="AD105" s="596" t="s">
        <v>395</v>
      </c>
      <c r="AE105" s="595">
        <v>100</v>
      </c>
      <c r="AF105" s="597">
        <f t="shared" si="8"/>
        <v>5.5915448737360318E-3</v>
      </c>
      <c r="AG105" s="597">
        <f t="shared" si="9"/>
        <v>0</v>
      </c>
    </row>
    <row r="106" spans="13:33" x14ac:dyDescent="0.35">
      <c r="M106" s="555">
        <v>41668</v>
      </c>
      <c r="N106" s="543" t="s">
        <v>449</v>
      </c>
      <c r="O106" s="543">
        <v>26595.63</v>
      </c>
      <c r="P106" s="73" t="s">
        <v>431</v>
      </c>
      <c r="Q106" s="158">
        <v>9.23</v>
      </c>
      <c r="R106" s="563">
        <f t="shared" si="6"/>
        <v>-2.1798074791032906E-3</v>
      </c>
      <c r="S106" s="563">
        <f t="shared" si="7"/>
        <v>0</v>
      </c>
      <c r="AA106" s="594">
        <v>41666</v>
      </c>
      <c r="AB106" s="595" t="s">
        <v>449</v>
      </c>
      <c r="AC106" s="595">
        <v>26670.6</v>
      </c>
      <c r="AD106" s="596" t="s">
        <v>395</v>
      </c>
      <c r="AE106" s="595">
        <v>96.05</v>
      </c>
      <c r="AF106" s="597">
        <f t="shared" si="8"/>
        <v>-1.454829491500631E-2</v>
      </c>
      <c r="AG106" s="597">
        <f t="shared" si="9"/>
        <v>-3.949999999999998E-2</v>
      </c>
    </row>
    <row r="107" spans="13:33" x14ac:dyDescent="0.35">
      <c r="M107" s="555">
        <v>41669</v>
      </c>
      <c r="N107" s="543" t="s">
        <v>449</v>
      </c>
      <c r="O107" s="543">
        <v>26607.64</v>
      </c>
      <c r="P107" s="73" t="s">
        <v>431</v>
      </c>
      <c r="Q107" s="158">
        <v>9.27</v>
      </c>
      <c r="R107" s="563">
        <f t="shared" si="6"/>
        <v>4.5157794720407374E-4</v>
      </c>
      <c r="S107" s="563">
        <f t="shared" si="7"/>
        <v>4.3336944745393513E-3</v>
      </c>
      <c r="AA107" s="589">
        <v>41667</v>
      </c>
      <c r="AB107" s="590" t="s">
        <v>449</v>
      </c>
      <c r="AC107" s="590">
        <v>26653.73</v>
      </c>
      <c r="AD107" s="591" t="s">
        <v>395</v>
      </c>
      <c r="AE107" s="590">
        <v>99.99</v>
      </c>
      <c r="AF107" s="592">
        <f t="shared" si="8"/>
        <v>-6.3253170157395733E-4</v>
      </c>
      <c r="AG107" s="592">
        <f t="shared" si="9"/>
        <v>4.1020301926080194E-2</v>
      </c>
    </row>
    <row r="108" spans="13:33" x14ac:dyDescent="0.35">
      <c r="M108" s="555">
        <v>41670</v>
      </c>
      <c r="N108" s="543" t="s">
        <v>449</v>
      </c>
      <c r="O108" s="543">
        <v>26784.34</v>
      </c>
      <c r="P108" s="73" t="s">
        <v>431</v>
      </c>
      <c r="Q108" s="158">
        <v>9.3800000000000008</v>
      </c>
      <c r="R108" s="563">
        <f t="shared" si="6"/>
        <v>6.6409497422545982E-3</v>
      </c>
      <c r="S108" s="563">
        <f t="shared" si="7"/>
        <v>1.1866235167206085E-2</v>
      </c>
      <c r="AA108" s="589">
        <v>41668</v>
      </c>
      <c r="AB108" s="590" t="s">
        <v>449</v>
      </c>
      <c r="AC108" s="590">
        <v>26595.63</v>
      </c>
      <c r="AD108" s="591" t="s">
        <v>395</v>
      </c>
      <c r="AE108" s="590">
        <v>100</v>
      </c>
      <c r="AF108" s="592">
        <f t="shared" si="8"/>
        <v>-2.1798074791032906E-3</v>
      </c>
      <c r="AG108" s="592">
        <f t="shared" si="9"/>
        <v>1.0001000100023916E-4</v>
      </c>
    </row>
    <row r="109" spans="13:33" x14ac:dyDescent="0.35">
      <c r="M109" s="555">
        <v>41673</v>
      </c>
      <c r="N109" s="543" t="s">
        <v>449</v>
      </c>
      <c r="O109" s="543">
        <v>26946.11</v>
      </c>
      <c r="P109" s="73" t="s">
        <v>431</v>
      </c>
      <c r="Q109" s="158">
        <v>9.42</v>
      </c>
      <c r="R109" s="563">
        <f t="shared" si="6"/>
        <v>6.0397232113988952E-3</v>
      </c>
      <c r="S109" s="563">
        <f t="shared" si="7"/>
        <v>4.2643923240937021E-3</v>
      </c>
      <c r="AA109" s="594">
        <v>41669</v>
      </c>
      <c r="AB109" s="595" t="s">
        <v>449</v>
      </c>
      <c r="AC109" s="595">
        <v>26607.64</v>
      </c>
      <c r="AD109" s="596" t="s">
        <v>395</v>
      </c>
      <c r="AE109" s="595">
        <v>100</v>
      </c>
      <c r="AF109" s="597">
        <f t="shared" si="8"/>
        <v>4.5157794720407374E-4</v>
      </c>
      <c r="AG109" s="597">
        <f t="shared" si="9"/>
        <v>0</v>
      </c>
    </row>
    <row r="110" spans="13:33" x14ac:dyDescent="0.35">
      <c r="M110" s="526">
        <v>41677</v>
      </c>
      <c r="N110" s="524" t="s">
        <v>449</v>
      </c>
      <c r="O110" s="524">
        <v>26681.78</v>
      </c>
      <c r="P110" s="73" t="s">
        <v>431</v>
      </c>
      <c r="Q110">
        <v>9.58</v>
      </c>
      <c r="R110" s="563">
        <f t="shared" si="6"/>
        <v>-9.8095791934346144E-3</v>
      </c>
      <c r="S110" s="563">
        <f t="shared" si="7"/>
        <v>1.6985138004246281E-2</v>
      </c>
      <c r="AA110" s="594">
        <v>41670</v>
      </c>
      <c r="AB110" s="595" t="s">
        <v>449</v>
      </c>
      <c r="AC110" s="595">
        <v>26784.34</v>
      </c>
      <c r="AD110" s="596" t="s">
        <v>395</v>
      </c>
      <c r="AE110" s="595">
        <v>100.67</v>
      </c>
      <c r="AF110" s="597">
        <f t="shared" si="8"/>
        <v>6.6409497422545982E-3</v>
      </c>
      <c r="AG110" s="597">
        <f t="shared" si="9"/>
        <v>6.6999999999999282E-3</v>
      </c>
    </row>
    <row r="111" spans="13:33" x14ac:dyDescent="0.35">
      <c r="M111" s="555">
        <v>41680</v>
      </c>
      <c r="N111" s="543" t="s">
        <v>449</v>
      </c>
      <c r="O111" s="543">
        <v>26255.21</v>
      </c>
      <c r="P111" s="73" t="s">
        <v>431</v>
      </c>
      <c r="Q111" s="158">
        <v>9.5399999999999991</v>
      </c>
      <c r="R111" s="563">
        <f t="shared" si="6"/>
        <v>-1.5987314189683022E-2</v>
      </c>
      <c r="S111" s="563">
        <f t="shared" si="7"/>
        <v>-4.1753653444677186E-3</v>
      </c>
      <c r="AA111" s="589">
        <v>41673</v>
      </c>
      <c r="AB111" s="590" t="s">
        <v>449</v>
      </c>
      <c r="AC111" s="590">
        <v>26946.11</v>
      </c>
      <c r="AD111" s="591" t="s">
        <v>395</v>
      </c>
      <c r="AE111" s="590">
        <v>100.5</v>
      </c>
      <c r="AF111" s="592">
        <f t="shared" si="8"/>
        <v>6.0397232113988952E-3</v>
      </c>
      <c r="AG111" s="592">
        <f t="shared" si="9"/>
        <v>-1.6886858051058384E-3</v>
      </c>
    </row>
    <row r="112" spans="13:33" x14ac:dyDescent="0.35">
      <c r="M112" s="555">
        <v>41681</v>
      </c>
      <c r="N112" s="543" t="s">
        <v>449</v>
      </c>
      <c r="O112" s="543">
        <v>26240.41</v>
      </c>
      <c r="P112" s="73" t="s">
        <v>431</v>
      </c>
      <c r="Q112" s="158">
        <v>9.59</v>
      </c>
      <c r="R112" s="563">
        <f t="shared" si="6"/>
        <v>-5.6369764324870619E-4</v>
      </c>
      <c r="S112" s="563">
        <f t="shared" si="7"/>
        <v>5.24109014675056E-3</v>
      </c>
      <c r="AA112" s="589">
        <v>41677</v>
      </c>
      <c r="AB112" s="590" t="s">
        <v>449</v>
      </c>
      <c r="AC112" s="590">
        <v>26681.78</v>
      </c>
      <c r="AD112" s="591" t="s">
        <v>395</v>
      </c>
      <c r="AE112" s="590">
        <v>100</v>
      </c>
      <c r="AF112" s="592">
        <f t="shared" si="8"/>
        <v>-9.8095791934346144E-3</v>
      </c>
      <c r="AG112" s="592">
        <f t="shared" si="9"/>
        <v>-4.9751243781094301E-3</v>
      </c>
    </row>
    <row r="113" spans="13:33" x14ac:dyDescent="0.35">
      <c r="M113" s="555">
        <v>41682</v>
      </c>
      <c r="N113" s="543" t="s">
        <v>449</v>
      </c>
      <c r="O113" s="543">
        <v>26677.27</v>
      </c>
      <c r="P113" s="73" t="s">
        <v>431</v>
      </c>
      <c r="Q113" s="158">
        <v>10.07</v>
      </c>
      <c r="R113" s="563">
        <f t="shared" si="6"/>
        <v>1.6648367918031814E-2</v>
      </c>
      <c r="S113" s="563">
        <f t="shared" si="7"/>
        <v>5.0052137643378458E-2</v>
      </c>
      <c r="AA113" s="589">
        <v>41680</v>
      </c>
      <c r="AB113" s="590" t="s">
        <v>449</v>
      </c>
      <c r="AC113" s="590">
        <v>26255.21</v>
      </c>
      <c r="AD113" s="591" t="s">
        <v>395</v>
      </c>
      <c r="AE113" s="590">
        <v>102</v>
      </c>
      <c r="AF113" s="592">
        <f t="shared" si="8"/>
        <v>-1.5987314189683022E-2</v>
      </c>
      <c r="AG113" s="592">
        <f t="shared" si="9"/>
        <v>2.0000000000000018E-2</v>
      </c>
    </row>
    <row r="114" spans="13:33" x14ac:dyDescent="0.35">
      <c r="M114" s="555">
        <v>41683</v>
      </c>
      <c r="N114" s="543" t="s">
        <v>449</v>
      </c>
      <c r="O114" s="543">
        <v>26541.26</v>
      </c>
      <c r="P114" s="73" t="s">
        <v>431</v>
      </c>
      <c r="Q114" s="158">
        <v>9.61</v>
      </c>
      <c r="R114" s="563">
        <f t="shared" si="6"/>
        <v>-5.09834776946827E-3</v>
      </c>
      <c r="S114" s="563">
        <f t="shared" si="7"/>
        <v>-4.5680238331678336E-2</v>
      </c>
      <c r="AA114" s="594">
        <v>41681</v>
      </c>
      <c r="AB114" s="595" t="s">
        <v>449</v>
      </c>
      <c r="AC114" s="595">
        <v>26240.41</v>
      </c>
      <c r="AD114" s="596" t="s">
        <v>395</v>
      </c>
      <c r="AE114" s="595">
        <v>100.5</v>
      </c>
      <c r="AF114" s="597">
        <f t="shared" si="8"/>
        <v>-5.6369764324870619E-4</v>
      </c>
      <c r="AG114" s="597">
        <f t="shared" si="9"/>
        <v>-1.4705882352941124E-2</v>
      </c>
    </row>
    <row r="115" spans="13:33" x14ac:dyDescent="0.35">
      <c r="M115" s="555">
        <v>41684</v>
      </c>
      <c r="N115" s="543" t="s">
        <v>449</v>
      </c>
      <c r="O115" s="543">
        <v>26394.13</v>
      </c>
      <c r="P115" s="73" t="s">
        <v>431</v>
      </c>
      <c r="Q115" s="158">
        <v>9.4600000000000009</v>
      </c>
      <c r="R115" s="563">
        <f t="shared" si="6"/>
        <v>-5.5434444333086752E-3</v>
      </c>
      <c r="S115" s="563">
        <f t="shared" si="7"/>
        <v>-1.5608740894901052E-2</v>
      </c>
      <c r="AA115" s="594">
        <v>41682</v>
      </c>
      <c r="AB115" s="595" t="s">
        <v>449</v>
      </c>
      <c r="AC115" s="595">
        <v>26677.27</v>
      </c>
      <c r="AD115" s="596" t="s">
        <v>395</v>
      </c>
      <c r="AE115" s="595">
        <v>100.05</v>
      </c>
      <c r="AF115" s="597">
        <f t="shared" si="8"/>
        <v>1.6648367918031814E-2</v>
      </c>
      <c r="AG115" s="597">
        <f t="shared" si="9"/>
        <v>-4.4776119402984982E-3</v>
      </c>
    </row>
    <row r="116" spans="13:33" x14ac:dyDescent="0.35">
      <c r="M116" s="555">
        <v>41687</v>
      </c>
      <c r="N116" s="543" t="s">
        <v>449</v>
      </c>
      <c r="O116" s="543">
        <v>26003.89</v>
      </c>
      <c r="P116" s="73" t="s">
        <v>431</v>
      </c>
      <c r="Q116" s="158">
        <v>9.2799999999999994</v>
      </c>
      <c r="R116" s="563">
        <f t="shared" si="6"/>
        <v>-1.4785105627652895E-2</v>
      </c>
      <c r="S116" s="563">
        <f t="shared" si="7"/>
        <v>-1.9027484143763318E-2</v>
      </c>
      <c r="AA116" s="594">
        <v>41683</v>
      </c>
      <c r="AB116" s="595" t="s">
        <v>449</v>
      </c>
      <c r="AC116" s="595">
        <v>26541.26</v>
      </c>
      <c r="AD116" s="596" t="s">
        <v>395</v>
      </c>
      <c r="AE116" s="595">
        <v>102</v>
      </c>
      <c r="AF116" s="597">
        <f t="shared" si="8"/>
        <v>-5.09834776946827E-3</v>
      </c>
      <c r="AG116" s="597">
        <f t="shared" si="9"/>
        <v>1.9490254872563728E-2</v>
      </c>
    </row>
    <row r="117" spans="13:33" x14ac:dyDescent="0.35">
      <c r="M117" s="555">
        <v>41688</v>
      </c>
      <c r="N117" s="543" t="s">
        <v>449</v>
      </c>
      <c r="O117" s="543">
        <v>25884.38</v>
      </c>
      <c r="P117" s="73" t="s">
        <v>431</v>
      </c>
      <c r="Q117" s="158">
        <v>9.4600000000000009</v>
      </c>
      <c r="R117" s="563">
        <f t="shared" si="6"/>
        <v>-4.5958508515455687E-3</v>
      </c>
      <c r="S117" s="563">
        <f t="shared" si="7"/>
        <v>1.9396551724138122E-2</v>
      </c>
      <c r="AA117" s="594">
        <v>41684</v>
      </c>
      <c r="AB117" s="595" t="s">
        <v>449</v>
      </c>
      <c r="AC117" s="595">
        <v>26394.13</v>
      </c>
      <c r="AD117" s="596" t="s">
        <v>395</v>
      </c>
      <c r="AE117" s="595">
        <v>100.33</v>
      </c>
      <c r="AF117" s="597">
        <f t="shared" si="8"/>
        <v>-5.5434444333086752E-3</v>
      </c>
      <c r="AG117" s="597">
        <f t="shared" si="9"/>
        <v>-1.6372549019607829E-2</v>
      </c>
    </row>
    <row r="118" spans="13:33" x14ac:dyDescent="0.35">
      <c r="M118" s="555">
        <v>41689</v>
      </c>
      <c r="N118" s="543" t="s">
        <v>449</v>
      </c>
      <c r="O118" s="543">
        <v>25686.93</v>
      </c>
      <c r="P118" s="73" t="s">
        <v>431</v>
      </c>
      <c r="Q118" s="158">
        <v>8.99</v>
      </c>
      <c r="R118" s="563">
        <f t="shared" si="6"/>
        <v>-7.6281525769595904E-3</v>
      </c>
      <c r="S118" s="563">
        <f t="shared" si="7"/>
        <v>-4.9682875264270732E-2</v>
      </c>
      <c r="AA118" s="589">
        <v>41687</v>
      </c>
      <c r="AB118" s="590" t="s">
        <v>449</v>
      </c>
      <c r="AC118" s="590">
        <v>26003.89</v>
      </c>
      <c r="AD118" s="591" t="s">
        <v>395</v>
      </c>
      <c r="AE118" s="590">
        <v>100.67</v>
      </c>
      <c r="AF118" s="592">
        <f t="shared" si="8"/>
        <v>-1.4785105627652895E-2</v>
      </c>
      <c r="AG118" s="592">
        <f t="shared" si="9"/>
        <v>3.3888169042162186E-3</v>
      </c>
    </row>
    <row r="119" spans="13:33" x14ac:dyDescent="0.35">
      <c r="M119" s="555">
        <v>41690</v>
      </c>
      <c r="N119" s="543" t="s">
        <v>449</v>
      </c>
      <c r="O119" s="543">
        <v>25506.799999999999</v>
      </c>
      <c r="P119" s="73" t="s">
        <v>431</v>
      </c>
      <c r="Q119" s="158">
        <v>9.15</v>
      </c>
      <c r="R119" s="563">
        <f t="shared" si="6"/>
        <v>-7.0125157035114682E-3</v>
      </c>
      <c r="S119" s="563">
        <f t="shared" si="7"/>
        <v>1.7797552836485098E-2</v>
      </c>
      <c r="AA119" s="589">
        <v>41688</v>
      </c>
      <c r="AB119" s="590" t="s">
        <v>449</v>
      </c>
      <c r="AC119" s="590">
        <v>25884.38</v>
      </c>
      <c r="AD119" s="591" t="s">
        <v>395</v>
      </c>
      <c r="AE119" s="590">
        <v>100.99</v>
      </c>
      <c r="AF119" s="592">
        <f t="shared" si="8"/>
        <v>-4.5958508515455687E-3</v>
      </c>
      <c r="AG119" s="592">
        <f t="shared" si="9"/>
        <v>3.1787026919638528E-3</v>
      </c>
    </row>
    <row r="120" spans="13:33" x14ac:dyDescent="0.35">
      <c r="M120" s="526">
        <v>41695</v>
      </c>
      <c r="N120" s="524" t="s">
        <v>449</v>
      </c>
      <c r="O120" s="524">
        <v>25559.61</v>
      </c>
      <c r="P120" s="73" t="s">
        <v>431</v>
      </c>
      <c r="Q120">
        <v>9.8000000000000007</v>
      </c>
      <c r="R120" s="563">
        <f t="shared" si="6"/>
        <v>2.0704282779495653E-3</v>
      </c>
      <c r="S120" s="563">
        <f t="shared" si="7"/>
        <v>7.1038251366120297E-2</v>
      </c>
      <c r="AA120" s="589">
        <v>41689</v>
      </c>
      <c r="AB120" s="590" t="s">
        <v>449</v>
      </c>
      <c r="AC120" s="590">
        <v>25686.93</v>
      </c>
      <c r="AD120" s="591" t="s">
        <v>395</v>
      </c>
      <c r="AE120" s="590">
        <v>100</v>
      </c>
      <c r="AF120" s="592">
        <f t="shared" si="8"/>
        <v>-7.6281525769595904E-3</v>
      </c>
      <c r="AG120" s="592">
        <f t="shared" si="9"/>
        <v>-9.8029507872066102E-3</v>
      </c>
    </row>
    <row r="121" spans="13:33" x14ac:dyDescent="0.35">
      <c r="M121" s="526">
        <v>41697</v>
      </c>
      <c r="N121" s="524" t="s">
        <v>449</v>
      </c>
      <c r="O121" s="524">
        <v>25478.93</v>
      </c>
      <c r="P121" s="73" t="s">
        <v>431</v>
      </c>
      <c r="Q121">
        <v>9.4700000000000006</v>
      </c>
      <c r="R121" s="563">
        <f t="shared" si="6"/>
        <v>-3.1565426859017087E-3</v>
      </c>
      <c r="S121" s="563">
        <f t="shared" si="7"/>
        <v>-3.3673469387755062E-2</v>
      </c>
      <c r="AA121" s="594">
        <v>41690</v>
      </c>
      <c r="AB121" s="595" t="s">
        <v>449</v>
      </c>
      <c r="AC121" s="595">
        <v>25506.799999999999</v>
      </c>
      <c r="AD121" s="596" t="s">
        <v>395</v>
      </c>
      <c r="AE121" s="595">
        <v>98</v>
      </c>
      <c r="AF121" s="597">
        <f t="shared" si="8"/>
        <v>-7.0125157035114682E-3</v>
      </c>
      <c r="AG121" s="597">
        <f t="shared" si="9"/>
        <v>-2.0000000000000018E-2</v>
      </c>
    </row>
    <row r="122" spans="13:33" x14ac:dyDescent="0.35">
      <c r="M122" s="555">
        <v>41698</v>
      </c>
      <c r="N122" s="543" t="s">
        <v>449</v>
      </c>
      <c r="O122" s="543">
        <v>25783.279999999999</v>
      </c>
      <c r="P122" s="73" t="s">
        <v>431</v>
      </c>
      <c r="Q122" s="158">
        <v>9.94</v>
      </c>
      <c r="R122" s="563">
        <f t="shared" si="6"/>
        <v>1.1945164102260097E-2</v>
      </c>
      <c r="S122" s="563">
        <f t="shared" si="7"/>
        <v>4.9630411826821375E-2</v>
      </c>
      <c r="AA122" s="589">
        <v>41695</v>
      </c>
      <c r="AB122" s="590" t="s">
        <v>449</v>
      </c>
      <c r="AC122" s="590">
        <v>25559.61</v>
      </c>
      <c r="AD122" s="591" t="s">
        <v>395</v>
      </c>
      <c r="AE122" s="590">
        <v>94</v>
      </c>
      <c r="AF122" s="592">
        <f t="shared" si="8"/>
        <v>2.0704282779495653E-3</v>
      </c>
      <c r="AG122" s="592">
        <f t="shared" si="9"/>
        <v>-4.081632653061229E-2</v>
      </c>
    </row>
    <row r="123" spans="13:33" x14ac:dyDescent="0.35">
      <c r="M123" s="555">
        <v>41701</v>
      </c>
      <c r="N123" s="543" t="s">
        <v>449</v>
      </c>
      <c r="O123" s="543">
        <v>25853.54</v>
      </c>
      <c r="P123" s="73" t="s">
        <v>431</v>
      </c>
      <c r="Q123" s="158">
        <v>9.93</v>
      </c>
      <c r="R123" s="563">
        <f t="shared" si="6"/>
        <v>2.7250217970715696E-3</v>
      </c>
      <c r="S123" s="563">
        <f t="shared" si="7"/>
        <v>-1.006036217303774E-3</v>
      </c>
      <c r="AA123" s="589">
        <v>41697</v>
      </c>
      <c r="AB123" s="590" t="s">
        <v>449</v>
      </c>
      <c r="AC123" s="590">
        <v>25478.93</v>
      </c>
      <c r="AD123" s="591" t="s">
        <v>395</v>
      </c>
      <c r="AE123" s="590">
        <v>95</v>
      </c>
      <c r="AF123" s="592">
        <f t="shared" si="8"/>
        <v>-3.1565426859017087E-3</v>
      </c>
      <c r="AG123" s="592">
        <f t="shared" si="9"/>
        <v>1.0638297872340496E-2</v>
      </c>
    </row>
    <row r="124" spans="13:33" x14ac:dyDescent="0.35">
      <c r="M124" s="555">
        <v>41702</v>
      </c>
      <c r="N124" s="543" t="s">
        <v>449</v>
      </c>
      <c r="O124" s="543">
        <v>26209.38</v>
      </c>
      <c r="P124" s="73" t="s">
        <v>431</v>
      </c>
      <c r="Q124" s="158">
        <v>9.93</v>
      </c>
      <c r="R124" s="563">
        <f t="shared" si="6"/>
        <v>1.3763685746710053E-2</v>
      </c>
      <c r="S124" s="563">
        <f t="shared" si="7"/>
        <v>0</v>
      </c>
      <c r="AA124" s="589">
        <v>41698</v>
      </c>
      <c r="AB124" s="590" t="s">
        <v>449</v>
      </c>
      <c r="AC124" s="590">
        <v>25783.279999999999</v>
      </c>
      <c r="AD124" s="591" t="s">
        <v>395</v>
      </c>
      <c r="AE124" s="590">
        <v>95</v>
      </c>
      <c r="AF124" s="592">
        <f t="shared" si="8"/>
        <v>1.1945164102260097E-2</v>
      </c>
      <c r="AG124" s="592">
        <f t="shared" si="9"/>
        <v>0</v>
      </c>
    </row>
    <row r="125" spans="13:33" x14ac:dyDescent="0.35">
      <c r="M125" s="555">
        <v>41703</v>
      </c>
      <c r="N125" s="543" t="s">
        <v>449</v>
      </c>
      <c r="O125" s="543">
        <v>26521.99</v>
      </c>
      <c r="P125" s="73" t="s">
        <v>431</v>
      </c>
      <c r="Q125" s="158">
        <v>10.43</v>
      </c>
      <c r="R125" s="563">
        <f t="shared" si="6"/>
        <v>1.192740919472346E-2</v>
      </c>
      <c r="S125" s="563">
        <f t="shared" si="7"/>
        <v>5.0352467270896373E-2</v>
      </c>
      <c r="AA125" s="589">
        <v>41701</v>
      </c>
      <c r="AB125" s="590" t="s">
        <v>449</v>
      </c>
      <c r="AC125" s="590">
        <v>25853.54</v>
      </c>
      <c r="AD125" s="591" t="s">
        <v>395</v>
      </c>
      <c r="AE125" s="590">
        <v>99.75</v>
      </c>
      <c r="AF125" s="592">
        <f t="shared" si="8"/>
        <v>2.7250217970715696E-3</v>
      </c>
      <c r="AG125" s="592">
        <f t="shared" si="9"/>
        <v>5.0000000000000044E-2</v>
      </c>
    </row>
    <row r="126" spans="13:33" x14ac:dyDescent="0.35">
      <c r="M126" s="555">
        <v>41704</v>
      </c>
      <c r="N126" s="543" t="s">
        <v>449</v>
      </c>
      <c r="O126" s="543">
        <v>26842.53</v>
      </c>
      <c r="P126" s="73" t="s">
        <v>431</v>
      </c>
      <c r="Q126" s="158">
        <v>10.95</v>
      </c>
      <c r="R126" s="563">
        <f t="shared" si="6"/>
        <v>1.2085820106258804E-2</v>
      </c>
      <c r="S126" s="563">
        <f t="shared" si="7"/>
        <v>4.9856184084371868E-2</v>
      </c>
      <c r="AA126" s="589">
        <v>41702</v>
      </c>
      <c r="AB126" s="590" t="s">
        <v>449</v>
      </c>
      <c r="AC126" s="590">
        <v>26209.38</v>
      </c>
      <c r="AD126" s="591" t="s">
        <v>395</v>
      </c>
      <c r="AE126" s="590">
        <v>101.95</v>
      </c>
      <c r="AF126" s="592">
        <f t="shared" si="8"/>
        <v>1.3763685746710053E-2</v>
      </c>
      <c r="AG126" s="592">
        <f t="shared" si="9"/>
        <v>2.2055137844611661E-2</v>
      </c>
    </row>
    <row r="127" spans="13:33" x14ac:dyDescent="0.35">
      <c r="M127" s="555">
        <v>41705</v>
      </c>
      <c r="N127" s="543" t="s">
        <v>449</v>
      </c>
      <c r="O127" s="543">
        <v>26892.23</v>
      </c>
      <c r="P127" s="73" t="s">
        <v>431</v>
      </c>
      <c r="Q127" s="158">
        <v>11.5</v>
      </c>
      <c r="R127" s="563">
        <f t="shared" si="6"/>
        <v>1.8515393295639448E-3</v>
      </c>
      <c r="S127" s="563">
        <f t="shared" si="7"/>
        <v>5.0228310502283158E-2</v>
      </c>
      <c r="AA127" s="589">
        <v>41703</v>
      </c>
      <c r="AB127" s="590" t="s">
        <v>449</v>
      </c>
      <c r="AC127" s="590">
        <v>26521.99</v>
      </c>
      <c r="AD127" s="591" t="s">
        <v>395</v>
      </c>
      <c r="AE127" s="590">
        <v>100</v>
      </c>
      <c r="AF127" s="592">
        <f t="shared" si="8"/>
        <v>1.192740919472346E-2</v>
      </c>
      <c r="AG127" s="592">
        <f t="shared" si="9"/>
        <v>-1.9127023050514946E-2</v>
      </c>
    </row>
    <row r="128" spans="13:33" x14ac:dyDescent="0.35">
      <c r="M128" s="555">
        <v>41708</v>
      </c>
      <c r="N128" s="543" t="s">
        <v>449</v>
      </c>
      <c r="O128" s="543">
        <v>27176.26</v>
      </c>
      <c r="P128" s="73" t="s">
        <v>431</v>
      </c>
      <c r="Q128" s="158">
        <v>12.07</v>
      </c>
      <c r="R128" s="563">
        <f t="shared" si="6"/>
        <v>1.0561786806077444E-2</v>
      </c>
      <c r="S128" s="563">
        <f t="shared" si="7"/>
        <v>4.9565217391304373E-2</v>
      </c>
      <c r="AA128" s="589">
        <v>41704</v>
      </c>
      <c r="AB128" s="590" t="s">
        <v>449</v>
      </c>
      <c r="AC128" s="590">
        <v>26842.53</v>
      </c>
      <c r="AD128" s="591" t="s">
        <v>395</v>
      </c>
      <c r="AE128" s="590">
        <v>98</v>
      </c>
      <c r="AF128" s="592">
        <f t="shared" si="8"/>
        <v>1.2085820106258804E-2</v>
      </c>
      <c r="AG128" s="592">
        <f t="shared" si="9"/>
        <v>-2.0000000000000018E-2</v>
      </c>
    </row>
    <row r="129" spans="13:33" x14ac:dyDescent="0.35">
      <c r="M129" s="555">
        <v>41709</v>
      </c>
      <c r="N129" s="543" t="s">
        <v>449</v>
      </c>
      <c r="O129" s="543">
        <v>27309.02</v>
      </c>
      <c r="P129" s="73" t="s">
        <v>431</v>
      </c>
      <c r="Q129" s="158">
        <v>12.67</v>
      </c>
      <c r="R129" s="563">
        <f t="shared" si="6"/>
        <v>4.8851460797034729E-3</v>
      </c>
      <c r="S129" s="563">
        <f t="shared" si="7"/>
        <v>4.9710024855012414E-2</v>
      </c>
      <c r="AA129" s="589">
        <v>41705</v>
      </c>
      <c r="AB129" s="590" t="s">
        <v>449</v>
      </c>
      <c r="AC129" s="590">
        <v>26892.23</v>
      </c>
      <c r="AD129" s="591" t="s">
        <v>395</v>
      </c>
      <c r="AE129" s="590">
        <v>98</v>
      </c>
      <c r="AF129" s="592">
        <f t="shared" si="8"/>
        <v>1.8515393295639448E-3</v>
      </c>
      <c r="AG129" s="592">
        <f t="shared" si="9"/>
        <v>0</v>
      </c>
    </row>
    <row r="130" spans="13:33" x14ac:dyDescent="0.35">
      <c r="M130" s="555">
        <v>41710</v>
      </c>
      <c r="N130" s="543" t="s">
        <v>449</v>
      </c>
      <c r="O130" s="543">
        <v>27115.21</v>
      </c>
      <c r="P130" s="73" t="s">
        <v>431</v>
      </c>
      <c r="Q130" s="158">
        <v>13.31</v>
      </c>
      <c r="R130" s="563">
        <f t="shared" si="6"/>
        <v>-7.0969225552584003E-3</v>
      </c>
      <c r="S130" s="563">
        <f t="shared" si="7"/>
        <v>5.0513022888713621E-2</v>
      </c>
      <c r="AA130" s="594">
        <v>41708</v>
      </c>
      <c r="AB130" s="595" t="s">
        <v>449</v>
      </c>
      <c r="AC130" s="595">
        <v>27176.26</v>
      </c>
      <c r="AD130" s="596" t="s">
        <v>395</v>
      </c>
      <c r="AE130" s="595">
        <v>100.5</v>
      </c>
      <c r="AF130" s="597">
        <f t="shared" si="8"/>
        <v>1.0561786806077444E-2</v>
      </c>
      <c r="AG130" s="597">
        <f t="shared" si="9"/>
        <v>2.5510204081632626E-2</v>
      </c>
    </row>
    <row r="131" spans="13:33" x14ac:dyDescent="0.35">
      <c r="M131" s="555">
        <v>41711</v>
      </c>
      <c r="N131" s="543" t="s">
        <v>449</v>
      </c>
      <c r="O131" s="543">
        <v>27083.119999999999</v>
      </c>
      <c r="P131" s="73" t="s">
        <v>431</v>
      </c>
      <c r="Q131" s="158">
        <v>13.97</v>
      </c>
      <c r="R131" s="563">
        <f t="shared" si="6"/>
        <v>-1.1834686141098949E-3</v>
      </c>
      <c r="S131" s="563">
        <f t="shared" si="7"/>
        <v>4.9586776859504189E-2</v>
      </c>
      <c r="AA131" s="589">
        <v>41709</v>
      </c>
      <c r="AB131" s="590" t="s">
        <v>449</v>
      </c>
      <c r="AC131" s="590">
        <v>27309.02</v>
      </c>
      <c r="AD131" s="591" t="s">
        <v>395</v>
      </c>
      <c r="AE131" s="590">
        <v>95</v>
      </c>
      <c r="AF131" s="592">
        <f t="shared" si="8"/>
        <v>4.8851460797034729E-3</v>
      </c>
      <c r="AG131" s="592">
        <f t="shared" si="9"/>
        <v>-5.4726368159203953E-2</v>
      </c>
    </row>
    <row r="132" spans="13:33" x14ac:dyDescent="0.35">
      <c r="M132" s="526">
        <v>41725</v>
      </c>
      <c r="N132" s="524" t="s">
        <v>449</v>
      </c>
      <c r="O132" s="524">
        <v>27165.49</v>
      </c>
      <c r="P132" s="73" t="s">
        <v>431</v>
      </c>
      <c r="Q132">
        <v>15.29</v>
      </c>
      <c r="R132" s="563">
        <f t="shared" si="6"/>
        <v>3.0413778028528515E-3</v>
      </c>
      <c r="S132" s="563">
        <f t="shared" si="7"/>
        <v>9.4488188976377785E-2</v>
      </c>
      <c r="AA132" s="589">
        <v>41710</v>
      </c>
      <c r="AB132" s="590" t="s">
        <v>449</v>
      </c>
      <c r="AC132" s="590">
        <v>27115.21</v>
      </c>
      <c r="AD132" s="591" t="s">
        <v>395</v>
      </c>
      <c r="AE132" s="590">
        <v>98</v>
      </c>
      <c r="AF132" s="592">
        <f t="shared" si="8"/>
        <v>-7.0969225552584003E-3</v>
      </c>
      <c r="AG132" s="592">
        <f t="shared" si="9"/>
        <v>3.1578947368421151E-2</v>
      </c>
    </row>
    <row r="133" spans="13:33" x14ac:dyDescent="0.35">
      <c r="M133" s="526">
        <v>41729</v>
      </c>
      <c r="N133" s="524" t="s">
        <v>449</v>
      </c>
      <c r="O133" s="524">
        <v>27159.91</v>
      </c>
      <c r="P133" s="73" t="s">
        <v>431</v>
      </c>
      <c r="Q133">
        <v>14.37</v>
      </c>
      <c r="R133" s="563">
        <f t="shared" si="6"/>
        <v>-2.0540766980470249E-4</v>
      </c>
      <c r="S133" s="563">
        <f t="shared" si="7"/>
        <v>-6.0170045781556603E-2</v>
      </c>
      <c r="AA133" s="594">
        <v>41711</v>
      </c>
      <c r="AB133" s="595" t="s">
        <v>449</v>
      </c>
      <c r="AC133" s="595">
        <v>27083.119999999999</v>
      </c>
      <c r="AD133" s="596" t="s">
        <v>395</v>
      </c>
      <c r="AE133" s="595">
        <v>96</v>
      </c>
      <c r="AF133" s="597">
        <f t="shared" si="8"/>
        <v>-1.1834686141098949E-3</v>
      </c>
      <c r="AG133" s="597">
        <f t="shared" si="9"/>
        <v>-2.0408163265306145E-2</v>
      </c>
    </row>
    <row r="134" spans="13:33" x14ac:dyDescent="0.35">
      <c r="M134" s="555">
        <v>41730</v>
      </c>
      <c r="N134" s="543" t="s">
        <v>449</v>
      </c>
      <c r="O134" s="543">
        <v>27565.5</v>
      </c>
      <c r="P134" s="73" t="s">
        <v>431</v>
      </c>
      <c r="Q134" s="158">
        <v>15.09</v>
      </c>
      <c r="R134" s="563">
        <f t="shared" si="6"/>
        <v>1.4933407364015494E-2</v>
      </c>
      <c r="S134" s="563">
        <f t="shared" si="7"/>
        <v>5.0104384133611735E-2</v>
      </c>
      <c r="AA134" s="589">
        <v>41725</v>
      </c>
      <c r="AB134" s="590" t="s">
        <v>449</v>
      </c>
      <c r="AC134" s="590">
        <v>27165.49</v>
      </c>
      <c r="AD134" s="591" t="s">
        <v>395</v>
      </c>
      <c r="AE134" s="590">
        <v>99.5</v>
      </c>
      <c r="AF134" s="592">
        <f t="shared" si="8"/>
        <v>3.0413778028528515E-3</v>
      </c>
      <c r="AG134" s="592">
        <f t="shared" si="9"/>
        <v>3.6458333333333259E-2</v>
      </c>
    </row>
    <row r="135" spans="13:33" x14ac:dyDescent="0.35">
      <c r="M135" s="555">
        <v>41731</v>
      </c>
      <c r="N135" s="543" t="s">
        <v>449</v>
      </c>
      <c r="O135" s="543">
        <v>27932.02</v>
      </c>
      <c r="P135" s="73" t="s">
        <v>431</v>
      </c>
      <c r="Q135" s="158">
        <v>15.84</v>
      </c>
      <c r="R135" s="563">
        <f t="shared" si="6"/>
        <v>1.3296330558125291E-2</v>
      </c>
      <c r="S135" s="563">
        <f t="shared" si="7"/>
        <v>4.9701789264413598E-2</v>
      </c>
      <c r="AA135" s="589">
        <v>41729</v>
      </c>
      <c r="AB135" s="590" t="s">
        <v>449</v>
      </c>
      <c r="AC135" s="590">
        <v>27159.91</v>
      </c>
      <c r="AD135" s="591" t="s">
        <v>395</v>
      </c>
      <c r="AE135" s="590">
        <v>97</v>
      </c>
      <c r="AF135" s="592">
        <f t="shared" si="8"/>
        <v>-2.0540766980470249E-4</v>
      </c>
      <c r="AG135" s="592">
        <f t="shared" si="9"/>
        <v>-2.5125628140703515E-2</v>
      </c>
    </row>
    <row r="136" spans="13:33" x14ac:dyDescent="0.35">
      <c r="M136" s="555">
        <v>41732</v>
      </c>
      <c r="N136" s="543" t="s">
        <v>449</v>
      </c>
      <c r="O136" s="543">
        <v>28336.36</v>
      </c>
      <c r="P136" s="73" t="s">
        <v>431</v>
      </c>
      <c r="Q136" s="158">
        <v>16.22</v>
      </c>
      <c r="R136" s="563">
        <f t="shared" si="6"/>
        <v>1.4475859604854868E-2</v>
      </c>
      <c r="S136" s="563">
        <f t="shared" si="7"/>
        <v>2.3989898989899006E-2</v>
      </c>
      <c r="AA136" s="589">
        <v>41730</v>
      </c>
      <c r="AB136" s="590" t="s">
        <v>449</v>
      </c>
      <c r="AC136" s="590">
        <v>27565.5</v>
      </c>
      <c r="AD136" s="591" t="s">
        <v>395</v>
      </c>
      <c r="AE136" s="590">
        <v>96</v>
      </c>
      <c r="AF136" s="592">
        <f t="shared" si="8"/>
        <v>1.4933407364015494E-2</v>
      </c>
      <c r="AG136" s="592">
        <f t="shared" si="9"/>
        <v>-1.0309278350515427E-2</v>
      </c>
    </row>
    <row r="137" spans="13:33" x14ac:dyDescent="0.35">
      <c r="M137" s="526">
        <v>41736</v>
      </c>
      <c r="N137" s="524" t="s">
        <v>449</v>
      </c>
      <c r="O137" s="524">
        <v>28578.959999999999</v>
      </c>
      <c r="P137" s="73" t="s">
        <v>431</v>
      </c>
      <c r="Q137">
        <v>16.37</v>
      </c>
      <c r="R137" s="563">
        <f t="shared" si="6"/>
        <v>8.561438378112074E-3</v>
      </c>
      <c r="S137" s="563">
        <f t="shared" si="7"/>
        <v>9.2478421701605029E-3</v>
      </c>
      <c r="AA137" s="594">
        <v>41731</v>
      </c>
      <c r="AB137" s="595" t="s">
        <v>449</v>
      </c>
      <c r="AC137" s="595">
        <v>27932.02</v>
      </c>
      <c r="AD137" s="596" t="s">
        <v>395</v>
      </c>
      <c r="AE137" s="595">
        <v>100</v>
      </c>
      <c r="AF137" s="597">
        <f t="shared" si="8"/>
        <v>1.3296330558125291E-2</v>
      </c>
      <c r="AG137" s="597">
        <f t="shared" si="9"/>
        <v>4.1666666666666741E-2</v>
      </c>
    </row>
    <row r="138" spans="13:33" x14ac:dyDescent="0.35">
      <c r="M138" s="526">
        <v>41739</v>
      </c>
      <c r="N138" s="524" t="s">
        <v>449</v>
      </c>
      <c r="O138" s="524">
        <v>29250.54</v>
      </c>
      <c r="P138" s="73" t="s">
        <v>431</v>
      </c>
      <c r="Q138">
        <v>15.28</v>
      </c>
      <c r="R138" s="563">
        <f t="shared" si="6"/>
        <v>2.3499105635754525E-2</v>
      </c>
      <c r="S138" s="563">
        <f t="shared" si="7"/>
        <v>-6.6585216860110097E-2</v>
      </c>
      <c r="AA138" s="594">
        <v>41732</v>
      </c>
      <c r="AB138" s="595" t="s">
        <v>449</v>
      </c>
      <c r="AC138" s="595">
        <v>28336.36</v>
      </c>
      <c r="AD138" s="596" t="s">
        <v>395</v>
      </c>
      <c r="AE138" s="595">
        <v>100</v>
      </c>
      <c r="AF138" s="597">
        <f t="shared" si="8"/>
        <v>1.4475859604854868E-2</v>
      </c>
      <c r="AG138" s="597">
        <f t="shared" si="9"/>
        <v>0</v>
      </c>
    </row>
    <row r="139" spans="13:33" x14ac:dyDescent="0.35">
      <c r="M139" s="555">
        <v>41740</v>
      </c>
      <c r="N139" s="543" t="s">
        <v>449</v>
      </c>
      <c r="O139" s="543">
        <v>29249.45</v>
      </c>
      <c r="P139" s="73" t="s">
        <v>431</v>
      </c>
      <c r="Q139" s="158">
        <v>14.98</v>
      </c>
      <c r="R139" s="563">
        <f t="shared" si="6"/>
        <v>-3.7264269309167375E-5</v>
      </c>
      <c r="S139" s="563">
        <f t="shared" si="7"/>
        <v>-1.963350785340312E-2</v>
      </c>
      <c r="AA139" s="594">
        <v>41736</v>
      </c>
      <c r="AB139" s="595" t="s">
        <v>449</v>
      </c>
      <c r="AC139" s="595">
        <v>28578.959999999999</v>
      </c>
      <c r="AD139" s="596" t="s">
        <v>395</v>
      </c>
      <c r="AE139" s="595">
        <v>100</v>
      </c>
      <c r="AF139" s="597">
        <f t="shared" si="8"/>
        <v>8.561438378112074E-3</v>
      </c>
      <c r="AG139" s="597">
        <f t="shared" si="9"/>
        <v>0</v>
      </c>
    </row>
    <row r="140" spans="13:33" x14ac:dyDescent="0.35">
      <c r="M140" s="555">
        <v>41743</v>
      </c>
      <c r="N140" s="543" t="s">
        <v>449</v>
      </c>
      <c r="O140" s="543">
        <v>29094.13</v>
      </c>
      <c r="P140" s="73" t="s">
        <v>431</v>
      </c>
      <c r="Q140" s="158">
        <v>14.94</v>
      </c>
      <c r="R140" s="563">
        <f t="shared" si="6"/>
        <v>-5.3101853197239368E-3</v>
      </c>
      <c r="S140" s="563">
        <f t="shared" si="7"/>
        <v>-2.6702269692924219E-3</v>
      </c>
      <c r="AA140" s="594">
        <v>41739</v>
      </c>
      <c r="AB140" s="595" t="s">
        <v>449</v>
      </c>
      <c r="AC140" s="595">
        <v>29250.54</v>
      </c>
      <c r="AD140" s="596" t="s">
        <v>395</v>
      </c>
      <c r="AE140" s="595">
        <v>101</v>
      </c>
      <c r="AF140" s="597">
        <f t="shared" si="8"/>
        <v>2.3499105635754525E-2</v>
      </c>
      <c r="AG140" s="597">
        <f t="shared" si="9"/>
        <v>1.0000000000000009E-2</v>
      </c>
    </row>
    <row r="141" spans="13:33" x14ac:dyDescent="0.35">
      <c r="M141" s="555">
        <v>41744</v>
      </c>
      <c r="N141" s="543" t="s">
        <v>449</v>
      </c>
      <c r="O141" s="543">
        <v>29095.77</v>
      </c>
      <c r="P141" s="73" t="s">
        <v>431</v>
      </c>
      <c r="Q141" s="158">
        <v>15.68</v>
      </c>
      <c r="R141" s="563">
        <f t="shared" si="6"/>
        <v>5.6368758921454543E-5</v>
      </c>
      <c r="S141" s="563">
        <f t="shared" si="7"/>
        <v>4.9531459170013337E-2</v>
      </c>
      <c r="AA141" s="594">
        <v>41740</v>
      </c>
      <c r="AB141" s="595" t="s">
        <v>449</v>
      </c>
      <c r="AC141" s="595">
        <v>29249.45</v>
      </c>
      <c r="AD141" s="596" t="s">
        <v>395</v>
      </c>
      <c r="AE141" s="595">
        <v>106.05</v>
      </c>
      <c r="AF141" s="597">
        <f t="shared" si="8"/>
        <v>-3.7264269309167375E-5</v>
      </c>
      <c r="AG141" s="597">
        <f t="shared" si="9"/>
        <v>5.0000000000000044E-2</v>
      </c>
    </row>
    <row r="142" spans="13:33" x14ac:dyDescent="0.35">
      <c r="M142" s="555">
        <v>41745</v>
      </c>
      <c r="N142" s="543" t="s">
        <v>449</v>
      </c>
      <c r="O142" s="543">
        <v>29458.15</v>
      </c>
      <c r="P142" s="73" t="s">
        <v>431</v>
      </c>
      <c r="Q142" s="158">
        <v>16.46</v>
      </c>
      <c r="R142" s="563">
        <f t="shared" si="6"/>
        <v>1.2454731392226526E-2</v>
      </c>
      <c r="S142" s="563">
        <f t="shared" si="7"/>
        <v>4.9744897959183687E-2</v>
      </c>
      <c r="AA142" s="594">
        <v>41743</v>
      </c>
      <c r="AB142" s="595" t="s">
        <v>449</v>
      </c>
      <c r="AC142" s="595">
        <v>29094.13</v>
      </c>
      <c r="AD142" s="596" t="s">
        <v>395</v>
      </c>
      <c r="AE142" s="595">
        <v>111.35</v>
      </c>
      <c r="AF142" s="597">
        <f t="shared" si="8"/>
        <v>-5.3101853197239368E-3</v>
      </c>
      <c r="AG142" s="597">
        <f t="shared" si="9"/>
        <v>4.9976426214049852E-2</v>
      </c>
    </row>
    <row r="143" spans="13:33" x14ac:dyDescent="0.35">
      <c r="M143" s="555">
        <v>41746</v>
      </c>
      <c r="N143" s="543" t="s">
        <v>449</v>
      </c>
      <c r="O143" s="543">
        <v>29350.34</v>
      </c>
      <c r="P143" s="73" t="s">
        <v>431</v>
      </c>
      <c r="Q143" s="158">
        <v>16.739999999999998</v>
      </c>
      <c r="R143" s="563">
        <f t="shared" si="6"/>
        <v>-3.659768179604006E-3</v>
      </c>
      <c r="S143" s="563">
        <f t="shared" si="7"/>
        <v>1.7010935601457833E-2</v>
      </c>
      <c r="AA143" s="589">
        <v>41744</v>
      </c>
      <c r="AB143" s="590" t="s">
        <v>449</v>
      </c>
      <c r="AC143" s="590">
        <v>29095.77</v>
      </c>
      <c r="AD143" s="591" t="s">
        <v>395</v>
      </c>
      <c r="AE143" s="590">
        <v>116.91</v>
      </c>
      <c r="AF143" s="592">
        <f t="shared" si="8"/>
        <v>5.6368758921454543E-5</v>
      </c>
      <c r="AG143" s="592">
        <f t="shared" si="9"/>
        <v>4.9932644813650784E-2</v>
      </c>
    </row>
    <row r="144" spans="13:33" x14ac:dyDescent="0.35">
      <c r="M144" s="555">
        <v>41747</v>
      </c>
      <c r="N144" s="543" t="s">
        <v>449</v>
      </c>
      <c r="O144" s="543">
        <v>29069.93</v>
      </c>
      <c r="P144" s="73" t="s">
        <v>431</v>
      </c>
      <c r="Q144" s="158">
        <v>16.89</v>
      </c>
      <c r="R144" s="563">
        <f t="shared" si="6"/>
        <v>-9.5538927317366795E-3</v>
      </c>
      <c r="S144" s="563">
        <f t="shared" si="7"/>
        <v>8.960573476702649E-3</v>
      </c>
      <c r="AA144" s="589">
        <v>41745</v>
      </c>
      <c r="AB144" s="590" t="s">
        <v>449</v>
      </c>
      <c r="AC144" s="590">
        <v>29458.15</v>
      </c>
      <c r="AD144" s="591" t="s">
        <v>395</v>
      </c>
      <c r="AE144" s="590">
        <v>118.99</v>
      </c>
      <c r="AF144" s="592">
        <f t="shared" si="8"/>
        <v>1.2454731392226526E-2</v>
      </c>
      <c r="AG144" s="592">
        <f t="shared" si="9"/>
        <v>1.7791463518946227E-2</v>
      </c>
    </row>
    <row r="145" spans="13:33" x14ac:dyDescent="0.35">
      <c r="M145" s="555">
        <v>41750</v>
      </c>
      <c r="N145" s="543" t="s">
        <v>449</v>
      </c>
      <c r="O145" s="543">
        <v>28878.77</v>
      </c>
      <c r="P145" s="73" t="s">
        <v>431</v>
      </c>
      <c r="Q145" s="158">
        <v>16.25</v>
      </c>
      <c r="R145" s="563">
        <f t="shared" si="6"/>
        <v>-6.5758672277504981E-3</v>
      </c>
      <c r="S145" s="563">
        <f t="shared" si="7"/>
        <v>-3.7892243931320291E-2</v>
      </c>
      <c r="AA145" s="589">
        <v>41746</v>
      </c>
      <c r="AB145" s="590" t="s">
        <v>449</v>
      </c>
      <c r="AC145" s="590">
        <v>29350.34</v>
      </c>
      <c r="AD145" s="591" t="s">
        <v>395</v>
      </c>
      <c r="AE145" s="590">
        <v>122.56</v>
      </c>
      <c r="AF145" s="592">
        <f t="shared" si="8"/>
        <v>-3.659768179604006E-3</v>
      </c>
      <c r="AG145" s="592">
        <f t="shared" si="9"/>
        <v>3.0002521220270584E-2</v>
      </c>
    </row>
    <row r="146" spans="13:33" x14ac:dyDescent="0.35">
      <c r="M146" s="555">
        <v>41751</v>
      </c>
      <c r="N146" s="543" t="s">
        <v>449</v>
      </c>
      <c r="O146" s="543">
        <v>29191.84</v>
      </c>
      <c r="P146" s="73" t="s">
        <v>431</v>
      </c>
      <c r="Q146" s="158">
        <v>16.3</v>
      </c>
      <c r="R146" s="563">
        <f t="shared" si="6"/>
        <v>1.0840835672710325E-2</v>
      </c>
      <c r="S146" s="563">
        <f t="shared" si="7"/>
        <v>3.0769230769231992E-3</v>
      </c>
      <c r="AA146" s="589">
        <v>41747</v>
      </c>
      <c r="AB146" s="590" t="s">
        <v>449</v>
      </c>
      <c r="AC146" s="590">
        <v>29069.93</v>
      </c>
      <c r="AD146" s="591" t="s">
        <v>395</v>
      </c>
      <c r="AE146" s="590">
        <v>128.68</v>
      </c>
      <c r="AF146" s="592">
        <f t="shared" si="8"/>
        <v>-9.5538927317366795E-3</v>
      </c>
      <c r="AG146" s="592">
        <f t="shared" si="9"/>
        <v>4.9934725848564065E-2</v>
      </c>
    </row>
    <row r="147" spans="13:33" x14ac:dyDescent="0.35">
      <c r="M147" s="555">
        <v>41752</v>
      </c>
      <c r="N147" s="543" t="s">
        <v>449</v>
      </c>
      <c r="O147" s="543">
        <v>28717.19</v>
      </c>
      <c r="P147" s="73" t="s">
        <v>431</v>
      </c>
      <c r="Q147" s="158">
        <v>16.940000000000001</v>
      </c>
      <c r="R147" s="563">
        <f t="shared" si="6"/>
        <v>-1.6259680787507835E-2</v>
      </c>
      <c r="S147" s="563">
        <f t="shared" si="7"/>
        <v>3.926380368098159E-2</v>
      </c>
      <c r="AA147" s="589">
        <v>41750</v>
      </c>
      <c r="AB147" s="590" t="s">
        <v>449</v>
      </c>
      <c r="AC147" s="590">
        <v>28878.77</v>
      </c>
      <c r="AD147" s="591" t="s">
        <v>395</v>
      </c>
      <c r="AE147" s="590">
        <v>134.86000000000001</v>
      </c>
      <c r="AF147" s="592">
        <f t="shared" si="8"/>
        <v>-6.5758672277504981E-3</v>
      </c>
      <c r="AG147" s="592">
        <f t="shared" si="9"/>
        <v>4.802611128380474E-2</v>
      </c>
    </row>
    <row r="148" spans="13:33" x14ac:dyDescent="0.35">
      <c r="M148" s="555">
        <v>41753</v>
      </c>
      <c r="N148" s="543" t="s">
        <v>449</v>
      </c>
      <c r="O148" s="543">
        <v>28786.74</v>
      </c>
      <c r="P148" s="73" t="s">
        <v>431</v>
      </c>
      <c r="Q148" s="158">
        <v>17.79</v>
      </c>
      <c r="R148" s="563">
        <f t="shared" si="6"/>
        <v>2.4218943427265494E-3</v>
      </c>
      <c r="S148" s="563">
        <f t="shared" si="7"/>
        <v>5.0177095631640967E-2</v>
      </c>
      <c r="AA148" s="594">
        <v>41751</v>
      </c>
      <c r="AB148" s="595" t="s">
        <v>449</v>
      </c>
      <c r="AC148" s="595">
        <v>29191.84</v>
      </c>
      <c r="AD148" s="596" t="s">
        <v>395</v>
      </c>
      <c r="AE148" s="595">
        <v>135.86000000000001</v>
      </c>
      <c r="AF148" s="597">
        <f t="shared" si="8"/>
        <v>1.0840835672710325E-2</v>
      </c>
      <c r="AG148" s="597">
        <f t="shared" si="9"/>
        <v>7.4150971377724417E-3</v>
      </c>
    </row>
    <row r="149" spans="13:33" x14ac:dyDescent="0.35">
      <c r="M149" s="555">
        <v>41754</v>
      </c>
      <c r="N149" s="543" t="s">
        <v>449</v>
      </c>
      <c r="O149" s="543">
        <v>28850.080000000002</v>
      </c>
      <c r="P149" s="73" t="s">
        <v>431</v>
      </c>
      <c r="Q149" s="158">
        <v>18.68</v>
      </c>
      <c r="R149" s="563">
        <f t="shared" si="6"/>
        <v>2.2003186189196722E-3</v>
      </c>
      <c r="S149" s="563">
        <f t="shared" si="7"/>
        <v>5.0028105677346835E-2</v>
      </c>
      <c r="AA149" s="589">
        <v>41752</v>
      </c>
      <c r="AB149" s="590" t="s">
        <v>449</v>
      </c>
      <c r="AC149" s="590">
        <v>28717.19</v>
      </c>
      <c r="AD149" s="591" t="s">
        <v>395</v>
      </c>
      <c r="AE149" s="590">
        <v>132.5</v>
      </c>
      <c r="AF149" s="592">
        <f t="shared" si="8"/>
        <v>-1.6259680787507835E-2</v>
      </c>
      <c r="AG149" s="592">
        <f t="shared" si="9"/>
        <v>-2.4731341086412617E-2</v>
      </c>
    </row>
    <row r="150" spans="13:33" x14ac:dyDescent="0.35">
      <c r="M150" s="555">
        <v>41757</v>
      </c>
      <c r="N150" s="543" t="s">
        <v>449</v>
      </c>
      <c r="O150" s="543">
        <v>28691.62</v>
      </c>
      <c r="P150" s="73" t="s">
        <v>431</v>
      </c>
      <c r="Q150" s="158">
        <v>19.61</v>
      </c>
      <c r="R150" s="563">
        <f t="shared" si="6"/>
        <v>-5.4925324297194766E-3</v>
      </c>
      <c r="S150" s="563">
        <f t="shared" si="7"/>
        <v>4.9785867237687409E-2</v>
      </c>
      <c r="AA150" s="589">
        <v>41753</v>
      </c>
      <c r="AB150" s="590" t="s">
        <v>449</v>
      </c>
      <c r="AC150" s="590">
        <v>28786.74</v>
      </c>
      <c r="AD150" s="591" t="s">
        <v>395</v>
      </c>
      <c r="AE150" s="590">
        <v>138.37</v>
      </c>
      <c r="AF150" s="592">
        <f t="shared" si="8"/>
        <v>2.4218943427265494E-3</v>
      </c>
      <c r="AG150" s="592">
        <f t="shared" si="9"/>
        <v>4.4301886792452949E-2</v>
      </c>
    </row>
    <row r="151" spans="13:33" x14ac:dyDescent="0.35">
      <c r="M151" s="526">
        <v>41759</v>
      </c>
      <c r="N151" s="524" t="s">
        <v>449</v>
      </c>
      <c r="O151" s="524">
        <v>28912.98</v>
      </c>
      <c r="P151" s="73" t="s">
        <v>431</v>
      </c>
      <c r="Q151">
        <v>19.34</v>
      </c>
      <c r="R151" s="563">
        <f t="shared" si="6"/>
        <v>7.7151447007872687E-3</v>
      </c>
      <c r="S151" s="563">
        <f t="shared" si="7"/>
        <v>-1.3768485466598701E-2</v>
      </c>
      <c r="AA151" s="589">
        <v>41754</v>
      </c>
      <c r="AB151" s="590" t="s">
        <v>449</v>
      </c>
      <c r="AC151" s="590">
        <v>28850.080000000002</v>
      </c>
      <c r="AD151" s="591" t="s">
        <v>395</v>
      </c>
      <c r="AE151" s="590">
        <v>144.75</v>
      </c>
      <c r="AF151" s="592">
        <f t="shared" si="8"/>
        <v>2.2003186189196722E-3</v>
      </c>
      <c r="AG151" s="592">
        <f t="shared" si="9"/>
        <v>4.6108260461082518E-2</v>
      </c>
    </row>
    <row r="152" spans="13:33" x14ac:dyDescent="0.35">
      <c r="M152" s="555">
        <v>41761</v>
      </c>
      <c r="N152" s="543" t="s">
        <v>449</v>
      </c>
      <c r="O152" s="543">
        <v>28921.13</v>
      </c>
      <c r="P152" s="73" t="s">
        <v>431</v>
      </c>
      <c r="Q152" s="158">
        <v>18.57</v>
      </c>
      <c r="R152" s="563">
        <f t="shared" si="6"/>
        <v>2.8188031811327008E-4</v>
      </c>
      <c r="S152" s="563">
        <f t="shared" si="7"/>
        <v>-3.9813857290589394E-2</v>
      </c>
      <c r="AA152" s="589">
        <v>41757</v>
      </c>
      <c r="AB152" s="590" t="s">
        <v>449</v>
      </c>
      <c r="AC152" s="590">
        <v>28691.62</v>
      </c>
      <c r="AD152" s="591" t="s">
        <v>395</v>
      </c>
      <c r="AE152" s="590">
        <v>142.75</v>
      </c>
      <c r="AF152" s="592">
        <f t="shared" si="8"/>
        <v>-5.4925324297194766E-3</v>
      </c>
      <c r="AG152" s="592">
        <f t="shared" si="9"/>
        <v>-1.3816925734024155E-2</v>
      </c>
    </row>
    <row r="153" spans="13:33" x14ac:dyDescent="0.35">
      <c r="M153" s="555">
        <v>41764</v>
      </c>
      <c r="N153" s="543" t="s">
        <v>449</v>
      </c>
      <c r="O153" s="543">
        <v>28629.63</v>
      </c>
      <c r="P153" s="73" t="s">
        <v>431</v>
      </c>
      <c r="Q153" s="158">
        <v>17.64</v>
      </c>
      <c r="R153" s="563">
        <f t="shared" si="6"/>
        <v>-1.0079135912047676E-2</v>
      </c>
      <c r="S153" s="563">
        <f t="shared" si="7"/>
        <v>-5.0080775444264924E-2</v>
      </c>
      <c r="AA153" s="594">
        <v>41759</v>
      </c>
      <c r="AB153" s="595" t="s">
        <v>449</v>
      </c>
      <c r="AC153" s="595">
        <v>28912.98</v>
      </c>
      <c r="AD153" s="596" t="s">
        <v>395</v>
      </c>
      <c r="AE153" s="595">
        <v>142.75</v>
      </c>
      <c r="AF153" s="597">
        <f t="shared" si="8"/>
        <v>7.7151447007872687E-3</v>
      </c>
      <c r="AG153" s="597">
        <f t="shared" si="9"/>
        <v>0</v>
      </c>
    </row>
    <row r="154" spans="13:33" x14ac:dyDescent="0.35">
      <c r="M154" s="526">
        <v>41766</v>
      </c>
      <c r="N154" s="524" t="s">
        <v>449</v>
      </c>
      <c r="O154" s="524">
        <v>28330.03</v>
      </c>
      <c r="P154" s="73" t="s">
        <v>431</v>
      </c>
      <c r="Q154">
        <v>17.55</v>
      </c>
      <c r="R154" s="563">
        <f t="shared" ref="R154:R217" si="10">(O154/O153)-1</f>
        <v>-1.0464682917662671E-2</v>
      </c>
      <c r="S154" s="563">
        <f t="shared" ref="S154:S217" si="11">(Q154/Q153)-1</f>
        <v>-5.1020408163264808E-3</v>
      </c>
      <c r="AA154" s="594">
        <v>41761</v>
      </c>
      <c r="AB154" s="595" t="s">
        <v>449</v>
      </c>
      <c r="AC154" s="595">
        <v>28921.13</v>
      </c>
      <c r="AD154" s="596" t="s">
        <v>395</v>
      </c>
      <c r="AE154" s="595">
        <v>143.75</v>
      </c>
      <c r="AF154" s="597">
        <f t="shared" si="8"/>
        <v>2.8188031811327008E-4</v>
      </c>
      <c r="AG154" s="597">
        <f t="shared" si="9"/>
        <v>7.0052539404552583E-3</v>
      </c>
    </row>
    <row r="155" spans="13:33" x14ac:dyDescent="0.35">
      <c r="M155" s="555">
        <v>41767</v>
      </c>
      <c r="N155" s="543" t="s">
        <v>449</v>
      </c>
      <c r="O155" s="543">
        <v>28511.02</v>
      </c>
      <c r="P155" s="73" t="s">
        <v>431</v>
      </c>
      <c r="Q155" s="158">
        <v>17.559999999999999</v>
      </c>
      <c r="R155" s="563">
        <f t="shared" si="10"/>
        <v>6.3886271917115156E-3</v>
      </c>
      <c r="S155" s="563">
        <f t="shared" si="11"/>
        <v>5.6980056980049376E-4</v>
      </c>
      <c r="AA155" s="594">
        <v>41764</v>
      </c>
      <c r="AB155" s="595" t="s">
        <v>449</v>
      </c>
      <c r="AC155" s="595">
        <v>28629.63</v>
      </c>
      <c r="AD155" s="596" t="s">
        <v>395</v>
      </c>
      <c r="AE155" s="595">
        <v>143</v>
      </c>
      <c r="AF155" s="597">
        <f t="shared" si="8"/>
        <v>-1.0079135912047676E-2</v>
      </c>
      <c r="AG155" s="597">
        <f t="shared" si="9"/>
        <v>-5.2173913043478404E-3</v>
      </c>
    </row>
    <row r="156" spans="13:33" x14ac:dyDescent="0.35">
      <c r="M156" s="555">
        <v>41768</v>
      </c>
      <c r="N156" s="543" t="s">
        <v>449</v>
      </c>
      <c r="O156" s="543">
        <v>28494.54</v>
      </c>
      <c r="P156" s="73" t="s">
        <v>431</v>
      </c>
      <c r="Q156" s="158">
        <v>17.399999999999999</v>
      </c>
      <c r="R156" s="563">
        <f t="shared" si="10"/>
        <v>-5.7802211215174371E-4</v>
      </c>
      <c r="S156" s="563">
        <f t="shared" si="11"/>
        <v>-9.1116173120728838E-3</v>
      </c>
      <c r="AA156" s="594">
        <v>41766</v>
      </c>
      <c r="AB156" s="595" t="s">
        <v>449</v>
      </c>
      <c r="AC156" s="595">
        <v>28330.03</v>
      </c>
      <c r="AD156" s="596" t="s">
        <v>395</v>
      </c>
      <c r="AE156" s="595">
        <v>139</v>
      </c>
      <c r="AF156" s="597">
        <f t="shared" ref="AF156:AF219" si="12">(AC156/AC155)-1</f>
        <v>-1.0464682917662671E-2</v>
      </c>
      <c r="AG156" s="597">
        <f t="shared" ref="AG156:AG219" si="13">(AE156/AE155)-1</f>
        <v>-2.7972027972028024E-2</v>
      </c>
    </row>
    <row r="157" spans="13:33" x14ac:dyDescent="0.35">
      <c r="M157" s="555">
        <v>41771</v>
      </c>
      <c r="N157" s="543" t="s">
        <v>449</v>
      </c>
      <c r="O157" s="543">
        <v>28343.88</v>
      </c>
      <c r="P157" s="73" t="s">
        <v>431</v>
      </c>
      <c r="Q157" s="158">
        <v>17.05</v>
      </c>
      <c r="R157" s="563">
        <f t="shared" si="10"/>
        <v>-5.287328730346208E-3</v>
      </c>
      <c r="S157" s="563">
        <f t="shared" si="11"/>
        <v>-2.0114942528735469E-2</v>
      </c>
      <c r="AA157" s="589">
        <v>41767</v>
      </c>
      <c r="AB157" s="590" t="s">
        <v>449</v>
      </c>
      <c r="AC157" s="590">
        <v>28511.02</v>
      </c>
      <c r="AD157" s="591" t="s">
        <v>395</v>
      </c>
      <c r="AE157" s="590">
        <v>140</v>
      </c>
      <c r="AF157" s="592">
        <f t="shared" si="12"/>
        <v>6.3886271917115156E-3</v>
      </c>
      <c r="AG157" s="592">
        <f t="shared" si="13"/>
        <v>7.194244604316502E-3</v>
      </c>
    </row>
    <row r="158" spans="13:33" x14ac:dyDescent="0.35">
      <c r="M158" s="526">
        <v>41778</v>
      </c>
      <c r="N158" s="524" t="s">
        <v>449</v>
      </c>
      <c r="O158" s="524">
        <v>28951.38</v>
      </c>
      <c r="P158" s="73" t="s">
        <v>431</v>
      </c>
      <c r="Q158">
        <v>17.41</v>
      </c>
      <c r="R158" s="563">
        <f t="shared" si="10"/>
        <v>2.1433198277723386E-2</v>
      </c>
      <c r="S158" s="563">
        <f t="shared" si="11"/>
        <v>2.1114369501466168E-2</v>
      </c>
      <c r="AA158" s="589">
        <v>41768</v>
      </c>
      <c r="AB158" s="590" t="s">
        <v>449</v>
      </c>
      <c r="AC158" s="590">
        <v>28494.54</v>
      </c>
      <c r="AD158" s="591" t="s">
        <v>395</v>
      </c>
      <c r="AE158" s="590">
        <v>142</v>
      </c>
      <c r="AF158" s="592">
        <f t="shared" si="12"/>
        <v>-5.7802211215174371E-4</v>
      </c>
      <c r="AG158" s="592">
        <f t="shared" si="13"/>
        <v>1.4285714285714235E-2</v>
      </c>
    </row>
    <row r="159" spans="13:33" x14ac:dyDescent="0.35">
      <c r="M159" s="555">
        <v>41779</v>
      </c>
      <c r="N159" s="543" t="s">
        <v>449</v>
      </c>
      <c r="O159" s="543">
        <v>28842.92</v>
      </c>
      <c r="P159" s="73" t="s">
        <v>431</v>
      </c>
      <c r="Q159" s="158">
        <v>18.28</v>
      </c>
      <c r="R159" s="563">
        <f t="shared" si="10"/>
        <v>-3.7462808335907427E-3</v>
      </c>
      <c r="S159" s="563">
        <f t="shared" si="11"/>
        <v>4.9971280873061463E-2</v>
      </c>
      <c r="AA159" s="589">
        <v>41771</v>
      </c>
      <c r="AB159" s="590" t="s">
        <v>449</v>
      </c>
      <c r="AC159" s="590">
        <v>28343.88</v>
      </c>
      <c r="AD159" s="591" t="s">
        <v>395</v>
      </c>
      <c r="AE159" s="590">
        <v>139.5</v>
      </c>
      <c r="AF159" s="592">
        <f t="shared" si="12"/>
        <v>-5.287328730346208E-3</v>
      </c>
      <c r="AG159" s="592">
        <f t="shared" si="13"/>
        <v>-1.7605633802816878E-2</v>
      </c>
    </row>
    <row r="160" spans="13:33" x14ac:dyDescent="0.35">
      <c r="M160" s="526">
        <v>41781</v>
      </c>
      <c r="N160" s="524" t="s">
        <v>449</v>
      </c>
      <c r="O160" s="524">
        <v>28741.55</v>
      </c>
      <c r="P160" s="73" t="s">
        <v>431</v>
      </c>
      <c r="Q160">
        <v>18.010000000000002</v>
      </c>
      <c r="R160" s="563">
        <f t="shared" si="10"/>
        <v>-3.5145540049342783E-3</v>
      </c>
      <c r="S160" s="563">
        <f t="shared" si="11"/>
        <v>-1.4770240700218817E-2</v>
      </c>
      <c r="AA160" s="589">
        <v>41778</v>
      </c>
      <c r="AB160" s="590" t="s">
        <v>449</v>
      </c>
      <c r="AC160" s="590">
        <v>28951.38</v>
      </c>
      <c r="AD160" s="591" t="s">
        <v>395</v>
      </c>
      <c r="AE160" s="590">
        <v>138.9</v>
      </c>
      <c r="AF160" s="592">
        <f t="shared" si="12"/>
        <v>2.1433198277723386E-2</v>
      </c>
      <c r="AG160" s="592">
        <f t="shared" si="13"/>
        <v>-4.3010752688171783E-3</v>
      </c>
    </row>
    <row r="161" spans="13:33" x14ac:dyDescent="0.35">
      <c r="M161" s="555">
        <v>41782</v>
      </c>
      <c r="N161" s="543" t="s">
        <v>449</v>
      </c>
      <c r="O161" s="543">
        <v>28756</v>
      </c>
      <c r="P161" s="73" t="s">
        <v>431</v>
      </c>
      <c r="Q161" s="158">
        <v>17.71</v>
      </c>
      <c r="R161" s="563">
        <f t="shared" si="10"/>
        <v>5.0275646233410853E-4</v>
      </c>
      <c r="S161" s="563">
        <f t="shared" si="11"/>
        <v>-1.6657412548584105E-2</v>
      </c>
      <c r="AA161" s="589">
        <v>41779</v>
      </c>
      <c r="AB161" s="590" t="s">
        <v>449</v>
      </c>
      <c r="AC161" s="590">
        <v>28842.92</v>
      </c>
      <c r="AD161" s="591" t="s">
        <v>395</v>
      </c>
      <c r="AE161" s="590">
        <v>135</v>
      </c>
      <c r="AF161" s="592">
        <f t="shared" si="12"/>
        <v>-3.7462808335907427E-3</v>
      </c>
      <c r="AG161" s="592">
        <f t="shared" si="13"/>
        <v>-2.8077753779697678E-2</v>
      </c>
    </row>
    <row r="162" spans="13:33" x14ac:dyDescent="0.35">
      <c r="M162" s="555">
        <v>41785</v>
      </c>
      <c r="N162" s="543" t="s">
        <v>449</v>
      </c>
      <c r="O162" s="543">
        <v>29020.48</v>
      </c>
      <c r="P162" s="73" t="s">
        <v>431</v>
      </c>
      <c r="Q162" s="158">
        <v>17.8</v>
      </c>
      <c r="R162" s="563">
        <f t="shared" si="10"/>
        <v>9.1973848935873459E-3</v>
      </c>
      <c r="S162" s="563">
        <f t="shared" si="11"/>
        <v>5.0818746470919773E-3</v>
      </c>
      <c r="AA162" s="589">
        <v>41781</v>
      </c>
      <c r="AB162" s="590" t="s">
        <v>449</v>
      </c>
      <c r="AC162" s="590">
        <v>28741.55</v>
      </c>
      <c r="AD162" s="591" t="s">
        <v>395</v>
      </c>
      <c r="AE162" s="590">
        <v>140</v>
      </c>
      <c r="AF162" s="592">
        <f t="shared" si="12"/>
        <v>-3.5145540049342783E-3</v>
      </c>
      <c r="AG162" s="592">
        <f t="shared" si="13"/>
        <v>3.7037037037036979E-2</v>
      </c>
    </row>
    <row r="163" spans="13:33" x14ac:dyDescent="0.35">
      <c r="M163" s="555">
        <v>41786</v>
      </c>
      <c r="N163" s="543" t="s">
        <v>449</v>
      </c>
      <c r="O163" s="543">
        <v>29048.21</v>
      </c>
      <c r="P163" s="73" t="s">
        <v>431</v>
      </c>
      <c r="Q163" s="158">
        <v>17.86</v>
      </c>
      <c r="R163" s="563">
        <f t="shared" si="10"/>
        <v>9.5553209319754195E-4</v>
      </c>
      <c r="S163" s="563">
        <f t="shared" si="11"/>
        <v>3.370786516853963E-3</v>
      </c>
      <c r="AA163" s="594">
        <v>41782</v>
      </c>
      <c r="AB163" s="595" t="s">
        <v>449</v>
      </c>
      <c r="AC163" s="595">
        <v>28756</v>
      </c>
      <c r="AD163" s="596" t="s">
        <v>395</v>
      </c>
      <c r="AE163" s="595">
        <v>133</v>
      </c>
      <c r="AF163" s="597">
        <f t="shared" si="12"/>
        <v>5.0275646233410853E-4</v>
      </c>
      <c r="AG163" s="597">
        <f t="shared" si="13"/>
        <v>-5.0000000000000044E-2</v>
      </c>
    </row>
    <row r="164" spans="13:33" x14ac:dyDescent="0.35">
      <c r="M164" s="555">
        <v>41787</v>
      </c>
      <c r="N164" s="543" t="s">
        <v>449</v>
      </c>
      <c r="O164" s="543">
        <v>28987.32</v>
      </c>
      <c r="P164" s="73" t="s">
        <v>431</v>
      </c>
      <c r="Q164" s="158">
        <v>17.22</v>
      </c>
      <c r="R164" s="563">
        <f t="shared" si="10"/>
        <v>-2.0961704697122219E-3</v>
      </c>
      <c r="S164" s="563">
        <f t="shared" si="11"/>
        <v>-3.5834266517357216E-2</v>
      </c>
      <c r="AA164" s="594">
        <v>41785</v>
      </c>
      <c r="AB164" s="595" t="s">
        <v>449</v>
      </c>
      <c r="AC164" s="595">
        <v>29020.48</v>
      </c>
      <c r="AD164" s="596" t="s">
        <v>395</v>
      </c>
      <c r="AE164" s="595">
        <v>132.9</v>
      </c>
      <c r="AF164" s="597">
        <f t="shared" si="12"/>
        <v>9.1973848935873459E-3</v>
      </c>
      <c r="AG164" s="597">
        <f t="shared" si="13"/>
        <v>-7.518796992480592E-4</v>
      </c>
    </row>
    <row r="165" spans="13:33" x14ac:dyDescent="0.35">
      <c r="M165" s="555">
        <v>41788</v>
      </c>
      <c r="N165" s="543" t="s">
        <v>449</v>
      </c>
      <c r="O165" s="543">
        <v>29543.58</v>
      </c>
      <c r="P165" s="73" t="s">
        <v>431</v>
      </c>
      <c r="Q165" s="158">
        <v>17.63</v>
      </c>
      <c r="R165" s="563">
        <f t="shared" si="10"/>
        <v>1.9189769871792217E-2</v>
      </c>
      <c r="S165" s="563">
        <f t="shared" si="11"/>
        <v>2.3809523809523725E-2</v>
      </c>
      <c r="AA165" s="594">
        <v>41786</v>
      </c>
      <c r="AB165" s="595" t="s">
        <v>449</v>
      </c>
      <c r="AC165" s="595">
        <v>29048.21</v>
      </c>
      <c r="AD165" s="596" t="s">
        <v>395</v>
      </c>
      <c r="AE165" s="595">
        <v>133</v>
      </c>
      <c r="AF165" s="597">
        <f t="shared" si="12"/>
        <v>9.5553209319754195E-4</v>
      </c>
      <c r="AG165" s="597">
        <f t="shared" si="13"/>
        <v>7.5244544770503019E-4</v>
      </c>
    </row>
    <row r="166" spans="13:33" x14ac:dyDescent="0.35">
      <c r="M166" s="526">
        <v>41792</v>
      </c>
      <c r="N166" s="524" t="s">
        <v>449</v>
      </c>
      <c r="O166" s="524">
        <v>29789.85</v>
      </c>
      <c r="P166" s="73" t="s">
        <v>431</v>
      </c>
      <c r="Q166">
        <v>17.38</v>
      </c>
      <c r="R166" s="563">
        <f t="shared" si="10"/>
        <v>8.3358211834854146E-3</v>
      </c>
      <c r="S166" s="563">
        <f t="shared" si="11"/>
        <v>-1.418037436188313E-2</v>
      </c>
      <c r="AA166" s="594">
        <v>41787</v>
      </c>
      <c r="AB166" s="595" t="s">
        <v>449</v>
      </c>
      <c r="AC166" s="595">
        <v>28987.32</v>
      </c>
      <c r="AD166" s="596" t="s">
        <v>395</v>
      </c>
      <c r="AE166" s="595">
        <v>132</v>
      </c>
      <c r="AF166" s="597">
        <f t="shared" si="12"/>
        <v>-2.0961704697122219E-3</v>
      </c>
      <c r="AG166" s="597">
        <f t="shared" si="13"/>
        <v>-7.5187969924812581E-3</v>
      </c>
    </row>
    <row r="167" spans="13:33" x14ac:dyDescent="0.35">
      <c r="M167" s="526">
        <v>41794</v>
      </c>
      <c r="N167" s="524" t="s">
        <v>449</v>
      </c>
      <c r="O167" s="524">
        <v>29452.23</v>
      </c>
      <c r="P167" s="73" t="s">
        <v>431</v>
      </c>
      <c r="Q167">
        <v>17.57</v>
      </c>
      <c r="R167" s="563">
        <f t="shared" si="10"/>
        <v>-1.1333390399750232E-2</v>
      </c>
      <c r="S167" s="563">
        <f t="shared" si="11"/>
        <v>1.0932105868814768E-2</v>
      </c>
      <c r="AA167" s="594">
        <v>41788</v>
      </c>
      <c r="AB167" s="595" t="s">
        <v>449</v>
      </c>
      <c r="AC167" s="595">
        <v>29543.58</v>
      </c>
      <c r="AD167" s="596" t="s">
        <v>395</v>
      </c>
      <c r="AE167" s="595">
        <v>131</v>
      </c>
      <c r="AF167" s="597">
        <f t="shared" si="12"/>
        <v>1.9189769871792217E-2</v>
      </c>
      <c r="AG167" s="597">
        <f t="shared" si="13"/>
        <v>-7.575757575757569E-3</v>
      </c>
    </row>
    <row r="168" spans="13:33" x14ac:dyDescent="0.35">
      <c r="M168" s="526">
        <v>41801</v>
      </c>
      <c r="N168" s="524" t="s">
        <v>449</v>
      </c>
      <c r="O168" s="524">
        <v>29783.3</v>
      </c>
      <c r="P168" s="73" t="s">
        <v>431</v>
      </c>
      <c r="Q168">
        <v>19.739999999999998</v>
      </c>
      <c r="R168" s="563">
        <f t="shared" si="10"/>
        <v>1.1240914524978329E-2</v>
      </c>
      <c r="S168" s="563">
        <f t="shared" si="11"/>
        <v>0.12350597609561742</v>
      </c>
      <c r="AA168" s="589">
        <v>41792</v>
      </c>
      <c r="AB168" s="590" t="s">
        <v>449</v>
      </c>
      <c r="AC168" s="590">
        <v>29789.85</v>
      </c>
      <c r="AD168" s="591" t="s">
        <v>395</v>
      </c>
      <c r="AE168" s="590">
        <v>130</v>
      </c>
      <c r="AF168" s="592">
        <f t="shared" si="12"/>
        <v>8.3358211834854146E-3</v>
      </c>
      <c r="AG168" s="592">
        <f t="shared" si="13"/>
        <v>-7.6335877862595547E-3</v>
      </c>
    </row>
    <row r="169" spans="13:33" x14ac:dyDescent="0.35">
      <c r="M169" s="555">
        <v>41802</v>
      </c>
      <c r="N169" s="543" t="s">
        <v>449</v>
      </c>
      <c r="O169" s="543">
        <v>29766.38</v>
      </c>
      <c r="P169" s="73" t="s">
        <v>431</v>
      </c>
      <c r="Q169" s="158">
        <v>19.760000000000002</v>
      </c>
      <c r="R169" s="563">
        <f t="shared" si="10"/>
        <v>-5.6810360168280116E-4</v>
      </c>
      <c r="S169" s="563">
        <f t="shared" si="11"/>
        <v>1.0131712259373593E-3</v>
      </c>
      <c r="AA169" s="589">
        <v>41794</v>
      </c>
      <c r="AB169" s="590" t="s">
        <v>449</v>
      </c>
      <c r="AC169" s="590">
        <v>29452.23</v>
      </c>
      <c r="AD169" s="591" t="s">
        <v>395</v>
      </c>
      <c r="AE169" s="590">
        <v>131.5</v>
      </c>
      <c r="AF169" s="592">
        <f t="shared" si="12"/>
        <v>-1.1333390399750232E-2</v>
      </c>
      <c r="AG169" s="592">
        <f t="shared" si="13"/>
        <v>1.1538461538461497E-2</v>
      </c>
    </row>
    <row r="170" spans="13:33" x14ac:dyDescent="0.35">
      <c r="M170" s="526">
        <v>41806</v>
      </c>
      <c r="N170" s="524" t="s">
        <v>449</v>
      </c>
      <c r="O170" s="524">
        <v>29651.040000000001</v>
      </c>
      <c r="P170" s="73" t="s">
        <v>431</v>
      </c>
      <c r="Q170">
        <v>20.010000000000002</v>
      </c>
      <c r="R170" s="563">
        <f t="shared" si="10"/>
        <v>-3.874841347856206E-3</v>
      </c>
      <c r="S170" s="563">
        <f t="shared" si="11"/>
        <v>1.2651821862348145E-2</v>
      </c>
      <c r="AA170" s="589">
        <v>41801</v>
      </c>
      <c r="AB170" s="590" t="s">
        <v>449</v>
      </c>
      <c r="AC170" s="590">
        <v>29783.3</v>
      </c>
      <c r="AD170" s="591" t="s">
        <v>395</v>
      </c>
      <c r="AE170" s="590">
        <v>136</v>
      </c>
      <c r="AF170" s="592">
        <f t="shared" si="12"/>
        <v>1.1240914524978329E-2</v>
      </c>
      <c r="AG170" s="592">
        <f t="shared" si="13"/>
        <v>3.4220532319391594E-2</v>
      </c>
    </row>
    <row r="171" spans="13:33" x14ac:dyDescent="0.35">
      <c r="M171" s="555">
        <v>41807</v>
      </c>
      <c r="N171" s="543" t="s">
        <v>449</v>
      </c>
      <c r="O171" s="543">
        <v>29324.6</v>
      </c>
      <c r="P171" s="73" t="s">
        <v>431</v>
      </c>
      <c r="Q171" s="158">
        <v>19.649999999999999</v>
      </c>
      <c r="R171" s="563">
        <f t="shared" si="10"/>
        <v>-1.1009394611453893E-2</v>
      </c>
      <c r="S171" s="563">
        <f t="shared" si="11"/>
        <v>-1.7991004497751262E-2</v>
      </c>
      <c r="AA171" s="594">
        <v>41802</v>
      </c>
      <c r="AB171" s="595" t="s">
        <v>449</v>
      </c>
      <c r="AC171" s="595">
        <v>29766.38</v>
      </c>
      <c r="AD171" s="596" t="s">
        <v>395</v>
      </c>
      <c r="AE171" s="595">
        <v>131.75</v>
      </c>
      <c r="AF171" s="597">
        <f t="shared" si="12"/>
        <v>-5.6810360168280116E-4</v>
      </c>
      <c r="AG171" s="597">
        <f t="shared" si="13"/>
        <v>-3.125E-2</v>
      </c>
    </row>
    <row r="172" spans="13:33" x14ac:dyDescent="0.35">
      <c r="M172" s="555">
        <v>41808</v>
      </c>
      <c r="N172" s="543" t="s">
        <v>449</v>
      </c>
      <c r="O172" s="543">
        <v>29157.98</v>
      </c>
      <c r="P172" s="73" t="s">
        <v>431</v>
      </c>
      <c r="Q172" s="158">
        <v>19.43</v>
      </c>
      <c r="R172" s="563">
        <f t="shared" si="10"/>
        <v>-5.6819189349556209E-3</v>
      </c>
      <c r="S172" s="563">
        <f t="shared" si="11"/>
        <v>-1.1195928753180651E-2</v>
      </c>
      <c r="AA172" s="594">
        <v>41806</v>
      </c>
      <c r="AB172" s="595" t="s">
        <v>449</v>
      </c>
      <c r="AC172" s="595">
        <v>29651.040000000001</v>
      </c>
      <c r="AD172" s="596" t="s">
        <v>395</v>
      </c>
      <c r="AE172" s="595">
        <v>131</v>
      </c>
      <c r="AF172" s="597">
        <f t="shared" si="12"/>
        <v>-3.874841347856206E-3</v>
      </c>
      <c r="AG172" s="597">
        <f t="shared" si="13"/>
        <v>-5.6925996204933993E-3</v>
      </c>
    </row>
    <row r="173" spans="13:33" x14ac:dyDescent="0.35">
      <c r="M173" s="555">
        <v>41809</v>
      </c>
      <c r="N173" s="543" t="s">
        <v>449</v>
      </c>
      <c r="O173" s="543">
        <v>28674.37</v>
      </c>
      <c r="P173" s="73" t="s">
        <v>431</v>
      </c>
      <c r="Q173" s="158">
        <v>18.66</v>
      </c>
      <c r="R173" s="563">
        <f t="shared" si="10"/>
        <v>-1.6585854026925029E-2</v>
      </c>
      <c r="S173" s="563">
        <f t="shared" si="11"/>
        <v>-3.9629439011837353E-2</v>
      </c>
      <c r="AA173" s="594">
        <v>41807</v>
      </c>
      <c r="AB173" s="595" t="s">
        <v>449</v>
      </c>
      <c r="AC173" s="595">
        <v>29324.6</v>
      </c>
      <c r="AD173" s="596" t="s">
        <v>395</v>
      </c>
      <c r="AE173" s="595">
        <v>130</v>
      </c>
      <c r="AF173" s="597">
        <f t="shared" si="12"/>
        <v>-1.1009394611453893E-2</v>
      </c>
      <c r="AG173" s="597">
        <f t="shared" si="13"/>
        <v>-7.6335877862595547E-3</v>
      </c>
    </row>
    <row r="174" spans="13:33" x14ac:dyDescent="0.35">
      <c r="M174" s="526">
        <v>41813</v>
      </c>
      <c r="N174" s="524" t="s">
        <v>449</v>
      </c>
      <c r="O174" s="524">
        <v>28999.03</v>
      </c>
      <c r="P174" s="73" t="s">
        <v>431</v>
      </c>
      <c r="Q174">
        <v>19.64</v>
      </c>
      <c r="R174" s="563">
        <f t="shared" si="10"/>
        <v>1.1322306296528861E-2</v>
      </c>
      <c r="S174" s="563">
        <f t="shared" si="11"/>
        <v>5.2518756698821001E-2</v>
      </c>
      <c r="AA174" s="594">
        <v>41808</v>
      </c>
      <c r="AB174" s="595" t="s">
        <v>449</v>
      </c>
      <c r="AC174" s="595">
        <v>29157.98</v>
      </c>
      <c r="AD174" s="596" t="s">
        <v>395</v>
      </c>
      <c r="AE174" s="595">
        <v>131</v>
      </c>
      <c r="AF174" s="597">
        <f t="shared" si="12"/>
        <v>-5.6819189349556209E-3</v>
      </c>
      <c r="AG174" s="597">
        <f t="shared" si="13"/>
        <v>7.692307692307665E-3</v>
      </c>
    </row>
    <row r="175" spans="13:33" x14ac:dyDescent="0.35">
      <c r="M175" s="526">
        <v>41817</v>
      </c>
      <c r="N175" s="524" t="s">
        <v>449</v>
      </c>
      <c r="O175" s="524">
        <v>29343.759999999998</v>
      </c>
      <c r="P175" s="73" t="s">
        <v>431</v>
      </c>
      <c r="Q175">
        <v>19.5</v>
      </c>
      <c r="R175" s="563">
        <f t="shared" si="10"/>
        <v>1.1887639000339068E-2</v>
      </c>
      <c r="S175" s="563">
        <f t="shared" si="11"/>
        <v>-7.1283095723014833E-3</v>
      </c>
      <c r="AA175" s="594">
        <v>41809</v>
      </c>
      <c r="AB175" s="595" t="s">
        <v>449</v>
      </c>
      <c r="AC175" s="595">
        <v>28674.37</v>
      </c>
      <c r="AD175" s="596" t="s">
        <v>395</v>
      </c>
      <c r="AE175" s="595">
        <v>129.99</v>
      </c>
      <c r="AF175" s="597">
        <f t="shared" si="12"/>
        <v>-1.6585854026925029E-2</v>
      </c>
      <c r="AG175" s="597">
        <f t="shared" si="13"/>
        <v>-7.7099236641220426E-3</v>
      </c>
    </row>
    <row r="176" spans="13:33" x14ac:dyDescent="0.35">
      <c r="M176" s="526">
        <v>41823</v>
      </c>
      <c r="N176" s="524" t="s">
        <v>449</v>
      </c>
      <c r="O176" s="524">
        <v>29697.79</v>
      </c>
      <c r="P176" s="73" t="s">
        <v>431</v>
      </c>
      <c r="Q176">
        <v>20.92</v>
      </c>
      <c r="R176" s="563">
        <f t="shared" si="10"/>
        <v>1.2064916016216065E-2</v>
      </c>
      <c r="S176" s="563">
        <f t="shared" si="11"/>
        <v>7.2820512820512828E-2</v>
      </c>
      <c r="AA176" s="594">
        <v>41813</v>
      </c>
      <c r="AB176" s="595" t="s">
        <v>449</v>
      </c>
      <c r="AC176" s="595">
        <v>28999.03</v>
      </c>
      <c r="AD176" s="596" t="s">
        <v>395</v>
      </c>
      <c r="AE176" s="595">
        <v>131</v>
      </c>
      <c r="AF176" s="597">
        <f t="shared" si="12"/>
        <v>1.1322306296528861E-2</v>
      </c>
      <c r="AG176" s="597">
        <f t="shared" si="13"/>
        <v>7.7698284483420643E-3</v>
      </c>
    </row>
    <row r="177" spans="13:33" x14ac:dyDescent="0.35">
      <c r="M177" s="555">
        <v>41824</v>
      </c>
      <c r="N177" s="543" t="s">
        <v>449</v>
      </c>
      <c r="O177" s="543">
        <v>29619.84</v>
      </c>
      <c r="P177" s="73" t="s">
        <v>431</v>
      </c>
      <c r="Q177" s="158">
        <v>21.96</v>
      </c>
      <c r="R177" s="563">
        <f t="shared" si="10"/>
        <v>-2.6247744360775593E-3</v>
      </c>
      <c r="S177" s="563">
        <f t="shared" si="11"/>
        <v>4.9713193116634802E-2</v>
      </c>
      <c r="AA177" s="594">
        <v>41817</v>
      </c>
      <c r="AB177" s="595" t="s">
        <v>449</v>
      </c>
      <c r="AC177" s="595">
        <v>29343.759999999998</v>
      </c>
      <c r="AD177" s="596" t="s">
        <v>395</v>
      </c>
      <c r="AE177" s="595">
        <v>132</v>
      </c>
      <c r="AF177" s="597">
        <f t="shared" si="12"/>
        <v>1.1887639000339068E-2</v>
      </c>
      <c r="AG177" s="597">
        <f t="shared" si="13"/>
        <v>7.6335877862594437E-3</v>
      </c>
    </row>
    <row r="178" spans="13:33" x14ac:dyDescent="0.35">
      <c r="M178" s="555">
        <v>41827</v>
      </c>
      <c r="N178" s="543" t="s">
        <v>449</v>
      </c>
      <c r="O178" s="543">
        <v>29528.959999999999</v>
      </c>
      <c r="P178" s="73" t="s">
        <v>431</v>
      </c>
      <c r="Q178" s="158">
        <v>21.73</v>
      </c>
      <c r="R178" s="563">
        <f t="shared" si="10"/>
        <v>-3.0682137378189589E-3</v>
      </c>
      <c r="S178" s="563">
        <f t="shared" si="11"/>
        <v>-1.0473588342440832E-2</v>
      </c>
      <c r="AA178" s="594">
        <v>41823</v>
      </c>
      <c r="AB178" s="595" t="s">
        <v>449</v>
      </c>
      <c r="AC178" s="595">
        <v>29697.79</v>
      </c>
      <c r="AD178" s="596" t="s">
        <v>395</v>
      </c>
      <c r="AE178" s="595">
        <v>131.25</v>
      </c>
      <c r="AF178" s="597">
        <f t="shared" si="12"/>
        <v>1.2064916016216065E-2</v>
      </c>
      <c r="AG178" s="597">
        <f t="shared" si="13"/>
        <v>-5.6818181818182323E-3</v>
      </c>
    </row>
    <row r="179" spans="13:33" x14ac:dyDescent="0.35">
      <c r="M179" s="555">
        <v>41828</v>
      </c>
      <c r="N179" s="543" t="s">
        <v>449</v>
      </c>
      <c r="O179" s="543">
        <v>29497.57</v>
      </c>
      <c r="P179" s="73" t="s">
        <v>431</v>
      </c>
      <c r="Q179" s="158">
        <v>21.6</v>
      </c>
      <c r="R179" s="563">
        <f t="shared" si="10"/>
        <v>-1.0630242311276961E-3</v>
      </c>
      <c r="S179" s="563">
        <f t="shared" si="11"/>
        <v>-5.9825126553152419E-3</v>
      </c>
      <c r="AA179" s="594">
        <v>41824</v>
      </c>
      <c r="AB179" s="595" t="s">
        <v>449</v>
      </c>
      <c r="AC179" s="595">
        <v>29619.84</v>
      </c>
      <c r="AD179" s="596" t="s">
        <v>395</v>
      </c>
      <c r="AE179" s="595">
        <v>130</v>
      </c>
      <c r="AF179" s="597">
        <f t="shared" si="12"/>
        <v>-2.6247744360775593E-3</v>
      </c>
      <c r="AG179" s="597">
        <f t="shared" si="13"/>
        <v>-9.52380952380949E-3</v>
      </c>
    </row>
    <row r="180" spans="13:33" x14ac:dyDescent="0.35">
      <c r="M180" s="555">
        <v>41829</v>
      </c>
      <c r="N180" s="543" t="s">
        <v>449</v>
      </c>
      <c r="O180" s="543">
        <v>29477.29</v>
      </c>
      <c r="P180" s="73" t="s">
        <v>431</v>
      </c>
      <c r="Q180" s="158">
        <v>21.02</v>
      </c>
      <c r="R180" s="563">
        <f t="shared" si="10"/>
        <v>-6.8751425964919122E-4</v>
      </c>
      <c r="S180" s="563">
        <f t="shared" si="11"/>
        <v>-2.6851851851851904E-2</v>
      </c>
      <c r="AA180" s="589">
        <v>41827</v>
      </c>
      <c r="AB180" s="590" t="s">
        <v>449</v>
      </c>
      <c r="AC180" s="590">
        <v>29528.959999999999</v>
      </c>
      <c r="AD180" s="591" t="s">
        <v>395</v>
      </c>
      <c r="AE180" s="590">
        <v>130</v>
      </c>
      <c r="AF180" s="592">
        <f t="shared" si="12"/>
        <v>-3.0682137378189589E-3</v>
      </c>
      <c r="AG180" s="592">
        <f t="shared" si="13"/>
        <v>0</v>
      </c>
    </row>
    <row r="181" spans="13:33" x14ac:dyDescent="0.35">
      <c r="M181" s="555">
        <v>41830</v>
      </c>
      <c r="N181" s="543" t="s">
        <v>449</v>
      </c>
      <c r="O181" s="543">
        <v>29353.119999999999</v>
      </c>
      <c r="P181" s="73" t="s">
        <v>431</v>
      </c>
      <c r="Q181" s="158">
        <v>20.27</v>
      </c>
      <c r="R181" s="563">
        <f t="shared" si="10"/>
        <v>-4.2123953728446795E-3</v>
      </c>
      <c r="S181" s="563">
        <f t="shared" si="11"/>
        <v>-3.568030447193149E-2</v>
      </c>
      <c r="AA181" s="589">
        <v>41828</v>
      </c>
      <c r="AB181" s="590" t="s">
        <v>449</v>
      </c>
      <c r="AC181" s="590">
        <v>29497.57</v>
      </c>
      <c r="AD181" s="591" t="s">
        <v>395</v>
      </c>
      <c r="AE181" s="590">
        <v>131.09</v>
      </c>
      <c r="AF181" s="592">
        <f t="shared" si="12"/>
        <v>-1.0630242311276961E-3</v>
      </c>
      <c r="AG181" s="592">
        <f t="shared" si="13"/>
        <v>8.3846153846154348E-3</v>
      </c>
    </row>
    <row r="182" spans="13:33" x14ac:dyDescent="0.35">
      <c r="M182" s="555">
        <v>41831</v>
      </c>
      <c r="N182" s="543" t="s">
        <v>449</v>
      </c>
      <c r="O182" s="543">
        <v>29318.06</v>
      </c>
      <c r="P182" s="73" t="s">
        <v>431</v>
      </c>
      <c r="Q182" s="158">
        <v>20.29</v>
      </c>
      <c r="R182" s="563">
        <f t="shared" si="10"/>
        <v>-1.1944215810788528E-3</v>
      </c>
      <c r="S182" s="563">
        <f t="shared" si="11"/>
        <v>9.8667982239764029E-4</v>
      </c>
      <c r="AA182" s="589">
        <v>41829</v>
      </c>
      <c r="AB182" s="590" t="s">
        <v>449</v>
      </c>
      <c r="AC182" s="590">
        <v>29477.29</v>
      </c>
      <c r="AD182" s="591" t="s">
        <v>395</v>
      </c>
      <c r="AE182" s="590">
        <v>130.5</v>
      </c>
      <c r="AF182" s="592">
        <f t="shared" si="12"/>
        <v>-6.8751425964919122E-4</v>
      </c>
      <c r="AG182" s="592">
        <f t="shared" si="13"/>
        <v>-4.500724692959035E-3</v>
      </c>
    </row>
    <row r="183" spans="13:33" x14ac:dyDescent="0.35">
      <c r="M183" s="555">
        <v>41834</v>
      </c>
      <c r="N183" s="543" t="s">
        <v>449</v>
      </c>
      <c r="O183" s="543">
        <v>29705.07</v>
      </c>
      <c r="P183" s="73" t="s">
        <v>431</v>
      </c>
      <c r="Q183" s="158">
        <v>21.3</v>
      </c>
      <c r="R183" s="563">
        <f t="shared" si="10"/>
        <v>1.3200395933427922E-2</v>
      </c>
      <c r="S183" s="563">
        <f t="shared" si="11"/>
        <v>4.9778215869886733E-2</v>
      </c>
      <c r="AA183" s="589">
        <v>41830</v>
      </c>
      <c r="AB183" s="590" t="s">
        <v>449</v>
      </c>
      <c r="AC183" s="590">
        <v>29353.119999999999</v>
      </c>
      <c r="AD183" s="591" t="s">
        <v>395</v>
      </c>
      <c r="AE183" s="590">
        <v>127.5</v>
      </c>
      <c r="AF183" s="592">
        <f t="shared" si="12"/>
        <v>-4.2123953728446795E-3</v>
      </c>
      <c r="AG183" s="592">
        <f t="shared" si="13"/>
        <v>-2.2988505747126409E-2</v>
      </c>
    </row>
    <row r="184" spans="13:33" x14ac:dyDescent="0.35">
      <c r="M184" s="555">
        <v>41835</v>
      </c>
      <c r="N184" s="543" t="s">
        <v>449</v>
      </c>
      <c r="O184" s="543">
        <v>29683.97</v>
      </c>
      <c r="P184" s="73" t="s">
        <v>431</v>
      </c>
      <c r="Q184" s="158">
        <v>21.23</v>
      </c>
      <c r="R184" s="563">
        <f t="shared" si="10"/>
        <v>-7.1031645439645352E-4</v>
      </c>
      <c r="S184" s="563">
        <f t="shared" si="11"/>
        <v>-3.2863849765257802E-3</v>
      </c>
      <c r="AA184" s="589">
        <v>41831</v>
      </c>
      <c r="AB184" s="590" t="s">
        <v>449</v>
      </c>
      <c r="AC184" s="590">
        <v>29318.06</v>
      </c>
      <c r="AD184" s="591" t="s">
        <v>395</v>
      </c>
      <c r="AE184" s="590">
        <v>127.5</v>
      </c>
      <c r="AF184" s="592">
        <f t="shared" si="12"/>
        <v>-1.1944215810788528E-3</v>
      </c>
      <c r="AG184" s="592">
        <f t="shared" si="13"/>
        <v>0</v>
      </c>
    </row>
    <row r="185" spans="13:33" x14ac:dyDescent="0.35">
      <c r="M185" s="555">
        <v>41836</v>
      </c>
      <c r="N185" s="543" t="s">
        <v>449</v>
      </c>
      <c r="O185" s="543">
        <v>29776.17</v>
      </c>
      <c r="P185" s="73" t="s">
        <v>431</v>
      </c>
      <c r="Q185" s="158">
        <v>20.82</v>
      </c>
      <c r="R185" s="563">
        <f t="shared" si="10"/>
        <v>3.1060535366393971E-3</v>
      </c>
      <c r="S185" s="563">
        <f t="shared" si="11"/>
        <v>-1.9312293923692936E-2</v>
      </c>
      <c r="AA185" s="594">
        <v>41834</v>
      </c>
      <c r="AB185" s="595" t="s">
        <v>449</v>
      </c>
      <c r="AC185" s="595">
        <v>29705.07</v>
      </c>
      <c r="AD185" s="596" t="s">
        <v>395</v>
      </c>
      <c r="AE185" s="595">
        <v>127.5</v>
      </c>
      <c r="AF185" s="597">
        <f t="shared" si="12"/>
        <v>1.3200395933427922E-2</v>
      </c>
      <c r="AG185" s="597">
        <f t="shared" si="13"/>
        <v>0</v>
      </c>
    </row>
    <row r="186" spans="13:33" x14ac:dyDescent="0.35">
      <c r="M186" s="555">
        <v>41837</v>
      </c>
      <c r="N186" s="543" t="s">
        <v>449</v>
      </c>
      <c r="O186" s="543">
        <v>30177.11</v>
      </c>
      <c r="P186" s="73" t="s">
        <v>431</v>
      </c>
      <c r="Q186" s="158">
        <v>20.63</v>
      </c>
      <c r="R186" s="563">
        <f t="shared" si="10"/>
        <v>1.3465130001608649E-2</v>
      </c>
      <c r="S186" s="563">
        <f t="shared" si="11"/>
        <v>-9.1258405379442964E-3</v>
      </c>
      <c r="AA186" s="594">
        <v>41835</v>
      </c>
      <c r="AB186" s="595" t="s">
        <v>449</v>
      </c>
      <c r="AC186" s="595">
        <v>29683.97</v>
      </c>
      <c r="AD186" s="596" t="s">
        <v>395</v>
      </c>
      <c r="AE186" s="595">
        <v>133</v>
      </c>
      <c r="AF186" s="597">
        <f t="shared" si="12"/>
        <v>-7.1031645439645352E-4</v>
      </c>
      <c r="AG186" s="597">
        <f t="shared" si="13"/>
        <v>4.3137254901960853E-2</v>
      </c>
    </row>
    <row r="187" spans="13:33" x14ac:dyDescent="0.35">
      <c r="M187" s="555">
        <v>41838</v>
      </c>
      <c r="N187" s="543" t="s">
        <v>449</v>
      </c>
      <c r="O187" s="543">
        <v>30224.89</v>
      </c>
      <c r="P187" s="73" t="s">
        <v>431</v>
      </c>
      <c r="Q187" s="158">
        <v>20.5</v>
      </c>
      <c r="R187" s="563">
        <f t="shared" si="10"/>
        <v>1.583319277425721E-3</v>
      </c>
      <c r="S187" s="563">
        <f t="shared" si="11"/>
        <v>-6.3015026660203644E-3</v>
      </c>
      <c r="AA187" s="594">
        <v>41836</v>
      </c>
      <c r="AB187" s="595" t="s">
        <v>449</v>
      </c>
      <c r="AC187" s="595">
        <v>29776.17</v>
      </c>
      <c r="AD187" s="596" t="s">
        <v>395</v>
      </c>
      <c r="AE187" s="595">
        <v>133</v>
      </c>
      <c r="AF187" s="597">
        <f t="shared" si="12"/>
        <v>3.1060535366393971E-3</v>
      </c>
      <c r="AG187" s="597">
        <f t="shared" si="13"/>
        <v>0</v>
      </c>
    </row>
    <row r="188" spans="13:33" x14ac:dyDescent="0.35">
      <c r="M188" s="555">
        <v>41841</v>
      </c>
      <c r="N188" s="543" t="s">
        <v>449</v>
      </c>
      <c r="O188" s="543">
        <v>30413.23</v>
      </c>
      <c r="P188" s="73" t="s">
        <v>431</v>
      </c>
      <c r="Q188" s="158">
        <v>20.29</v>
      </c>
      <c r="R188" s="563">
        <f t="shared" si="10"/>
        <v>6.2312881866568581E-3</v>
      </c>
      <c r="S188" s="563">
        <f t="shared" si="11"/>
        <v>-1.0243902439024399E-2</v>
      </c>
      <c r="AA188" s="594">
        <v>41837</v>
      </c>
      <c r="AB188" s="595" t="s">
        <v>449</v>
      </c>
      <c r="AC188" s="595">
        <v>30177.11</v>
      </c>
      <c r="AD188" s="596" t="s">
        <v>395</v>
      </c>
      <c r="AE188" s="595">
        <v>134.5</v>
      </c>
      <c r="AF188" s="597">
        <f t="shared" si="12"/>
        <v>1.3465130001608649E-2</v>
      </c>
      <c r="AG188" s="597">
        <f t="shared" si="13"/>
        <v>1.1278195488721776E-2</v>
      </c>
    </row>
    <row r="189" spans="13:33" x14ac:dyDescent="0.35">
      <c r="M189" s="555">
        <v>41842</v>
      </c>
      <c r="N189" s="543" t="s">
        <v>449</v>
      </c>
      <c r="O189" s="543">
        <v>30402.09</v>
      </c>
      <c r="P189" s="73" t="s">
        <v>431</v>
      </c>
      <c r="Q189" s="158">
        <v>20.27</v>
      </c>
      <c r="R189" s="563">
        <f t="shared" si="10"/>
        <v>-3.6628796086435322E-4</v>
      </c>
      <c r="S189" s="563">
        <f t="shared" si="11"/>
        <v>-9.8570724494817519E-4</v>
      </c>
      <c r="AA189" s="594">
        <v>41838</v>
      </c>
      <c r="AB189" s="595" t="s">
        <v>449</v>
      </c>
      <c r="AC189" s="595">
        <v>30224.89</v>
      </c>
      <c r="AD189" s="596" t="s">
        <v>395</v>
      </c>
      <c r="AE189" s="595">
        <v>130</v>
      </c>
      <c r="AF189" s="597">
        <f t="shared" si="12"/>
        <v>1.583319277425721E-3</v>
      </c>
      <c r="AG189" s="597">
        <f t="shared" si="13"/>
        <v>-3.3457249070631967E-2</v>
      </c>
    </row>
    <row r="190" spans="13:33" x14ac:dyDescent="0.35">
      <c r="M190" s="526">
        <v>41844</v>
      </c>
      <c r="N190" s="524" t="s">
        <v>449</v>
      </c>
      <c r="O190" s="524">
        <v>30474.75</v>
      </c>
      <c r="P190" s="73" t="s">
        <v>431</v>
      </c>
      <c r="Q190">
        <v>19.88</v>
      </c>
      <c r="R190" s="563">
        <f t="shared" si="10"/>
        <v>2.389967268697557E-3</v>
      </c>
      <c r="S190" s="563">
        <f t="shared" si="11"/>
        <v>-1.9240256536753875E-2</v>
      </c>
      <c r="AA190" s="594">
        <v>41841</v>
      </c>
      <c r="AB190" s="595" t="s">
        <v>449</v>
      </c>
      <c r="AC190" s="595">
        <v>30413.23</v>
      </c>
      <c r="AD190" s="596" t="s">
        <v>395</v>
      </c>
      <c r="AE190" s="595">
        <v>132.13999999999999</v>
      </c>
      <c r="AF190" s="597">
        <f t="shared" si="12"/>
        <v>6.2312881866568581E-3</v>
      </c>
      <c r="AG190" s="597">
        <f t="shared" si="13"/>
        <v>1.6461538461538305E-2</v>
      </c>
    </row>
    <row r="191" spans="13:33" x14ac:dyDescent="0.35">
      <c r="M191" s="555">
        <v>41848</v>
      </c>
      <c r="N191" s="543" t="s">
        <v>449</v>
      </c>
      <c r="O191" s="543">
        <v>30314.07</v>
      </c>
      <c r="P191" s="73" t="s">
        <v>431</v>
      </c>
      <c r="Q191" s="158">
        <v>19.690000000000001</v>
      </c>
      <c r="R191" s="563">
        <f t="shared" si="10"/>
        <v>-5.2725617109246059E-3</v>
      </c>
      <c r="S191" s="563">
        <f t="shared" si="11"/>
        <v>-9.5573440643862417E-3</v>
      </c>
      <c r="AA191" s="594">
        <v>41842</v>
      </c>
      <c r="AB191" s="595" t="s">
        <v>449</v>
      </c>
      <c r="AC191" s="595">
        <v>30402.09</v>
      </c>
      <c r="AD191" s="596" t="s">
        <v>395</v>
      </c>
      <c r="AE191" s="595">
        <v>132.87</v>
      </c>
      <c r="AF191" s="597">
        <f t="shared" si="12"/>
        <v>-3.6628796086435322E-4</v>
      </c>
      <c r="AG191" s="597">
        <f t="shared" si="13"/>
        <v>5.5244437717574257E-3</v>
      </c>
    </row>
    <row r="192" spans="13:33" x14ac:dyDescent="0.35">
      <c r="M192" s="555">
        <v>41855</v>
      </c>
      <c r="N192" s="543" t="s">
        <v>449</v>
      </c>
      <c r="O192" s="543">
        <v>29647.83</v>
      </c>
      <c r="P192" s="73" t="s">
        <v>431</v>
      </c>
      <c r="Q192" s="158">
        <v>18.79</v>
      </c>
      <c r="R192" s="563">
        <f t="shared" si="10"/>
        <v>-2.1977913226432388E-2</v>
      </c>
      <c r="S192" s="563">
        <f t="shared" si="11"/>
        <v>-4.570848146267148E-2</v>
      </c>
      <c r="AA192" s="594">
        <v>41844</v>
      </c>
      <c r="AB192" s="595" t="s">
        <v>449</v>
      </c>
      <c r="AC192" s="595">
        <v>30474.75</v>
      </c>
      <c r="AD192" s="596" t="s">
        <v>395</v>
      </c>
      <c r="AE192" s="595">
        <v>132.01</v>
      </c>
      <c r="AF192" s="597">
        <f t="shared" si="12"/>
        <v>2.389967268697557E-3</v>
      </c>
      <c r="AG192" s="597">
        <f t="shared" si="13"/>
        <v>-6.4724919093852584E-3</v>
      </c>
    </row>
    <row r="193" spans="13:33" x14ac:dyDescent="0.35">
      <c r="M193" s="555">
        <v>41856</v>
      </c>
      <c r="N193" s="543" t="s">
        <v>449</v>
      </c>
      <c r="O193" s="543">
        <v>29676.41</v>
      </c>
      <c r="P193" s="73" t="s">
        <v>431</v>
      </c>
      <c r="Q193" s="158">
        <v>18.66</v>
      </c>
      <c r="R193" s="563">
        <f t="shared" si="10"/>
        <v>9.6398286147758583E-4</v>
      </c>
      <c r="S193" s="563">
        <f t="shared" si="11"/>
        <v>-6.9185737094198396E-3</v>
      </c>
      <c r="AA193" s="594">
        <v>41848</v>
      </c>
      <c r="AB193" s="595" t="s">
        <v>449</v>
      </c>
      <c r="AC193" s="595">
        <v>30314.07</v>
      </c>
      <c r="AD193" s="596" t="s">
        <v>395</v>
      </c>
      <c r="AE193" s="595">
        <v>132</v>
      </c>
      <c r="AF193" s="597">
        <f t="shared" si="12"/>
        <v>-5.2725617109246059E-3</v>
      </c>
      <c r="AG193" s="597">
        <f t="shared" si="13"/>
        <v>-7.575183698194099E-5</v>
      </c>
    </row>
    <row r="194" spans="13:33" x14ac:dyDescent="0.35">
      <c r="M194" s="555">
        <v>41857</v>
      </c>
      <c r="N194" s="543" t="s">
        <v>449</v>
      </c>
      <c r="O194" s="543">
        <v>29382.97</v>
      </c>
      <c r="P194" s="73" t="s">
        <v>431</v>
      </c>
      <c r="Q194" s="158">
        <v>18.84</v>
      </c>
      <c r="R194" s="563">
        <f t="shared" si="10"/>
        <v>-9.8879884729992096E-3</v>
      </c>
      <c r="S194" s="563">
        <f t="shared" si="11"/>
        <v>9.6463022508037621E-3</v>
      </c>
      <c r="AA194" s="594">
        <v>41855</v>
      </c>
      <c r="AB194" s="595" t="s">
        <v>449</v>
      </c>
      <c r="AC194" s="595">
        <v>29647.83</v>
      </c>
      <c r="AD194" s="596" t="s">
        <v>395</v>
      </c>
      <c r="AE194" s="595">
        <v>132</v>
      </c>
      <c r="AF194" s="597">
        <f t="shared" si="12"/>
        <v>-2.1977913226432388E-2</v>
      </c>
      <c r="AG194" s="597">
        <f t="shared" si="13"/>
        <v>0</v>
      </c>
    </row>
    <row r="195" spans="13:33" x14ac:dyDescent="0.35">
      <c r="M195" s="555">
        <v>41858</v>
      </c>
      <c r="N195" s="543" t="s">
        <v>449</v>
      </c>
      <c r="O195" s="543">
        <v>29537.040000000001</v>
      </c>
      <c r="P195" s="73" t="s">
        <v>431</v>
      </c>
      <c r="Q195" s="158">
        <v>18.920000000000002</v>
      </c>
      <c r="R195" s="563">
        <f t="shared" si="10"/>
        <v>5.2435135045911796E-3</v>
      </c>
      <c r="S195" s="563">
        <f t="shared" si="11"/>
        <v>4.2462845010615702E-3</v>
      </c>
      <c r="AA195" s="589">
        <v>41856</v>
      </c>
      <c r="AB195" s="590" t="s">
        <v>449</v>
      </c>
      <c r="AC195" s="590">
        <v>29676.41</v>
      </c>
      <c r="AD195" s="591" t="s">
        <v>395</v>
      </c>
      <c r="AE195" s="590">
        <v>131.75</v>
      </c>
      <c r="AF195" s="592">
        <f t="shared" si="12"/>
        <v>9.6398286147758583E-4</v>
      </c>
      <c r="AG195" s="592">
        <f t="shared" si="13"/>
        <v>-1.8939393939394478E-3</v>
      </c>
    </row>
    <row r="196" spans="13:33" x14ac:dyDescent="0.35">
      <c r="M196" s="555">
        <v>41859</v>
      </c>
      <c r="N196" s="543" t="s">
        <v>449</v>
      </c>
      <c r="O196" s="543">
        <v>29380.5</v>
      </c>
      <c r="P196" s="73" t="s">
        <v>431</v>
      </c>
      <c r="Q196" s="158">
        <v>18.41</v>
      </c>
      <c r="R196" s="563">
        <f t="shared" si="10"/>
        <v>-5.2997863022158365E-3</v>
      </c>
      <c r="S196" s="563">
        <f t="shared" si="11"/>
        <v>-2.6955602536997914E-2</v>
      </c>
      <c r="AA196" s="589">
        <v>41857</v>
      </c>
      <c r="AB196" s="590" t="s">
        <v>449</v>
      </c>
      <c r="AC196" s="590">
        <v>29382.97</v>
      </c>
      <c r="AD196" s="591" t="s">
        <v>395</v>
      </c>
      <c r="AE196" s="590">
        <v>131.87</v>
      </c>
      <c r="AF196" s="592">
        <f t="shared" si="12"/>
        <v>-9.8879884729992096E-3</v>
      </c>
      <c r="AG196" s="592">
        <f t="shared" si="13"/>
        <v>9.1081593927899718E-4</v>
      </c>
    </row>
    <row r="197" spans="13:33" x14ac:dyDescent="0.35">
      <c r="M197" s="555">
        <v>41862</v>
      </c>
      <c r="N197" s="543" t="s">
        <v>449</v>
      </c>
      <c r="O197" s="543">
        <v>28071.41</v>
      </c>
      <c r="P197" s="73" t="s">
        <v>431</v>
      </c>
      <c r="Q197" s="158">
        <v>18.600000000000001</v>
      </c>
      <c r="R197" s="563">
        <f t="shared" si="10"/>
        <v>-4.4556423478157248E-2</v>
      </c>
      <c r="S197" s="563">
        <f t="shared" si="11"/>
        <v>1.0320478001086375E-2</v>
      </c>
      <c r="AA197" s="589">
        <v>41858</v>
      </c>
      <c r="AB197" s="590" t="s">
        <v>449</v>
      </c>
      <c r="AC197" s="590">
        <v>29537.040000000001</v>
      </c>
      <c r="AD197" s="591" t="s">
        <v>395</v>
      </c>
      <c r="AE197" s="590">
        <v>135.91999999999999</v>
      </c>
      <c r="AF197" s="592">
        <f t="shared" si="12"/>
        <v>5.2435135045911796E-3</v>
      </c>
      <c r="AG197" s="592">
        <f t="shared" si="13"/>
        <v>3.0712064912413517E-2</v>
      </c>
    </row>
    <row r="198" spans="13:33" x14ac:dyDescent="0.35">
      <c r="M198" s="555">
        <v>41863</v>
      </c>
      <c r="N198" s="543" t="s">
        <v>449</v>
      </c>
      <c r="O198" s="543">
        <v>28304.5</v>
      </c>
      <c r="P198" s="73" t="s">
        <v>431</v>
      </c>
      <c r="Q198" s="158">
        <v>19.489999999999998</v>
      </c>
      <c r="R198" s="563">
        <f t="shared" si="10"/>
        <v>8.3034660531835502E-3</v>
      </c>
      <c r="S198" s="563">
        <f t="shared" si="11"/>
        <v>4.7849462365591178E-2</v>
      </c>
      <c r="AA198" s="589">
        <v>41859</v>
      </c>
      <c r="AB198" s="590" t="s">
        <v>449</v>
      </c>
      <c r="AC198" s="590">
        <v>29380.5</v>
      </c>
      <c r="AD198" s="591" t="s">
        <v>395</v>
      </c>
      <c r="AE198" s="590">
        <v>138.25</v>
      </c>
      <c r="AF198" s="592">
        <f t="shared" si="12"/>
        <v>-5.2997863022158365E-3</v>
      </c>
      <c r="AG198" s="592">
        <f t="shared" si="13"/>
        <v>1.7142436727486832E-2</v>
      </c>
    </row>
    <row r="199" spans="13:33" x14ac:dyDescent="0.35">
      <c r="M199" s="555">
        <v>41864</v>
      </c>
      <c r="N199" s="543" t="s">
        <v>449</v>
      </c>
      <c r="O199" s="543">
        <v>28505.55</v>
      </c>
      <c r="P199" s="73" t="s">
        <v>431</v>
      </c>
      <c r="Q199" s="158">
        <v>20.21</v>
      </c>
      <c r="R199" s="563">
        <f t="shared" si="10"/>
        <v>7.1031108127681541E-3</v>
      </c>
      <c r="S199" s="563">
        <f t="shared" si="11"/>
        <v>3.6942021549512649E-2</v>
      </c>
      <c r="AA199" s="589">
        <v>41862</v>
      </c>
      <c r="AB199" s="590" t="s">
        <v>449</v>
      </c>
      <c r="AC199" s="590">
        <v>28071.41</v>
      </c>
      <c r="AD199" s="591" t="s">
        <v>395</v>
      </c>
      <c r="AE199" s="590">
        <v>131.5</v>
      </c>
      <c r="AF199" s="592">
        <f t="shared" si="12"/>
        <v>-4.4556423478157248E-2</v>
      </c>
      <c r="AG199" s="592">
        <f t="shared" si="13"/>
        <v>-4.8824593128390603E-2</v>
      </c>
    </row>
    <row r="200" spans="13:33" x14ac:dyDescent="0.35">
      <c r="M200" s="555">
        <v>41866</v>
      </c>
      <c r="N200" s="543" t="s">
        <v>449</v>
      </c>
      <c r="O200" s="543">
        <v>28917.75</v>
      </c>
      <c r="P200" s="73" t="s">
        <v>431</v>
      </c>
      <c r="Q200" s="158">
        <v>20.58</v>
      </c>
      <c r="R200" s="563">
        <f t="shared" si="10"/>
        <v>1.4460341933413057E-2</v>
      </c>
      <c r="S200" s="563">
        <f t="shared" si="11"/>
        <v>1.8307768431469418E-2</v>
      </c>
      <c r="AA200" s="589">
        <v>41863</v>
      </c>
      <c r="AB200" s="590" t="s">
        <v>449</v>
      </c>
      <c r="AC200" s="590">
        <v>28304.5</v>
      </c>
      <c r="AD200" s="591" t="s">
        <v>395</v>
      </c>
      <c r="AE200" s="590">
        <v>135</v>
      </c>
      <c r="AF200" s="592">
        <f t="shared" si="12"/>
        <v>8.3034660531835502E-3</v>
      </c>
      <c r="AG200" s="592">
        <f t="shared" si="13"/>
        <v>2.6615969581748944E-2</v>
      </c>
    </row>
    <row r="201" spans="13:33" x14ac:dyDescent="0.35">
      <c r="M201" s="555">
        <v>41869</v>
      </c>
      <c r="N201" s="543" t="s">
        <v>449</v>
      </c>
      <c r="O201" s="543">
        <v>28852.15</v>
      </c>
      <c r="P201" s="73" t="s">
        <v>431</v>
      </c>
      <c r="Q201" s="158">
        <v>20.46</v>
      </c>
      <c r="R201" s="563">
        <f t="shared" si="10"/>
        <v>-2.2685029091128461E-3</v>
      </c>
      <c r="S201" s="563">
        <f t="shared" si="11"/>
        <v>-5.8309037900873273E-3</v>
      </c>
      <c r="AA201" s="589">
        <v>41864</v>
      </c>
      <c r="AB201" s="590" t="s">
        <v>449</v>
      </c>
      <c r="AC201" s="590">
        <v>28505.55</v>
      </c>
      <c r="AD201" s="591" t="s">
        <v>395</v>
      </c>
      <c r="AE201" s="590">
        <v>131</v>
      </c>
      <c r="AF201" s="592">
        <f t="shared" si="12"/>
        <v>7.1031108127681541E-3</v>
      </c>
      <c r="AG201" s="592">
        <f t="shared" si="13"/>
        <v>-2.9629629629629672E-2</v>
      </c>
    </row>
    <row r="202" spans="13:33" x14ac:dyDescent="0.35">
      <c r="M202" s="526">
        <v>41871</v>
      </c>
      <c r="N202" s="524" t="s">
        <v>449</v>
      </c>
      <c r="O202" s="524">
        <v>28664.84</v>
      </c>
      <c r="P202" s="73" t="s">
        <v>431</v>
      </c>
      <c r="Q202">
        <v>20.309999999999999</v>
      </c>
      <c r="R202" s="563">
        <f t="shared" si="10"/>
        <v>-6.4920638496611671E-3</v>
      </c>
      <c r="S202" s="563">
        <f t="shared" si="11"/>
        <v>-7.3313782991203391E-3</v>
      </c>
      <c r="AA202" s="589">
        <v>41866</v>
      </c>
      <c r="AB202" s="590" t="s">
        <v>449</v>
      </c>
      <c r="AC202" s="590">
        <v>28917.75</v>
      </c>
      <c r="AD202" s="591" t="s">
        <v>395</v>
      </c>
      <c r="AE202" s="590">
        <v>133.55000000000001</v>
      </c>
      <c r="AF202" s="592">
        <f t="shared" si="12"/>
        <v>1.4460341933413057E-2</v>
      </c>
      <c r="AG202" s="592">
        <f t="shared" si="13"/>
        <v>1.9465648854961826E-2</v>
      </c>
    </row>
    <row r="203" spans="13:33" x14ac:dyDescent="0.35">
      <c r="M203" s="555">
        <v>41872</v>
      </c>
      <c r="N203" s="543" t="s">
        <v>449</v>
      </c>
      <c r="O203" s="543">
        <v>28865.25</v>
      </c>
      <c r="P203" s="73" t="s">
        <v>431</v>
      </c>
      <c r="Q203" s="158">
        <v>20.67</v>
      </c>
      <c r="R203" s="563">
        <f t="shared" si="10"/>
        <v>6.9914920160027982E-3</v>
      </c>
      <c r="S203" s="563">
        <f t="shared" si="11"/>
        <v>1.7725258493353158E-2</v>
      </c>
      <c r="AA203" s="589">
        <v>41869</v>
      </c>
      <c r="AB203" s="590" t="s">
        <v>449</v>
      </c>
      <c r="AC203" s="590">
        <v>28852.15</v>
      </c>
      <c r="AD203" s="591" t="s">
        <v>395</v>
      </c>
      <c r="AE203" s="590">
        <v>133.44999999999999</v>
      </c>
      <c r="AF203" s="592">
        <f t="shared" si="12"/>
        <v>-2.2685029091128461E-3</v>
      </c>
      <c r="AG203" s="592">
        <f t="shared" si="13"/>
        <v>-7.487832272559114E-4</v>
      </c>
    </row>
    <row r="204" spans="13:33" x14ac:dyDescent="0.35">
      <c r="M204" s="555">
        <v>41873</v>
      </c>
      <c r="N204" s="543" t="s">
        <v>449</v>
      </c>
      <c r="O204" s="543">
        <v>28871.75</v>
      </c>
      <c r="P204" s="73" t="s">
        <v>431</v>
      </c>
      <c r="Q204" s="158">
        <v>20.420000000000002</v>
      </c>
      <c r="R204" s="563">
        <f t="shared" si="10"/>
        <v>2.2518426135231806E-4</v>
      </c>
      <c r="S204" s="563">
        <f t="shared" si="11"/>
        <v>-1.2094823415578104E-2</v>
      </c>
      <c r="AA204" s="589">
        <v>41871</v>
      </c>
      <c r="AB204" s="590" t="s">
        <v>449</v>
      </c>
      <c r="AC204" s="590">
        <v>28664.84</v>
      </c>
      <c r="AD204" s="591" t="s">
        <v>395</v>
      </c>
      <c r="AE204" s="590">
        <v>132</v>
      </c>
      <c r="AF204" s="592">
        <f t="shared" si="12"/>
        <v>-6.4920638496611671E-3</v>
      </c>
      <c r="AG204" s="592">
        <f t="shared" si="13"/>
        <v>-1.0865492693892809E-2</v>
      </c>
    </row>
    <row r="205" spans="13:33" x14ac:dyDescent="0.35">
      <c r="M205" s="555">
        <v>41876</v>
      </c>
      <c r="N205" s="543" t="s">
        <v>449</v>
      </c>
      <c r="O205" s="543">
        <v>28519.34</v>
      </c>
      <c r="P205" s="73" t="s">
        <v>431</v>
      </c>
      <c r="Q205" s="158">
        <v>19.899999999999999</v>
      </c>
      <c r="R205" s="563">
        <f t="shared" si="10"/>
        <v>-1.2206049165707E-2</v>
      </c>
      <c r="S205" s="563">
        <f t="shared" si="11"/>
        <v>-2.5465230166503594E-2</v>
      </c>
      <c r="AA205" s="589">
        <v>41872</v>
      </c>
      <c r="AB205" s="590" t="s">
        <v>449</v>
      </c>
      <c r="AC205" s="590">
        <v>28865.25</v>
      </c>
      <c r="AD205" s="591" t="s">
        <v>395</v>
      </c>
      <c r="AE205" s="590">
        <v>133.5</v>
      </c>
      <c r="AF205" s="592">
        <f t="shared" si="12"/>
        <v>6.9914920160027982E-3</v>
      </c>
      <c r="AG205" s="592">
        <f t="shared" si="13"/>
        <v>1.1363636363636465E-2</v>
      </c>
    </row>
    <row r="206" spans="13:33" x14ac:dyDescent="0.35">
      <c r="M206" s="526">
        <v>41879</v>
      </c>
      <c r="N206" s="524" t="s">
        <v>449</v>
      </c>
      <c r="O206" s="524">
        <v>27774.43</v>
      </c>
      <c r="P206" s="73" t="s">
        <v>431</v>
      </c>
      <c r="Q206">
        <v>19.72</v>
      </c>
      <c r="R206" s="563">
        <f t="shared" si="10"/>
        <v>-2.6119468402845181E-2</v>
      </c>
      <c r="S206" s="563">
        <f t="shared" si="11"/>
        <v>-9.0452261306532833E-3</v>
      </c>
      <c r="AA206" s="589">
        <v>41873</v>
      </c>
      <c r="AB206" s="590" t="s">
        <v>449</v>
      </c>
      <c r="AC206" s="590">
        <v>28871.75</v>
      </c>
      <c r="AD206" s="591" t="s">
        <v>395</v>
      </c>
      <c r="AE206" s="590">
        <v>135.51</v>
      </c>
      <c r="AF206" s="592">
        <f t="shared" si="12"/>
        <v>2.2518426135231806E-4</v>
      </c>
      <c r="AG206" s="592">
        <f t="shared" si="13"/>
        <v>1.5056179775280842E-2</v>
      </c>
    </row>
    <row r="207" spans="13:33" x14ac:dyDescent="0.35">
      <c r="M207" s="555">
        <v>41880</v>
      </c>
      <c r="N207" s="543" t="s">
        <v>449</v>
      </c>
      <c r="O207" s="543">
        <v>28567.74</v>
      </c>
      <c r="P207" s="73" t="s">
        <v>431</v>
      </c>
      <c r="Q207" s="158">
        <v>20.309999999999999</v>
      </c>
      <c r="R207" s="563">
        <f t="shared" si="10"/>
        <v>2.8562602364837097E-2</v>
      </c>
      <c r="S207" s="563">
        <f t="shared" si="11"/>
        <v>2.9918864097363107E-2</v>
      </c>
      <c r="AA207" s="594">
        <v>41876</v>
      </c>
      <c r="AB207" s="595" t="s">
        <v>449</v>
      </c>
      <c r="AC207" s="595">
        <v>28519.34</v>
      </c>
      <c r="AD207" s="596" t="s">
        <v>395</v>
      </c>
      <c r="AE207" s="595">
        <v>131.19999999999999</v>
      </c>
      <c r="AF207" s="597">
        <f t="shared" si="12"/>
        <v>-1.2206049165707E-2</v>
      </c>
      <c r="AG207" s="597">
        <f t="shared" si="13"/>
        <v>-3.1805770791823451E-2</v>
      </c>
    </row>
    <row r="208" spans="13:33" x14ac:dyDescent="0.35">
      <c r="M208" s="555">
        <v>41883</v>
      </c>
      <c r="N208" s="543" t="s">
        <v>449</v>
      </c>
      <c r="O208" s="543">
        <v>28493.74</v>
      </c>
      <c r="P208" s="73" t="s">
        <v>431</v>
      </c>
      <c r="Q208" s="158">
        <v>20.92</v>
      </c>
      <c r="R208" s="563">
        <f t="shared" si="10"/>
        <v>-2.5903344121726013E-3</v>
      </c>
      <c r="S208" s="563">
        <f t="shared" si="11"/>
        <v>3.0034465780403918E-2</v>
      </c>
      <c r="AA208" s="594">
        <v>41879</v>
      </c>
      <c r="AB208" s="595" t="s">
        <v>449</v>
      </c>
      <c r="AC208" s="595">
        <v>27774.43</v>
      </c>
      <c r="AD208" s="596" t="s">
        <v>395</v>
      </c>
      <c r="AE208" s="595">
        <v>134</v>
      </c>
      <c r="AF208" s="597">
        <f t="shared" si="12"/>
        <v>-2.6119468402845181E-2</v>
      </c>
      <c r="AG208" s="597">
        <f t="shared" si="13"/>
        <v>2.1341463414634276E-2</v>
      </c>
    </row>
    <row r="209" spans="13:33" x14ac:dyDescent="0.35">
      <c r="M209" s="555">
        <v>41884</v>
      </c>
      <c r="N209" s="543" t="s">
        <v>449</v>
      </c>
      <c r="O209" s="543">
        <v>29260.29</v>
      </c>
      <c r="P209" s="73" t="s">
        <v>431</v>
      </c>
      <c r="Q209" s="158">
        <v>20.77</v>
      </c>
      <c r="R209" s="563">
        <f t="shared" si="10"/>
        <v>2.6902400316701103E-2</v>
      </c>
      <c r="S209" s="563">
        <f t="shared" si="11"/>
        <v>-7.1701720841300665E-3</v>
      </c>
      <c r="AA209" s="594">
        <v>41880</v>
      </c>
      <c r="AB209" s="595" t="s">
        <v>449</v>
      </c>
      <c r="AC209" s="595">
        <v>28567.74</v>
      </c>
      <c r="AD209" s="596" t="s">
        <v>395</v>
      </c>
      <c r="AE209" s="595">
        <v>137.80000000000001</v>
      </c>
      <c r="AF209" s="597">
        <f t="shared" si="12"/>
        <v>2.8562602364837097E-2</v>
      </c>
      <c r="AG209" s="597">
        <f t="shared" si="13"/>
        <v>2.8358208955223896E-2</v>
      </c>
    </row>
    <row r="210" spans="13:33" x14ac:dyDescent="0.35">
      <c r="M210" s="555">
        <v>41885</v>
      </c>
      <c r="N210" s="543" t="s">
        <v>449</v>
      </c>
      <c r="O210" s="543">
        <v>29595.55</v>
      </c>
      <c r="P210" s="73" t="s">
        <v>431</v>
      </c>
      <c r="Q210" s="158">
        <v>20.53</v>
      </c>
      <c r="R210" s="563">
        <f t="shared" si="10"/>
        <v>1.1457849529174169E-2</v>
      </c>
      <c r="S210" s="563">
        <f t="shared" si="11"/>
        <v>-1.1555127587867031E-2</v>
      </c>
      <c r="AA210" s="589">
        <v>41883</v>
      </c>
      <c r="AB210" s="590" t="s">
        <v>449</v>
      </c>
      <c r="AC210" s="590">
        <v>28493.74</v>
      </c>
      <c r="AD210" s="591" t="s">
        <v>395</v>
      </c>
      <c r="AE210" s="590">
        <v>137.86000000000001</v>
      </c>
      <c r="AF210" s="592">
        <f t="shared" si="12"/>
        <v>-2.5903344121726013E-3</v>
      </c>
      <c r="AG210" s="592">
        <f t="shared" si="13"/>
        <v>4.3541364296073581E-4</v>
      </c>
    </row>
    <row r="211" spans="13:33" x14ac:dyDescent="0.35">
      <c r="M211" s="555">
        <v>41886</v>
      </c>
      <c r="N211" s="543" t="s">
        <v>449</v>
      </c>
      <c r="O211" s="543">
        <v>29604.3</v>
      </c>
      <c r="P211" s="73" t="s">
        <v>431</v>
      </c>
      <c r="Q211" s="158">
        <v>20.67</v>
      </c>
      <c r="R211" s="563">
        <f t="shared" si="10"/>
        <v>2.9565255587415962E-4</v>
      </c>
      <c r="S211" s="563">
        <f t="shared" si="11"/>
        <v>6.8192888455917977E-3</v>
      </c>
      <c r="AA211" s="589">
        <v>41884</v>
      </c>
      <c r="AB211" s="590" t="s">
        <v>449</v>
      </c>
      <c r="AC211" s="590">
        <v>29260.29</v>
      </c>
      <c r="AD211" s="591" t="s">
        <v>395</v>
      </c>
      <c r="AE211" s="590">
        <v>144.69999999999999</v>
      </c>
      <c r="AF211" s="592">
        <f t="shared" si="12"/>
        <v>2.6902400316701103E-2</v>
      </c>
      <c r="AG211" s="592">
        <f t="shared" si="13"/>
        <v>4.9615552009284691E-2</v>
      </c>
    </row>
    <row r="212" spans="13:33" x14ac:dyDescent="0.35">
      <c r="M212" s="555">
        <v>41887</v>
      </c>
      <c r="N212" s="543" t="s">
        <v>449</v>
      </c>
      <c r="O212" s="543">
        <v>29513.78</v>
      </c>
      <c r="P212" s="73" t="s">
        <v>431</v>
      </c>
      <c r="Q212" s="158">
        <v>20.440000000000001</v>
      </c>
      <c r="R212" s="563">
        <f t="shared" si="10"/>
        <v>-3.0576639204440426E-3</v>
      </c>
      <c r="S212" s="563">
        <f t="shared" si="11"/>
        <v>-1.1127237542331914E-2</v>
      </c>
      <c r="AA212" s="589">
        <v>41885</v>
      </c>
      <c r="AB212" s="590" t="s">
        <v>449</v>
      </c>
      <c r="AC212" s="590">
        <v>29595.55</v>
      </c>
      <c r="AD212" s="591" t="s">
        <v>395</v>
      </c>
      <c r="AE212" s="590">
        <v>151.93</v>
      </c>
      <c r="AF212" s="592">
        <f t="shared" si="12"/>
        <v>1.1457849529174169E-2</v>
      </c>
      <c r="AG212" s="592">
        <f t="shared" si="13"/>
        <v>4.9965445749827309E-2</v>
      </c>
    </row>
    <row r="213" spans="13:33" x14ac:dyDescent="0.35">
      <c r="M213" s="555">
        <v>41890</v>
      </c>
      <c r="N213" s="543" t="s">
        <v>449</v>
      </c>
      <c r="O213" s="543">
        <v>29585.599999999999</v>
      </c>
      <c r="P213" s="73" t="s">
        <v>431</v>
      </c>
      <c r="Q213" s="158">
        <v>20.23</v>
      </c>
      <c r="R213" s="563">
        <f t="shared" si="10"/>
        <v>2.4334395661957942E-3</v>
      </c>
      <c r="S213" s="563">
        <f t="shared" si="11"/>
        <v>-1.0273972602739767E-2</v>
      </c>
      <c r="AA213" s="589">
        <v>41886</v>
      </c>
      <c r="AB213" s="590" t="s">
        <v>449</v>
      </c>
      <c r="AC213" s="590">
        <v>29604.3</v>
      </c>
      <c r="AD213" s="591" t="s">
        <v>395</v>
      </c>
      <c r="AE213" s="590">
        <v>153.13</v>
      </c>
      <c r="AF213" s="592">
        <f t="shared" si="12"/>
        <v>2.9565255587415962E-4</v>
      </c>
      <c r="AG213" s="592">
        <f t="shared" si="13"/>
        <v>7.8983742512999111E-3</v>
      </c>
    </row>
    <row r="214" spans="13:33" x14ac:dyDescent="0.35">
      <c r="M214" s="526">
        <v>41893</v>
      </c>
      <c r="N214" s="524" t="s">
        <v>449</v>
      </c>
      <c r="O214" s="524">
        <v>29858.37</v>
      </c>
      <c r="P214" s="73" t="s">
        <v>431</v>
      </c>
      <c r="Q214">
        <v>19.73</v>
      </c>
      <c r="R214" s="563">
        <f t="shared" si="10"/>
        <v>9.2196879563031242E-3</v>
      </c>
      <c r="S214" s="563">
        <f t="shared" si="11"/>
        <v>-2.4715768660405368E-2</v>
      </c>
      <c r="AA214" s="589">
        <v>41887</v>
      </c>
      <c r="AB214" s="590" t="s">
        <v>449</v>
      </c>
      <c r="AC214" s="590">
        <v>29513.78</v>
      </c>
      <c r="AD214" s="591" t="s">
        <v>395</v>
      </c>
      <c r="AE214" s="590">
        <v>150</v>
      </c>
      <c r="AF214" s="592">
        <f t="shared" si="12"/>
        <v>-3.0576639204440426E-3</v>
      </c>
      <c r="AG214" s="592">
        <f t="shared" si="13"/>
        <v>-2.044014889309731E-2</v>
      </c>
    </row>
    <row r="215" spans="13:33" x14ac:dyDescent="0.35">
      <c r="M215" s="555">
        <v>41894</v>
      </c>
      <c r="N215" s="543" t="s">
        <v>449</v>
      </c>
      <c r="O215" s="543">
        <v>30044.89</v>
      </c>
      <c r="P215" s="73" t="s">
        <v>431</v>
      </c>
      <c r="Q215" s="158">
        <v>19.63</v>
      </c>
      <c r="R215" s="563">
        <f t="shared" si="10"/>
        <v>6.2468245922333576E-3</v>
      </c>
      <c r="S215" s="563">
        <f t="shared" si="11"/>
        <v>-5.068423720223092E-3</v>
      </c>
      <c r="AA215" s="594">
        <v>41890</v>
      </c>
      <c r="AB215" s="595" t="s">
        <v>449</v>
      </c>
      <c r="AC215" s="595">
        <v>29585.599999999999</v>
      </c>
      <c r="AD215" s="596" t="s">
        <v>395</v>
      </c>
      <c r="AE215" s="595">
        <v>149</v>
      </c>
      <c r="AF215" s="597">
        <f t="shared" si="12"/>
        <v>2.4334395661957942E-3</v>
      </c>
      <c r="AG215" s="597">
        <f t="shared" si="13"/>
        <v>-6.6666666666667096E-3</v>
      </c>
    </row>
    <row r="216" spans="13:33" x14ac:dyDescent="0.35">
      <c r="M216" s="555">
        <v>41897</v>
      </c>
      <c r="N216" s="543" t="s">
        <v>449</v>
      </c>
      <c r="O216" s="543">
        <v>30070.13</v>
      </c>
      <c r="P216" s="73" t="s">
        <v>431</v>
      </c>
      <c r="Q216" s="158">
        <v>19.45</v>
      </c>
      <c r="R216" s="563">
        <f t="shared" si="10"/>
        <v>8.4007629916449389E-4</v>
      </c>
      <c r="S216" s="563">
        <f t="shared" si="11"/>
        <v>-9.1696383087110922E-3</v>
      </c>
      <c r="AA216" s="594">
        <v>41893</v>
      </c>
      <c r="AB216" s="595" t="s">
        <v>449</v>
      </c>
      <c r="AC216" s="595">
        <v>29858.37</v>
      </c>
      <c r="AD216" s="596" t="s">
        <v>395</v>
      </c>
      <c r="AE216" s="595">
        <v>147.75</v>
      </c>
      <c r="AF216" s="597">
        <f t="shared" si="12"/>
        <v>9.2196879563031242E-3</v>
      </c>
      <c r="AG216" s="597">
        <f t="shared" si="13"/>
        <v>-8.3892617449664586E-3</v>
      </c>
    </row>
    <row r="217" spans="13:33" x14ac:dyDescent="0.35">
      <c r="M217" s="555">
        <v>41898</v>
      </c>
      <c r="N217" s="543" t="s">
        <v>449</v>
      </c>
      <c r="O217" s="543">
        <v>30180.3</v>
      </c>
      <c r="P217" s="73" t="s">
        <v>431</v>
      </c>
      <c r="Q217" s="158">
        <v>19.62</v>
      </c>
      <c r="R217" s="563">
        <f t="shared" si="10"/>
        <v>3.6637686634544142E-3</v>
      </c>
      <c r="S217" s="563">
        <f t="shared" si="11"/>
        <v>8.7403598971722563E-3</v>
      </c>
      <c r="AA217" s="594">
        <v>41894</v>
      </c>
      <c r="AB217" s="595" t="s">
        <v>449</v>
      </c>
      <c r="AC217" s="595">
        <v>30044.89</v>
      </c>
      <c r="AD217" s="596" t="s">
        <v>395</v>
      </c>
      <c r="AE217" s="595">
        <v>150</v>
      </c>
      <c r="AF217" s="597">
        <f t="shared" si="12"/>
        <v>6.2468245922333576E-3</v>
      </c>
      <c r="AG217" s="597">
        <f t="shared" si="13"/>
        <v>1.5228426395939021E-2</v>
      </c>
    </row>
    <row r="218" spans="13:33" x14ac:dyDescent="0.35">
      <c r="M218" s="555">
        <v>41899</v>
      </c>
      <c r="N218" s="543" t="s">
        <v>449</v>
      </c>
      <c r="O218" s="543">
        <v>30136.57</v>
      </c>
      <c r="P218" s="73" t="s">
        <v>431</v>
      </c>
      <c r="Q218" s="158">
        <v>19.52</v>
      </c>
      <c r="R218" s="563">
        <f t="shared" ref="R218:R281" si="14">(O218/O217)-1</f>
        <v>-1.4489584265232613E-3</v>
      </c>
      <c r="S218" s="563">
        <f t="shared" ref="S218:S281" si="15">(Q218/Q217)-1</f>
        <v>-5.0968399592253855E-3</v>
      </c>
      <c r="AA218" s="594">
        <v>41897</v>
      </c>
      <c r="AB218" s="595" t="s">
        <v>449</v>
      </c>
      <c r="AC218" s="595">
        <v>30070.13</v>
      </c>
      <c r="AD218" s="596" t="s">
        <v>395</v>
      </c>
      <c r="AE218" s="595">
        <v>147.6</v>
      </c>
      <c r="AF218" s="597">
        <f t="shared" si="12"/>
        <v>8.4007629916449389E-4</v>
      </c>
      <c r="AG218" s="597">
        <f t="shared" si="13"/>
        <v>-1.6000000000000014E-2</v>
      </c>
    </row>
    <row r="219" spans="13:33" x14ac:dyDescent="0.35">
      <c r="M219" s="555">
        <v>41900</v>
      </c>
      <c r="N219" s="543" t="s">
        <v>449</v>
      </c>
      <c r="O219" s="543">
        <v>30094.16</v>
      </c>
      <c r="P219" s="73" t="s">
        <v>431</v>
      </c>
      <c r="Q219" s="158">
        <v>19.38</v>
      </c>
      <c r="R219" s="563">
        <f t="shared" si="14"/>
        <v>-1.4072603484736046E-3</v>
      </c>
      <c r="S219" s="563">
        <f t="shared" si="15"/>
        <v>-7.1721311475410054E-3</v>
      </c>
      <c r="AA219" s="594">
        <v>41898</v>
      </c>
      <c r="AB219" s="595" t="s">
        <v>449</v>
      </c>
      <c r="AC219" s="595">
        <v>30180.3</v>
      </c>
      <c r="AD219" s="596" t="s">
        <v>395</v>
      </c>
      <c r="AE219" s="595">
        <v>149.99</v>
      </c>
      <c r="AF219" s="597">
        <f t="shared" si="12"/>
        <v>3.6637686634544142E-3</v>
      </c>
      <c r="AG219" s="597">
        <f t="shared" si="13"/>
        <v>1.6192411924119243E-2</v>
      </c>
    </row>
    <row r="220" spans="13:33" x14ac:dyDescent="0.35">
      <c r="M220" s="555">
        <v>41901</v>
      </c>
      <c r="N220" s="543" t="s">
        <v>449</v>
      </c>
      <c r="O220" s="543">
        <v>30015.8</v>
      </c>
      <c r="P220" s="73" t="s">
        <v>431</v>
      </c>
      <c r="Q220" s="158">
        <v>19.55</v>
      </c>
      <c r="R220" s="563">
        <f t="shared" si="14"/>
        <v>-2.603827453565799E-3</v>
      </c>
      <c r="S220" s="563">
        <f t="shared" si="15"/>
        <v>8.7719298245614308E-3</v>
      </c>
      <c r="AA220" s="594">
        <v>41899</v>
      </c>
      <c r="AB220" s="595" t="s">
        <v>449</v>
      </c>
      <c r="AC220" s="595">
        <v>30136.57</v>
      </c>
      <c r="AD220" s="596" t="s">
        <v>395</v>
      </c>
      <c r="AE220" s="595">
        <v>149.93</v>
      </c>
      <c r="AF220" s="597">
        <f t="shared" ref="AF220:AF283" si="16">(AC220/AC219)-1</f>
        <v>-1.4489584265232613E-3</v>
      </c>
      <c r="AG220" s="597">
        <f t="shared" ref="AG220:AG283" si="17">(AE220/AE219)-1</f>
        <v>-4.0002666844463075E-4</v>
      </c>
    </row>
    <row r="221" spans="13:33" x14ac:dyDescent="0.35">
      <c r="M221" s="555">
        <v>41904</v>
      </c>
      <c r="N221" s="543" t="s">
        <v>449</v>
      </c>
      <c r="O221" s="543">
        <v>29993.87</v>
      </c>
      <c r="P221" s="73" t="s">
        <v>431</v>
      </c>
      <c r="Q221" s="158">
        <v>20.079999999999998</v>
      </c>
      <c r="R221" s="563">
        <f t="shared" si="14"/>
        <v>-7.3061520932304891E-4</v>
      </c>
      <c r="S221" s="563">
        <f t="shared" si="15"/>
        <v>2.7109974424552208E-2</v>
      </c>
      <c r="AA221" s="594">
        <v>41900</v>
      </c>
      <c r="AB221" s="595" t="s">
        <v>449</v>
      </c>
      <c r="AC221" s="595">
        <v>30094.16</v>
      </c>
      <c r="AD221" s="596" t="s">
        <v>395</v>
      </c>
      <c r="AE221" s="595">
        <v>148.5</v>
      </c>
      <c r="AF221" s="597">
        <f t="shared" si="16"/>
        <v>-1.4072603484736046E-3</v>
      </c>
      <c r="AG221" s="597">
        <f t="shared" si="17"/>
        <v>-9.5377842993397133E-3</v>
      </c>
    </row>
    <row r="222" spans="13:33" x14ac:dyDescent="0.35">
      <c r="M222" s="555">
        <v>41905</v>
      </c>
      <c r="N222" s="543" t="s">
        <v>449</v>
      </c>
      <c r="O222" s="543">
        <v>30143.77</v>
      </c>
      <c r="P222" s="73" t="s">
        <v>431</v>
      </c>
      <c r="Q222" s="158">
        <v>20.079999999999998</v>
      </c>
      <c r="R222" s="563">
        <f t="shared" si="14"/>
        <v>4.9976878608863906E-3</v>
      </c>
      <c r="S222" s="563">
        <f t="shared" si="15"/>
        <v>0</v>
      </c>
      <c r="AA222" s="594">
        <v>41901</v>
      </c>
      <c r="AB222" s="595" t="s">
        <v>449</v>
      </c>
      <c r="AC222" s="595">
        <v>30015.8</v>
      </c>
      <c r="AD222" s="596" t="s">
        <v>395</v>
      </c>
      <c r="AE222" s="595">
        <v>150</v>
      </c>
      <c r="AF222" s="597">
        <f t="shared" si="16"/>
        <v>-2.603827453565799E-3</v>
      </c>
      <c r="AG222" s="597">
        <f t="shared" si="17"/>
        <v>1.0101010101010166E-2</v>
      </c>
    </row>
    <row r="223" spans="13:33" x14ac:dyDescent="0.35">
      <c r="M223" s="555">
        <v>41906</v>
      </c>
      <c r="N223" s="543" t="s">
        <v>449</v>
      </c>
      <c r="O223" s="543">
        <v>30095.8</v>
      </c>
      <c r="P223" s="73" t="s">
        <v>431</v>
      </c>
      <c r="Q223" s="158">
        <v>19.87</v>
      </c>
      <c r="R223" s="563">
        <f t="shared" si="14"/>
        <v>-1.5913736072163953E-3</v>
      </c>
      <c r="S223" s="563">
        <f t="shared" si="15"/>
        <v>-1.0458167330677171E-2</v>
      </c>
      <c r="AA223" s="594">
        <v>41904</v>
      </c>
      <c r="AB223" s="595" t="s">
        <v>449</v>
      </c>
      <c r="AC223" s="595">
        <v>29993.87</v>
      </c>
      <c r="AD223" s="596" t="s">
        <v>395</v>
      </c>
      <c r="AE223" s="595">
        <v>148.44999999999999</v>
      </c>
      <c r="AF223" s="597">
        <f t="shared" si="16"/>
        <v>-7.3061520932304891E-4</v>
      </c>
      <c r="AG223" s="597">
        <f t="shared" si="17"/>
        <v>-1.0333333333333417E-2</v>
      </c>
    </row>
    <row r="224" spans="13:33" x14ac:dyDescent="0.35">
      <c r="M224" s="555">
        <v>41907</v>
      </c>
      <c r="N224" s="543" t="s">
        <v>449</v>
      </c>
      <c r="O224" s="543">
        <v>29940.27</v>
      </c>
      <c r="P224" s="73" t="s">
        <v>431</v>
      </c>
      <c r="Q224" s="158">
        <v>19.79</v>
      </c>
      <c r="R224" s="563">
        <f t="shared" si="14"/>
        <v>-5.1678307272110535E-3</v>
      </c>
      <c r="S224" s="563">
        <f t="shared" si="15"/>
        <v>-4.0261701056870658E-3</v>
      </c>
      <c r="AA224" s="594">
        <v>41905</v>
      </c>
      <c r="AB224" s="595" t="s">
        <v>449</v>
      </c>
      <c r="AC224" s="595">
        <v>30143.77</v>
      </c>
      <c r="AD224" s="596" t="s">
        <v>395</v>
      </c>
      <c r="AE224" s="595">
        <v>149.9</v>
      </c>
      <c r="AF224" s="597">
        <f t="shared" si="16"/>
        <v>4.9976878608863906E-3</v>
      </c>
      <c r="AG224" s="597">
        <f t="shared" si="17"/>
        <v>9.7675985180196712E-3</v>
      </c>
    </row>
    <row r="225" spans="13:33" x14ac:dyDescent="0.35">
      <c r="M225" s="555">
        <v>41908</v>
      </c>
      <c r="N225" s="543" t="s">
        <v>449</v>
      </c>
      <c r="O225" s="543">
        <v>29705.65</v>
      </c>
      <c r="P225" s="73" t="s">
        <v>431</v>
      </c>
      <c r="Q225" s="158">
        <v>19.52</v>
      </c>
      <c r="R225" s="563">
        <f t="shared" si="14"/>
        <v>-7.836268677603786E-3</v>
      </c>
      <c r="S225" s="563">
        <f t="shared" si="15"/>
        <v>-1.3643254168772101E-2</v>
      </c>
      <c r="AA225" s="594">
        <v>41906</v>
      </c>
      <c r="AB225" s="595" t="s">
        <v>449</v>
      </c>
      <c r="AC225" s="595">
        <v>30095.8</v>
      </c>
      <c r="AD225" s="596" t="s">
        <v>395</v>
      </c>
      <c r="AE225" s="595">
        <v>147.82</v>
      </c>
      <c r="AF225" s="597">
        <f t="shared" si="16"/>
        <v>-1.5913736072163953E-3</v>
      </c>
      <c r="AG225" s="597">
        <f t="shared" si="17"/>
        <v>-1.387591727818549E-2</v>
      </c>
    </row>
    <row r="226" spans="13:33" x14ac:dyDescent="0.35">
      <c r="M226" s="555">
        <v>41911</v>
      </c>
      <c r="N226" s="543" t="s">
        <v>449</v>
      </c>
      <c r="O226" s="543">
        <v>29383.13</v>
      </c>
      <c r="P226" s="73" t="s">
        <v>431</v>
      </c>
      <c r="Q226" s="158">
        <v>19</v>
      </c>
      <c r="R226" s="563">
        <f t="shared" si="14"/>
        <v>-1.085719383349637E-2</v>
      </c>
      <c r="S226" s="563">
        <f t="shared" si="15"/>
        <v>-2.6639344262295084E-2</v>
      </c>
      <c r="AA226" s="594">
        <v>41907</v>
      </c>
      <c r="AB226" s="595" t="s">
        <v>449</v>
      </c>
      <c r="AC226" s="595">
        <v>29940.27</v>
      </c>
      <c r="AD226" s="596" t="s">
        <v>395</v>
      </c>
      <c r="AE226" s="595">
        <v>144.01</v>
      </c>
      <c r="AF226" s="597">
        <f t="shared" si="16"/>
        <v>-5.1678307272110535E-3</v>
      </c>
      <c r="AG226" s="597">
        <f t="shared" si="17"/>
        <v>-2.5774590718441348E-2</v>
      </c>
    </row>
    <row r="227" spans="13:33" x14ac:dyDescent="0.35">
      <c r="M227" s="555">
        <v>41912</v>
      </c>
      <c r="N227" s="543" t="s">
        <v>449</v>
      </c>
      <c r="O227" s="543">
        <v>29726.39</v>
      </c>
      <c r="P227" s="73" t="s">
        <v>431</v>
      </c>
      <c r="Q227" s="158">
        <v>19.38</v>
      </c>
      <c r="R227" s="563">
        <f t="shared" si="14"/>
        <v>1.1682213569486954E-2</v>
      </c>
      <c r="S227" s="563">
        <f t="shared" si="15"/>
        <v>2.0000000000000018E-2</v>
      </c>
      <c r="AA227" s="589">
        <v>41908</v>
      </c>
      <c r="AB227" s="590" t="s">
        <v>449</v>
      </c>
      <c r="AC227" s="590">
        <v>29705.65</v>
      </c>
      <c r="AD227" s="591" t="s">
        <v>395</v>
      </c>
      <c r="AE227" s="590">
        <v>142.66999999999999</v>
      </c>
      <c r="AF227" s="592">
        <f t="shared" si="16"/>
        <v>-7.836268677603786E-3</v>
      </c>
      <c r="AG227" s="592">
        <f t="shared" si="17"/>
        <v>-9.304909381293025E-3</v>
      </c>
    </row>
    <row r="228" spans="13:33" x14ac:dyDescent="0.35">
      <c r="M228" s="555">
        <v>41913</v>
      </c>
      <c r="N228" s="543" t="s">
        <v>449</v>
      </c>
      <c r="O228" s="543">
        <v>29996.61</v>
      </c>
      <c r="P228" s="73" t="s">
        <v>431</v>
      </c>
      <c r="Q228" s="158">
        <v>19.45</v>
      </c>
      <c r="R228" s="563">
        <f t="shared" si="14"/>
        <v>9.0902393462508613E-3</v>
      </c>
      <c r="S228" s="563">
        <f t="shared" si="15"/>
        <v>3.6119711042312819E-3</v>
      </c>
      <c r="AA228" s="589">
        <v>41911</v>
      </c>
      <c r="AB228" s="590" t="s">
        <v>449</v>
      </c>
      <c r="AC228" s="590">
        <v>29383.13</v>
      </c>
      <c r="AD228" s="591" t="s">
        <v>395</v>
      </c>
      <c r="AE228" s="590">
        <v>140.35</v>
      </c>
      <c r="AF228" s="592">
        <f t="shared" si="16"/>
        <v>-1.085719383349637E-2</v>
      </c>
      <c r="AG228" s="592">
        <f t="shared" si="17"/>
        <v>-1.6261302306020853E-2</v>
      </c>
    </row>
    <row r="229" spans="13:33" x14ac:dyDescent="0.35">
      <c r="M229" s="555">
        <v>41914</v>
      </c>
      <c r="N229" s="543" t="s">
        <v>449</v>
      </c>
      <c r="O229" s="543">
        <v>30071.58</v>
      </c>
      <c r="P229" s="73" t="s">
        <v>431</v>
      </c>
      <c r="Q229" s="158">
        <v>19.34</v>
      </c>
      <c r="R229" s="563">
        <f t="shared" si="14"/>
        <v>2.4992824189133955E-3</v>
      </c>
      <c r="S229" s="563">
        <f t="shared" si="15"/>
        <v>-5.6555269922878848E-3</v>
      </c>
      <c r="AA229" s="594">
        <v>41912</v>
      </c>
      <c r="AB229" s="595" t="s">
        <v>449</v>
      </c>
      <c r="AC229" s="595">
        <v>29726.39</v>
      </c>
      <c r="AD229" s="596" t="s">
        <v>395</v>
      </c>
      <c r="AE229" s="595">
        <v>141.6</v>
      </c>
      <c r="AF229" s="597">
        <f t="shared" si="16"/>
        <v>1.1682213569486954E-2</v>
      </c>
      <c r="AG229" s="597">
        <f t="shared" si="17"/>
        <v>8.9063056644103078E-3</v>
      </c>
    </row>
    <row r="230" spans="13:33" x14ac:dyDescent="0.35">
      <c r="M230" s="555">
        <v>41915</v>
      </c>
      <c r="N230" s="543" t="s">
        <v>449</v>
      </c>
      <c r="O230" s="543">
        <v>30103.23</v>
      </c>
      <c r="P230" s="73" t="s">
        <v>431</v>
      </c>
      <c r="Q230" s="158">
        <v>19.11</v>
      </c>
      <c r="R230" s="563">
        <f t="shared" si="14"/>
        <v>1.0524887618141854E-3</v>
      </c>
      <c r="S230" s="563">
        <f t="shared" si="15"/>
        <v>-1.1892450879007255E-2</v>
      </c>
      <c r="AA230" s="594">
        <v>41913</v>
      </c>
      <c r="AB230" s="595" t="s">
        <v>449</v>
      </c>
      <c r="AC230" s="595">
        <v>29996.61</v>
      </c>
      <c r="AD230" s="596" t="s">
        <v>395</v>
      </c>
      <c r="AE230" s="595">
        <v>139.24</v>
      </c>
      <c r="AF230" s="597">
        <f t="shared" si="16"/>
        <v>9.0902393462508613E-3</v>
      </c>
      <c r="AG230" s="597">
        <f t="shared" si="17"/>
        <v>-1.6666666666666607E-2</v>
      </c>
    </row>
    <row r="231" spans="13:33" x14ac:dyDescent="0.35">
      <c r="M231" s="555">
        <v>41921</v>
      </c>
      <c r="N231" s="543" t="s">
        <v>449</v>
      </c>
      <c r="O231" s="543">
        <v>29978.94</v>
      </c>
      <c r="P231" s="73" t="s">
        <v>431</v>
      </c>
      <c r="Q231" s="158">
        <v>19.7</v>
      </c>
      <c r="R231" s="563">
        <f t="shared" si="14"/>
        <v>-4.1287928238930016E-3</v>
      </c>
      <c r="S231" s="563">
        <f t="shared" si="15"/>
        <v>3.0873888016745177E-2</v>
      </c>
      <c r="AA231" s="589">
        <v>41914</v>
      </c>
      <c r="AB231" s="590" t="s">
        <v>449</v>
      </c>
      <c r="AC231" s="590">
        <v>30071.58</v>
      </c>
      <c r="AD231" s="591" t="s">
        <v>395</v>
      </c>
      <c r="AE231" s="590">
        <v>141.15</v>
      </c>
      <c r="AF231" s="592">
        <f t="shared" si="16"/>
        <v>2.4992824189133955E-3</v>
      </c>
      <c r="AG231" s="592">
        <f t="shared" si="17"/>
        <v>1.3717322608445714E-2</v>
      </c>
    </row>
    <row r="232" spans="13:33" x14ac:dyDescent="0.35">
      <c r="M232" s="555">
        <v>41922</v>
      </c>
      <c r="N232" s="543" t="s">
        <v>449</v>
      </c>
      <c r="O232" s="543">
        <v>30158.63</v>
      </c>
      <c r="P232" s="73" t="s">
        <v>431</v>
      </c>
      <c r="Q232" s="158">
        <v>20.309999999999999</v>
      </c>
      <c r="R232" s="563">
        <f t="shared" si="14"/>
        <v>5.9938743664720295E-3</v>
      </c>
      <c r="S232" s="563">
        <f t="shared" si="15"/>
        <v>3.0964467005076157E-2</v>
      </c>
      <c r="AA232" s="589">
        <v>41915</v>
      </c>
      <c r="AB232" s="590" t="s">
        <v>449</v>
      </c>
      <c r="AC232" s="590">
        <v>30103.23</v>
      </c>
      <c r="AD232" s="591" t="s">
        <v>395</v>
      </c>
      <c r="AE232" s="590">
        <v>144.84</v>
      </c>
      <c r="AF232" s="592">
        <f t="shared" si="16"/>
        <v>1.0524887618141854E-3</v>
      </c>
      <c r="AG232" s="592">
        <f t="shared" si="17"/>
        <v>2.6142401700318896E-2</v>
      </c>
    </row>
    <row r="233" spans="13:33" x14ac:dyDescent="0.35">
      <c r="M233" s="555">
        <v>41925</v>
      </c>
      <c r="N233" s="543" t="s">
        <v>449</v>
      </c>
      <c r="O233" s="543">
        <v>30394.41</v>
      </c>
      <c r="P233" s="73" t="s">
        <v>431</v>
      </c>
      <c r="Q233" s="158">
        <v>20.07</v>
      </c>
      <c r="R233" s="563">
        <f t="shared" si="14"/>
        <v>7.8179943850233968E-3</v>
      </c>
      <c r="S233" s="563">
        <f t="shared" si="15"/>
        <v>-1.1816838995568624E-2</v>
      </c>
      <c r="AA233" s="594">
        <v>41921</v>
      </c>
      <c r="AB233" s="595" t="s">
        <v>449</v>
      </c>
      <c r="AC233" s="595">
        <v>29978.94</v>
      </c>
      <c r="AD233" s="596" t="s">
        <v>395</v>
      </c>
      <c r="AE233" s="595">
        <v>143.27000000000001</v>
      </c>
      <c r="AF233" s="597">
        <f t="shared" si="16"/>
        <v>-4.1287928238930016E-3</v>
      </c>
      <c r="AG233" s="597">
        <f t="shared" si="17"/>
        <v>-1.0839547086440193E-2</v>
      </c>
    </row>
    <row r="234" spans="13:33" x14ac:dyDescent="0.35">
      <c r="M234" s="555">
        <v>41926</v>
      </c>
      <c r="N234" s="543" t="s">
        <v>449</v>
      </c>
      <c r="O234" s="543">
        <v>30355.22</v>
      </c>
      <c r="P234" s="73" t="s">
        <v>431</v>
      </c>
      <c r="Q234" s="158">
        <v>20.37</v>
      </c>
      <c r="R234" s="563">
        <f t="shared" si="14"/>
        <v>-1.2893818304089422E-3</v>
      </c>
      <c r="S234" s="563">
        <f t="shared" si="15"/>
        <v>1.4947683109118204E-2</v>
      </c>
      <c r="AA234" s="594">
        <v>41922</v>
      </c>
      <c r="AB234" s="595" t="s">
        <v>449</v>
      </c>
      <c r="AC234" s="595">
        <v>30158.63</v>
      </c>
      <c r="AD234" s="596" t="s">
        <v>395</v>
      </c>
      <c r="AE234" s="595">
        <v>142</v>
      </c>
      <c r="AF234" s="597">
        <f t="shared" si="16"/>
        <v>5.9938743664720295E-3</v>
      </c>
      <c r="AG234" s="597">
        <f t="shared" si="17"/>
        <v>-8.8643819362044241E-3</v>
      </c>
    </row>
    <row r="235" spans="13:33" x14ac:dyDescent="0.35">
      <c r="M235" s="555">
        <v>41927</v>
      </c>
      <c r="N235" s="543" t="s">
        <v>449</v>
      </c>
      <c r="O235" s="543">
        <v>30120.99</v>
      </c>
      <c r="P235" s="73" t="s">
        <v>431</v>
      </c>
      <c r="Q235" s="158">
        <v>19.73</v>
      </c>
      <c r="R235" s="563">
        <f t="shared" si="14"/>
        <v>-7.7163005242590899E-3</v>
      </c>
      <c r="S235" s="563">
        <f t="shared" si="15"/>
        <v>-3.1418753068237604E-2</v>
      </c>
      <c r="AA235" s="594">
        <v>41925</v>
      </c>
      <c r="AB235" s="595" t="s">
        <v>449</v>
      </c>
      <c r="AC235" s="595">
        <v>30394.41</v>
      </c>
      <c r="AD235" s="596" t="s">
        <v>395</v>
      </c>
      <c r="AE235" s="595">
        <v>144.87</v>
      </c>
      <c r="AF235" s="597">
        <f t="shared" si="16"/>
        <v>7.8179943850233968E-3</v>
      </c>
      <c r="AG235" s="597">
        <f t="shared" si="17"/>
        <v>2.0211267605633854E-2</v>
      </c>
    </row>
    <row r="236" spans="13:33" x14ac:dyDescent="0.35">
      <c r="M236" s="555">
        <v>41928</v>
      </c>
      <c r="N236" s="543" t="s">
        <v>449</v>
      </c>
      <c r="O236" s="543">
        <v>29982.45</v>
      </c>
      <c r="P236" s="73" t="s">
        <v>431</v>
      </c>
      <c r="Q236" s="158">
        <v>19.62</v>
      </c>
      <c r="R236" s="563">
        <f t="shared" si="14"/>
        <v>-4.5994504164703631E-3</v>
      </c>
      <c r="S236" s="563">
        <f t="shared" si="15"/>
        <v>-5.5752660922452346E-3</v>
      </c>
      <c r="AA236" s="589">
        <v>41926</v>
      </c>
      <c r="AB236" s="590" t="s">
        <v>449</v>
      </c>
      <c r="AC236" s="590">
        <v>30355.22</v>
      </c>
      <c r="AD236" s="591" t="s">
        <v>395</v>
      </c>
      <c r="AE236" s="590">
        <v>139.9</v>
      </c>
      <c r="AF236" s="592">
        <f t="shared" si="16"/>
        <v>-1.2893818304089422E-3</v>
      </c>
      <c r="AG236" s="592">
        <f t="shared" si="17"/>
        <v>-3.4306619728032062E-2</v>
      </c>
    </row>
    <row r="237" spans="13:33" x14ac:dyDescent="0.35">
      <c r="M237" s="555">
        <v>41929</v>
      </c>
      <c r="N237" s="543" t="s">
        <v>449</v>
      </c>
      <c r="O237" s="543">
        <v>29883.1</v>
      </c>
      <c r="P237" s="73" t="s">
        <v>431</v>
      </c>
      <c r="Q237" s="158">
        <v>19.41</v>
      </c>
      <c r="R237" s="563">
        <f t="shared" si="14"/>
        <v>-3.3136051256652532E-3</v>
      </c>
      <c r="S237" s="563">
        <f t="shared" si="15"/>
        <v>-1.0703363914373099E-2</v>
      </c>
      <c r="AA237" s="589">
        <v>41927</v>
      </c>
      <c r="AB237" s="590" t="s">
        <v>449</v>
      </c>
      <c r="AC237" s="590">
        <v>30120.99</v>
      </c>
      <c r="AD237" s="591" t="s">
        <v>395</v>
      </c>
      <c r="AE237" s="590">
        <v>142.99</v>
      </c>
      <c r="AF237" s="592">
        <f t="shared" si="16"/>
        <v>-7.7163005242590899E-3</v>
      </c>
      <c r="AG237" s="592">
        <f t="shared" si="17"/>
        <v>2.2087205146533284E-2</v>
      </c>
    </row>
    <row r="238" spans="13:33" x14ac:dyDescent="0.35">
      <c r="M238" s="555">
        <v>41932</v>
      </c>
      <c r="N238" s="543" t="s">
        <v>449</v>
      </c>
      <c r="O238" s="543">
        <v>29711.119999999999</v>
      </c>
      <c r="P238" s="73" t="s">
        <v>431</v>
      </c>
      <c r="Q238" s="158">
        <v>19.239999999999998</v>
      </c>
      <c r="R238" s="563">
        <f t="shared" si="14"/>
        <v>-5.7550923431638479E-3</v>
      </c>
      <c r="S238" s="563">
        <f t="shared" si="15"/>
        <v>-8.7583719732097221E-3</v>
      </c>
      <c r="AA238" s="589">
        <v>41928</v>
      </c>
      <c r="AB238" s="590" t="s">
        <v>449</v>
      </c>
      <c r="AC238" s="590">
        <v>29982.45</v>
      </c>
      <c r="AD238" s="591" t="s">
        <v>395</v>
      </c>
      <c r="AE238" s="590">
        <v>143.44</v>
      </c>
      <c r="AF238" s="592">
        <f t="shared" si="16"/>
        <v>-4.5994504164703631E-3</v>
      </c>
      <c r="AG238" s="592">
        <f t="shared" si="17"/>
        <v>3.1470732219034403E-3</v>
      </c>
    </row>
    <row r="239" spans="13:33" x14ac:dyDescent="0.35">
      <c r="M239" s="555">
        <v>41933</v>
      </c>
      <c r="N239" s="543" t="s">
        <v>449</v>
      </c>
      <c r="O239" s="543">
        <v>29694.27</v>
      </c>
      <c r="P239" s="73" t="s">
        <v>431</v>
      </c>
      <c r="Q239" s="158">
        <v>18.670000000000002</v>
      </c>
      <c r="R239" s="563">
        <f t="shared" si="14"/>
        <v>-5.6712772860800786E-4</v>
      </c>
      <c r="S239" s="563">
        <f t="shared" si="15"/>
        <v>-2.9625779625779503E-2</v>
      </c>
      <c r="AA239" s="589">
        <v>41929</v>
      </c>
      <c r="AB239" s="590" t="s">
        <v>449</v>
      </c>
      <c r="AC239" s="590">
        <v>29883.1</v>
      </c>
      <c r="AD239" s="591" t="s">
        <v>395</v>
      </c>
      <c r="AE239" s="590">
        <v>142.80000000000001</v>
      </c>
      <c r="AF239" s="592">
        <f t="shared" si="16"/>
        <v>-3.3136051256652532E-3</v>
      </c>
      <c r="AG239" s="592">
        <f t="shared" si="17"/>
        <v>-4.4617958728386808E-3</v>
      </c>
    </row>
    <row r="240" spans="13:33" x14ac:dyDescent="0.35">
      <c r="M240" s="555">
        <v>41934</v>
      </c>
      <c r="N240" s="543" t="s">
        <v>449</v>
      </c>
      <c r="O240" s="543">
        <v>29940.39</v>
      </c>
      <c r="P240" s="73" t="s">
        <v>431</v>
      </c>
      <c r="Q240" s="158">
        <v>17.829999999999998</v>
      </c>
      <c r="R240" s="563">
        <f t="shared" si="14"/>
        <v>8.2884677750960645E-3</v>
      </c>
      <c r="S240" s="563">
        <f t="shared" si="15"/>
        <v>-4.4991965720407201E-2</v>
      </c>
      <c r="AA240" s="589">
        <v>41932</v>
      </c>
      <c r="AB240" s="590" t="s">
        <v>449</v>
      </c>
      <c r="AC240" s="590">
        <v>29711.119999999999</v>
      </c>
      <c r="AD240" s="591" t="s">
        <v>395</v>
      </c>
      <c r="AE240" s="590">
        <v>138.6</v>
      </c>
      <c r="AF240" s="592">
        <f t="shared" si="16"/>
        <v>-5.7550923431638479E-3</v>
      </c>
      <c r="AG240" s="592">
        <f t="shared" si="17"/>
        <v>-2.941176470588247E-2</v>
      </c>
    </row>
    <row r="241" spans="13:33" x14ac:dyDescent="0.35">
      <c r="M241" s="555">
        <v>41935</v>
      </c>
      <c r="N241" s="543" t="s">
        <v>449</v>
      </c>
      <c r="O241" s="543">
        <v>30025.13</v>
      </c>
      <c r="P241" s="73" t="s">
        <v>431</v>
      </c>
      <c r="Q241" s="158">
        <v>18.100000000000001</v>
      </c>
      <c r="R241" s="563">
        <f t="shared" si="14"/>
        <v>2.8302904537984563E-3</v>
      </c>
      <c r="S241" s="563">
        <f t="shared" si="15"/>
        <v>1.5143017386427537E-2</v>
      </c>
      <c r="AA241" s="594">
        <v>41933</v>
      </c>
      <c r="AB241" s="595" t="s">
        <v>449</v>
      </c>
      <c r="AC241" s="595">
        <v>29694.27</v>
      </c>
      <c r="AD241" s="596" t="s">
        <v>395</v>
      </c>
      <c r="AE241" s="595">
        <v>132.69999999999999</v>
      </c>
      <c r="AF241" s="597">
        <f t="shared" si="16"/>
        <v>-5.6712772860800786E-4</v>
      </c>
      <c r="AG241" s="597">
        <f t="shared" si="17"/>
        <v>-4.2568542568542589E-2</v>
      </c>
    </row>
    <row r="242" spans="13:33" x14ac:dyDescent="0.35">
      <c r="M242" s="555">
        <v>41936</v>
      </c>
      <c r="N242" s="543" t="s">
        <v>449</v>
      </c>
      <c r="O242" s="543">
        <v>30098.49</v>
      </c>
      <c r="P242" s="73" t="s">
        <v>431</v>
      </c>
      <c r="Q242" s="158">
        <v>18.21</v>
      </c>
      <c r="R242" s="563">
        <f t="shared" si="14"/>
        <v>2.4432866735297765E-3</v>
      </c>
      <c r="S242" s="563">
        <f t="shared" si="15"/>
        <v>6.0773480662983381E-3</v>
      </c>
      <c r="AA242" s="589">
        <v>41934</v>
      </c>
      <c r="AB242" s="590" t="s">
        <v>449</v>
      </c>
      <c r="AC242" s="590">
        <v>29940.39</v>
      </c>
      <c r="AD242" s="591" t="s">
        <v>395</v>
      </c>
      <c r="AE242" s="590">
        <v>138</v>
      </c>
      <c r="AF242" s="592">
        <f t="shared" si="16"/>
        <v>8.2884677750960645E-3</v>
      </c>
      <c r="AG242" s="592">
        <f t="shared" si="17"/>
        <v>3.9939713639788987E-2</v>
      </c>
    </row>
    <row r="243" spans="13:33" x14ac:dyDescent="0.35">
      <c r="M243" s="555">
        <v>41939</v>
      </c>
      <c r="N243" s="543" t="s">
        <v>449</v>
      </c>
      <c r="O243" s="543">
        <v>30238.959999999999</v>
      </c>
      <c r="P243" s="73" t="s">
        <v>431</v>
      </c>
      <c r="Q243" s="158">
        <v>18.22</v>
      </c>
      <c r="R243" s="563">
        <f t="shared" si="14"/>
        <v>4.6670115344655816E-3</v>
      </c>
      <c r="S243" s="563">
        <f t="shared" si="15"/>
        <v>5.4914881932988102E-4</v>
      </c>
      <c r="AA243" s="589">
        <v>41935</v>
      </c>
      <c r="AB243" s="590" t="s">
        <v>449</v>
      </c>
      <c r="AC243" s="590">
        <v>30025.13</v>
      </c>
      <c r="AD243" s="591" t="s">
        <v>395</v>
      </c>
      <c r="AE243" s="590">
        <v>144.9</v>
      </c>
      <c r="AF243" s="592">
        <f t="shared" si="16"/>
        <v>2.8302904537984563E-3</v>
      </c>
      <c r="AG243" s="592">
        <f t="shared" si="17"/>
        <v>5.0000000000000044E-2</v>
      </c>
    </row>
    <row r="244" spans="13:33" x14ac:dyDescent="0.35">
      <c r="M244" s="555">
        <v>41940</v>
      </c>
      <c r="N244" s="543" t="s">
        <v>449</v>
      </c>
      <c r="O244" s="543">
        <v>30225.62</v>
      </c>
      <c r="P244" s="73" t="s">
        <v>431</v>
      </c>
      <c r="Q244" s="158">
        <v>17.989999999999998</v>
      </c>
      <c r="R244" s="563">
        <f t="shared" si="14"/>
        <v>-4.4115273805711563E-4</v>
      </c>
      <c r="S244" s="563">
        <f t="shared" si="15"/>
        <v>-1.2623490669593895E-2</v>
      </c>
      <c r="AA244" s="594">
        <v>41936</v>
      </c>
      <c r="AB244" s="595" t="s">
        <v>449</v>
      </c>
      <c r="AC244" s="595">
        <v>30098.49</v>
      </c>
      <c r="AD244" s="596" t="s">
        <v>395</v>
      </c>
      <c r="AE244" s="595">
        <v>152.13999999999999</v>
      </c>
      <c r="AF244" s="597">
        <f t="shared" si="16"/>
        <v>2.4432866735297765E-3</v>
      </c>
      <c r="AG244" s="597">
        <f t="shared" si="17"/>
        <v>4.9965493443754116E-2</v>
      </c>
    </row>
    <row r="245" spans="13:33" x14ac:dyDescent="0.35">
      <c r="M245" s="555">
        <v>41941</v>
      </c>
      <c r="N245" s="543" t="s">
        <v>449</v>
      </c>
      <c r="O245" s="543">
        <v>30113.24</v>
      </c>
      <c r="P245" s="73" t="s">
        <v>431</v>
      </c>
      <c r="Q245" s="158">
        <v>18.18</v>
      </c>
      <c r="R245" s="563">
        <f t="shared" si="14"/>
        <v>-3.7180378764768429E-3</v>
      </c>
      <c r="S245" s="563">
        <f t="shared" si="15"/>
        <v>1.0561423012784843E-2</v>
      </c>
      <c r="AA245" s="594">
        <v>41939</v>
      </c>
      <c r="AB245" s="595" t="s">
        <v>449</v>
      </c>
      <c r="AC245" s="595">
        <v>30238.959999999999</v>
      </c>
      <c r="AD245" s="596" t="s">
        <v>395</v>
      </c>
      <c r="AE245" s="595">
        <v>159.74</v>
      </c>
      <c r="AF245" s="597">
        <f t="shared" si="16"/>
        <v>4.6670115344655816E-3</v>
      </c>
      <c r="AG245" s="597">
        <f t="shared" si="17"/>
        <v>4.9953989746286398E-2</v>
      </c>
    </row>
    <row r="246" spans="13:33" x14ac:dyDescent="0.35">
      <c r="M246" s="555">
        <v>41942</v>
      </c>
      <c r="N246" s="543" t="s">
        <v>449</v>
      </c>
      <c r="O246" s="543">
        <v>30204.09</v>
      </c>
      <c r="P246" s="73" t="s">
        <v>431</v>
      </c>
      <c r="Q246" s="158">
        <v>18.100000000000001</v>
      </c>
      <c r="R246" s="563">
        <f t="shared" si="14"/>
        <v>3.0169453702091342E-3</v>
      </c>
      <c r="S246" s="563">
        <f t="shared" si="15"/>
        <v>-4.4004400440043057E-3</v>
      </c>
      <c r="AA246" s="594">
        <v>41940</v>
      </c>
      <c r="AB246" s="595" t="s">
        <v>449</v>
      </c>
      <c r="AC246" s="595">
        <v>30225.62</v>
      </c>
      <c r="AD246" s="596" t="s">
        <v>395</v>
      </c>
      <c r="AE246" s="595">
        <v>163.98</v>
      </c>
      <c r="AF246" s="597">
        <f t="shared" si="16"/>
        <v>-4.4115273805711563E-4</v>
      </c>
      <c r="AG246" s="597">
        <f t="shared" si="17"/>
        <v>2.6543132590459484E-2</v>
      </c>
    </row>
    <row r="247" spans="13:33" x14ac:dyDescent="0.35">
      <c r="M247" s="555">
        <v>41943</v>
      </c>
      <c r="N247" s="543" t="s">
        <v>449</v>
      </c>
      <c r="O247" s="543">
        <v>30376.53</v>
      </c>
      <c r="P247" s="73" t="s">
        <v>431</v>
      </c>
      <c r="Q247" s="158">
        <v>17.899999999999999</v>
      </c>
      <c r="R247" s="563">
        <f t="shared" si="14"/>
        <v>5.7091605805703605E-3</v>
      </c>
      <c r="S247" s="563">
        <f t="shared" si="15"/>
        <v>-1.1049723756906271E-2</v>
      </c>
      <c r="AA247" s="594">
        <v>41941</v>
      </c>
      <c r="AB247" s="595" t="s">
        <v>449</v>
      </c>
      <c r="AC247" s="595">
        <v>30113.24</v>
      </c>
      <c r="AD247" s="596" t="s">
        <v>395</v>
      </c>
      <c r="AE247" s="595">
        <v>161.26</v>
      </c>
      <c r="AF247" s="597">
        <f t="shared" si="16"/>
        <v>-3.7180378764768429E-3</v>
      </c>
      <c r="AG247" s="597">
        <f t="shared" si="17"/>
        <v>-1.6587388705939787E-2</v>
      </c>
    </row>
    <row r="248" spans="13:33" x14ac:dyDescent="0.35">
      <c r="M248" s="555">
        <v>41948</v>
      </c>
      <c r="N248" s="543" t="s">
        <v>449</v>
      </c>
      <c r="O248" s="543">
        <v>30593.31</v>
      </c>
      <c r="P248" s="73" t="s">
        <v>431</v>
      </c>
      <c r="Q248" s="158">
        <v>17.97</v>
      </c>
      <c r="R248" s="563">
        <f t="shared" si="14"/>
        <v>7.1364306588015403E-3</v>
      </c>
      <c r="S248" s="563">
        <f t="shared" si="15"/>
        <v>3.9106145251397439E-3</v>
      </c>
      <c r="AA248" s="594">
        <v>41942</v>
      </c>
      <c r="AB248" s="595" t="s">
        <v>449</v>
      </c>
      <c r="AC248" s="595">
        <v>30204.09</v>
      </c>
      <c r="AD248" s="596" t="s">
        <v>395</v>
      </c>
      <c r="AE248" s="595">
        <v>162.69</v>
      </c>
      <c r="AF248" s="597">
        <f t="shared" si="16"/>
        <v>3.0169453702091342E-3</v>
      </c>
      <c r="AG248" s="597">
        <f t="shared" si="17"/>
        <v>8.867667121418954E-3</v>
      </c>
    </row>
    <row r="249" spans="13:33" x14ac:dyDescent="0.35">
      <c r="M249" s="555">
        <v>41949</v>
      </c>
      <c r="N249" s="543" t="s">
        <v>449</v>
      </c>
      <c r="O249" s="543">
        <v>30663.78</v>
      </c>
      <c r="P249" s="73" t="s">
        <v>431</v>
      </c>
      <c r="Q249" s="158">
        <v>18.010000000000002</v>
      </c>
      <c r="R249" s="563">
        <f t="shared" si="14"/>
        <v>2.3034447727297014E-3</v>
      </c>
      <c r="S249" s="563">
        <f t="shared" si="15"/>
        <v>2.2259321090707385E-3</v>
      </c>
      <c r="AA249" s="589">
        <v>41943</v>
      </c>
      <c r="AB249" s="590" t="s">
        <v>449</v>
      </c>
      <c r="AC249" s="590">
        <v>30376.53</v>
      </c>
      <c r="AD249" s="591" t="s">
        <v>395</v>
      </c>
      <c r="AE249" s="590">
        <v>160.16</v>
      </c>
      <c r="AF249" s="592">
        <f t="shared" si="16"/>
        <v>5.7091605805703605E-3</v>
      </c>
      <c r="AG249" s="592">
        <f t="shared" si="17"/>
        <v>-1.5551048005409074E-2</v>
      </c>
    </row>
    <row r="250" spans="13:33" x14ac:dyDescent="0.35">
      <c r="M250" s="555">
        <v>41950</v>
      </c>
      <c r="N250" s="543" t="s">
        <v>449</v>
      </c>
      <c r="O250" s="543">
        <v>30930.04</v>
      </c>
      <c r="P250" s="73" t="s">
        <v>431</v>
      </c>
      <c r="Q250" s="158">
        <v>17.850000000000001</v>
      </c>
      <c r="R250" s="563">
        <f t="shared" si="14"/>
        <v>8.683208658554209E-3</v>
      </c>
      <c r="S250" s="563">
        <f t="shared" si="15"/>
        <v>-8.8839533592448561E-3</v>
      </c>
      <c r="AA250" s="589">
        <v>41948</v>
      </c>
      <c r="AB250" s="590" t="s">
        <v>449</v>
      </c>
      <c r="AC250" s="590">
        <v>30593.31</v>
      </c>
      <c r="AD250" s="591" t="s">
        <v>395</v>
      </c>
      <c r="AE250" s="590">
        <v>163.80000000000001</v>
      </c>
      <c r="AF250" s="592">
        <f t="shared" si="16"/>
        <v>7.1364306588015403E-3</v>
      </c>
      <c r="AG250" s="592">
        <f t="shared" si="17"/>
        <v>2.2727272727272929E-2</v>
      </c>
    </row>
    <row r="251" spans="13:33" x14ac:dyDescent="0.35">
      <c r="M251" s="555">
        <v>41953</v>
      </c>
      <c r="N251" s="543" t="s">
        <v>449</v>
      </c>
      <c r="O251" s="543">
        <v>31281.83</v>
      </c>
      <c r="P251" s="73" t="s">
        <v>431</v>
      </c>
      <c r="Q251" s="158">
        <v>18.010000000000002</v>
      </c>
      <c r="R251" s="563">
        <f t="shared" si="14"/>
        <v>1.137373246203377E-2</v>
      </c>
      <c r="S251" s="563">
        <f t="shared" si="15"/>
        <v>8.9635854341736376E-3</v>
      </c>
      <c r="AA251" s="589">
        <v>41949</v>
      </c>
      <c r="AB251" s="590" t="s">
        <v>449</v>
      </c>
      <c r="AC251" s="590">
        <v>30663.78</v>
      </c>
      <c r="AD251" s="591" t="s">
        <v>395</v>
      </c>
      <c r="AE251" s="590">
        <v>163.15</v>
      </c>
      <c r="AF251" s="592">
        <f t="shared" si="16"/>
        <v>2.3034447727297014E-3</v>
      </c>
      <c r="AG251" s="592">
        <f t="shared" si="17"/>
        <v>-3.9682539682539542E-3</v>
      </c>
    </row>
    <row r="252" spans="13:33" x14ac:dyDescent="0.35">
      <c r="M252" s="555">
        <v>41954</v>
      </c>
      <c r="N252" s="543" t="s">
        <v>449</v>
      </c>
      <c r="O252" s="543">
        <v>31303.63</v>
      </c>
      <c r="P252" s="73" t="s">
        <v>431</v>
      </c>
      <c r="Q252" s="158">
        <v>18.23</v>
      </c>
      <c r="R252" s="563">
        <f t="shared" si="14"/>
        <v>6.9689017554286359E-4</v>
      </c>
      <c r="S252" s="563">
        <f t="shared" si="15"/>
        <v>1.2215435868961677E-2</v>
      </c>
      <c r="AA252" s="589">
        <v>41950</v>
      </c>
      <c r="AB252" s="590" t="s">
        <v>449</v>
      </c>
      <c r="AC252" s="590">
        <v>30930.04</v>
      </c>
      <c r="AD252" s="591" t="s">
        <v>395</v>
      </c>
      <c r="AE252" s="590">
        <v>171.3</v>
      </c>
      <c r="AF252" s="592">
        <f t="shared" si="16"/>
        <v>8.683208658554209E-3</v>
      </c>
      <c r="AG252" s="592">
        <f t="shared" si="17"/>
        <v>4.995403003371135E-2</v>
      </c>
    </row>
    <row r="253" spans="13:33" x14ac:dyDescent="0.35">
      <c r="M253" s="555">
        <v>41955</v>
      </c>
      <c r="N253" s="543" t="s">
        <v>449</v>
      </c>
      <c r="O253" s="543">
        <v>31629.200000000001</v>
      </c>
      <c r="P253" s="73" t="s">
        <v>431</v>
      </c>
      <c r="Q253" s="158">
        <v>18.190000000000001</v>
      </c>
      <c r="R253" s="563">
        <f t="shared" si="14"/>
        <v>1.0400391264527409E-2</v>
      </c>
      <c r="S253" s="563">
        <f t="shared" si="15"/>
        <v>-2.1941854086670043E-3</v>
      </c>
      <c r="AA253" s="589">
        <v>41953</v>
      </c>
      <c r="AB253" s="590" t="s">
        <v>449</v>
      </c>
      <c r="AC253" s="590">
        <v>31281.83</v>
      </c>
      <c r="AD253" s="591" t="s">
        <v>395</v>
      </c>
      <c r="AE253" s="590">
        <v>179.86</v>
      </c>
      <c r="AF253" s="592">
        <f t="shared" si="16"/>
        <v>1.137373246203377E-2</v>
      </c>
      <c r="AG253" s="592">
        <f t="shared" si="17"/>
        <v>4.9970811441914842E-2</v>
      </c>
    </row>
    <row r="254" spans="13:33" x14ac:dyDescent="0.35">
      <c r="M254" s="555">
        <v>41956</v>
      </c>
      <c r="N254" s="543" t="s">
        <v>449</v>
      </c>
      <c r="O254" s="543">
        <v>31441.82</v>
      </c>
      <c r="P254" s="73" t="s">
        <v>431</v>
      </c>
      <c r="Q254" s="158">
        <v>18.25</v>
      </c>
      <c r="R254" s="563">
        <f t="shared" si="14"/>
        <v>-5.9242725076827929E-3</v>
      </c>
      <c r="S254" s="563">
        <f t="shared" si="15"/>
        <v>3.2985156679492533E-3</v>
      </c>
      <c r="AA254" s="589">
        <v>41954</v>
      </c>
      <c r="AB254" s="590" t="s">
        <v>449</v>
      </c>
      <c r="AC254" s="590">
        <v>31303.63</v>
      </c>
      <c r="AD254" s="591" t="s">
        <v>395</v>
      </c>
      <c r="AE254" s="590">
        <v>188.85</v>
      </c>
      <c r="AF254" s="592">
        <f t="shared" si="16"/>
        <v>6.9689017554286359E-4</v>
      </c>
      <c r="AG254" s="592">
        <f t="shared" si="17"/>
        <v>4.9983320360280192E-2</v>
      </c>
    </row>
    <row r="255" spans="13:33" x14ac:dyDescent="0.35">
      <c r="M255" s="555">
        <v>41957</v>
      </c>
      <c r="N255" s="543" t="s">
        <v>449</v>
      </c>
      <c r="O255" s="543">
        <v>31344.07</v>
      </c>
      <c r="P255" s="73" t="s">
        <v>431</v>
      </c>
      <c r="Q255" s="158">
        <v>18.11</v>
      </c>
      <c r="R255" s="563">
        <f t="shared" si="14"/>
        <v>-3.1089167230141657E-3</v>
      </c>
      <c r="S255" s="563">
        <f t="shared" si="15"/>
        <v>-7.6712328767123417E-3</v>
      </c>
      <c r="AA255" s="589">
        <v>41955</v>
      </c>
      <c r="AB255" s="590" t="s">
        <v>449</v>
      </c>
      <c r="AC255" s="590">
        <v>31629.200000000001</v>
      </c>
      <c r="AD255" s="591" t="s">
        <v>395</v>
      </c>
      <c r="AE255" s="590">
        <v>198.12</v>
      </c>
      <c r="AF255" s="592">
        <f t="shared" si="16"/>
        <v>1.0400391264527409E-2</v>
      </c>
      <c r="AG255" s="592">
        <f t="shared" si="17"/>
        <v>4.9086576648133429E-2</v>
      </c>
    </row>
    <row r="256" spans="13:33" x14ac:dyDescent="0.35">
      <c r="M256" s="555">
        <v>41960</v>
      </c>
      <c r="N256" s="543" t="s">
        <v>449</v>
      </c>
      <c r="O256" s="543">
        <v>31702.79</v>
      </c>
      <c r="P256" s="73" t="s">
        <v>431</v>
      </c>
      <c r="Q256" s="158">
        <v>18.059999999999999</v>
      </c>
      <c r="R256" s="563">
        <f t="shared" si="14"/>
        <v>1.1444589040287445E-2</v>
      </c>
      <c r="S256" s="563">
        <f t="shared" si="15"/>
        <v>-2.7609055770293489E-3</v>
      </c>
      <c r="AA256" s="589">
        <v>41956</v>
      </c>
      <c r="AB256" s="590" t="s">
        <v>449</v>
      </c>
      <c r="AC256" s="590">
        <v>31441.82</v>
      </c>
      <c r="AD256" s="591" t="s">
        <v>395</v>
      </c>
      <c r="AE256" s="590">
        <v>196.91</v>
      </c>
      <c r="AF256" s="592">
        <f t="shared" si="16"/>
        <v>-5.9242725076827929E-3</v>
      </c>
      <c r="AG256" s="592">
        <f t="shared" si="17"/>
        <v>-6.1074096507167663E-3</v>
      </c>
    </row>
    <row r="257" spans="13:33" x14ac:dyDescent="0.35">
      <c r="M257" s="555">
        <v>41961</v>
      </c>
      <c r="N257" s="543" t="s">
        <v>449</v>
      </c>
      <c r="O257" s="543">
        <v>32006.400000000001</v>
      </c>
      <c r="P257" s="73" t="s">
        <v>431</v>
      </c>
      <c r="Q257" s="158">
        <v>18.559999999999999</v>
      </c>
      <c r="R257" s="563">
        <f t="shared" si="14"/>
        <v>9.5767596479678918E-3</v>
      </c>
      <c r="S257" s="563">
        <f t="shared" si="15"/>
        <v>2.7685492801771794E-2</v>
      </c>
      <c r="AA257" s="589">
        <v>41957</v>
      </c>
      <c r="AB257" s="590" t="s">
        <v>449</v>
      </c>
      <c r="AC257" s="590">
        <v>31344.07</v>
      </c>
      <c r="AD257" s="591" t="s">
        <v>395</v>
      </c>
      <c r="AE257" s="590">
        <v>194.52</v>
      </c>
      <c r="AF257" s="592">
        <f t="shared" si="16"/>
        <v>-3.1089167230141657E-3</v>
      </c>
      <c r="AG257" s="592">
        <f t="shared" si="17"/>
        <v>-1.2137524757503404E-2</v>
      </c>
    </row>
    <row r="258" spans="13:33" x14ac:dyDescent="0.35">
      <c r="M258" s="555">
        <v>41962</v>
      </c>
      <c r="N258" s="543" t="s">
        <v>449</v>
      </c>
      <c r="O258" s="543">
        <v>31756.29</v>
      </c>
      <c r="P258" s="73" t="s">
        <v>431</v>
      </c>
      <c r="Q258" s="158">
        <v>18.579999999999998</v>
      </c>
      <c r="R258" s="563">
        <f t="shared" si="14"/>
        <v>-7.8143746250749491E-3</v>
      </c>
      <c r="S258" s="563">
        <f t="shared" si="15"/>
        <v>1.0775862068965747E-3</v>
      </c>
      <c r="AA258" s="594">
        <v>41960</v>
      </c>
      <c r="AB258" s="595" t="s">
        <v>449</v>
      </c>
      <c r="AC258" s="595">
        <v>31702.79</v>
      </c>
      <c r="AD258" s="596" t="s">
        <v>395</v>
      </c>
      <c r="AE258" s="595">
        <v>188.05</v>
      </c>
      <c r="AF258" s="597">
        <f t="shared" si="16"/>
        <v>1.1444589040287445E-2</v>
      </c>
      <c r="AG258" s="597">
        <f t="shared" si="17"/>
        <v>-3.3261361299609327E-2</v>
      </c>
    </row>
    <row r="259" spans="13:33" x14ac:dyDescent="0.35">
      <c r="M259" s="555">
        <v>41963</v>
      </c>
      <c r="N259" s="543" t="s">
        <v>449</v>
      </c>
      <c r="O259" s="543">
        <v>31239.040000000001</v>
      </c>
      <c r="P259" s="73" t="s">
        <v>431</v>
      </c>
      <c r="Q259" s="158">
        <v>18.12</v>
      </c>
      <c r="R259" s="563">
        <f t="shared" si="14"/>
        <v>-1.6288111741012523E-2</v>
      </c>
      <c r="S259" s="563">
        <f t="shared" si="15"/>
        <v>-2.4757804090419611E-2</v>
      </c>
      <c r="AA259" s="589">
        <v>41961</v>
      </c>
      <c r="AB259" s="590" t="s">
        <v>449</v>
      </c>
      <c r="AC259" s="590">
        <v>32006.400000000001</v>
      </c>
      <c r="AD259" s="591" t="s">
        <v>395</v>
      </c>
      <c r="AE259" s="590">
        <v>189.66</v>
      </c>
      <c r="AF259" s="592">
        <f t="shared" si="16"/>
        <v>9.5767596479678918E-3</v>
      </c>
      <c r="AG259" s="592">
        <f t="shared" si="17"/>
        <v>8.5615527785163348E-3</v>
      </c>
    </row>
    <row r="260" spans="13:33" x14ac:dyDescent="0.35">
      <c r="M260" s="555">
        <v>41964</v>
      </c>
      <c r="N260" s="543" t="s">
        <v>449</v>
      </c>
      <c r="O260" s="543">
        <v>31494.84</v>
      </c>
      <c r="P260" s="73" t="s">
        <v>431</v>
      </c>
      <c r="Q260" s="158">
        <v>18.12</v>
      </c>
      <c r="R260" s="563">
        <f t="shared" si="14"/>
        <v>8.188471860850921E-3</v>
      </c>
      <c r="S260" s="563">
        <f t="shared" si="15"/>
        <v>0</v>
      </c>
      <c r="AA260" s="589">
        <v>41962</v>
      </c>
      <c r="AB260" s="590" t="s">
        <v>449</v>
      </c>
      <c r="AC260" s="590">
        <v>31756.29</v>
      </c>
      <c r="AD260" s="591" t="s">
        <v>395</v>
      </c>
      <c r="AE260" s="590">
        <v>183.69</v>
      </c>
      <c r="AF260" s="592">
        <f t="shared" si="16"/>
        <v>-7.8143746250749491E-3</v>
      </c>
      <c r="AG260" s="592">
        <f t="shared" si="17"/>
        <v>-3.1477380575767211E-2</v>
      </c>
    </row>
    <row r="261" spans="13:33" x14ac:dyDescent="0.35">
      <c r="M261" s="555">
        <v>41967</v>
      </c>
      <c r="N261" s="543" t="s">
        <v>449</v>
      </c>
      <c r="O261" s="543">
        <v>31316.959999999999</v>
      </c>
      <c r="P261" s="73" t="s">
        <v>431</v>
      </c>
      <c r="Q261" s="158">
        <v>17.989999999999998</v>
      </c>
      <c r="R261" s="563">
        <f t="shared" si="14"/>
        <v>-5.6479093083184884E-3</v>
      </c>
      <c r="S261" s="563">
        <f t="shared" si="15"/>
        <v>-7.1743929359824321E-3</v>
      </c>
      <c r="AA261" s="594">
        <v>41963</v>
      </c>
      <c r="AB261" s="595" t="s">
        <v>449</v>
      </c>
      <c r="AC261" s="595">
        <v>31239.040000000001</v>
      </c>
      <c r="AD261" s="596" t="s">
        <v>395</v>
      </c>
      <c r="AE261" s="595">
        <v>177.86</v>
      </c>
      <c r="AF261" s="597">
        <f t="shared" si="16"/>
        <v>-1.6288111741012523E-2</v>
      </c>
      <c r="AG261" s="597">
        <f t="shared" si="17"/>
        <v>-3.1738254668190913E-2</v>
      </c>
    </row>
    <row r="262" spans="13:33" x14ac:dyDescent="0.35">
      <c r="M262" s="555">
        <v>41968</v>
      </c>
      <c r="N262" s="543" t="s">
        <v>449</v>
      </c>
      <c r="O262" s="543">
        <v>31223.74</v>
      </c>
      <c r="P262" s="73" t="s">
        <v>431</v>
      </c>
      <c r="Q262" s="158">
        <v>17.78</v>
      </c>
      <c r="R262" s="563">
        <f t="shared" si="14"/>
        <v>-2.9766618471268602E-3</v>
      </c>
      <c r="S262" s="563">
        <f t="shared" si="15"/>
        <v>-1.167315175097261E-2</v>
      </c>
      <c r="AA262" s="594">
        <v>41964</v>
      </c>
      <c r="AB262" s="595" t="s">
        <v>449</v>
      </c>
      <c r="AC262" s="595">
        <v>31494.84</v>
      </c>
      <c r="AD262" s="596" t="s">
        <v>395</v>
      </c>
      <c r="AE262" s="595">
        <v>180.51</v>
      </c>
      <c r="AF262" s="597">
        <f t="shared" si="16"/>
        <v>8.188471860850921E-3</v>
      </c>
      <c r="AG262" s="597">
        <f t="shared" si="17"/>
        <v>1.4899359046440797E-2</v>
      </c>
    </row>
    <row r="263" spans="13:33" x14ac:dyDescent="0.35">
      <c r="M263" s="555">
        <v>41969</v>
      </c>
      <c r="N263" s="543" t="s">
        <v>449</v>
      </c>
      <c r="O263" s="543">
        <v>31454.47</v>
      </c>
      <c r="P263" s="73" t="s">
        <v>431</v>
      </c>
      <c r="Q263" s="158">
        <v>17.89</v>
      </c>
      <c r="R263" s="563">
        <f t="shared" si="14"/>
        <v>7.3895696031289759E-3</v>
      </c>
      <c r="S263" s="563">
        <f t="shared" si="15"/>
        <v>6.1867266591675296E-3</v>
      </c>
      <c r="AA263" s="594">
        <v>41967</v>
      </c>
      <c r="AB263" s="595" t="s">
        <v>449</v>
      </c>
      <c r="AC263" s="595">
        <v>31316.959999999999</v>
      </c>
      <c r="AD263" s="596" t="s">
        <v>395</v>
      </c>
      <c r="AE263" s="595">
        <v>177.26</v>
      </c>
      <c r="AF263" s="597">
        <f t="shared" si="16"/>
        <v>-5.6479093083184884E-3</v>
      </c>
      <c r="AG263" s="597">
        <f t="shared" si="17"/>
        <v>-1.8004542684615821E-2</v>
      </c>
    </row>
    <row r="264" spans="13:33" x14ac:dyDescent="0.35">
      <c r="M264" s="555">
        <v>41970</v>
      </c>
      <c r="N264" s="543" t="s">
        <v>449</v>
      </c>
      <c r="O264" s="543">
        <v>31270.1</v>
      </c>
      <c r="P264" s="73" t="s">
        <v>431</v>
      </c>
      <c r="Q264" s="158">
        <v>17.75</v>
      </c>
      <c r="R264" s="563">
        <f t="shared" si="14"/>
        <v>-5.8614880492344756E-3</v>
      </c>
      <c r="S264" s="563">
        <f t="shared" si="15"/>
        <v>-7.8256008943544675E-3</v>
      </c>
      <c r="AA264" s="589">
        <v>41968</v>
      </c>
      <c r="AB264" s="590" t="s">
        <v>449</v>
      </c>
      <c r="AC264" s="590">
        <v>31223.74</v>
      </c>
      <c r="AD264" s="591" t="s">
        <v>395</v>
      </c>
      <c r="AE264" s="590">
        <v>177.7</v>
      </c>
      <c r="AF264" s="592">
        <f t="shared" si="16"/>
        <v>-2.9766618471268602E-3</v>
      </c>
      <c r="AG264" s="592">
        <f t="shared" si="17"/>
        <v>2.4822294933994904E-3</v>
      </c>
    </row>
    <row r="265" spans="13:33" x14ac:dyDescent="0.35">
      <c r="M265" s="555">
        <v>41971</v>
      </c>
      <c r="N265" s="543" t="s">
        <v>449</v>
      </c>
      <c r="O265" s="543">
        <v>31197.98</v>
      </c>
      <c r="P265" s="73" t="s">
        <v>431</v>
      </c>
      <c r="Q265" s="158">
        <v>17.75</v>
      </c>
      <c r="R265" s="563">
        <f t="shared" si="14"/>
        <v>-2.3063565514660489E-3</v>
      </c>
      <c r="S265" s="563">
        <f t="shared" si="15"/>
        <v>0</v>
      </c>
      <c r="AA265" s="589">
        <v>41969</v>
      </c>
      <c r="AB265" s="590" t="s">
        <v>449</v>
      </c>
      <c r="AC265" s="590">
        <v>31454.47</v>
      </c>
      <c r="AD265" s="591" t="s">
        <v>395</v>
      </c>
      <c r="AE265" s="590">
        <v>177.91</v>
      </c>
      <c r="AF265" s="592">
        <f t="shared" si="16"/>
        <v>7.3895696031289759E-3</v>
      </c>
      <c r="AG265" s="592">
        <f t="shared" si="17"/>
        <v>1.1817670230727106E-3</v>
      </c>
    </row>
    <row r="266" spans="13:33" x14ac:dyDescent="0.35">
      <c r="M266" s="555">
        <v>41974</v>
      </c>
      <c r="N266" s="543" t="s">
        <v>449</v>
      </c>
      <c r="O266" s="543">
        <v>31299.72</v>
      </c>
      <c r="P266" s="73" t="s">
        <v>431</v>
      </c>
      <c r="Q266" s="158">
        <v>17.38</v>
      </c>
      <c r="R266" s="563">
        <f t="shared" si="14"/>
        <v>3.2611085717728638E-3</v>
      </c>
      <c r="S266" s="563">
        <f t="shared" si="15"/>
        <v>-2.084507042253525E-2</v>
      </c>
      <c r="AA266" s="589">
        <v>41970</v>
      </c>
      <c r="AB266" s="590" t="s">
        <v>449</v>
      </c>
      <c r="AC266" s="590">
        <v>31270.1</v>
      </c>
      <c r="AD266" s="591" t="s">
        <v>395</v>
      </c>
      <c r="AE266" s="590">
        <v>175.05</v>
      </c>
      <c r="AF266" s="592">
        <f t="shared" si="16"/>
        <v>-5.8614880492344756E-3</v>
      </c>
      <c r="AG266" s="592">
        <f t="shared" si="17"/>
        <v>-1.6075543814287996E-2</v>
      </c>
    </row>
    <row r="267" spans="13:33" x14ac:dyDescent="0.35">
      <c r="M267" s="555">
        <v>41975</v>
      </c>
      <c r="N267" s="543" t="s">
        <v>449</v>
      </c>
      <c r="O267" s="543">
        <v>31680.720000000001</v>
      </c>
      <c r="P267" s="73" t="s">
        <v>431</v>
      </c>
      <c r="Q267" s="158">
        <v>17.86</v>
      </c>
      <c r="R267" s="563">
        <f t="shared" si="14"/>
        <v>1.2172632854223542E-2</v>
      </c>
      <c r="S267" s="563">
        <f t="shared" si="15"/>
        <v>2.7617951668584606E-2</v>
      </c>
      <c r="AA267" s="589">
        <v>41971</v>
      </c>
      <c r="AB267" s="590" t="s">
        <v>449</v>
      </c>
      <c r="AC267" s="590">
        <v>31197.98</v>
      </c>
      <c r="AD267" s="591" t="s">
        <v>395</v>
      </c>
      <c r="AE267" s="590">
        <v>175.56</v>
      </c>
      <c r="AF267" s="592">
        <f t="shared" si="16"/>
        <v>-2.3063565514660489E-3</v>
      </c>
      <c r="AG267" s="592">
        <f t="shared" si="17"/>
        <v>2.9134532990573447E-3</v>
      </c>
    </row>
    <row r="268" spans="13:33" x14ac:dyDescent="0.35">
      <c r="M268" s="555">
        <v>41976</v>
      </c>
      <c r="N268" s="543" t="s">
        <v>449</v>
      </c>
      <c r="O268" s="543">
        <v>31872.73</v>
      </c>
      <c r="P268" s="73" t="s">
        <v>431</v>
      </c>
      <c r="Q268" s="158">
        <v>17.57</v>
      </c>
      <c r="R268" s="563">
        <f t="shared" si="14"/>
        <v>6.0607839720814294E-3</v>
      </c>
      <c r="S268" s="563">
        <f t="shared" si="15"/>
        <v>-1.6237402015677471E-2</v>
      </c>
      <c r="AA268" s="589">
        <v>41974</v>
      </c>
      <c r="AB268" s="590" t="s">
        <v>449</v>
      </c>
      <c r="AC268" s="590">
        <v>31299.72</v>
      </c>
      <c r="AD268" s="591" t="s">
        <v>395</v>
      </c>
      <c r="AE268" s="590">
        <v>184.31</v>
      </c>
      <c r="AF268" s="592">
        <f t="shared" si="16"/>
        <v>3.2611085717728638E-3</v>
      </c>
      <c r="AG268" s="592">
        <f t="shared" si="17"/>
        <v>4.9840510366826241E-2</v>
      </c>
    </row>
    <row r="269" spans="13:33" x14ac:dyDescent="0.35">
      <c r="M269" s="555">
        <v>41977</v>
      </c>
      <c r="N269" s="543" t="s">
        <v>449</v>
      </c>
      <c r="O269" s="543">
        <v>32090.93</v>
      </c>
      <c r="P269" s="73" t="s">
        <v>431</v>
      </c>
      <c r="Q269" s="158">
        <v>17.63</v>
      </c>
      <c r="R269" s="563">
        <f t="shared" si="14"/>
        <v>6.845977737081288E-3</v>
      </c>
      <c r="S269" s="563">
        <f t="shared" si="15"/>
        <v>3.4149117814454844E-3</v>
      </c>
      <c r="AA269" s="589">
        <v>41975</v>
      </c>
      <c r="AB269" s="590" t="s">
        <v>449</v>
      </c>
      <c r="AC269" s="590">
        <v>31680.720000000001</v>
      </c>
      <c r="AD269" s="591" t="s">
        <v>395</v>
      </c>
      <c r="AE269" s="590">
        <v>193.52</v>
      </c>
      <c r="AF269" s="592">
        <f t="shared" si="16"/>
        <v>1.2172632854223542E-2</v>
      </c>
      <c r="AG269" s="592">
        <f t="shared" si="17"/>
        <v>4.9970158971298417E-2</v>
      </c>
    </row>
    <row r="270" spans="13:33" x14ac:dyDescent="0.35">
      <c r="M270" s="555">
        <v>41978</v>
      </c>
      <c r="N270" s="543" t="s">
        <v>449</v>
      </c>
      <c r="O270" s="543">
        <v>32148.78</v>
      </c>
      <c r="P270" s="73" t="s">
        <v>431</v>
      </c>
      <c r="Q270" s="158">
        <v>17.47</v>
      </c>
      <c r="R270" s="563">
        <f t="shared" si="14"/>
        <v>1.8026900435730298E-3</v>
      </c>
      <c r="S270" s="563">
        <f t="shared" si="15"/>
        <v>-9.0754395916051722E-3</v>
      </c>
      <c r="AA270" s="589">
        <v>41976</v>
      </c>
      <c r="AB270" s="590" t="s">
        <v>449</v>
      </c>
      <c r="AC270" s="590">
        <v>31872.73</v>
      </c>
      <c r="AD270" s="591" t="s">
        <v>395</v>
      </c>
      <c r="AE270" s="590">
        <v>194.13</v>
      </c>
      <c r="AF270" s="592">
        <f t="shared" si="16"/>
        <v>6.0607839720814294E-3</v>
      </c>
      <c r="AG270" s="592">
        <f t="shared" si="17"/>
        <v>3.1521289789169238E-3</v>
      </c>
    </row>
    <row r="271" spans="13:33" x14ac:dyDescent="0.35">
      <c r="M271" s="555">
        <v>41981</v>
      </c>
      <c r="N271" s="543" t="s">
        <v>449</v>
      </c>
      <c r="O271" s="543">
        <v>32010.33</v>
      </c>
      <c r="P271" s="73" t="s">
        <v>431</v>
      </c>
      <c r="Q271" s="158">
        <v>17.36</v>
      </c>
      <c r="R271" s="563">
        <f t="shared" si="14"/>
        <v>-4.3065397816027806E-3</v>
      </c>
      <c r="S271" s="563">
        <f t="shared" si="15"/>
        <v>-6.2965082999427713E-3</v>
      </c>
      <c r="AA271" s="589">
        <v>41977</v>
      </c>
      <c r="AB271" s="590" t="s">
        <v>449</v>
      </c>
      <c r="AC271" s="590">
        <v>32090.93</v>
      </c>
      <c r="AD271" s="591" t="s">
        <v>395</v>
      </c>
      <c r="AE271" s="590">
        <v>194.69</v>
      </c>
      <c r="AF271" s="592">
        <f t="shared" si="16"/>
        <v>6.845977737081288E-3</v>
      </c>
      <c r="AG271" s="592">
        <f t="shared" si="17"/>
        <v>2.8846649152629578E-3</v>
      </c>
    </row>
    <row r="272" spans="13:33" x14ac:dyDescent="0.35">
      <c r="M272" s="555">
        <v>41982</v>
      </c>
      <c r="N272" s="543" t="s">
        <v>449</v>
      </c>
      <c r="O272" s="543">
        <v>32084.16</v>
      </c>
      <c r="P272" s="73" t="s">
        <v>431</v>
      </c>
      <c r="Q272" s="158">
        <v>17.48</v>
      </c>
      <c r="R272" s="563">
        <f t="shared" si="14"/>
        <v>2.3064429513846019E-3</v>
      </c>
      <c r="S272" s="563">
        <f t="shared" si="15"/>
        <v>6.9124423963133896E-3</v>
      </c>
      <c r="AA272" s="589">
        <v>41978</v>
      </c>
      <c r="AB272" s="590" t="s">
        <v>449</v>
      </c>
      <c r="AC272" s="590">
        <v>32148.78</v>
      </c>
      <c r="AD272" s="591" t="s">
        <v>395</v>
      </c>
      <c r="AE272" s="590">
        <v>192.82</v>
      </c>
      <c r="AF272" s="592">
        <f t="shared" si="16"/>
        <v>1.8026900435730298E-3</v>
      </c>
      <c r="AG272" s="592">
        <f t="shared" si="17"/>
        <v>-9.6050130977451964E-3</v>
      </c>
    </row>
    <row r="273" spans="13:33" x14ac:dyDescent="0.35">
      <c r="M273" s="555">
        <v>41983</v>
      </c>
      <c r="N273" s="543" t="s">
        <v>449</v>
      </c>
      <c r="O273" s="543">
        <v>31781.65</v>
      </c>
      <c r="P273" s="73" t="s">
        <v>431</v>
      </c>
      <c r="Q273" s="158">
        <v>17.260000000000002</v>
      </c>
      <c r="R273" s="563">
        <f t="shared" si="14"/>
        <v>-9.428640176336156E-3</v>
      </c>
      <c r="S273" s="563">
        <f t="shared" si="15"/>
        <v>-1.2585812356979309E-2</v>
      </c>
      <c r="AA273" s="589">
        <v>41981</v>
      </c>
      <c r="AB273" s="590" t="s">
        <v>449</v>
      </c>
      <c r="AC273" s="590">
        <v>32010.33</v>
      </c>
      <c r="AD273" s="591" t="s">
        <v>395</v>
      </c>
      <c r="AE273" s="590">
        <v>188.11</v>
      </c>
      <c r="AF273" s="592">
        <f t="shared" si="16"/>
        <v>-4.3065397816027806E-3</v>
      </c>
      <c r="AG273" s="592">
        <f t="shared" si="17"/>
        <v>-2.4426926667358018E-2</v>
      </c>
    </row>
    <row r="274" spans="13:33" x14ac:dyDescent="0.35">
      <c r="M274" s="555">
        <v>41984</v>
      </c>
      <c r="N274" s="543" t="s">
        <v>449</v>
      </c>
      <c r="O274" s="543">
        <v>31779.75</v>
      </c>
      <c r="P274" s="73" t="s">
        <v>431</v>
      </c>
      <c r="Q274" s="158">
        <v>17.77</v>
      </c>
      <c r="R274" s="563">
        <f t="shared" si="14"/>
        <v>-5.9782925052709324E-5</v>
      </c>
      <c r="S274" s="563">
        <f t="shared" si="15"/>
        <v>2.9548088064889733E-2</v>
      </c>
      <c r="AA274" s="594">
        <v>41982</v>
      </c>
      <c r="AB274" s="595" t="s">
        <v>449</v>
      </c>
      <c r="AC274" s="595">
        <v>32084.16</v>
      </c>
      <c r="AD274" s="596" t="s">
        <v>395</v>
      </c>
      <c r="AE274" s="595">
        <v>190.18</v>
      </c>
      <c r="AF274" s="597">
        <f t="shared" si="16"/>
        <v>2.3064429513846019E-3</v>
      </c>
      <c r="AG274" s="597">
        <f t="shared" si="17"/>
        <v>1.1004199670405557E-2</v>
      </c>
    </row>
    <row r="275" spans="13:33" x14ac:dyDescent="0.35">
      <c r="M275" s="555">
        <v>41985</v>
      </c>
      <c r="N275" s="543" t="s">
        <v>449</v>
      </c>
      <c r="O275" s="543">
        <v>31589.82</v>
      </c>
      <c r="P275" s="73" t="s">
        <v>431</v>
      </c>
      <c r="Q275" s="158">
        <v>17.28</v>
      </c>
      <c r="R275" s="563">
        <f t="shared" si="14"/>
        <v>-5.9764472659477041E-3</v>
      </c>
      <c r="S275" s="563">
        <f t="shared" si="15"/>
        <v>-2.7574563871693769E-2</v>
      </c>
      <c r="AA275" s="594">
        <v>41983</v>
      </c>
      <c r="AB275" s="595" t="s">
        <v>449</v>
      </c>
      <c r="AC275" s="595">
        <v>31781.65</v>
      </c>
      <c r="AD275" s="596" t="s">
        <v>395</v>
      </c>
      <c r="AE275" s="595">
        <v>184.38</v>
      </c>
      <c r="AF275" s="597">
        <f t="shared" si="16"/>
        <v>-9.428640176336156E-3</v>
      </c>
      <c r="AG275" s="597">
        <f t="shared" si="17"/>
        <v>-3.0497423493532461E-2</v>
      </c>
    </row>
    <row r="276" spans="13:33" x14ac:dyDescent="0.35">
      <c r="M276" s="555">
        <v>41988</v>
      </c>
      <c r="N276" s="543" t="s">
        <v>449</v>
      </c>
      <c r="O276" s="543">
        <v>31690.1</v>
      </c>
      <c r="P276" s="73" t="s">
        <v>431</v>
      </c>
      <c r="Q276" s="158">
        <v>17.23</v>
      </c>
      <c r="R276" s="563">
        <f t="shared" si="14"/>
        <v>3.1744403735127769E-3</v>
      </c>
      <c r="S276" s="563">
        <f t="shared" si="15"/>
        <v>-2.8935185185186008E-3</v>
      </c>
      <c r="AA276" s="594">
        <v>41984</v>
      </c>
      <c r="AB276" s="595" t="s">
        <v>449</v>
      </c>
      <c r="AC276" s="595">
        <v>31779.75</v>
      </c>
      <c r="AD276" s="596" t="s">
        <v>395</v>
      </c>
      <c r="AE276" s="595">
        <v>183.16</v>
      </c>
      <c r="AF276" s="597">
        <f t="shared" si="16"/>
        <v>-5.9782925052709324E-5</v>
      </c>
      <c r="AG276" s="597">
        <f t="shared" si="17"/>
        <v>-6.6167697147195836E-3</v>
      </c>
    </row>
    <row r="277" spans="13:33" x14ac:dyDescent="0.35">
      <c r="M277" s="555">
        <v>41989</v>
      </c>
      <c r="N277" s="543" t="s">
        <v>449</v>
      </c>
      <c r="O277" s="543">
        <v>30876.28</v>
      </c>
      <c r="P277" s="73" t="s">
        <v>431</v>
      </c>
      <c r="Q277" s="158">
        <v>16.62</v>
      </c>
      <c r="R277" s="563">
        <f t="shared" si="14"/>
        <v>-2.5680575321630372E-2</v>
      </c>
      <c r="S277" s="563">
        <f t="shared" si="15"/>
        <v>-3.5403366221706256E-2</v>
      </c>
      <c r="AA277" s="594">
        <v>41985</v>
      </c>
      <c r="AB277" s="595" t="s">
        <v>449</v>
      </c>
      <c r="AC277" s="595">
        <v>31589.82</v>
      </c>
      <c r="AD277" s="596" t="s">
        <v>395</v>
      </c>
      <c r="AE277" s="595">
        <v>183.33</v>
      </c>
      <c r="AF277" s="597">
        <f t="shared" si="16"/>
        <v>-5.9764472659477041E-3</v>
      </c>
      <c r="AG277" s="597">
        <f t="shared" si="17"/>
        <v>9.2815025114667549E-4</v>
      </c>
    </row>
    <row r="278" spans="13:33" x14ac:dyDescent="0.35">
      <c r="M278" s="555">
        <v>41990</v>
      </c>
      <c r="N278" s="543" t="s">
        <v>449</v>
      </c>
      <c r="O278" s="543">
        <v>30667.14</v>
      </c>
      <c r="P278" s="73" t="s">
        <v>431</v>
      </c>
      <c r="Q278" s="158">
        <v>16.52</v>
      </c>
      <c r="R278" s="563">
        <f t="shared" si="14"/>
        <v>-6.7734843705264947E-3</v>
      </c>
      <c r="S278" s="563">
        <f t="shared" si="15"/>
        <v>-6.0168471720819516E-3</v>
      </c>
      <c r="AA278" s="594">
        <v>41988</v>
      </c>
      <c r="AB278" s="595" t="s">
        <v>449</v>
      </c>
      <c r="AC278" s="595">
        <v>31690.1</v>
      </c>
      <c r="AD278" s="596" t="s">
        <v>395</v>
      </c>
      <c r="AE278" s="595">
        <v>184.02</v>
      </c>
      <c r="AF278" s="597">
        <f t="shared" si="16"/>
        <v>3.1744403735127769E-3</v>
      </c>
      <c r="AG278" s="597">
        <f t="shared" si="17"/>
        <v>3.7637047946326163E-3</v>
      </c>
    </row>
    <row r="279" spans="13:33" x14ac:dyDescent="0.35">
      <c r="M279" s="555">
        <v>41991</v>
      </c>
      <c r="N279" s="543" t="s">
        <v>449</v>
      </c>
      <c r="O279" s="543">
        <v>30827.45</v>
      </c>
      <c r="P279" s="73" t="s">
        <v>431</v>
      </c>
      <c r="Q279" s="158">
        <v>16.63</v>
      </c>
      <c r="R279" s="563">
        <f t="shared" si="14"/>
        <v>5.2274193159191906E-3</v>
      </c>
      <c r="S279" s="563">
        <f t="shared" si="15"/>
        <v>6.6585956416465031E-3</v>
      </c>
      <c r="AA279" s="594">
        <v>41989</v>
      </c>
      <c r="AB279" s="595" t="s">
        <v>449</v>
      </c>
      <c r="AC279" s="595">
        <v>30876.28</v>
      </c>
      <c r="AD279" s="596" t="s">
        <v>395</v>
      </c>
      <c r="AE279" s="595">
        <v>180.4</v>
      </c>
      <c r="AF279" s="597">
        <f t="shared" si="16"/>
        <v>-2.5680575321630372E-2</v>
      </c>
      <c r="AG279" s="597">
        <f t="shared" si="17"/>
        <v>-1.9671774807086262E-2</v>
      </c>
    </row>
    <row r="280" spans="13:33" x14ac:dyDescent="0.35">
      <c r="M280" s="555">
        <v>41992</v>
      </c>
      <c r="N280" s="543" t="s">
        <v>449</v>
      </c>
      <c r="O280" s="543">
        <v>31011.15</v>
      </c>
      <c r="P280" s="73" t="s">
        <v>431</v>
      </c>
      <c r="Q280" s="158">
        <v>16.46</v>
      </c>
      <c r="R280" s="563">
        <f t="shared" si="14"/>
        <v>5.9589748746653459E-3</v>
      </c>
      <c r="S280" s="563">
        <f t="shared" si="15"/>
        <v>-1.0222489476849006E-2</v>
      </c>
      <c r="AA280" s="594">
        <v>41990</v>
      </c>
      <c r="AB280" s="595" t="s">
        <v>449</v>
      </c>
      <c r="AC280" s="595">
        <v>30667.14</v>
      </c>
      <c r="AD280" s="596" t="s">
        <v>395</v>
      </c>
      <c r="AE280" s="595">
        <v>185</v>
      </c>
      <c r="AF280" s="597">
        <f t="shared" si="16"/>
        <v>-6.7734843705264947E-3</v>
      </c>
      <c r="AG280" s="597">
        <f t="shared" si="17"/>
        <v>2.5498891352549791E-2</v>
      </c>
    </row>
    <row r="281" spans="13:33" x14ac:dyDescent="0.35">
      <c r="M281" s="555">
        <v>41995</v>
      </c>
      <c r="N281" s="543" t="s">
        <v>449</v>
      </c>
      <c r="O281" s="543">
        <v>31491.62</v>
      </c>
      <c r="P281" s="73" t="s">
        <v>431</v>
      </c>
      <c r="Q281" s="158">
        <v>17.260000000000002</v>
      </c>
      <c r="R281" s="563">
        <f t="shared" si="14"/>
        <v>1.5493459610494753E-2</v>
      </c>
      <c r="S281" s="563">
        <f t="shared" si="15"/>
        <v>4.8602673147023046E-2</v>
      </c>
      <c r="AA281" s="594">
        <v>41991</v>
      </c>
      <c r="AB281" s="595" t="s">
        <v>449</v>
      </c>
      <c r="AC281" s="595">
        <v>30827.45</v>
      </c>
      <c r="AD281" s="596" t="s">
        <v>395</v>
      </c>
      <c r="AE281" s="595">
        <v>188.4</v>
      </c>
      <c r="AF281" s="597">
        <f t="shared" si="16"/>
        <v>5.2274193159191906E-3</v>
      </c>
      <c r="AG281" s="597">
        <f t="shared" si="17"/>
        <v>1.8378378378378413E-2</v>
      </c>
    </row>
    <row r="282" spans="13:33" x14ac:dyDescent="0.35">
      <c r="M282" s="555">
        <v>41996</v>
      </c>
      <c r="N282" s="543" t="s">
        <v>449</v>
      </c>
      <c r="O282" s="543">
        <v>31750.38</v>
      </c>
      <c r="P282" s="73" t="s">
        <v>431</v>
      </c>
      <c r="Q282" s="158">
        <v>18.12</v>
      </c>
      <c r="R282" s="563">
        <f t="shared" ref="R282:R345" si="18">(O282/O281)-1</f>
        <v>8.2167891013547045E-3</v>
      </c>
      <c r="S282" s="563">
        <f t="shared" ref="S282:S345" si="19">(Q282/Q281)-1</f>
        <v>4.9826187717265213E-2</v>
      </c>
      <c r="AA282" s="594">
        <v>41992</v>
      </c>
      <c r="AB282" s="595" t="s">
        <v>449</v>
      </c>
      <c r="AC282" s="595">
        <v>31011.15</v>
      </c>
      <c r="AD282" s="596" t="s">
        <v>395</v>
      </c>
      <c r="AE282" s="595">
        <v>186.36</v>
      </c>
      <c r="AF282" s="597">
        <f t="shared" si="16"/>
        <v>5.9589748746653459E-3</v>
      </c>
      <c r="AG282" s="597">
        <f t="shared" si="17"/>
        <v>-1.0828025477707004E-2</v>
      </c>
    </row>
    <row r="283" spans="13:33" x14ac:dyDescent="0.35">
      <c r="M283" s="555">
        <v>41997</v>
      </c>
      <c r="N283" s="543" t="s">
        <v>449</v>
      </c>
      <c r="O283" s="543">
        <v>32000.01</v>
      </c>
      <c r="P283" s="73" t="s">
        <v>431</v>
      </c>
      <c r="Q283" s="158">
        <v>17.8</v>
      </c>
      <c r="R283" s="563">
        <f t="shared" si="18"/>
        <v>7.8622681051374599E-3</v>
      </c>
      <c r="S283" s="563">
        <f t="shared" si="19"/>
        <v>-1.7660044150110354E-2</v>
      </c>
      <c r="AA283" s="594">
        <v>41995</v>
      </c>
      <c r="AB283" s="595" t="s">
        <v>449</v>
      </c>
      <c r="AC283" s="595">
        <v>31491.62</v>
      </c>
      <c r="AD283" s="596" t="s">
        <v>395</v>
      </c>
      <c r="AE283" s="595">
        <v>185.09</v>
      </c>
      <c r="AF283" s="597">
        <f t="shared" si="16"/>
        <v>1.5493459610494753E-2</v>
      </c>
      <c r="AG283" s="597">
        <f t="shared" si="17"/>
        <v>-6.8147671174072499E-3</v>
      </c>
    </row>
    <row r="284" spans="13:33" x14ac:dyDescent="0.35">
      <c r="M284" s="555">
        <v>41999</v>
      </c>
      <c r="N284" s="543" t="s">
        <v>449</v>
      </c>
      <c r="O284" s="543">
        <v>31993.01</v>
      </c>
      <c r="P284" s="73" t="s">
        <v>431</v>
      </c>
      <c r="Q284" s="158">
        <v>17.84</v>
      </c>
      <c r="R284" s="563">
        <f t="shared" si="18"/>
        <v>-2.1874993164061607E-4</v>
      </c>
      <c r="S284" s="563">
        <f t="shared" si="19"/>
        <v>2.2471910112358273E-3</v>
      </c>
      <c r="AA284" s="594">
        <v>41996</v>
      </c>
      <c r="AB284" s="595" t="s">
        <v>449</v>
      </c>
      <c r="AC284" s="595">
        <v>31750.38</v>
      </c>
      <c r="AD284" s="596" t="s">
        <v>395</v>
      </c>
      <c r="AE284" s="595">
        <v>186.16</v>
      </c>
      <c r="AF284" s="597">
        <f t="shared" ref="AF284:AF347" si="20">(AC284/AC283)-1</f>
        <v>8.2167891013547045E-3</v>
      </c>
      <c r="AG284" s="597">
        <f t="shared" ref="AG284:AG347" si="21">(AE284/AE283)-1</f>
        <v>5.7809714193095552E-3</v>
      </c>
    </row>
    <row r="285" spans="13:33" x14ac:dyDescent="0.35">
      <c r="M285" s="555">
        <v>42002</v>
      </c>
      <c r="N285" s="543" t="s">
        <v>449</v>
      </c>
      <c r="O285" s="543">
        <v>31906.74</v>
      </c>
      <c r="P285" s="73" t="s">
        <v>431</v>
      </c>
      <c r="Q285" s="158">
        <v>17.72</v>
      </c>
      <c r="R285" s="563">
        <f t="shared" si="18"/>
        <v>-2.6965265225121771E-3</v>
      </c>
      <c r="S285" s="563">
        <f t="shared" si="19"/>
        <v>-6.7264573991031584E-3</v>
      </c>
      <c r="AA285" s="594">
        <v>41997</v>
      </c>
      <c r="AB285" s="595" t="s">
        <v>449</v>
      </c>
      <c r="AC285" s="595">
        <v>32000.01</v>
      </c>
      <c r="AD285" s="596" t="s">
        <v>395</v>
      </c>
      <c r="AE285" s="595">
        <v>184.8</v>
      </c>
      <c r="AF285" s="597">
        <f t="shared" si="20"/>
        <v>7.8622681051374599E-3</v>
      </c>
      <c r="AG285" s="597">
        <f t="shared" si="21"/>
        <v>-7.3055436183927513E-3</v>
      </c>
    </row>
    <row r="286" spans="13:33" x14ac:dyDescent="0.35">
      <c r="M286" s="555">
        <v>42003</v>
      </c>
      <c r="N286" s="543" t="s">
        <v>449</v>
      </c>
      <c r="O286" s="543">
        <v>31953.9</v>
      </c>
      <c r="P286" s="73" t="s">
        <v>431</v>
      </c>
      <c r="Q286" s="158">
        <v>18.52</v>
      </c>
      <c r="R286" s="563">
        <f t="shared" si="18"/>
        <v>1.4780576141593116E-3</v>
      </c>
      <c r="S286" s="563">
        <f t="shared" si="19"/>
        <v>4.5146726862302478E-2</v>
      </c>
      <c r="AA286" s="594">
        <v>41999</v>
      </c>
      <c r="AB286" s="595" t="s">
        <v>449</v>
      </c>
      <c r="AC286" s="595">
        <v>31993.01</v>
      </c>
      <c r="AD286" s="596" t="s">
        <v>395</v>
      </c>
      <c r="AE286" s="595">
        <v>183.07</v>
      </c>
      <c r="AF286" s="597">
        <f t="shared" si="20"/>
        <v>-2.1874993164061607E-4</v>
      </c>
      <c r="AG286" s="597">
        <f t="shared" si="21"/>
        <v>-9.3614718614719594E-3</v>
      </c>
    </row>
    <row r="287" spans="13:33" x14ac:dyDescent="0.35">
      <c r="M287" s="555">
        <v>42004</v>
      </c>
      <c r="N287" s="543" t="s">
        <v>449</v>
      </c>
      <c r="O287" s="543">
        <v>32131.279999999999</v>
      </c>
      <c r="P287" s="73" t="s">
        <v>431</v>
      </c>
      <c r="Q287" s="158">
        <v>19</v>
      </c>
      <c r="R287" s="563">
        <f t="shared" si="18"/>
        <v>5.55112208525399E-3</v>
      </c>
      <c r="S287" s="563">
        <f t="shared" si="19"/>
        <v>2.591792656587466E-2</v>
      </c>
      <c r="AA287" s="589">
        <v>42002</v>
      </c>
      <c r="AB287" s="590" t="s">
        <v>449</v>
      </c>
      <c r="AC287" s="590">
        <v>31906.74</v>
      </c>
      <c r="AD287" s="591" t="s">
        <v>395</v>
      </c>
      <c r="AE287" s="590">
        <v>181.91</v>
      </c>
      <c r="AF287" s="592">
        <f t="shared" si="20"/>
        <v>-2.6965265225121771E-3</v>
      </c>
      <c r="AG287" s="592">
        <f t="shared" si="21"/>
        <v>-6.3363740645654421E-3</v>
      </c>
    </row>
    <row r="288" spans="13:33" x14ac:dyDescent="0.35">
      <c r="M288" s="555">
        <v>42005</v>
      </c>
      <c r="N288" s="543" t="s">
        <v>449</v>
      </c>
      <c r="O288" s="543">
        <v>32480.35</v>
      </c>
      <c r="P288" s="73" t="s">
        <v>431</v>
      </c>
      <c r="Q288" s="158">
        <v>19.11</v>
      </c>
      <c r="R288" s="563">
        <f t="shared" si="18"/>
        <v>1.0863868479562555E-2</v>
      </c>
      <c r="S288" s="563">
        <f t="shared" si="19"/>
        <v>5.7894736842105665E-3</v>
      </c>
      <c r="AA288" s="589">
        <v>42003</v>
      </c>
      <c r="AB288" s="590" t="s">
        <v>449</v>
      </c>
      <c r="AC288" s="590">
        <v>31953.9</v>
      </c>
      <c r="AD288" s="591" t="s">
        <v>395</v>
      </c>
      <c r="AE288" s="590">
        <v>182.97</v>
      </c>
      <c r="AF288" s="592">
        <f t="shared" si="20"/>
        <v>1.4780576141593116E-3</v>
      </c>
      <c r="AG288" s="592">
        <f t="shared" si="21"/>
        <v>5.8270573360452715E-3</v>
      </c>
    </row>
    <row r="289" spans="13:33" x14ac:dyDescent="0.35">
      <c r="M289" s="555">
        <v>42006</v>
      </c>
      <c r="N289" s="543" t="s">
        <v>449</v>
      </c>
      <c r="O289" s="543">
        <v>32731.61</v>
      </c>
      <c r="P289" s="73" t="s">
        <v>431</v>
      </c>
      <c r="Q289" s="158">
        <v>18.78</v>
      </c>
      <c r="R289" s="563">
        <f t="shared" si="18"/>
        <v>7.7357540790048418E-3</v>
      </c>
      <c r="S289" s="563">
        <f t="shared" si="19"/>
        <v>-1.7268445839874302E-2</v>
      </c>
      <c r="AA289" s="594">
        <v>42004</v>
      </c>
      <c r="AB289" s="595" t="s">
        <v>449</v>
      </c>
      <c r="AC289" s="595">
        <v>32131.279999999999</v>
      </c>
      <c r="AD289" s="596" t="s">
        <v>395</v>
      </c>
      <c r="AE289" s="595">
        <v>185.38</v>
      </c>
      <c r="AF289" s="597">
        <f t="shared" si="20"/>
        <v>5.55112208525399E-3</v>
      </c>
      <c r="AG289" s="597">
        <f t="shared" si="21"/>
        <v>1.3171558178936449E-2</v>
      </c>
    </row>
    <row r="290" spans="13:33" x14ac:dyDescent="0.35">
      <c r="M290" s="555">
        <v>42009</v>
      </c>
      <c r="N290" s="543" t="s">
        <v>449</v>
      </c>
      <c r="O290" s="543">
        <v>32757.79</v>
      </c>
      <c r="P290" s="73" t="s">
        <v>431</v>
      </c>
      <c r="Q290" s="158">
        <v>18.760000000000002</v>
      </c>
      <c r="R290" s="563">
        <f t="shared" si="18"/>
        <v>7.9983844363296086E-4</v>
      </c>
      <c r="S290" s="563">
        <f t="shared" si="19"/>
        <v>-1.0649627263045192E-3</v>
      </c>
      <c r="AA290" s="594">
        <v>42005</v>
      </c>
      <c r="AB290" s="595" t="s">
        <v>449</v>
      </c>
      <c r="AC290" s="595">
        <v>32480.35</v>
      </c>
      <c r="AD290" s="596" t="s">
        <v>395</v>
      </c>
      <c r="AE290" s="595">
        <v>184.83</v>
      </c>
      <c r="AF290" s="597">
        <f t="shared" si="20"/>
        <v>1.0863868479562555E-2</v>
      </c>
      <c r="AG290" s="597">
        <f t="shared" si="21"/>
        <v>-2.9668788434565885E-3</v>
      </c>
    </row>
    <row r="291" spans="13:33" x14ac:dyDescent="0.35">
      <c r="M291" s="555">
        <v>42010</v>
      </c>
      <c r="N291" s="543" t="s">
        <v>449</v>
      </c>
      <c r="O291" s="543">
        <v>32668.73</v>
      </c>
      <c r="P291" s="73" t="s">
        <v>431</v>
      </c>
      <c r="Q291" s="158">
        <v>18.41</v>
      </c>
      <c r="R291" s="563">
        <f t="shared" si="18"/>
        <v>-2.7187426257998526E-3</v>
      </c>
      <c r="S291" s="563">
        <f t="shared" si="19"/>
        <v>-1.8656716417910557E-2</v>
      </c>
      <c r="AA291" s="594">
        <v>42006</v>
      </c>
      <c r="AB291" s="595" t="s">
        <v>449</v>
      </c>
      <c r="AC291" s="595">
        <v>32731.61</v>
      </c>
      <c r="AD291" s="596" t="s">
        <v>395</v>
      </c>
      <c r="AE291" s="595">
        <v>182.17</v>
      </c>
      <c r="AF291" s="597">
        <f t="shared" si="20"/>
        <v>7.7357540790048418E-3</v>
      </c>
      <c r="AG291" s="597">
        <f t="shared" si="21"/>
        <v>-1.4391603094735861E-2</v>
      </c>
    </row>
    <row r="292" spans="13:33" x14ac:dyDescent="0.35">
      <c r="M292" s="555">
        <v>42011</v>
      </c>
      <c r="N292" s="543" t="s">
        <v>449</v>
      </c>
      <c r="O292" s="543">
        <v>32835.949999999997</v>
      </c>
      <c r="P292" s="73" t="s">
        <v>431</v>
      </c>
      <c r="Q292" s="158">
        <v>18.440000000000001</v>
      </c>
      <c r="R292" s="563">
        <f t="shared" si="18"/>
        <v>5.1186562807918889E-3</v>
      </c>
      <c r="S292" s="563">
        <f t="shared" si="19"/>
        <v>1.6295491580662347E-3</v>
      </c>
      <c r="AA292" s="594">
        <v>42009</v>
      </c>
      <c r="AB292" s="595" t="s">
        <v>449</v>
      </c>
      <c r="AC292" s="595">
        <v>32757.79</v>
      </c>
      <c r="AD292" s="596" t="s">
        <v>395</v>
      </c>
      <c r="AE292" s="595">
        <v>184</v>
      </c>
      <c r="AF292" s="597">
        <f t="shared" si="20"/>
        <v>7.9983844363296086E-4</v>
      </c>
      <c r="AG292" s="597">
        <f t="shared" si="21"/>
        <v>1.0045561837843886E-2</v>
      </c>
    </row>
    <row r="293" spans="13:33" x14ac:dyDescent="0.35">
      <c r="M293" s="555">
        <v>42012</v>
      </c>
      <c r="N293" s="543" t="s">
        <v>449</v>
      </c>
      <c r="O293" s="543">
        <v>33117.47</v>
      </c>
      <c r="P293" s="73" t="s">
        <v>431</v>
      </c>
      <c r="Q293" s="158">
        <v>18.559999999999999</v>
      </c>
      <c r="R293" s="563">
        <f t="shared" si="18"/>
        <v>8.5735299268028253E-3</v>
      </c>
      <c r="S293" s="563">
        <f t="shared" si="19"/>
        <v>6.5075921908892553E-3</v>
      </c>
      <c r="AA293" s="594">
        <v>42010</v>
      </c>
      <c r="AB293" s="595" t="s">
        <v>449</v>
      </c>
      <c r="AC293" s="595">
        <v>32668.73</v>
      </c>
      <c r="AD293" s="596" t="s">
        <v>395</v>
      </c>
      <c r="AE293" s="595">
        <v>183.98</v>
      </c>
      <c r="AF293" s="597">
        <f t="shared" si="20"/>
        <v>-2.7187426257998526E-3</v>
      </c>
      <c r="AG293" s="597">
        <f t="shared" si="21"/>
        <v>-1.0869565217397348E-4</v>
      </c>
    </row>
    <row r="294" spans="13:33" x14ac:dyDescent="0.35">
      <c r="M294" s="555">
        <v>42013</v>
      </c>
      <c r="N294" s="543" t="s">
        <v>449</v>
      </c>
      <c r="O294" s="543">
        <v>33324.82</v>
      </c>
      <c r="P294" s="73" t="s">
        <v>431</v>
      </c>
      <c r="Q294" s="158">
        <v>18.98</v>
      </c>
      <c r="R294" s="563">
        <f t="shared" si="18"/>
        <v>6.2610459071903435E-3</v>
      </c>
      <c r="S294" s="563">
        <f t="shared" si="19"/>
        <v>2.2629310344827624E-2</v>
      </c>
      <c r="AA294" s="594">
        <v>42011</v>
      </c>
      <c r="AB294" s="595" t="s">
        <v>449</v>
      </c>
      <c r="AC294" s="595">
        <v>32835.949999999997</v>
      </c>
      <c r="AD294" s="596" t="s">
        <v>395</v>
      </c>
      <c r="AE294" s="595">
        <v>183.45</v>
      </c>
      <c r="AF294" s="597">
        <f t="shared" si="20"/>
        <v>5.1186562807918889E-3</v>
      </c>
      <c r="AG294" s="597">
        <f t="shared" si="21"/>
        <v>-2.8807479073812425E-3</v>
      </c>
    </row>
    <row r="295" spans="13:33" x14ac:dyDescent="0.35">
      <c r="M295" s="555">
        <v>42016</v>
      </c>
      <c r="N295" s="543" t="s">
        <v>449</v>
      </c>
      <c r="O295" s="543">
        <v>33418.199999999997</v>
      </c>
      <c r="P295" s="73" t="s">
        <v>431</v>
      </c>
      <c r="Q295" s="158">
        <v>19.5</v>
      </c>
      <c r="R295" s="563">
        <f t="shared" si="18"/>
        <v>2.8021156603394992E-3</v>
      </c>
      <c r="S295" s="563">
        <f t="shared" si="19"/>
        <v>2.739726027397249E-2</v>
      </c>
      <c r="AA295" s="594">
        <v>42012</v>
      </c>
      <c r="AB295" s="595" t="s">
        <v>449</v>
      </c>
      <c r="AC295" s="595">
        <v>33117.47</v>
      </c>
      <c r="AD295" s="596" t="s">
        <v>395</v>
      </c>
      <c r="AE295" s="595">
        <v>192.62</v>
      </c>
      <c r="AF295" s="597">
        <f t="shared" si="20"/>
        <v>8.5735299268028253E-3</v>
      </c>
      <c r="AG295" s="597">
        <f t="shared" si="21"/>
        <v>4.998637230853098E-2</v>
      </c>
    </row>
    <row r="296" spans="13:33" x14ac:dyDescent="0.35">
      <c r="M296" s="555">
        <v>42017</v>
      </c>
      <c r="N296" s="543" t="s">
        <v>449</v>
      </c>
      <c r="O296" s="543">
        <v>33371.29</v>
      </c>
      <c r="P296" s="73" t="s">
        <v>431</v>
      </c>
      <c r="Q296" s="158">
        <v>19.489999999999998</v>
      </c>
      <c r="R296" s="563">
        <f t="shared" si="18"/>
        <v>-1.4037261133154066E-3</v>
      </c>
      <c r="S296" s="563">
        <f t="shared" si="19"/>
        <v>-5.1282051282064423E-4</v>
      </c>
      <c r="AA296" s="594">
        <v>42013</v>
      </c>
      <c r="AB296" s="595" t="s">
        <v>449</v>
      </c>
      <c r="AC296" s="595">
        <v>33324.82</v>
      </c>
      <c r="AD296" s="596" t="s">
        <v>395</v>
      </c>
      <c r="AE296" s="595">
        <v>202.25</v>
      </c>
      <c r="AF296" s="597">
        <f t="shared" si="20"/>
        <v>6.2610459071903435E-3</v>
      </c>
      <c r="AG296" s="597">
        <f t="shared" si="21"/>
        <v>4.9994808431107929E-2</v>
      </c>
    </row>
    <row r="297" spans="13:33" x14ac:dyDescent="0.35">
      <c r="M297" s="555">
        <v>42018</v>
      </c>
      <c r="N297" s="543" t="s">
        <v>449</v>
      </c>
      <c r="O297" s="543">
        <v>33585.75</v>
      </c>
      <c r="P297" s="73" t="s">
        <v>431</v>
      </c>
      <c r="Q297" s="158">
        <v>19.36</v>
      </c>
      <c r="R297" s="563">
        <f t="shared" si="18"/>
        <v>6.4264821647590509E-3</v>
      </c>
      <c r="S297" s="563">
        <f t="shared" si="19"/>
        <v>-6.6700872242174691E-3</v>
      </c>
      <c r="AA297" s="594">
        <v>42016</v>
      </c>
      <c r="AB297" s="595" t="s">
        <v>449</v>
      </c>
      <c r="AC297" s="595">
        <v>33418.199999999997</v>
      </c>
      <c r="AD297" s="596" t="s">
        <v>395</v>
      </c>
      <c r="AE297" s="595">
        <v>203.98</v>
      </c>
      <c r="AF297" s="597">
        <f t="shared" si="20"/>
        <v>2.8021156603394992E-3</v>
      </c>
      <c r="AG297" s="597">
        <f t="shared" si="21"/>
        <v>8.5537700865265798E-3</v>
      </c>
    </row>
    <row r="298" spans="13:33" x14ac:dyDescent="0.35">
      <c r="M298" s="555">
        <v>42019</v>
      </c>
      <c r="N298" s="543" t="s">
        <v>449</v>
      </c>
      <c r="O298" s="543">
        <v>33765.61</v>
      </c>
      <c r="P298" s="73" t="s">
        <v>431</v>
      </c>
      <c r="Q298" s="158">
        <v>19.399999999999999</v>
      </c>
      <c r="R298" s="563">
        <f t="shared" si="18"/>
        <v>5.355247389145612E-3</v>
      </c>
      <c r="S298" s="563">
        <f t="shared" si="19"/>
        <v>2.0661157024792765E-3</v>
      </c>
      <c r="AA298" s="594">
        <v>42017</v>
      </c>
      <c r="AB298" s="595" t="s">
        <v>449</v>
      </c>
      <c r="AC298" s="595">
        <v>33371.29</v>
      </c>
      <c r="AD298" s="596" t="s">
        <v>395</v>
      </c>
      <c r="AE298" s="595">
        <v>202.71</v>
      </c>
      <c r="AF298" s="597">
        <f t="shared" si="20"/>
        <v>-1.4037261133154066E-3</v>
      </c>
      <c r="AG298" s="597">
        <f t="shared" si="21"/>
        <v>-6.2261005980978057E-3</v>
      </c>
    </row>
    <row r="299" spans="13:33" x14ac:dyDescent="0.35">
      <c r="M299" s="555">
        <v>42020</v>
      </c>
      <c r="N299" s="543" t="s">
        <v>449</v>
      </c>
      <c r="O299" s="543">
        <v>33786.44</v>
      </c>
      <c r="P299" s="73" t="s">
        <v>431</v>
      </c>
      <c r="Q299" s="158">
        <v>19.5</v>
      </c>
      <c r="R299" s="563">
        <f t="shared" si="18"/>
        <v>6.16899857577069E-4</v>
      </c>
      <c r="S299" s="563">
        <f t="shared" si="19"/>
        <v>5.1546391752577136E-3</v>
      </c>
      <c r="AA299" s="594">
        <v>42018</v>
      </c>
      <c r="AB299" s="595" t="s">
        <v>449</v>
      </c>
      <c r="AC299" s="595">
        <v>33585.75</v>
      </c>
      <c r="AD299" s="596" t="s">
        <v>395</v>
      </c>
      <c r="AE299" s="595">
        <v>212.84</v>
      </c>
      <c r="AF299" s="597">
        <f t="shared" si="20"/>
        <v>6.4264821647590509E-3</v>
      </c>
      <c r="AG299" s="597">
        <f t="shared" si="21"/>
        <v>4.9972867643431451E-2</v>
      </c>
    </row>
    <row r="300" spans="13:33" x14ac:dyDescent="0.35">
      <c r="M300" s="555">
        <v>42023</v>
      </c>
      <c r="N300" s="543" t="s">
        <v>449</v>
      </c>
      <c r="O300" s="543">
        <v>34014.26</v>
      </c>
      <c r="P300" s="73" t="s">
        <v>431</v>
      </c>
      <c r="Q300" s="158">
        <v>19.48</v>
      </c>
      <c r="R300" s="563">
        <f t="shared" si="18"/>
        <v>6.742941842940553E-3</v>
      </c>
      <c r="S300" s="563">
        <f t="shared" si="19"/>
        <v>-1.0256410256409554E-3</v>
      </c>
      <c r="AA300" s="589">
        <v>42019</v>
      </c>
      <c r="AB300" s="590" t="s">
        <v>449</v>
      </c>
      <c r="AC300" s="590">
        <v>33765.61</v>
      </c>
      <c r="AD300" s="591" t="s">
        <v>395</v>
      </c>
      <c r="AE300" s="590">
        <v>212.82</v>
      </c>
      <c r="AF300" s="592">
        <f t="shared" si="20"/>
        <v>5.355247389145612E-3</v>
      </c>
      <c r="AG300" s="592">
        <f t="shared" si="21"/>
        <v>-9.3967299379826841E-5</v>
      </c>
    </row>
    <row r="301" spans="13:33" x14ac:dyDescent="0.35">
      <c r="M301" s="555">
        <v>42024</v>
      </c>
      <c r="N301" s="543" t="s">
        <v>449</v>
      </c>
      <c r="O301" s="543">
        <v>34121.300000000003</v>
      </c>
      <c r="P301" s="73" t="s">
        <v>431</v>
      </c>
      <c r="Q301" s="158">
        <v>19.440000000000001</v>
      </c>
      <c r="R301" s="563">
        <f t="shared" si="18"/>
        <v>3.1469154407592903E-3</v>
      </c>
      <c r="S301" s="563">
        <f t="shared" si="19"/>
        <v>-2.0533880903490509E-3</v>
      </c>
      <c r="AA301" s="589">
        <v>42020</v>
      </c>
      <c r="AB301" s="590" t="s">
        <v>449</v>
      </c>
      <c r="AC301" s="590">
        <v>33786.44</v>
      </c>
      <c r="AD301" s="591" t="s">
        <v>395</v>
      </c>
      <c r="AE301" s="590">
        <v>214.64</v>
      </c>
      <c r="AF301" s="592">
        <f t="shared" si="20"/>
        <v>6.16899857577069E-4</v>
      </c>
      <c r="AG301" s="592">
        <f t="shared" si="21"/>
        <v>8.5518278357297195E-3</v>
      </c>
    </row>
    <row r="302" spans="13:33" x14ac:dyDescent="0.35">
      <c r="M302" s="555">
        <v>42025</v>
      </c>
      <c r="N302" s="543" t="s">
        <v>449</v>
      </c>
      <c r="O302" s="543">
        <v>34329.5</v>
      </c>
      <c r="P302" s="73" t="s">
        <v>431</v>
      </c>
      <c r="Q302" s="158">
        <v>19.46</v>
      </c>
      <c r="R302" s="563">
        <f t="shared" si="18"/>
        <v>6.1017604839204154E-3</v>
      </c>
      <c r="S302" s="563">
        <f t="shared" si="19"/>
        <v>1.0288065843622185E-3</v>
      </c>
      <c r="AA302" s="594">
        <v>42023</v>
      </c>
      <c r="AB302" s="595" t="s">
        <v>449</v>
      </c>
      <c r="AC302" s="595">
        <v>34014.26</v>
      </c>
      <c r="AD302" s="596" t="s">
        <v>395</v>
      </c>
      <c r="AE302" s="595">
        <v>220.18</v>
      </c>
      <c r="AF302" s="597">
        <f t="shared" si="20"/>
        <v>6.742941842940553E-3</v>
      </c>
      <c r="AG302" s="597">
        <f t="shared" si="21"/>
        <v>2.5810659709280648E-2</v>
      </c>
    </row>
    <row r="303" spans="13:33" x14ac:dyDescent="0.35">
      <c r="M303" s="555">
        <v>42026</v>
      </c>
      <c r="N303" s="543" t="s">
        <v>449</v>
      </c>
      <c r="O303" s="543">
        <v>34146.97</v>
      </c>
      <c r="P303" s="73" t="s">
        <v>431</v>
      </c>
      <c r="Q303" s="158">
        <v>19.25</v>
      </c>
      <c r="R303" s="563">
        <f t="shared" si="18"/>
        <v>-5.3170014127790211E-3</v>
      </c>
      <c r="S303" s="563">
        <f t="shared" si="19"/>
        <v>-1.0791366906474864E-2</v>
      </c>
      <c r="AA303" s="594">
        <v>42024</v>
      </c>
      <c r="AB303" s="595" t="s">
        <v>449</v>
      </c>
      <c r="AC303" s="595">
        <v>34121.300000000003</v>
      </c>
      <c r="AD303" s="596" t="s">
        <v>395</v>
      </c>
      <c r="AE303" s="595">
        <v>220.66</v>
      </c>
      <c r="AF303" s="597">
        <f t="shared" si="20"/>
        <v>3.1469154407592903E-3</v>
      </c>
      <c r="AG303" s="597">
        <f t="shared" si="21"/>
        <v>2.1800345172131586E-3</v>
      </c>
    </row>
    <row r="304" spans="13:33" x14ac:dyDescent="0.35">
      <c r="M304" s="555">
        <v>42027</v>
      </c>
      <c r="N304" s="543" t="s">
        <v>449</v>
      </c>
      <c r="O304" s="543">
        <v>34026.589999999997</v>
      </c>
      <c r="P304" s="73" t="s">
        <v>431</v>
      </c>
      <c r="Q304" s="158">
        <v>19.16</v>
      </c>
      <c r="R304" s="563">
        <f t="shared" si="18"/>
        <v>-3.5253493941045377E-3</v>
      </c>
      <c r="S304" s="563">
        <f t="shared" si="19"/>
        <v>-4.6753246753247213E-3</v>
      </c>
      <c r="AA304" s="594">
        <v>42025</v>
      </c>
      <c r="AB304" s="595" t="s">
        <v>449</v>
      </c>
      <c r="AC304" s="595">
        <v>34329.5</v>
      </c>
      <c r="AD304" s="596" t="s">
        <v>395</v>
      </c>
      <c r="AE304" s="595">
        <v>218.42</v>
      </c>
      <c r="AF304" s="597">
        <f t="shared" si="20"/>
        <v>6.1017604839204154E-3</v>
      </c>
      <c r="AG304" s="597">
        <f t="shared" si="21"/>
        <v>-1.0151364089549531E-2</v>
      </c>
    </row>
    <row r="305" spans="13:33" x14ac:dyDescent="0.35">
      <c r="M305" s="555">
        <v>42030</v>
      </c>
      <c r="N305" s="543" t="s">
        <v>449</v>
      </c>
      <c r="O305" s="543">
        <v>34466.53</v>
      </c>
      <c r="P305" s="73" t="s">
        <v>431</v>
      </c>
      <c r="Q305" s="158">
        <v>19.03</v>
      </c>
      <c r="R305" s="563">
        <f t="shared" si="18"/>
        <v>1.2929300291331103E-2</v>
      </c>
      <c r="S305" s="563">
        <f t="shared" si="19"/>
        <v>-6.7849686847598623E-3</v>
      </c>
      <c r="AA305" s="589">
        <v>42026</v>
      </c>
      <c r="AB305" s="590" t="s">
        <v>449</v>
      </c>
      <c r="AC305" s="590">
        <v>34146.97</v>
      </c>
      <c r="AD305" s="591" t="s">
        <v>395</v>
      </c>
      <c r="AE305" s="590">
        <v>216.21</v>
      </c>
      <c r="AF305" s="592">
        <f t="shared" si="20"/>
        <v>-5.3170014127790211E-3</v>
      </c>
      <c r="AG305" s="592">
        <f t="shared" si="21"/>
        <v>-1.0118121051185702E-2</v>
      </c>
    </row>
    <row r="306" spans="13:33" x14ac:dyDescent="0.35">
      <c r="M306" s="555">
        <v>42031</v>
      </c>
      <c r="N306" s="543" t="s">
        <v>449</v>
      </c>
      <c r="O306" s="543">
        <v>34538.449999999997</v>
      </c>
      <c r="P306" s="73" t="s">
        <v>431</v>
      </c>
      <c r="Q306" s="158">
        <v>19.13</v>
      </c>
      <c r="R306" s="563">
        <f t="shared" si="18"/>
        <v>2.0866620457584695E-3</v>
      </c>
      <c r="S306" s="563">
        <f t="shared" si="19"/>
        <v>5.2548607461901931E-3</v>
      </c>
      <c r="AA306" s="589">
        <v>42027</v>
      </c>
      <c r="AB306" s="590" t="s">
        <v>449</v>
      </c>
      <c r="AC306" s="590">
        <v>34026.589999999997</v>
      </c>
      <c r="AD306" s="591" t="s">
        <v>395</v>
      </c>
      <c r="AE306" s="590">
        <v>210</v>
      </c>
      <c r="AF306" s="592">
        <f t="shared" si="20"/>
        <v>-3.5253493941045377E-3</v>
      </c>
      <c r="AG306" s="592">
        <f t="shared" si="21"/>
        <v>-2.8722075759678112E-2</v>
      </c>
    </row>
    <row r="307" spans="13:33" x14ac:dyDescent="0.35">
      <c r="M307" s="555">
        <v>42032</v>
      </c>
      <c r="N307" s="543" t="s">
        <v>449</v>
      </c>
      <c r="O307" s="543">
        <v>34386.86</v>
      </c>
      <c r="P307" s="73" t="s">
        <v>431</v>
      </c>
      <c r="Q307" s="158">
        <v>18.920000000000002</v>
      </c>
      <c r="R307" s="563">
        <f t="shared" si="18"/>
        <v>-4.3890215108088881E-3</v>
      </c>
      <c r="S307" s="563">
        <f t="shared" si="19"/>
        <v>-1.0977522216413904E-2</v>
      </c>
      <c r="AA307" s="589">
        <v>42030</v>
      </c>
      <c r="AB307" s="590" t="s">
        <v>449</v>
      </c>
      <c r="AC307" s="590">
        <v>34466.53</v>
      </c>
      <c r="AD307" s="591" t="s">
        <v>395</v>
      </c>
      <c r="AE307" s="590">
        <v>218.46</v>
      </c>
      <c r="AF307" s="592">
        <f t="shared" si="20"/>
        <v>1.2929300291331103E-2</v>
      </c>
      <c r="AG307" s="592">
        <f t="shared" si="21"/>
        <v>4.0285714285714258E-2</v>
      </c>
    </row>
    <row r="308" spans="13:33" x14ac:dyDescent="0.35">
      <c r="M308" s="555">
        <v>42033</v>
      </c>
      <c r="N308" s="543" t="s">
        <v>449</v>
      </c>
      <c r="O308" s="543">
        <v>34408.74</v>
      </c>
      <c r="P308" s="73" t="s">
        <v>431</v>
      </c>
      <c r="Q308" s="158">
        <v>18.93</v>
      </c>
      <c r="R308" s="563">
        <f t="shared" si="18"/>
        <v>6.3628955944206034E-4</v>
      </c>
      <c r="S308" s="563">
        <f t="shared" si="19"/>
        <v>5.2854122621548427E-4</v>
      </c>
      <c r="AA308" s="594">
        <v>42031</v>
      </c>
      <c r="AB308" s="595" t="s">
        <v>449</v>
      </c>
      <c r="AC308" s="595">
        <v>34538.449999999997</v>
      </c>
      <c r="AD308" s="596" t="s">
        <v>395</v>
      </c>
      <c r="AE308" s="595">
        <v>217.31</v>
      </c>
      <c r="AF308" s="597">
        <f t="shared" si="20"/>
        <v>2.0866620457584695E-3</v>
      </c>
      <c r="AG308" s="597">
        <f t="shared" si="21"/>
        <v>-5.2641215783210127E-3</v>
      </c>
    </row>
    <row r="309" spans="13:33" x14ac:dyDescent="0.35">
      <c r="M309" s="555">
        <v>42034</v>
      </c>
      <c r="N309" s="543" t="s">
        <v>449</v>
      </c>
      <c r="O309" s="543">
        <v>34443.870000000003</v>
      </c>
      <c r="P309" s="73" t="s">
        <v>431</v>
      </c>
      <c r="Q309" s="158">
        <v>18.489999999999998</v>
      </c>
      <c r="R309" s="563">
        <f t="shared" si="18"/>
        <v>1.0209615347729351E-3</v>
      </c>
      <c r="S309" s="563">
        <f t="shared" si="19"/>
        <v>-2.3243528790280021E-2</v>
      </c>
      <c r="AA309" s="594">
        <v>42032</v>
      </c>
      <c r="AB309" s="595" t="s">
        <v>449</v>
      </c>
      <c r="AC309" s="595">
        <v>34386.86</v>
      </c>
      <c r="AD309" s="596" t="s">
        <v>395</v>
      </c>
      <c r="AE309" s="595">
        <v>217.11</v>
      </c>
      <c r="AF309" s="597">
        <f t="shared" si="20"/>
        <v>-4.3890215108088881E-3</v>
      </c>
      <c r="AG309" s="597">
        <f t="shared" si="21"/>
        <v>-9.2034420873399192E-4</v>
      </c>
    </row>
    <row r="310" spans="13:33" x14ac:dyDescent="0.35">
      <c r="M310" s="555">
        <v>42037</v>
      </c>
      <c r="N310" s="543" t="s">
        <v>449</v>
      </c>
      <c r="O310" s="543">
        <v>34676.31</v>
      </c>
      <c r="P310" s="73" t="s">
        <v>431</v>
      </c>
      <c r="Q310" s="158">
        <v>18.5</v>
      </c>
      <c r="R310" s="563">
        <f t="shared" si="18"/>
        <v>6.7483706099225049E-3</v>
      </c>
      <c r="S310" s="563">
        <f t="shared" si="19"/>
        <v>5.4083288263928608E-4</v>
      </c>
      <c r="AA310" s="594">
        <v>42033</v>
      </c>
      <c r="AB310" s="595" t="s">
        <v>449</v>
      </c>
      <c r="AC310" s="595">
        <v>34408.74</v>
      </c>
      <c r="AD310" s="596" t="s">
        <v>395</v>
      </c>
      <c r="AE310" s="595">
        <v>215.16</v>
      </c>
      <c r="AF310" s="597">
        <f t="shared" si="20"/>
        <v>6.3628955944206034E-4</v>
      </c>
      <c r="AG310" s="597">
        <f t="shared" si="21"/>
        <v>-8.9816222191516637E-3</v>
      </c>
    </row>
    <row r="311" spans="13:33" x14ac:dyDescent="0.35">
      <c r="M311" s="555">
        <v>42038</v>
      </c>
      <c r="N311" s="543" t="s">
        <v>449</v>
      </c>
      <c r="O311" s="543">
        <v>34826.51</v>
      </c>
      <c r="P311" s="73" t="s">
        <v>431</v>
      </c>
      <c r="Q311" s="158">
        <v>18.07</v>
      </c>
      <c r="R311" s="563">
        <f t="shared" si="18"/>
        <v>4.331487404513501E-3</v>
      </c>
      <c r="S311" s="563">
        <f t="shared" si="19"/>
        <v>-2.3243243243243228E-2</v>
      </c>
      <c r="AA311" s="594">
        <v>42034</v>
      </c>
      <c r="AB311" s="595" t="s">
        <v>449</v>
      </c>
      <c r="AC311" s="595">
        <v>34443.870000000003</v>
      </c>
      <c r="AD311" s="596" t="s">
        <v>395</v>
      </c>
      <c r="AE311" s="595">
        <v>215.21</v>
      </c>
      <c r="AF311" s="597">
        <f t="shared" si="20"/>
        <v>1.0209615347729351E-3</v>
      </c>
      <c r="AG311" s="597">
        <f t="shared" si="21"/>
        <v>2.3238520171031674E-4</v>
      </c>
    </row>
    <row r="312" spans="13:33" x14ac:dyDescent="0.35">
      <c r="M312" s="555">
        <v>42039</v>
      </c>
      <c r="N312" s="543" t="s">
        <v>449</v>
      </c>
      <c r="O312" s="543">
        <v>34672.25</v>
      </c>
      <c r="P312" s="73" t="s">
        <v>431</v>
      </c>
      <c r="Q312" s="158">
        <v>18.010000000000002</v>
      </c>
      <c r="R312" s="563">
        <f t="shared" si="18"/>
        <v>-4.4293843971159319E-3</v>
      </c>
      <c r="S312" s="563">
        <f t="shared" si="19"/>
        <v>-3.3204205866075309E-3</v>
      </c>
      <c r="AA312" s="594">
        <v>42037</v>
      </c>
      <c r="AB312" s="595" t="s">
        <v>449</v>
      </c>
      <c r="AC312" s="595">
        <v>34676.31</v>
      </c>
      <c r="AD312" s="596" t="s">
        <v>395</v>
      </c>
      <c r="AE312" s="595">
        <v>213.92</v>
      </c>
      <c r="AF312" s="597">
        <f t="shared" si="20"/>
        <v>6.7483706099225049E-3</v>
      </c>
      <c r="AG312" s="597">
        <f t="shared" si="21"/>
        <v>-5.9941452534734152E-3</v>
      </c>
    </row>
    <row r="313" spans="13:33" x14ac:dyDescent="0.35">
      <c r="M313" s="555">
        <v>42041</v>
      </c>
      <c r="N313" s="543" t="s">
        <v>449</v>
      </c>
      <c r="O313" s="543">
        <v>34656.94</v>
      </c>
      <c r="P313" s="73" t="s">
        <v>431</v>
      </c>
      <c r="Q313" s="158">
        <v>18.100000000000001</v>
      </c>
      <c r="R313" s="563">
        <f t="shared" si="18"/>
        <v>-4.4156349818647023E-4</v>
      </c>
      <c r="S313" s="563">
        <f t="shared" si="19"/>
        <v>4.9972237645752315E-3</v>
      </c>
      <c r="AA313" s="594">
        <v>42038</v>
      </c>
      <c r="AB313" s="595" t="s">
        <v>449</v>
      </c>
      <c r="AC313" s="595">
        <v>34826.51</v>
      </c>
      <c r="AD313" s="596" t="s">
        <v>395</v>
      </c>
      <c r="AE313" s="595">
        <v>207.77</v>
      </c>
      <c r="AF313" s="597">
        <f t="shared" si="20"/>
        <v>4.331487404513501E-3</v>
      </c>
      <c r="AG313" s="597">
        <f t="shared" si="21"/>
        <v>-2.8749065071054458E-2</v>
      </c>
    </row>
    <row r="314" spans="13:33" x14ac:dyDescent="0.35">
      <c r="M314" s="555">
        <v>42044</v>
      </c>
      <c r="N314" s="543" t="s">
        <v>449</v>
      </c>
      <c r="O314" s="543">
        <v>34570.300000000003</v>
      </c>
      <c r="P314" s="73" t="s">
        <v>431</v>
      </c>
      <c r="Q314" s="158">
        <v>18.079999999999998</v>
      </c>
      <c r="R314" s="563">
        <f t="shared" si="18"/>
        <v>-2.4999321925132101E-3</v>
      </c>
      <c r="S314" s="563">
        <f t="shared" si="19"/>
        <v>-1.1049723756907381E-3</v>
      </c>
      <c r="AA314" s="594">
        <v>42039</v>
      </c>
      <c r="AB314" s="595" t="s">
        <v>449</v>
      </c>
      <c r="AC314" s="595">
        <v>34672.25</v>
      </c>
      <c r="AD314" s="596" t="s">
        <v>395</v>
      </c>
      <c r="AE314" s="595">
        <v>208.46</v>
      </c>
      <c r="AF314" s="597">
        <f t="shared" si="20"/>
        <v>-4.4293843971159319E-3</v>
      </c>
      <c r="AG314" s="597">
        <f t="shared" si="21"/>
        <v>3.3209799297300169E-3</v>
      </c>
    </row>
    <row r="315" spans="13:33" x14ac:dyDescent="0.35">
      <c r="M315" s="555">
        <v>42045</v>
      </c>
      <c r="N315" s="543" t="s">
        <v>449</v>
      </c>
      <c r="O315" s="543">
        <v>34432.89</v>
      </c>
      <c r="P315" s="73" t="s">
        <v>431</v>
      </c>
      <c r="Q315" s="158">
        <v>17.98</v>
      </c>
      <c r="R315" s="563">
        <f t="shared" si="18"/>
        <v>-3.9747991773285696E-3</v>
      </c>
      <c r="S315" s="563">
        <f t="shared" si="19"/>
        <v>-5.530973451327359E-3</v>
      </c>
      <c r="AA315" s="589">
        <v>42041</v>
      </c>
      <c r="AB315" s="590" t="s">
        <v>449</v>
      </c>
      <c r="AC315" s="590">
        <v>34656.94</v>
      </c>
      <c r="AD315" s="591" t="s">
        <v>395</v>
      </c>
      <c r="AE315" s="590">
        <v>208.68</v>
      </c>
      <c r="AF315" s="592">
        <f t="shared" si="20"/>
        <v>-4.4156349818647023E-4</v>
      </c>
      <c r="AG315" s="592">
        <f t="shared" si="21"/>
        <v>1.0553583421279988E-3</v>
      </c>
    </row>
    <row r="316" spans="13:33" x14ac:dyDescent="0.35">
      <c r="M316" s="555">
        <v>42046</v>
      </c>
      <c r="N316" s="543" t="s">
        <v>449</v>
      </c>
      <c r="O316" s="543">
        <v>34203.99</v>
      </c>
      <c r="P316" s="73" t="s">
        <v>431</v>
      </c>
      <c r="Q316" s="158">
        <v>17.73</v>
      </c>
      <c r="R316" s="563">
        <f t="shared" si="18"/>
        <v>-6.647713857303339E-3</v>
      </c>
      <c r="S316" s="563">
        <f t="shared" si="19"/>
        <v>-1.3904338153503892E-2</v>
      </c>
      <c r="AA316" s="589">
        <v>42044</v>
      </c>
      <c r="AB316" s="590" t="s">
        <v>449</v>
      </c>
      <c r="AC316" s="590">
        <v>34570.300000000003</v>
      </c>
      <c r="AD316" s="591" t="s">
        <v>395</v>
      </c>
      <c r="AE316" s="590">
        <v>206.78</v>
      </c>
      <c r="AF316" s="592">
        <f t="shared" si="20"/>
        <v>-2.4999321925132101E-3</v>
      </c>
      <c r="AG316" s="592">
        <f t="shared" si="21"/>
        <v>-9.1048495303814869E-3</v>
      </c>
    </row>
    <row r="317" spans="13:33" x14ac:dyDescent="0.35">
      <c r="M317" s="555">
        <v>42047</v>
      </c>
      <c r="N317" s="543" t="s">
        <v>449</v>
      </c>
      <c r="O317" s="543">
        <v>33786.42</v>
      </c>
      <c r="P317" s="73" t="s">
        <v>431</v>
      </c>
      <c r="Q317" s="158">
        <v>17.350000000000001</v>
      </c>
      <c r="R317" s="563">
        <f t="shared" si="18"/>
        <v>-1.2208224829910241E-2</v>
      </c>
      <c r="S317" s="563">
        <f t="shared" si="19"/>
        <v>-2.1432600112803124E-2</v>
      </c>
      <c r="AA317" s="589">
        <v>42045</v>
      </c>
      <c r="AB317" s="590" t="s">
        <v>449</v>
      </c>
      <c r="AC317" s="590">
        <v>34432.89</v>
      </c>
      <c r="AD317" s="591" t="s">
        <v>395</v>
      </c>
      <c r="AE317" s="590">
        <v>213.78</v>
      </c>
      <c r="AF317" s="592">
        <f t="shared" si="20"/>
        <v>-3.9747991773285696E-3</v>
      </c>
      <c r="AG317" s="592">
        <f t="shared" si="21"/>
        <v>3.3852403520649998E-2</v>
      </c>
    </row>
    <row r="318" spans="13:33" x14ac:dyDescent="0.35">
      <c r="M318" s="555">
        <v>42048</v>
      </c>
      <c r="N318" s="543" t="s">
        <v>449</v>
      </c>
      <c r="O318" s="543">
        <v>33943.199999999997</v>
      </c>
      <c r="P318" s="73" t="s">
        <v>431</v>
      </c>
      <c r="Q318" s="158">
        <v>17.47</v>
      </c>
      <c r="R318" s="563">
        <f t="shared" si="18"/>
        <v>4.6403259060887603E-3</v>
      </c>
      <c r="S318" s="563">
        <f t="shared" si="19"/>
        <v>6.916426512968199E-3</v>
      </c>
      <c r="AA318" s="594">
        <v>42046</v>
      </c>
      <c r="AB318" s="595" t="s">
        <v>449</v>
      </c>
      <c r="AC318" s="595">
        <v>34203.99</v>
      </c>
      <c r="AD318" s="596" t="s">
        <v>395</v>
      </c>
      <c r="AE318" s="595">
        <v>212.76</v>
      </c>
      <c r="AF318" s="597">
        <f t="shared" si="20"/>
        <v>-6.647713857303339E-3</v>
      </c>
      <c r="AG318" s="597">
        <f t="shared" si="21"/>
        <v>-4.7712601740107496E-3</v>
      </c>
    </row>
    <row r="319" spans="13:33" x14ac:dyDescent="0.35">
      <c r="M319" s="555">
        <v>42051</v>
      </c>
      <c r="N319" s="543" t="s">
        <v>449</v>
      </c>
      <c r="O319" s="543">
        <v>33796.44</v>
      </c>
      <c r="P319" s="73" t="s">
        <v>431</v>
      </c>
      <c r="Q319" s="158">
        <v>17.45</v>
      </c>
      <c r="R319" s="563">
        <f t="shared" si="18"/>
        <v>-4.323693700063469E-3</v>
      </c>
      <c r="S319" s="563">
        <f t="shared" si="19"/>
        <v>-1.1448196908986352E-3</v>
      </c>
      <c r="AA319" s="594">
        <v>42047</v>
      </c>
      <c r="AB319" s="595" t="s">
        <v>449</v>
      </c>
      <c r="AC319" s="595">
        <v>33786.42</v>
      </c>
      <c r="AD319" s="596" t="s">
        <v>395</v>
      </c>
      <c r="AE319" s="595">
        <v>210.39</v>
      </c>
      <c r="AF319" s="597">
        <f t="shared" si="20"/>
        <v>-1.2208224829910241E-2</v>
      </c>
      <c r="AG319" s="597">
        <f t="shared" si="21"/>
        <v>-1.1139311900733251E-2</v>
      </c>
    </row>
    <row r="320" spans="13:33" x14ac:dyDescent="0.35">
      <c r="M320" s="555">
        <v>42052</v>
      </c>
      <c r="N320" s="543" t="s">
        <v>449</v>
      </c>
      <c r="O320" s="543">
        <v>33801.11</v>
      </c>
      <c r="P320" s="73" t="s">
        <v>431</v>
      </c>
      <c r="Q320" s="158">
        <v>17.29</v>
      </c>
      <c r="R320" s="563">
        <f t="shared" si="18"/>
        <v>1.3818023436784621E-4</v>
      </c>
      <c r="S320" s="563">
        <f t="shared" si="19"/>
        <v>-9.1690544412607045E-3</v>
      </c>
      <c r="AA320" s="594">
        <v>42048</v>
      </c>
      <c r="AB320" s="595" t="s">
        <v>449</v>
      </c>
      <c r="AC320" s="595">
        <v>33943.199999999997</v>
      </c>
      <c r="AD320" s="596" t="s">
        <v>395</v>
      </c>
      <c r="AE320" s="595">
        <v>218.75</v>
      </c>
      <c r="AF320" s="597">
        <f t="shared" si="20"/>
        <v>4.6403259060887603E-3</v>
      </c>
      <c r="AG320" s="597">
        <f t="shared" si="21"/>
        <v>3.9735728884452648E-2</v>
      </c>
    </row>
    <row r="321" spans="13:33" x14ac:dyDescent="0.35">
      <c r="M321" s="555">
        <v>42053</v>
      </c>
      <c r="N321" s="543" t="s">
        <v>449</v>
      </c>
      <c r="O321" s="543">
        <v>33718.86</v>
      </c>
      <c r="P321" s="73" t="s">
        <v>431</v>
      </c>
      <c r="Q321" s="158">
        <v>17.28</v>
      </c>
      <c r="R321" s="563">
        <f t="shared" si="18"/>
        <v>-2.4333520408057474E-3</v>
      </c>
      <c r="S321" s="563">
        <f t="shared" si="19"/>
        <v>-5.783689994215413E-4</v>
      </c>
      <c r="AA321" s="594">
        <v>42051</v>
      </c>
      <c r="AB321" s="595" t="s">
        <v>449</v>
      </c>
      <c r="AC321" s="595">
        <v>33796.44</v>
      </c>
      <c r="AD321" s="596" t="s">
        <v>395</v>
      </c>
      <c r="AE321" s="595">
        <v>220.35</v>
      </c>
      <c r="AF321" s="597">
        <f t="shared" si="20"/>
        <v>-4.323693700063469E-3</v>
      </c>
      <c r="AG321" s="597">
        <f t="shared" si="21"/>
        <v>7.3142857142856066E-3</v>
      </c>
    </row>
    <row r="322" spans="13:33" x14ac:dyDescent="0.35">
      <c r="M322" s="555">
        <v>42054</v>
      </c>
      <c r="N322" s="543" t="s">
        <v>449</v>
      </c>
      <c r="O322" s="543">
        <v>33942.28</v>
      </c>
      <c r="P322" s="73" t="s">
        <v>431</v>
      </c>
      <c r="Q322" s="158">
        <v>17.37</v>
      </c>
      <c r="R322" s="563">
        <f t="shared" si="18"/>
        <v>6.6259654092695186E-3</v>
      </c>
      <c r="S322" s="563">
        <f t="shared" si="19"/>
        <v>5.2083333333332593E-3</v>
      </c>
      <c r="AA322" s="594">
        <v>42052</v>
      </c>
      <c r="AB322" s="595" t="s">
        <v>449</v>
      </c>
      <c r="AC322" s="595">
        <v>33801.11</v>
      </c>
      <c r="AD322" s="596" t="s">
        <v>395</v>
      </c>
      <c r="AE322" s="595">
        <v>215.22</v>
      </c>
      <c r="AF322" s="597">
        <f t="shared" si="20"/>
        <v>1.3818023436784621E-4</v>
      </c>
      <c r="AG322" s="597">
        <f t="shared" si="21"/>
        <v>-2.32811436351259E-2</v>
      </c>
    </row>
    <row r="323" spans="13:33" x14ac:dyDescent="0.35">
      <c r="M323" s="555">
        <v>42055</v>
      </c>
      <c r="N323" s="543" t="s">
        <v>449</v>
      </c>
      <c r="O323" s="543">
        <v>33993</v>
      </c>
      <c r="P323" s="73" t="s">
        <v>431</v>
      </c>
      <c r="Q323" s="158">
        <v>17.329999999999998</v>
      </c>
      <c r="R323" s="563">
        <f t="shared" si="18"/>
        <v>1.4943015024329043E-3</v>
      </c>
      <c r="S323" s="563">
        <f t="shared" si="19"/>
        <v>-2.3028209556708035E-3</v>
      </c>
      <c r="AA323" s="594">
        <v>42053</v>
      </c>
      <c r="AB323" s="595" t="s">
        <v>449</v>
      </c>
      <c r="AC323" s="595">
        <v>33718.86</v>
      </c>
      <c r="AD323" s="596" t="s">
        <v>395</v>
      </c>
      <c r="AE323" s="595">
        <v>211.33</v>
      </c>
      <c r="AF323" s="597">
        <f t="shared" si="20"/>
        <v>-2.4333520408057474E-3</v>
      </c>
      <c r="AG323" s="597">
        <f t="shared" si="21"/>
        <v>-1.8074528389554811E-2</v>
      </c>
    </row>
    <row r="324" spans="13:33" x14ac:dyDescent="0.35">
      <c r="M324" s="555">
        <v>42058</v>
      </c>
      <c r="N324" s="543" t="s">
        <v>449</v>
      </c>
      <c r="O324" s="543">
        <v>33926.699999999997</v>
      </c>
      <c r="P324" s="73" t="s">
        <v>431</v>
      </c>
      <c r="Q324" s="158">
        <v>17.16</v>
      </c>
      <c r="R324" s="563">
        <f t="shared" si="18"/>
        <v>-1.9504015532610941E-3</v>
      </c>
      <c r="S324" s="563">
        <f t="shared" si="19"/>
        <v>-9.8095787651469868E-3</v>
      </c>
      <c r="AA324" s="594">
        <v>42054</v>
      </c>
      <c r="AB324" s="595" t="s">
        <v>449</v>
      </c>
      <c r="AC324" s="595">
        <v>33942.28</v>
      </c>
      <c r="AD324" s="596" t="s">
        <v>395</v>
      </c>
      <c r="AE324" s="595">
        <v>206.46</v>
      </c>
      <c r="AF324" s="597">
        <f t="shared" si="20"/>
        <v>6.6259654092695186E-3</v>
      </c>
      <c r="AG324" s="597">
        <f t="shared" si="21"/>
        <v>-2.3044527516206892E-2</v>
      </c>
    </row>
    <row r="325" spans="13:33" x14ac:dyDescent="0.35">
      <c r="M325" s="555">
        <v>42059</v>
      </c>
      <c r="N325" s="543" t="s">
        <v>449</v>
      </c>
      <c r="O325" s="543">
        <v>33895.46</v>
      </c>
      <c r="P325" s="73" t="s">
        <v>431</v>
      </c>
      <c r="Q325" s="158">
        <v>17.2</v>
      </c>
      <c r="R325" s="563">
        <f t="shared" si="18"/>
        <v>-9.2080868460531207E-4</v>
      </c>
      <c r="S325" s="563">
        <f t="shared" si="19"/>
        <v>2.3310023310023631E-3</v>
      </c>
      <c r="AA325" s="594">
        <v>42055</v>
      </c>
      <c r="AB325" s="595" t="s">
        <v>449</v>
      </c>
      <c r="AC325" s="595">
        <v>33993</v>
      </c>
      <c r="AD325" s="596" t="s">
        <v>395</v>
      </c>
      <c r="AE325" s="595">
        <v>204.94</v>
      </c>
      <c r="AF325" s="597">
        <f t="shared" si="20"/>
        <v>1.4943015024329043E-3</v>
      </c>
      <c r="AG325" s="597">
        <f t="shared" si="21"/>
        <v>-7.3622009105880348E-3</v>
      </c>
    </row>
    <row r="326" spans="13:33" x14ac:dyDescent="0.35">
      <c r="M326" s="555">
        <v>42060</v>
      </c>
      <c r="N326" s="543" t="s">
        <v>449</v>
      </c>
      <c r="O326" s="543">
        <v>33845.300000000003</v>
      </c>
      <c r="P326" s="73" t="s">
        <v>431</v>
      </c>
      <c r="Q326" s="158">
        <v>17.8</v>
      </c>
      <c r="R326" s="563">
        <f t="shared" si="18"/>
        <v>-1.4798442033239212E-3</v>
      </c>
      <c r="S326" s="563">
        <f t="shared" si="19"/>
        <v>3.488372093023262E-2</v>
      </c>
      <c r="AA326" s="594">
        <v>42058</v>
      </c>
      <c r="AB326" s="595" t="s">
        <v>449</v>
      </c>
      <c r="AC326" s="595">
        <v>33926.699999999997</v>
      </c>
      <c r="AD326" s="596" t="s">
        <v>395</v>
      </c>
      <c r="AE326" s="595">
        <v>198.22</v>
      </c>
      <c r="AF326" s="597">
        <f t="shared" si="20"/>
        <v>-1.9504015532610941E-3</v>
      </c>
      <c r="AG326" s="597">
        <f t="shared" si="21"/>
        <v>-3.2790084902898364E-2</v>
      </c>
    </row>
    <row r="327" spans="13:33" x14ac:dyDescent="0.35">
      <c r="M327" s="555">
        <v>42061</v>
      </c>
      <c r="N327" s="543" t="s">
        <v>449</v>
      </c>
      <c r="O327" s="543">
        <v>33762.800000000003</v>
      </c>
      <c r="P327" s="73" t="s">
        <v>431</v>
      </c>
      <c r="Q327" s="158">
        <v>17.63</v>
      </c>
      <c r="R327" s="563">
        <f t="shared" si="18"/>
        <v>-2.4375614930285394E-3</v>
      </c>
      <c r="S327" s="563">
        <f t="shared" si="19"/>
        <v>-9.5505617977529322E-3</v>
      </c>
      <c r="AA327" s="594">
        <v>42059</v>
      </c>
      <c r="AB327" s="595" t="s">
        <v>449</v>
      </c>
      <c r="AC327" s="595">
        <v>33895.46</v>
      </c>
      <c r="AD327" s="596" t="s">
        <v>395</v>
      </c>
      <c r="AE327" s="595">
        <v>194.99</v>
      </c>
      <c r="AF327" s="597">
        <f t="shared" si="20"/>
        <v>-9.2080868460531207E-4</v>
      </c>
      <c r="AG327" s="597">
        <f t="shared" si="21"/>
        <v>-1.6295025728987889E-2</v>
      </c>
    </row>
    <row r="328" spans="13:33" x14ac:dyDescent="0.35">
      <c r="M328" s="555">
        <v>42062</v>
      </c>
      <c r="N328" s="543" t="s">
        <v>449</v>
      </c>
      <c r="O328" s="543">
        <v>33632.19</v>
      </c>
      <c r="P328" s="73" t="s">
        <v>431</v>
      </c>
      <c r="Q328" s="158">
        <v>17.399999999999999</v>
      </c>
      <c r="R328" s="563">
        <f t="shared" si="18"/>
        <v>-3.8684587771156131E-3</v>
      </c>
      <c r="S328" s="563">
        <f t="shared" si="19"/>
        <v>-1.3045944412932498E-2</v>
      </c>
      <c r="AA328" s="594">
        <v>42060</v>
      </c>
      <c r="AB328" s="595" t="s">
        <v>449</v>
      </c>
      <c r="AC328" s="595">
        <v>33845.300000000003</v>
      </c>
      <c r="AD328" s="596" t="s">
        <v>395</v>
      </c>
      <c r="AE328" s="595">
        <v>193.33</v>
      </c>
      <c r="AF328" s="597">
        <f t="shared" si="20"/>
        <v>-1.4798442033239212E-3</v>
      </c>
      <c r="AG328" s="597">
        <f t="shared" si="21"/>
        <v>-8.5132570901071958E-3</v>
      </c>
    </row>
    <row r="329" spans="13:33" x14ac:dyDescent="0.35">
      <c r="M329" s="555">
        <v>42065</v>
      </c>
      <c r="N329" s="543" t="s">
        <v>449</v>
      </c>
      <c r="O329" s="543">
        <v>33213.58</v>
      </c>
      <c r="P329" s="73" t="s">
        <v>431</v>
      </c>
      <c r="Q329" s="158">
        <v>17.16</v>
      </c>
      <c r="R329" s="563">
        <f t="shared" si="18"/>
        <v>-1.2446706562968424E-2</v>
      </c>
      <c r="S329" s="563">
        <f t="shared" si="19"/>
        <v>-1.3793103448275779E-2</v>
      </c>
      <c r="AA329" s="594">
        <v>42061</v>
      </c>
      <c r="AB329" s="595" t="s">
        <v>449</v>
      </c>
      <c r="AC329" s="595">
        <v>33762.800000000003</v>
      </c>
      <c r="AD329" s="596" t="s">
        <v>395</v>
      </c>
      <c r="AE329" s="595">
        <v>193.71</v>
      </c>
      <c r="AF329" s="597">
        <f t="shared" si="20"/>
        <v>-2.4375614930285394E-3</v>
      </c>
      <c r="AG329" s="597">
        <f t="shared" si="21"/>
        <v>1.9655511301919226E-3</v>
      </c>
    </row>
    <row r="330" spans="13:33" x14ac:dyDescent="0.35">
      <c r="M330" s="555">
        <v>42066</v>
      </c>
      <c r="N330" s="543" t="s">
        <v>449</v>
      </c>
      <c r="O330" s="543">
        <v>33188.769999999997</v>
      </c>
      <c r="P330" s="73" t="s">
        <v>431</v>
      </c>
      <c r="Q330" s="158">
        <v>17.420000000000002</v>
      </c>
      <c r="R330" s="563">
        <f t="shared" si="18"/>
        <v>-7.4698361332936614E-4</v>
      </c>
      <c r="S330" s="563">
        <f t="shared" si="19"/>
        <v>1.5151515151515138E-2</v>
      </c>
      <c r="AA330" s="594">
        <v>42062</v>
      </c>
      <c r="AB330" s="595" t="s">
        <v>449</v>
      </c>
      <c r="AC330" s="595">
        <v>33632.19</v>
      </c>
      <c r="AD330" s="596" t="s">
        <v>395</v>
      </c>
      <c r="AE330" s="595">
        <v>192.71</v>
      </c>
      <c r="AF330" s="597">
        <f t="shared" si="20"/>
        <v>-3.8684587771156131E-3</v>
      </c>
      <c r="AG330" s="597">
        <f t="shared" si="21"/>
        <v>-5.162356099323695E-3</v>
      </c>
    </row>
    <row r="331" spans="13:33" x14ac:dyDescent="0.35">
      <c r="M331" s="555">
        <v>42067</v>
      </c>
      <c r="N331" s="543" t="s">
        <v>449</v>
      </c>
      <c r="O331" s="543">
        <v>33242.949999999997</v>
      </c>
      <c r="P331" s="73" t="s">
        <v>431</v>
      </c>
      <c r="Q331" s="158">
        <v>17.440000000000001</v>
      </c>
      <c r="R331" s="563">
        <f t="shared" si="18"/>
        <v>1.6324799020874803E-3</v>
      </c>
      <c r="S331" s="563">
        <f t="shared" si="19"/>
        <v>1.1481056257174327E-3</v>
      </c>
      <c r="AA331" s="594">
        <v>42065</v>
      </c>
      <c r="AB331" s="595" t="s">
        <v>449</v>
      </c>
      <c r="AC331" s="595">
        <v>33213.58</v>
      </c>
      <c r="AD331" s="596" t="s">
        <v>395</v>
      </c>
      <c r="AE331" s="595">
        <v>187.78</v>
      </c>
      <c r="AF331" s="597">
        <f t="shared" si="20"/>
        <v>-1.2446706562968424E-2</v>
      </c>
      <c r="AG331" s="597">
        <f t="shared" si="21"/>
        <v>-2.5582481448809147E-2</v>
      </c>
    </row>
    <row r="332" spans="13:33" x14ac:dyDescent="0.35">
      <c r="M332" s="555">
        <v>42068</v>
      </c>
      <c r="N332" s="543" t="s">
        <v>449</v>
      </c>
      <c r="O332" s="543">
        <v>33368.839999999997</v>
      </c>
      <c r="P332" s="73" t="s">
        <v>431</v>
      </c>
      <c r="Q332" s="158">
        <v>17.3</v>
      </c>
      <c r="R332" s="563">
        <f t="shared" si="18"/>
        <v>3.7869683647209218E-3</v>
      </c>
      <c r="S332" s="563">
        <f t="shared" si="19"/>
        <v>-8.0275229357797961E-3</v>
      </c>
      <c r="AA332" s="594">
        <v>42066</v>
      </c>
      <c r="AB332" s="595" t="s">
        <v>449</v>
      </c>
      <c r="AC332" s="595">
        <v>33188.769999999997</v>
      </c>
      <c r="AD332" s="596" t="s">
        <v>395</v>
      </c>
      <c r="AE332" s="595">
        <v>192.34</v>
      </c>
      <c r="AF332" s="597">
        <f t="shared" si="20"/>
        <v>-7.4698361332936614E-4</v>
      </c>
      <c r="AG332" s="597">
        <f t="shared" si="21"/>
        <v>2.4283736287144642E-2</v>
      </c>
    </row>
    <row r="333" spans="13:33" x14ac:dyDescent="0.35">
      <c r="M333" s="555">
        <v>42069</v>
      </c>
      <c r="N333" s="543" t="s">
        <v>449</v>
      </c>
      <c r="O333" s="543">
        <v>33263.660000000003</v>
      </c>
      <c r="P333" s="73" t="s">
        <v>431</v>
      </c>
      <c r="Q333" s="158">
        <v>16.84</v>
      </c>
      <c r="R333" s="563">
        <f t="shared" si="18"/>
        <v>-3.1520424443880479E-3</v>
      </c>
      <c r="S333" s="563">
        <f t="shared" si="19"/>
        <v>-2.6589595375722586E-2</v>
      </c>
      <c r="AA333" s="594">
        <v>42067</v>
      </c>
      <c r="AB333" s="595" t="s">
        <v>449</v>
      </c>
      <c r="AC333" s="595">
        <v>33242.949999999997</v>
      </c>
      <c r="AD333" s="596" t="s">
        <v>395</v>
      </c>
      <c r="AE333" s="595">
        <v>194.13</v>
      </c>
      <c r="AF333" s="597">
        <f t="shared" si="20"/>
        <v>1.6324799020874803E-3</v>
      </c>
      <c r="AG333" s="597">
        <f t="shared" si="21"/>
        <v>9.3064365186648068E-3</v>
      </c>
    </row>
    <row r="334" spans="13:33" x14ac:dyDescent="0.35">
      <c r="M334" s="555">
        <v>42072</v>
      </c>
      <c r="N334" s="543" t="s">
        <v>449</v>
      </c>
      <c r="O334" s="543">
        <v>32860.57</v>
      </c>
      <c r="P334" s="73" t="s">
        <v>431</v>
      </c>
      <c r="Q334" s="158">
        <v>16.690000000000001</v>
      </c>
      <c r="R334" s="563">
        <f t="shared" si="18"/>
        <v>-1.2118029104434158E-2</v>
      </c>
      <c r="S334" s="563">
        <f t="shared" si="19"/>
        <v>-8.9073634204274166E-3</v>
      </c>
      <c r="AA334" s="594">
        <v>42068</v>
      </c>
      <c r="AB334" s="595" t="s">
        <v>449</v>
      </c>
      <c r="AC334" s="595">
        <v>33368.839999999997</v>
      </c>
      <c r="AD334" s="596" t="s">
        <v>395</v>
      </c>
      <c r="AE334" s="595">
        <v>195</v>
      </c>
      <c r="AF334" s="597">
        <f t="shared" si="20"/>
        <v>3.7869683647209218E-3</v>
      </c>
      <c r="AG334" s="597">
        <f t="shared" si="21"/>
        <v>4.4815329933549641E-3</v>
      </c>
    </row>
    <row r="335" spans="13:33" x14ac:dyDescent="0.35">
      <c r="M335" s="555">
        <v>42073</v>
      </c>
      <c r="N335" s="543" t="s">
        <v>449</v>
      </c>
      <c r="O335" s="543">
        <v>32566.59</v>
      </c>
      <c r="P335" s="73" t="s">
        <v>431</v>
      </c>
      <c r="Q335" s="158">
        <v>17.53</v>
      </c>
      <c r="R335" s="563">
        <f t="shared" si="18"/>
        <v>-8.946284254959691E-3</v>
      </c>
      <c r="S335" s="563">
        <f t="shared" si="19"/>
        <v>5.0329538645895733E-2</v>
      </c>
      <c r="AA335" s="594">
        <v>42069</v>
      </c>
      <c r="AB335" s="595" t="s">
        <v>449</v>
      </c>
      <c r="AC335" s="595">
        <v>33263.660000000003</v>
      </c>
      <c r="AD335" s="596" t="s">
        <v>395</v>
      </c>
      <c r="AE335" s="595">
        <v>192.29</v>
      </c>
      <c r="AF335" s="597">
        <f t="shared" si="20"/>
        <v>-3.1520424443880479E-3</v>
      </c>
      <c r="AG335" s="597">
        <f t="shared" si="21"/>
        <v>-1.3897435897435972E-2</v>
      </c>
    </row>
    <row r="336" spans="13:33" x14ac:dyDescent="0.35">
      <c r="M336" s="555">
        <v>42074</v>
      </c>
      <c r="N336" s="543" t="s">
        <v>449</v>
      </c>
      <c r="O336" s="543">
        <v>32539.61</v>
      </c>
      <c r="P336" s="73" t="s">
        <v>431</v>
      </c>
      <c r="Q336" s="158">
        <v>18.399999999999999</v>
      </c>
      <c r="R336" s="563">
        <f t="shared" si="18"/>
        <v>-8.2845640271211884E-4</v>
      </c>
      <c r="S336" s="563">
        <f t="shared" si="19"/>
        <v>4.9629207073587978E-2</v>
      </c>
      <c r="AA336" s="594">
        <v>42072</v>
      </c>
      <c r="AB336" s="595" t="s">
        <v>449</v>
      </c>
      <c r="AC336" s="595">
        <v>32860.57</v>
      </c>
      <c r="AD336" s="596" t="s">
        <v>395</v>
      </c>
      <c r="AE336" s="595">
        <v>191.97</v>
      </c>
      <c r="AF336" s="597">
        <f t="shared" si="20"/>
        <v>-1.2118029104434158E-2</v>
      </c>
      <c r="AG336" s="597">
        <f t="shared" si="21"/>
        <v>-1.6641531020853417E-3</v>
      </c>
    </row>
    <row r="337" spans="13:33" x14ac:dyDescent="0.35">
      <c r="M337" s="555">
        <v>42075</v>
      </c>
      <c r="N337" s="543" t="s">
        <v>449</v>
      </c>
      <c r="O337" s="543">
        <v>32582.68</v>
      </c>
      <c r="P337" s="73" t="s">
        <v>431</v>
      </c>
      <c r="Q337" s="158">
        <v>19.32</v>
      </c>
      <c r="R337" s="563">
        <f t="shared" si="18"/>
        <v>1.3236175848450049E-3</v>
      </c>
      <c r="S337" s="563">
        <f t="shared" si="19"/>
        <v>5.0000000000000044E-2</v>
      </c>
      <c r="AA337" s="594">
        <v>42073</v>
      </c>
      <c r="AB337" s="595" t="s">
        <v>449</v>
      </c>
      <c r="AC337" s="595">
        <v>32566.59</v>
      </c>
      <c r="AD337" s="596" t="s">
        <v>395</v>
      </c>
      <c r="AE337" s="595">
        <v>193.29</v>
      </c>
      <c r="AF337" s="597">
        <f t="shared" si="20"/>
        <v>-8.946284254959691E-3</v>
      </c>
      <c r="AG337" s="597">
        <f t="shared" si="21"/>
        <v>6.8760743866229657E-3</v>
      </c>
    </row>
    <row r="338" spans="13:33" x14ac:dyDescent="0.35">
      <c r="M338" s="555">
        <v>42076</v>
      </c>
      <c r="N338" s="543" t="s">
        <v>449</v>
      </c>
      <c r="O338" s="543">
        <v>32929.089999999997</v>
      </c>
      <c r="P338" s="73" t="s">
        <v>431</v>
      </c>
      <c r="Q338" s="158">
        <v>20.29</v>
      </c>
      <c r="R338" s="563">
        <f t="shared" si="18"/>
        <v>1.0631722129671228E-2</v>
      </c>
      <c r="S338" s="563">
        <f t="shared" si="19"/>
        <v>5.0207039337474058E-2</v>
      </c>
      <c r="AA338" s="594">
        <v>42074</v>
      </c>
      <c r="AB338" s="595" t="s">
        <v>449</v>
      </c>
      <c r="AC338" s="595">
        <v>32539.61</v>
      </c>
      <c r="AD338" s="596" t="s">
        <v>395</v>
      </c>
      <c r="AE338" s="595">
        <v>191.79</v>
      </c>
      <c r="AF338" s="597">
        <f t="shared" si="20"/>
        <v>-8.2845640271211884E-4</v>
      </c>
      <c r="AG338" s="597">
        <f t="shared" si="21"/>
        <v>-7.7603600807077955E-3</v>
      </c>
    </row>
    <row r="339" spans="13:33" x14ac:dyDescent="0.35">
      <c r="M339" s="555">
        <v>42079</v>
      </c>
      <c r="N339" s="543" t="s">
        <v>449</v>
      </c>
      <c r="O339" s="543">
        <v>32454.91</v>
      </c>
      <c r="P339" s="73" t="s">
        <v>431</v>
      </c>
      <c r="Q339" s="158">
        <v>20.55</v>
      </c>
      <c r="R339" s="563">
        <f t="shared" si="18"/>
        <v>-1.4400033526586919E-2</v>
      </c>
      <c r="S339" s="563">
        <f t="shared" si="19"/>
        <v>1.2814194184327388E-2</v>
      </c>
      <c r="AA339" s="594">
        <v>42075</v>
      </c>
      <c r="AB339" s="595" t="s">
        <v>449</v>
      </c>
      <c r="AC339" s="595">
        <v>32582.68</v>
      </c>
      <c r="AD339" s="596" t="s">
        <v>395</v>
      </c>
      <c r="AE339" s="595">
        <v>190.6</v>
      </c>
      <c r="AF339" s="597">
        <f t="shared" si="20"/>
        <v>1.3236175848450049E-3</v>
      </c>
      <c r="AG339" s="597">
        <f t="shared" si="21"/>
        <v>-6.2047030606392495E-3</v>
      </c>
    </row>
    <row r="340" spans="13:33" x14ac:dyDescent="0.35">
      <c r="M340" s="555">
        <v>42080</v>
      </c>
      <c r="N340" s="543" t="s">
        <v>449</v>
      </c>
      <c r="O340" s="543">
        <v>32342.26</v>
      </c>
      <c r="P340" s="73" t="s">
        <v>431</v>
      </c>
      <c r="Q340" s="158">
        <v>20.16</v>
      </c>
      <c r="R340" s="563">
        <f t="shared" si="18"/>
        <v>-3.4709694157217807E-3</v>
      </c>
      <c r="S340" s="563">
        <f t="shared" si="19"/>
        <v>-1.8978102189781021E-2</v>
      </c>
      <c r="AA340" s="594">
        <v>42076</v>
      </c>
      <c r="AB340" s="595" t="s">
        <v>449</v>
      </c>
      <c r="AC340" s="595">
        <v>32929.089999999997</v>
      </c>
      <c r="AD340" s="596" t="s">
        <v>395</v>
      </c>
      <c r="AE340" s="595">
        <v>193</v>
      </c>
      <c r="AF340" s="597">
        <f t="shared" si="20"/>
        <v>1.0631722129671228E-2</v>
      </c>
      <c r="AG340" s="597">
        <f t="shared" si="21"/>
        <v>1.2591815320041944E-2</v>
      </c>
    </row>
    <row r="341" spans="13:33" x14ac:dyDescent="0.35">
      <c r="M341" s="555">
        <v>42081</v>
      </c>
      <c r="N341" s="543" t="s">
        <v>449</v>
      </c>
      <c r="O341" s="543">
        <v>31524.98</v>
      </c>
      <c r="P341" s="73" t="s">
        <v>431</v>
      </c>
      <c r="Q341" s="158">
        <v>19.190000000000001</v>
      </c>
      <c r="R341" s="563">
        <f t="shared" si="18"/>
        <v>-2.5269724502864022E-2</v>
      </c>
      <c r="S341" s="563">
        <f t="shared" si="19"/>
        <v>-4.8115079365079305E-2</v>
      </c>
      <c r="AA341" s="594">
        <v>42079</v>
      </c>
      <c r="AB341" s="595" t="s">
        <v>449</v>
      </c>
      <c r="AC341" s="595">
        <v>32454.91</v>
      </c>
      <c r="AD341" s="596" t="s">
        <v>395</v>
      </c>
      <c r="AE341" s="595">
        <v>192.7</v>
      </c>
      <c r="AF341" s="597">
        <f t="shared" si="20"/>
        <v>-1.4400033526586919E-2</v>
      </c>
      <c r="AG341" s="597">
        <f t="shared" si="21"/>
        <v>-1.5544041450777923E-3</v>
      </c>
    </row>
    <row r="342" spans="13:33" x14ac:dyDescent="0.35">
      <c r="M342" s="526">
        <v>42083</v>
      </c>
      <c r="N342" s="524" t="s">
        <v>449</v>
      </c>
      <c r="O342" s="524">
        <v>31800.26</v>
      </c>
      <c r="P342" s="73" t="s">
        <v>431</v>
      </c>
      <c r="Q342">
        <v>19.16</v>
      </c>
      <c r="R342" s="563">
        <f t="shared" si="18"/>
        <v>8.7321229069772244E-3</v>
      </c>
      <c r="S342" s="563">
        <f t="shared" si="19"/>
        <v>-1.5633142261595179E-3</v>
      </c>
      <c r="AA342" s="594">
        <v>42080</v>
      </c>
      <c r="AB342" s="595" t="s">
        <v>449</v>
      </c>
      <c r="AC342" s="595">
        <v>32342.26</v>
      </c>
      <c r="AD342" s="596" t="s">
        <v>395</v>
      </c>
      <c r="AE342" s="595">
        <v>191.99</v>
      </c>
      <c r="AF342" s="597">
        <f t="shared" si="20"/>
        <v>-3.4709694157217807E-3</v>
      </c>
      <c r="AG342" s="597">
        <f t="shared" si="21"/>
        <v>-3.6844836533470593E-3</v>
      </c>
    </row>
    <row r="343" spans="13:33" x14ac:dyDescent="0.35">
      <c r="M343" s="555">
        <v>42087</v>
      </c>
      <c r="N343" s="543" t="s">
        <v>449</v>
      </c>
      <c r="O343" s="543">
        <v>31310.73</v>
      </c>
      <c r="P343" s="73" t="s">
        <v>431</v>
      </c>
      <c r="Q343" s="158">
        <v>18.21</v>
      </c>
      <c r="R343" s="563">
        <f t="shared" si="18"/>
        <v>-1.5393899295162994E-2</v>
      </c>
      <c r="S343" s="563">
        <f t="shared" si="19"/>
        <v>-4.9582463465553173E-2</v>
      </c>
      <c r="AA343" s="594">
        <v>42081</v>
      </c>
      <c r="AB343" s="595" t="s">
        <v>449</v>
      </c>
      <c r="AC343" s="595">
        <v>31524.98</v>
      </c>
      <c r="AD343" s="596" t="s">
        <v>395</v>
      </c>
      <c r="AE343" s="595">
        <v>189</v>
      </c>
      <c r="AF343" s="597">
        <f t="shared" si="20"/>
        <v>-2.5269724502864022E-2</v>
      </c>
      <c r="AG343" s="597">
        <f t="shared" si="21"/>
        <v>-1.5573727798322889E-2</v>
      </c>
    </row>
    <row r="344" spans="13:33" x14ac:dyDescent="0.35">
      <c r="M344" s="555">
        <v>42088</v>
      </c>
      <c r="N344" s="543" t="s">
        <v>449</v>
      </c>
      <c r="O344" s="543">
        <v>31086.51</v>
      </c>
      <c r="P344" s="73" t="s">
        <v>431</v>
      </c>
      <c r="Q344" s="158">
        <v>17.46</v>
      </c>
      <c r="R344" s="563">
        <f t="shared" si="18"/>
        <v>-7.1611233593085188E-3</v>
      </c>
      <c r="S344" s="563">
        <f t="shared" si="19"/>
        <v>-4.1186161449752845E-2</v>
      </c>
      <c r="AA344" s="594">
        <v>42083</v>
      </c>
      <c r="AB344" s="595" t="s">
        <v>449</v>
      </c>
      <c r="AC344" s="595">
        <v>31800.26</v>
      </c>
      <c r="AD344" s="596" t="s">
        <v>395</v>
      </c>
      <c r="AE344" s="595">
        <v>183.04</v>
      </c>
      <c r="AF344" s="597">
        <f t="shared" si="20"/>
        <v>8.7321229069772244E-3</v>
      </c>
      <c r="AG344" s="597">
        <f t="shared" si="21"/>
        <v>-3.1534391534391526E-2</v>
      </c>
    </row>
    <row r="345" spans="13:33" x14ac:dyDescent="0.35">
      <c r="M345" s="555">
        <v>42089</v>
      </c>
      <c r="N345" s="543" t="s">
        <v>449</v>
      </c>
      <c r="O345" s="543">
        <v>30678.97</v>
      </c>
      <c r="P345" s="73" t="s">
        <v>431</v>
      </c>
      <c r="Q345" s="158">
        <v>17.16</v>
      </c>
      <c r="R345" s="563">
        <f t="shared" si="18"/>
        <v>-1.3109866627035283E-2</v>
      </c>
      <c r="S345" s="563">
        <f t="shared" si="19"/>
        <v>-1.718213058419249E-2</v>
      </c>
      <c r="AA345" s="594">
        <v>42087</v>
      </c>
      <c r="AB345" s="595" t="s">
        <v>449</v>
      </c>
      <c r="AC345" s="595">
        <v>31310.73</v>
      </c>
      <c r="AD345" s="596" t="s">
        <v>395</v>
      </c>
      <c r="AE345" s="595">
        <v>174.05</v>
      </c>
      <c r="AF345" s="597">
        <f t="shared" si="20"/>
        <v>-1.5393899295162994E-2</v>
      </c>
      <c r="AG345" s="597">
        <f t="shared" si="21"/>
        <v>-4.9114947552447497E-2</v>
      </c>
    </row>
    <row r="346" spans="13:33" x14ac:dyDescent="0.35">
      <c r="M346" s="555">
        <v>42090</v>
      </c>
      <c r="N346" s="543" t="s">
        <v>449</v>
      </c>
      <c r="O346" s="543">
        <v>29957.83</v>
      </c>
      <c r="P346" s="73" t="s">
        <v>431</v>
      </c>
      <c r="Q346" s="158">
        <v>17.940000000000001</v>
      </c>
      <c r="R346" s="563">
        <f t="shared" ref="R346:R409" si="22">(O346/O345)-1</f>
        <v>-2.3506004275893222E-2</v>
      </c>
      <c r="S346" s="563">
        <f t="shared" ref="S346:S409" si="23">(Q346/Q345)-1</f>
        <v>4.5454545454545414E-2</v>
      </c>
      <c r="AA346" s="594">
        <v>42088</v>
      </c>
      <c r="AB346" s="595" t="s">
        <v>449</v>
      </c>
      <c r="AC346" s="595">
        <v>31086.51</v>
      </c>
      <c r="AD346" s="596" t="s">
        <v>395</v>
      </c>
      <c r="AE346" s="595">
        <v>167.15</v>
      </c>
      <c r="AF346" s="597">
        <f t="shared" si="20"/>
        <v>-7.1611233593085188E-3</v>
      </c>
      <c r="AG346" s="597">
        <f t="shared" si="21"/>
        <v>-3.9643780522838346E-2</v>
      </c>
    </row>
    <row r="347" spans="13:33" x14ac:dyDescent="0.35">
      <c r="M347" s="555">
        <v>42093</v>
      </c>
      <c r="N347" s="543" t="s">
        <v>449</v>
      </c>
      <c r="O347" s="543">
        <v>28927.040000000001</v>
      </c>
      <c r="P347" s="73" t="s">
        <v>431</v>
      </c>
      <c r="Q347" s="158">
        <v>17.760000000000002</v>
      </c>
      <c r="R347" s="563">
        <f t="shared" si="22"/>
        <v>-3.4408032891567908E-2</v>
      </c>
      <c r="S347" s="563">
        <f t="shared" si="23"/>
        <v>-1.0033444816053505E-2</v>
      </c>
      <c r="AA347" s="594">
        <v>42089</v>
      </c>
      <c r="AB347" s="595" t="s">
        <v>449</v>
      </c>
      <c r="AC347" s="595">
        <v>30678.97</v>
      </c>
      <c r="AD347" s="596" t="s">
        <v>395</v>
      </c>
      <c r="AE347" s="595">
        <v>158.80000000000001</v>
      </c>
      <c r="AF347" s="597">
        <f t="shared" si="20"/>
        <v>-1.3109866627035283E-2</v>
      </c>
      <c r="AG347" s="597">
        <f t="shared" si="21"/>
        <v>-4.9955130122644298E-2</v>
      </c>
    </row>
    <row r="348" spans="13:33" x14ac:dyDescent="0.35">
      <c r="M348" s="555">
        <v>42094</v>
      </c>
      <c r="N348" s="543" t="s">
        <v>449</v>
      </c>
      <c r="O348" s="543">
        <v>30233.87</v>
      </c>
      <c r="P348" s="73" t="s">
        <v>431</v>
      </c>
      <c r="Q348" s="158">
        <v>18.18</v>
      </c>
      <c r="R348" s="563">
        <f t="shared" si="22"/>
        <v>4.5176761950064703E-2</v>
      </c>
      <c r="S348" s="563">
        <f t="shared" si="23"/>
        <v>2.3648648648648463E-2</v>
      </c>
      <c r="AA348" s="594">
        <v>42090</v>
      </c>
      <c r="AB348" s="595" t="s">
        <v>449</v>
      </c>
      <c r="AC348" s="595">
        <v>29957.83</v>
      </c>
      <c r="AD348" s="596" t="s">
        <v>395</v>
      </c>
      <c r="AE348" s="595">
        <v>160</v>
      </c>
      <c r="AF348" s="597">
        <f t="shared" ref="AF348:AF411" si="24">(AC348/AC347)-1</f>
        <v>-2.3506004275893222E-2</v>
      </c>
      <c r="AG348" s="597">
        <f t="shared" ref="AG348:AG411" si="25">(AE348/AE347)-1</f>
        <v>7.5566750629723067E-3</v>
      </c>
    </row>
    <row r="349" spans="13:33" x14ac:dyDescent="0.35">
      <c r="M349" s="555">
        <v>42095</v>
      </c>
      <c r="N349" s="543" t="s">
        <v>449</v>
      </c>
      <c r="O349" s="543">
        <v>30605.06</v>
      </c>
      <c r="P349" s="73" t="s">
        <v>431</v>
      </c>
      <c r="Q349" s="158">
        <v>18.829999999999998</v>
      </c>
      <c r="R349" s="563">
        <f t="shared" si="22"/>
        <v>1.2277290336963231E-2</v>
      </c>
      <c r="S349" s="563">
        <f t="shared" si="23"/>
        <v>3.5753575357535761E-2</v>
      </c>
      <c r="AA349" s="594">
        <v>42093</v>
      </c>
      <c r="AB349" s="595" t="s">
        <v>449</v>
      </c>
      <c r="AC349" s="595">
        <v>28927.040000000001</v>
      </c>
      <c r="AD349" s="596" t="s">
        <v>395</v>
      </c>
      <c r="AE349" s="595">
        <v>161.94999999999999</v>
      </c>
      <c r="AF349" s="597">
        <f t="shared" si="24"/>
        <v>-3.4408032891567908E-2</v>
      </c>
      <c r="AG349" s="597">
        <f t="shared" si="25"/>
        <v>1.2187500000000018E-2</v>
      </c>
    </row>
    <row r="350" spans="13:33" x14ac:dyDescent="0.35">
      <c r="M350" s="555">
        <v>42096</v>
      </c>
      <c r="N350" s="543" t="s">
        <v>449</v>
      </c>
      <c r="O350" s="543">
        <v>31132.25</v>
      </c>
      <c r="P350" s="73" t="s">
        <v>431</v>
      </c>
      <c r="Q350" s="158">
        <v>19.77</v>
      </c>
      <c r="R350" s="563">
        <f t="shared" si="22"/>
        <v>1.7225582959157659E-2</v>
      </c>
      <c r="S350" s="563">
        <f t="shared" si="23"/>
        <v>4.9920339883165132E-2</v>
      </c>
      <c r="AA350" s="594">
        <v>42094</v>
      </c>
      <c r="AB350" s="595" t="s">
        <v>449</v>
      </c>
      <c r="AC350" s="595">
        <v>30233.87</v>
      </c>
      <c r="AD350" s="596" t="s">
        <v>395</v>
      </c>
      <c r="AE350" s="595">
        <v>170.04</v>
      </c>
      <c r="AF350" s="597">
        <f t="shared" si="24"/>
        <v>4.5176761950064703E-2</v>
      </c>
      <c r="AG350" s="597">
        <f t="shared" si="25"/>
        <v>4.9953689410311863E-2</v>
      </c>
    </row>
    <row r="351" spans="13:33" x14ac:dyDescent="0.35">
      <c r="M351" s="555">
        <v>42097</v>
      </c>
      <c r="N351" s="543" t="s">
        <v>449</v>
      </c>
      <c r="O351" s="543">
        <v>31413.96</v>
      </c>
      <c r="P351" s="73" t="s">
        <v>431</v>
      </c>
      <c r="Q351" s="158">
        <v>20.76</v>
      </c>
      <c r="R351" s="563">
        <f t="shared" si="22"/>
        <v>9.0488159384560785E-3</v>
      </c>
      <c r="S351" s="563">
        <f t="shared" si="23"/>
        <v>5.0075872534142807E-2</v>
      </c>
      <c r="AA351" s="594">
        <v>42095</v>
      </c>
      <c r="AB351" s="595" t="s">
        <v>449</v>
      </c>
      <c r="AC351" s="595">
        <v>30605.06</v>
      </c>
      <c r="AD351" s="596" t="s">
        <v>395</v>
      </c>
      <c r="AE351" s="595">
        <v>178.54</v>
      </c>
      <c r="AF351" s="597">
        <f t="shared" si="24"/>
        <v>1.2277290336963231E-2</v>
      </c>
      <c r="AG351" s="597">
        <f t="shared" si="25"/>
        <v>4.9988238061632551E-2</v>
      </c>
    </row>
    <row r="352" spans="13:33" x14ac:dyDescent="0.35">
      <c r="M352" s="555">
        <v>42100</v>
      </c>
      <c r="N352" s="543" t="s">
        <v>449</v>
      </c>
      <c r="O352" s="543">
        <v>31752.17</v>
      </c>
      <c r="P352" s="73" t="s">
        <v>431</v>
      </c>
      <c r="Q352" s="158">
        <v>21.8</v>
      </c>
      <c r="R352" s="563">
        <f t="shared" si="22"/>
        <v>1.0766232592134273E-2</v>
      </c>
      <c r="S352" s="563">
        <f t="shared" si="23"/>
        <v>5.0096339113680166E-2</v>
      </c>
      <c r="AA352" s="594">
        <v>42096</v>
      </c>
      <c r="AB352" s="595" t="s">
        <v>449</v>
      </c>
      <c r="AC352" s="595">
        <v>31132.25</v>
      </c>
      <c r="AD352" s="596" t="s">
        <v>395</v>
      </c>
      <c r="AE352" s="595">
        <v>187.46</v>
      </c>
      <c r="AF352" s="597">
        <f t="shared" si="24"/>
        <v>1.7225582959157659E-2</v>
      </c>
      <c r="AG352" s="597">
        <f t="shared" si="25"/>
        <v>4.9960793099585565E-2</v>
      </c>
    </row>
    <row r="353" spans="13:33" x14ac:dyDescent="0.35">
      <c r="M353" s="555">
        <v>42101</v>
      </c>
      <c r="N353" s="543" t="s">
        <v>449</v>
      </c>
      <c r="O353" s="543">
        <v>31600.73</v>
      </c>
      <c r="P353" s="73" t="s">
        <v>431</v>
      </c>
      <c r="Q353" s="158">
        <v>22.85</v>
      </c>
      <c r="R353" s="563">
        <f t="shared" si="22"/>
        <v>-4.769437805353105E-3</v>
      </c>
      <c r="S353" s="563">
        <f t="shared" si="23"/>
        <v>4.8165137614678999E-2</v>
      </c>
      <c r="AA353" s="594">
        <v>42097</v>
      </c>
      <c r="AB353" s="595" t="s">
        <v>449</v>
      </c>
      <c r="AC353" s="595">
        <v>31413.96</v>
      </c>
      <c r="AD353" s="596" t="s">
        <v>395</v>
      </c>
      <c r="AE353" s="595">
        <v>187.8</v>
      </c>
      <c r="AF353" s="597">
        <f t="shared" si="24"/>
        <v>9.0488159384560785E-3</v>
      </c>
      <c r="AG353" s="597">
        <f t="shared" si="25"/>
        <v>1.8137202603221159E-3</v>
      </c>
    </row>
    <row r="354" spans="13:33" x14ac:dyDescent="0.35">
      <c r="M354" s="555">
        <v>42102</v>
      </c>
      <c r="N354" s="543" t="s">
        <v>449</v>
      </c>
      <c r="O354" s="543">
        <v>31887.3</v>
      </c>
      <c r="P354" s="73" t="s">
        <v>431</v>
      </c>
      <c r="Q354" s="158">
        <v>21.7</v>
      </c>
      <c r="R354" s="563">
        <f t="shared" si="22"/>
        <v>9.0684613931386604E-3</v>
      </c>
      <c r="S354" s="563">
        <f t="shared" si="23"/>
        <v>-5.0328227571116102E-2</v>
      </c>
      <c r="AA354" s="594">
        <v>42100</v>
      </c>
      <c r="AB354" s="595" t="s">
        <v>449</v>
      </c>
      <c r="AC354" s="595">
        <v>31752.17</v>
      </c>
      <c r="AD354" s="596" t="s">
        <v>395</v>
      </c>
      <c r="AE354" s="595">
        <v>188.19</v>
      </c>
      <c r="AF354" s="597">
        <f t="shared" si="24"/>
        <v>1.0766232592134273E-2</v>
      </c>
      <c r="AG354" s="597">
        <f t="shared" si="25"/>
        <v>2.0766773162939067E-3</v>
      </c>
    </row>
    <row r="355" spans="13:33" x14ac:dyDescent="0.35">
      <c r="M355" s="555">
        <v>42103</v>
      </c>
      <c r="N355" s="543" t="s">
        <v>449</v>
      </c>
      <c r="O355" s="543">
        <v>32013.91</v>
      </c>
      <c r="P355" s="73" t="s">
        <v>431</v>
      </c>
      <c r="Q355" s="158">
        <v>21.06</v>
      </c>
      <c r="R355" s="563">
        <f t="shared" si="22"/>
        <v>3.9705462676362657E-3</v>
      </c>
      <c r="S355" s="563">
        <f t="shared" si="23"/>
        <v>-2.9493087557603714E-2</v>
      </c>
      <c r="AA355" s="594">
        <v>42101</v>
      </c>
      <c r="AB355" s="595" t="s">
        <v>449</v>
      </c>
      <c r="AC355" s="595">
        <v>31600.73</v>
      </c>
      <c r="AD355" s="596" t="s">
        <v>395</v>
      </c>
      <c r="AE355" s="595">
        <v>188.25</v>
      </c>
      <c r="AF355" s="597">
        <f t="shared" si="24"/>
        <v>-4.769437805353105E-3</v>
      </c>
      <c r="AG355" s="597">
        <f t="shared" si="25"/>
        <v>3.188267176790216E-4</v>
      </c>
    </row>
    <row r="356" spans="13:33" x14ac:dyDescent="0.35">
      <c r="M356" s="555">
        <v>42104</v>
      </c>
      <c r="N356" s="543" t="s">
        <v>449</v>
      </c>
      <c r="O356" s="543">
        <v>32350.93</v>
      </c>
      <c r="P356" s="73" t="s">
        <v>431</v>
      </c>
      <c r="Q356" s="158">
        <v>22.11</v>
      </c>
      <c r="R356" s="563">
        <f t="shared" si="22"/>
        <v>1.0527298914752903E-2</v>
      </c>
      <c r="S356" s="563">
        <f t="shared" si="23"/>
        <v>4.9857549857549976E-2</v>
      </c>
      <c r="AA356" s="594">
        <v>42102</v>
      </c>
      <c r="AB356" s="595" t="s">
        <v>449</v>
      </c>
      <c r="AC356" s="595">
        <v>31887.3</v>
      </c>
      <c r="AD356" s="596" t="s">
        <v>395</v>
      </c>
      <c r="AE356" s="595">
        <v>186</v>
      </c>
      <c r="AF356" s="597">
        <f t="shared" si="24"/>
        <v>9.0684613931386604E-3</v>
      </c>
      <c r="AG356" s="597">
        <f t="shared" si="25"/>
        <v>-1.195219123505975E-2</v>
      </c>
    </row>
    <row r="357" spans="13:33" x14ac:dyDescent="0.35">
      <c r="M357" s="555">
        <v>42107</v>
      </c>
      <c r="N357" s="543" t="s">
        <v>449</v>
      </c>
      <c r="O357" s="543">
        <v>32248.45</v>
      </c>
      <c r="P357" s="73" t="s">
        <v>431</v>
      </c>
      <c r="Q357" s="158">
        <v>23.2</v>
      </c>
      <c r="R357" s="563">
        <f t="shared" si="22"/>
        <v>-3.1677605558788624E-3</v>
      </c>
      <c r="S357" s="563">
        <f t="shared" si="23"/>
        <v>4.9298959746720827E-2</v>
      </c>
      <c r="AA357" s="594">
        <v>42103</v>
      </c>
      <c r="AB357" s="595" t="s">
        <v>449</v>
      </c>
      <c r="AC357" s="595">
        <v>32013.91</v>
      </c>
      <c r="AD357" s="596" t="s">
        <v>395</v>
      </c>
      <c r="AE357" s="595">
        <v>187.7</v>
      </c>
      <c r="AF357" s="597">
        <f t="shared" si="24"/>
        <v>3.9705462676362657E-3</v>
      </c>
      <c r="AG357" s="597">
        <f t="shared" si="25"/>
        <v>9.1397849462364622E-3</v>
      </c>
    </row>
    <row r="358" spans="13:33" x14ac:dyDescent="0.35">
      <c r="M358" s="555">
        <v>42108</v>
      </c>
      <c r="N358" s="543" t="s">
        <v>449</v>
      </c>
      <c r="O358" s="543">
        <v>32109.87</v>
      </c>
      <c r="P358" s="73" t="s">
        <v>431</v>
      </c>
      <c r="Q358" s="158">
        <v>24.36</v>
      </c>
      <c r="R358" s="563">
        <f t="shared" si="22"/>
        <v>-4.2972607985810596E-3</v>
      </c>
      <c r="S358" s="563">
        <f t="shared" si="23"/>
        <v>5.0000000000000044E-2</v>
      </c>
      <c r="AA358" s="594">
        <v>42104</v>
      </c>
      <c r="AB358" s="595" t="s">
        <v>449</v>
      </c>
      <c r="AC358" s="595">
        <v>32350.93</v>
      </c>
      <c r="AD358" s="596" t="s">
        <v>395</v>
      </c>
      <c r="AE358" s="595">
        <v>185.46</v>
      </c>
      <c r="AF358" s="597">
        <f t="shared" si="24"/>
        <v>1.0527298914752903E-2</v>
      </c>
      <c r="AG358" s="597">
        <f t="shared" si="25"/>
        <v>-1.1933937133723926E-2</v>
      </c>
    </row>
    <row r="359" spans="13:33" x14ac:dyDescent="0.35">
      <c r="M359" s="555">
        <v>42109</v>
      </c>
      <c r="N359" s="543" t="s">
        <v>449</v>
      </c>
      <c r="O359" s="543">
        <v>32248.86</v>
      </c>
      <c r="P359" s="73" t="s">
        <v>431</v>
      </c>
      <c r="Q359" s="158">
        <v>25.57</v>
      </c>
      <c r="R359" s="563">
        <f t="shared" si="22"/>
        <v>4.3285756061921532E-3</v>
      </c>
      <c r="S359" s="563">
        <f t="shared" si="23"/>
        <v>4.9671592775041074E-2</v>
      </c>
      <c r="AA359" s="594">
        <v>42107</v>
      </c>
      <c r="AB359" s="595" t="s">
        <v>449</v>
      </c>
      <c r="AC359" s="595">
        <v>32248.45</v>
      </c>
      <c r="AD359" s="596" t="s">
        <v>395</v>
      </c>
      <c r="AE359" s="595">
        <v>189.32</v>
      </c>
      <c r="AF359" s="597">
        <f t="shared" si="24"/>
        <v>-3.1677605558788624E-3</v>
      </c>
      <c r="AG359" s="597">
        <f t="shared" si="25"/>
        <v>2.0813113339803735E-2</v>
      </c>
    </row>
    <row r="360" spans="13:33" x14ac:dyDescent="0.35">
      <c r="M360" s="555">
        <v>42110</v>
      </c>
      <c r="N360" s="543" t="s">
        <v>449</v>
      </c>
      <c r="O360" s="543">
        <v>32736.44</v>
      </c>
      <c r="P360" s="73" t="s">
        <v>431</v>
      </c>
      <c r="Q360" s="158">
        <v>26.84</v>
      </c>
      <c r="R360" s="563">
        <f t="shared" si="22"/>
        <v>1.5119294139389616E-2</v>
      </c>
      <c r="S360" s="563">
        <f t="shared" si="23"/>
        <v>4.9667579194368372E-2</v>
      </c>
      <c r="AA360" s="594">
        <v>42108</v>
      </c>
      <c r="AB360" s="595" t="s">
        <v>449</v>
      </c>
      <c r="AC360" s="595">
        <v>32109.87</v>
      </c>
      <c r="AD360" s="596" t="s">
        <v>395</v>
      </c>
      <c r="AE360" s="595">
        <v>188.71</v>
      </c>
      <c r="AF360" s="597">
        <f t="shared" si="24"/>
        <v>-4.2972607985810596E-3</v>
      </c>
      <c r="AG360" s="597">
        <f t="shared" si="25"/>
        <v>-3.2220578914007314E-3</v>
      </c>
    </row>
    <row r="361" spans="13:33" x14ac:dyDescent="0.35">
      <c r="M361" s="555">
        <v>42111</v>
      </c>
      <c r="N361" s="543" t="s">
        <v>449</v>
      </c>
      <c r="O361" s="543">
        <v>33234.730000000003</v>
      </c>
      <c r="P361" s="73" t="s">
        <v>431</v>
      </c>
      <c r="Q361" s="158">
        <v>28.18</v>
      </c>
      <c r="R361" s="563">
        <f t="shared" si="22"/>
        <v>1.5221264132569301E-2</v>
      </c>
      <c r="S361" s="563">
        <f t="shared" si="23"/>
        <v>4.9925484351713845E-2</v>
      </c>
      <c r="AA361" s="594">
        <v>42109</v>
      </c>
      <c r="AB361" s="595" t="s">
        <v>449</v>
      </c>
      <c r="AC361" s="595">
        <v>32248.86</v>
      </c>
      <c r="AD361" s="596" t="s">
        <v>395</v>
      </c>
      <c r="AE361" s="595">
        <v>186.57</v>
      </c>
      <c r="AF361" s="597">
        <f t="shared" si="24"/>
        <v>4.3285756061921532E-3</v>
      </c>
      <c r="AG361" s="597">
        <f t="shared" si="25"/>
        <v>-1.1340151555296551E-2</v>
      </c>
    </row>
    <row r="362" spans="13:33" x14ac:dyDescent="0.35">
      <c r="M362" s="555">
        <v>42114</v>
      </c>
      <c r="N362" s="543" t="s">
        <v>449</v>
      </c>
      <c r="O362" s="543">
        <v>33304.639999999999</v>
      </c>
      <c r="P362" s="73" t="s">
        <v>431</v>
      </c>
      <c r="Q362" s="158">
        <v>29.59</v>
      </c>
      <c r="R362" s="563">
        <f t="shared" si="22"/>
        <v>2.103522429699245E-3</v>
      </c>
      <c r="S362" s="563">
        <f t="shared" si="23"/>
        <v>5.0035486160397546E-2</v>
      </c>
      <c r="AA362" s="594">
        <v>42110</v>
      </c>
      <c r="AB362" s="595" t="s">
        <v>449</v>
      </c>
      <c r="AC362" s="595">
        <v>32736.44</v>
      </c>
      <c r="AD362" s="596" t="s">
        <v>395</v>
      </c>
      <c r="AE362" s="595">
        <v>187.71</v>
      </c>
      <c r="AF362" s="597">
        <f t="shared" si="24"/>
        <v>1.5119294139389616E-2</v>
      </c>
      <c r="AG362" s="597">
        <f t="shared" si="25"/>
        <v>6.1103071233317152E-3</v>
      </c>
    </row>
    <row r="363" spans="13:33" x14ac:dyDescent="0.35">
      <c r="M363" s="555">
        <v>42115</v>
      </c>
      <c r="N363" s="543" t="s">
        <v>449</v>
      </c>
      <c r="O363" s="543">
        <v>33035.769999999997</v>
      </c>
      <c r="P363" s="73" t="s">
        <v>431</v>
      </c>
      <c r="Q363" s="158">
        <v>31.07</v>
      </c>
      <c r="R363" s="563">
        <f t="shared" si="22"/>
        <v>-8.0730492808209764E-3</v>
      </c>
      <c r="S363" s="563">
        <f t="shared" si="23"/>
        <v>5.0016897600540844E-2</v>
      </c>
      <c r="AA363" s="594">
        <v>42111</v>
      </c>
      <c r="AB363" s="595" t="s">
        <v>449</v>
      </c>
      <c r="AC363" s="595">
        <v>33234.730000000003</v>
      </c>
      <c r="AD363" s="596" t="s">
        <v>395</v>
      </c>
      <c r="AE363" s="595">
        <v>190.25</v>
      </c>
      <c r="AF363" s="597">
        <f t="shared" si="24"/>
        <v>1.5221264132569301E-2</v>
      </c>
      <c r="AG363" s="597">
        <f t="shared" si="25"/>
        <v>1.3531511373927829E-2</v>
      </c>
    </row>
    <row r="364" spans="13:33" x14ac:dyDescent="0.35">
      <c r="M364" s="555">
        <v>42116</v>
      </c>
      <c r="N364" s="543" t="s">
        <v>449</v>
      </c>
      <c r="O364" s="543">
        <v>33490.65</v>
      </c>
      <c r="P364" s="73" t="s">
        <v>431</v>
      </c>
      <c r="Q364" s="158">
        <v>32.619999999999997</v>
      </c>
      <c r="R364" s="563">
        <f t="shared" si="22"/>
        <v>1.3769317318773178E-2</v>
      </c>
      <c r="S364" s="563">
        <f t="shared" si="23"/>
        <v>4.9887351142581249E-2</v>
      </c>
      <c r="AA364" s="594">
        <v>42114</v>
      </c>
      <c r="AB364" s="595" t="s">
        <v>449</v>
      </c>
      <c r="AC364" s="595">
        <v>33304.639999999999</v>
      </c>
      <c r="AD364" s="596" t="s">
        <v>395</v>
      </c>
      <c r="AE364" s="595">
        <v>189.11</v>
      </c>
      <c r="AF364" s="597">
        <f t="shared" si="24"/>
        <v>2.103522429699245E-3</v>
      </c>
      <c r="AG364" s="597">
        <f t="shared" si="25"/>
        <v>-5.992115637319273E-3</v>
      </c>
    </row>
    <row r="365" spans="13:33" x14ac:dyDescent="0.35">
      <c r="M365" s="555">
        <v>42117</v>
      </c>
      <c r="N365" s="543" t="s">
        <v>449</v>
      </c>
      <c r="O365" s="543">
        <v>33456.74</v>
      </c>
      <c r="P365" s="73" t="s">
        <v>431</v>
      </c>
      <c r="Q365" s="158">
        <v>34.25</v>
      </c>
      <c r="R365" s="563">
        <f t="shared" si="22"/>
        <v>-1.0125214052281173E-3</v>
      </c>
      <c r="S365" s="563">
        <f t="shared" si="23"/>
        <v>4.9969343960760249E-2</v>
      </c>
      <c r="AA365" s="594">
        <v>42115</v>
      </c>
      <c r="AB365" s="595" t="s">
        <v>449</v>
      </c>
      <c r="AC365" s="595">
        <v>33035.769999999997</v>
      </c>
      <c r="AD365" s="596" t="s">
        <v>395</v>
      </c>
      <c r="AE365" s="595">
        <v>187.07</v>
      </c>
      <c r="AF365" s="597">
        <f t="shared" si="24"/>
        <v>-8.0730492808209764E-3</v>
      </c>
      <c r="AG365" s="597">
        <f t="shared" si="25"/>
        <v>-1.0787372428745279E-2</v>
      </c>
    </row>
    <row r="366" spans="13:33" x14ac:dyDescent="0.35">
      <c r="M366" s="555">
        <v>42118</v>
      </c>
      <c r="N366" s="543" t="s">
        <v>449</v>
      </c>
      <c r="O366" s="543">
        <v>33775.120000000003</v>
      </c>
      <c r="P366" s="73" t="s">
        <v>431</v>
      </c>
      <c r="Q366" s="158">
        <v>35.96</v>
      </c>
      <c r="R366" s="563">
        <f t="shared" si="22"/>
        <v>9.5161692382463858E-3</v>
      </c>
      <c r="S366" s="563">
        <f t="shared" si="23"/>
        <v>4.9927007299270132E-2</v>
      </c>
      <c r="AA366" s="594">
        <v>42116</v>
      </c>
      <c r="AB366" s="595" t="s">
        <v>449</v>
      </c>
      <c r="AC366" s="595">
        <v>33490.65</v>
      </c>
      <c r="AD366" s="596" t="s">
        <v>395</v>
      </c>
      <c r="AE366" s="595">
        <v>189.75</v>
      </c>
      <c r="AF366" s="597">
        <f t="shared" si="24"/>
        <v>1.3769317318773178E-2</v>
      </c>
      <c r="AG366" s="597">
        <f t="shared" si="25"/>
        <v>1.4326188057946165E-2</v>
      </c>
    </row>
    <row r="367" spans="13:33" x14ac:dyDescent="0.35">
      <c r="M367" s="555">
        <v>42121</v>
      </c>
      <c r="N367" s="543" t="s">
        <v>449</v>
      </c>
      <c r="O367" s="543">
        <v>33844.300000000003</v>
      </c>
      <c r="P367" s="73" t="s">
        <v>431</v>
      </c>
      <c r="Q367" s="158">
        <v>37.76</v>
      </c>
      <c r="R367" s="563">
        <f t="shared" si="22"/>
        <v>2.0482532704546585E-3</v>
      </c>
      <c r="S367" s="563">
        <f t="shared" si="23"/>
        <v>5.0055617352613879E-2</v>
      </c>
      <c r="AA367" s="594">
        <v>42117</v>
      </c>
      <c r="AB367" s="595" t="s">
        <v>449</v>
      </c>
      <c r="AC367" s="595">
        <v>33456.74</v>
      </c>
      <c r="AD367" s="596" t="s">
        <v>395</v>
      </c>
      <c r="AE367" s="595">
        <v>190.5</v>
      </c>
      <c r="AF367" s="597">
        <f t="shared" si="24"/>
        <v>-1.0125214052281173E-3</v>
      </c>
      <c r="AG367" s="597">
        <f t="shared" si="25"/>
        <v>3.9525691699604515E-3</v>
      </c>
    </row>
    <row r="368" spans="13:33" x14ac:dyDescent="0.35">
      <c r="M368" s="555">
        <v>42122</v>
      </c>
      <c r="N368" s="543" t="s">
        <v>449</v>
      </c>
      <c r="O368" s="543">
        <v>33575.94</v>
      </c>
      <c r="P368" s="73" t="s">
        <v>431</v>
      </c>
      <c r="Q368" s="158">
        <v>39.64</v>
      </c>
      <c r="R368" s="563">
        <f t="shared" si="22"/>
        <v>-7.929252488602212E-3</v>
      </c>
      <c r="S368" s="563">
        <f t="shared" si="23"/>
        <v>4.9788135593220373E-2</v>
      </c>
      <c r="AA368" s="594">
        <v>42118</v>
      </c>
      <c r="AB368" s="595" t="s">
        <v>449</v>
      </c>
      <c r="AC368" s="595">
        <v>33775.120000000003</v>
      </c>
      <c r="AD368" s="596" t="s">
        <v>395</v>
      </c>
      <c r="AE368" s="595">
        <v>200.02</v>
      </c>
      <c r="AF368" s="597">
        <f t="shared" si="24"/>
        <v>9.5161692382463858E-3</v>
      </c>
      <c r="AG368" s="597">
        <f t="shared" si="25"/>
        <v>4.9973753280839972E-2</v>
      </c>
    </row>
    <row r="369" spans="13:33" x14ac:dyDescent="0.35">
      <c r="M369" s="555">
        <v>42123</v>
      </c>
      <c r="N369" s="543" t="s">
        <v>449</v>
      </c>
      <c r="O369" s="543">
        <v>33460.01</v>
      </c>
      <c r="P369" s="73" t="s">
        <v>431</v>
      </c>
      <c r="Q369" s="158">
        <v>41.62</v>
      </c>
      <c r="R369" s="563">
        <f t="shared" si="22"/>
        <v>-3.452770049029219E-3</v>
      </c>
      <c r="S369" s="563">
        <f t="shared" si="23"/>
        <v>4.9949545913218873E-2</v>
      </c>
      <c r="AA369" s="594">
        <v>42121</v>
      </c>
      <c r="AB369" s="595" t="s">
        <v>449</v>
      </c>
      <c r="AC369" s="595">
        <v>33844.300000000003</v>
      </c>
      <c r="AD369" s="596" t="s">
        <v>395</v>
      </c>
      <c r="AE369" s="595">
        <v>197.15</v>
      </c>
      <c r="AF369" s="597">
        <f t="shared" si="24"/>
        <v>2.0482532704546585E-3</v>
      </c>
      <c r="AG369" s="597">
        <f t="shared" si="25"/>
        <v>-1.4348565143485703E-2</v>
      </c>
    </row>
    <row r="370" spans="13:33" x14ac:dyDescent="0.35">
      <c r="M370" s="555">
        <v>42124</v>
      </c>
      <c r="N370" s="543" t="s">
        <v>449</v>
      </c>
      <c r="O370" s="543">
        <v>33729.96</v>
      </c>
      <c r="P370" s="73" t="s">
        <v>431</v>
      </c>
      <c r="Q370" s="158">
        <v>43.7</v>
      </c>
      <c r="R370" s="563">
        <f t="shared" si="22"/>
        <v>8.0678397884519359E-3</v>
      </c>
      <c r="S370" s="563">
        <f t="shared" si="23"/>
        <v>4.9975973089860792E-2</v>
      </c>
      <c r="AA370" s="594">
        <v>42122</v>
      </c>
      <c r="AB370" s="595" t="s">
        <v>449</v>
      </c>
      <c r="AC370" s="595">
        <v>33575.94</v>
      </c>
      <c r="AD370" s="596" t="s">
        <v>395</v>
      </c>
      <c r="AE370" s="595">
        <v>196.76</v>
      </c>
      <c r="AF370" s="597">
        <f t="shared" si="24"/>
        <v>-7.929252488602212E-3</v>
      </c>
      <c r="AG370" s="597">
        <f t="shared" si="25"/>
        <v>-1.9781891960436448E-3</v>
      </c>
    </row>
    <row r="371" spans="13:33" x14ac:dyDescent="0.35">
      <c r="M371" s="555">
        <v>42128</v>
      </c>
      <c r="N371" s="543" t="s">
        <v>449</v>
      </c>
      <c r="O371" s="543">
        <v>33723.53</v>
      </c>
      <c r="P371" s="73" t="s">
        <v>431</v>
      </c>
      <c r="Q371" s="158">
        <v>45.88</v>
      </c>
      <c r="R371" s="563">
        <f t="shared" si="22"/>
        <v>-1.9063171139244162E-4</v>
      </c>
      <c r="S371" s="563">
        <f t="shared" si="23"/>
        <v>4.9885583524027499E-2</v>
      </c>
      <c r="AA371" s="594">
        <v>42123</v>
      </c>
      <c r="AB371" s="595" t="s">
        <v>449</v>
      </c>
      <c r="AC371" s="595">
        <v>33460.01</v>
      </c>
      <c r="AD371" s="596" t="s">
        <v>395</v>
      </c>
      <c r="AE371" s="595">
        <v>196.67</v>
      </c>
      <c r="AF371" s="597">
        <f t="shared" si="24"/>
        <v>-3.452770049029219E-3</v>
      </c>
      <c r="AG371" s="597">
        <f t="shared" si="25"/>
        <v>-4.5741004269161945E-4</v>
      </c>
    </row>
    <row r="372" spans="13:33" x14ac:dyDescent="0.35">
      <c r="M372" s="555">
        <v>42129</v>
      </c>
      <c r="N372" s="543" t="s">
        <v>449</v>
      </c>
      <c r="O372" s="543">
        <v>33533.64</v>
      </c>
      <c r="P372" s="73" t="s">
        <v>431</v>
      </c>
      <c r="Q372" s="158">
        <v>48.17</v>
      </c>
      <c r="R372" s="563">
        <f t="shared" si="22"/>
        <v>-5.630786575426705E-3</v>
      </c>
      <c r="S372" s="563">
        <f t="shared" si="23"/>
        <v>4.9912816041848274E-2</v>
      </c>
      <c r="AA372" s="594">
        <v>42124</v>
      </c>
      <c r="AB372" s="595" t="s">
        <v>449</v>
      </c>
      <c r="AC372" s="595">
        <v>33729.96</v>
      </c>
      <c r="AD372" s="596" t="s">
        <v>395</v>
      </c>
      <c r="AE372" s="595">
        <v>193.06</v>
      </c>
      <c r="AF372" s="597">
        <f t="shared" si="24"/>
        <v>8.0678397884519359E-3</v>
      </c>
      <c r="AG372" s="597">
        <f t="shared" si="25"/>
        <v>-1.835562109116784E-2</v>
      </c>
    </row>
    <row r="373" spans="13:33" x14ac:dyDescent="0.35">
      <c r="M373" s="555">
        <v>42130</v>
      </c>
      <c r="N373" s="543" t="s">
        <v>449</v>
      </c>
      <c r="O373" s="543">
        <v>33839.279999999999</v>
      </c>
      <c r="P373" s="73" t="s">
        <v>431</v>
      </c>
      <c r="Q373" s="158">
        <v>45.77</v>
      </c>
      <c r="R373" s="563">
        <f t="shared" si="22"/>
        <v>9.1144295698288857E-3</v>
      </c>
      <c r="S373" s="563">
        <f t="shared" si="23"/>
        <v>-4.9823541623417067E-2</v>
      </c>
      <c r="AA373" s="594">
        <v>42128</v>
      </c>
      <c r="AB373" s="595" t="s">
        <v>449</v>
      </c>
      <c r="AC373" s="595">
        <v>33723.53</v>
      </c>
      <c r="AD373" s="596" t="s">
        <v>395</v>
      </c>
      <c r="AE373" s="595">
        <v>187.63</v>
      </c>
      <c r="AF373" s="597">
        <f t="shared" si="24"/>
        <v>-1.9063171139244162E-4</v>
      </c>
      <c r="AG373" s="597">
        <f t="shared" si="25"/>
        <v>-2.8125971200663069E-2</v>
      </c>
    </row>
    <row r="374" spans="13:33" x14ac:dyDescent="0.35">
      <c r="M374" s="555">
        <v>42131</v>
      </c>
      <c r="N374" s="543" t="s">
        <v>449</v>
      </c>
      <c r="O374" s="543">
        <v>33742.879999999997</v>
      </c>
      <c r="P374" s="73" t="s">
        <v>431</v>
      </c>
      <c r="Q374" s="158">
        <v>43.48</v>
      </c>
      <c r="R374" s="563">
        <f t="shared" si="22"/>
        <v>-2.8487603755162905E-3</v>
      </c>
      <c r="S374" s="563">
        <f t="shared" si="23"/>
        <v>-5.0032772558444516E-2</v>
      </c>
      <c r="AA374" s="594">
        <v>42129</v>
      </c>
      <c r="AB374" s="595" t="s">
        <v>449</v>
      </c>
      <c r="AC374" s="595">
        <v>33533.64</v>
      </c>
      <c r="AD374" s="596" t="s">
        <v>395</v>
      </c>
      <c r="AE374" s="595">
        <v>191.71</v>
      </c>
      <c r="AF374" s="597">
        <f t="shared" si="24"/>
        <v>-5.630786575426705E-3</v>
      </c>
      <c r="AG374" s="597">
        <f t="shared" si="25"/>
        <v>2.1744923519693149E-2</v>
      </c>
    </row>
    <row r="375" spans="13:33" x14ac:dyDescent="0.35">
      <c r="M375" s="555">
        <v>42132</v>
      </c>
      <c r="N375" s="543" t="s">
        <v>449</v>
      </c>
      <c r="O375" s="543">
        <v>33530.300000000003</v>
      </c>
      <c r="P375" s="73" t="s">
        <v>431</v>
      </c>
      <c r="Q375" s="158">
        <v>41.32</v>
      </c>
      <c r="R375" s="563">
        <f t="shared" si="22"/>
        <v>-6.2999957324328948E-3</v>
      </c>
      <c r="S375" s="563">
        <f t="shared" si="23"/>
        <v>-4.9678012879484701E-2</v>
      </c>
      <c r="AA375" s="594">
        <v>42130</v>
      </c>
      <c r="AB375" s="595" t="s">
        <v>449</v>
      </c>
      <c r="AC375" s="595">
        <v>33839.279999999999</v>
      </c>
      <c r="AD375" s="596" t="s">
        <v>395</v>
      </c>
      <c r="AE375" s="595">
        <v>192.88</v>
      </c>
      <c r="AF375" s="597">
        <f t="shared" si="24"/>
        <v>9.1144295698288857E-3</v>
      </c>
      <c r="AG375" s="597">
        <f t="shared" si="25"/>
        <v>6.1029680246205142E-3</v>
      </c>
    </row>
    <row r="376" spans="13:33" x14ac:dyDescent="0.35">
      <c r="M376" s="555">
        <v>42135</v>
      </c>
      <c r="N376" s="543" t="s">
        <v>449</v>
      </c>
      <c r="O376" s="543">
        <v>32506.36</v>
      </c>
      <c r="P376" s="73" t="s">
        <v>431</v>
      </c>
      <c r="Q376" s="158">
        <v>39.26</v>
      </c>
      <c r="R376" s="563">
        <f t="shared" si="22"/>
        <v>-3.0537752420944697E-2</v>
      </c>
      <c r="S376" s="563">
        <f t="shared" si="23"/>
        <v>-4.9854791868344628E-2</v>
      </c>
      <c r="AA376" s="594">
        <v>42131</v>
      </c>
      <c r="AB376" s="595" t="s">
        <v>449</v>
      </c>
      <c r="AC376" s="595">
        <v>33742.879999999997</v>
      </c>
      <c r="AD376" s="596" t="s">
        <v>395</v>
      </c>
      <c r="AE376" s="595">
        <v>190.29</v>
      </c>
      <c r="AF376" s="597">
        <f t="shared" si="24"/>
        <v>-2.8487603755162905E-3</v>
      </c>
      <c r="AG376" s="597">
        <f t="shared" si="25"/>
        <v>-1.3428038158440514E-2</v>
      </c>
    </row>
    <row r="377" spans="13:33" x14ac:dyDescent="0.35">
      <c r="M377" s="555">
        <v>42136</v>
      </c>
      <c r="N377" s="543" t="s">
        <v>449</v>
      </c>
      <c r="O377" s="543">
        <v>33023.800000000003</v>
      </c>
      <c r="P377" s="73" t="s">
        <v>431</v>
      </c>
      <c r="Q377" s="158">
        <v>37.299999999999997</v>
      </c>
      <c r="R377" s="563">
        <f t="shared" si="22"/>
        <v>1.5918115716432091E-2</v>
      </c>
      <c r="S377" s="563">
        <f t="shared" si="23"/>
        <v>-4.992358634742744E-2</v>
      </c>
      <c r="AA377" s="594">
        <v>42132</v>
      </c>
      <c r="AB377" s="595" t="s">
        <v>449</v>
      </c>
      <c r="AC377" s="595">
        <v>33530.300000000003</v>
      </c>
      <c r="AD377" s="596" t="s">
        <v>395</v>
      </c>
      <c r="AE377" s="595">
        <v>189.36</v>
      </c>
      <c r="AF377" s="597">
        <f t="shared" si="24"/>
        <v>-6.2999957324328948E-3</v>
      </c>
      <c r="AG377" s="597">
        <f t="shared" si="25"/>
        <v>-4.8872773135738568E-3</v>
      </c>
    </row>
    <row r="378" spans="13:33" x14ac:dyDescent="0.35">
      <c r="M378" s="555">
        <v>42137</v>
      </c>
      <c r="N378" s="543" t="s">
        <v>449</v>
      </c>
      <c r="O378" s="543">
        <v>32915.440000000002</v>
      </c>
      <c r="P378" s="73" t="s">
        <v>431</v>
      </c>
      <c r="Q378" s="158">
        <v>39.159999999999997</v>
      </c>
      <c r="R378" s="563">
        <f t="shared" si="22"/>
        <v>-3.2812698720317002E-3</v>
      </c>
      <c r="S378" s="563">
        <f t="shared" si="23"/>
        <v>4.9865951742627423E-2</v>
      </c>
      <c r="AA378" s="594">
        <v>42135</v>
      </c>
      <c r="AB378" s="595" t="s">
        <v>449</v>
      </c>
      <c r="AC378" s="595">
        <v>32506.36</v>
      </c>
      <c r="AD378" s="596" t="s">
        <v>395</v>
      </c>
      <c r="AE378" s="595">
        <v>187</v>
      </c>
      <c r="AF378" s="597">
        <f t="shared" si="24"/>
        <v>-3.0537752420944697E-2</v>
      </c>
      <c r="AG378" s="597">
        <f t="shared" si="25"/>
        <v>-1.2463033375580967E-2</v>
      </c>
    </row>
    <row r="379" spans="13:33" x14ac:dyDescent="0.35">
      <c r="M379" s="555">
        <v>42138</v>
      </c>
      <c r="N379" s="543" t="s">
        <v>449</v>
      </c>
      <c r="O379" s="543">
        <v>33103.730000000003</v>
      </c>
      <c r="P379" s="73" t="s">
        <v>431</v>
      </c>
      <c r="Q379" s="158">
        <v>41.12</v>
      </c>
      <c r="R379" s="563">
        <f t="shared" si="22"/>
        <v>5.7204157076435891E-3</v>
      </c>
      <c r="S379" s="563">
        <f t="shared" si="23"/>
        <v>5.0051072522982576E-2</v>
      </c>
      <c r="AA379" s="594">
        <v>42136</v>
      </c>
      <c r="AB379" s="595" t="s">
        <v>449</v>
      </c>
      <c r="AC379" s="595">
        <v>33023.800000000003</v>
      </c>
      <c r="AD379" s="596" t="s">
        <v>395</v>
      </c>
      <c r="AE379" s="595">
        <v>188.44</v>
      </c>
      <c r="AF379" s="597">
        <f t="shared" si="24"/>
        <v>1.5918115716432091E-2</v>
      </c>
      <c r="AG379" s="597">
        <f t="shared" si="25"/>
        <v>7.7005347593581686E-3</v>
      </c>
    </row>
    <row r="380" spans="13:33" x14ac:dyDescent="0.35">
      <c r="M380" s="555">
        <v>42139</v>
      </c>
      <c r="N380" s="543" t="s">
        <v>449</v>
      </c>
      <c r="O380" s="543">
        <v>33039.199999999997</v>
      </c>
      <c r="P380" s="73" t="s">
        <v>431</v>
      </c>
      <c r="Q380" s="158">
        <v>42.05</v>
      </c>
      <c r="R380" s="563">
        <f t="shared" si="22"/>
        <v>-1.9493271604138496E-3</v>
      </c>
      <c r="S380" s="563">
        <f t="shared" si="23"/>
        <v>2.2616731517509647E-2</v>
      </c>
      <c r="AA380" s="594">
        <v>42137</v>
      </c>
      <c r="AB380" s="595" t="s">
        <v>449</v>
      </c>
      <c r="AC380" s="595">
        <v>32915.440000000002</v>
      </c>
      <c r="AD380" s="596" t="s">
        <v>395</v>
      </c>
      <c r="AE380" s="595">
        <v>188.53</v>
      </c>
      <c r="AF380" s="597">
        <f t="shared" si="24"/>
        <v>-3.2812698720317002E-3</v>
      </c>
      <c r="AG380" s="597">
        <f t="shared" si="25"/>
        <v>4.776056039057508E-4</v>
      </c>
    </row>
    <row r="381" spans="13:33" x14ac:dyDescent="0.35">
      <c r="M381" s="555">
        <v>42142</v>
      </c>
      <c r="N381" s="543" t="s">
        <v>449</v>
      </c>
      <c r="O381" s="543">
        <v>32886.06</v>
      </c>
      <c r="P381" s="73" t="s">
        <v>431</v>
      </c>
      <c r="Q381" s="158">
        <v>41.59</v>
      </c>
      <c r="R381" s="563">
        <f t="shared" si="22"/>
        <v>-4.635100123489666E-3</v>
      </c>
      <c r="S381" s="563">
        <f t="shared" si="23"/>
        <v>-1.0939357907253089E-2</v>
      </c>
      <c r="AA381" s="594">
        <v>42138</v>
      </c>
      <c r="AB381" s="595" t="s">
        <v>449</v>
      </c>
      <c r="AC381" s="595">
        <v>33103.730000000003</v>
      </c>
      <c r="AD381" s="596" t="s">
        <v>395</v>
      </c>
      <c r="AE381" s="595">
        <v>190.37</v>
      </c>
      <c r="AF381" s="597">
        <f t="shared" si="24"/>
        <v>5.7204157076435891E-3</v>
      </c>
      <c r="AG381" s="597">
        <f t="shared" si="25"/>
        <v>9.7597199384713562E-3</v>
      </c>
    </row>
    <row r="382" spans="13:33" x14ac:dyDescent="0.35">
      <c r="M382" s="555">
        <v>42143</v>
      </c>
      <c r="N382" s="543" t="s">
        <v>449</v>
      </c>
      <c r="O382" s="543">
        <v>32729.55</v>
      </c>
      <c r="P382" s="73" t="s">
        <v>431</v>
      </c>
      <c r="Q382" s="158">
        <v>43.67</v>
      </c>
      <c r="R382" s="563">
        <f t="shared" si="22"/>
        <v>-4.759159352017206E-3</v>
      </c>
      <c r="S382" s="563">
        <f t="shared" si="23"/>
        <v>5.0012022120702104E-2</v>
      </c>
      <c r="AA382" s="594">
        <v>42139</v>
      </c>
      <c r="AB382" s="595" t="s">
        <v>449</v>
      </c>
      <c r="AC382" s="595">
        <v>33039.199999999997</v>
      </c>
      <c r="AD382" s="596" t="s">
        <v>395</v>
      </c>
      <c r="AE382" s="595">
        <v>189.62</v>
      </c>
      <c r="AF382" s="597">
        <f t="shared" si="24"/>
        <v>-1.9493271604138496E-3</v>
      </c>
      <c r="AG382" s="597">
        <f t="shared" si="25"/>
        <v>-3.9396963807322161E-3</v>
      </c>
    </row>
    <row r="383" spans="13:33" x14ac:dyDescent="0.35">
      <c r="M383" s="555">
        <v>42144</v>
      </c>
      <c r="N383" s="543" t="s">
        <v>449</v>
      </c>
      <c r="O383" s="543">
        <v>32599</v>
      </c>
      <c r="P383" s="73" t="s">
        <v>431</v>
      </c>
      <c r="Q383" s="158">
        <v>45.84</v>
      </c>
      <c r="R383" s="563">
        <f t="shared" si="22"/>
        <v>-3.9887502272411002E-3</v>
      </c>
      <c r="S383" s="563">
        <f t="shared" si="23"/>
        <v>4.9690863292878529E-2</v>
      </c>
      <c r="AA383" s="594">
        <v>42142</v>
      </c>
      <c r="AB383" s="595" t="s">
        <v>449</v>
      </c>
      <c r="AC383" s="595">
        <v>32886.06</v>
      </c>
      <c r="AD383" s="596" t="s">
        <v>395</v>
      </c>
      <c r="AE383" s="595">
        <v>193.43</v>
      </c>
      <c r="AF383" s="597">
        <f t="shared" si="24"/>
        <v>-4.635100123489666E-3</v>
      </c>
      <c r="AG383" s="597">
        <f t="shared" si="25"/>
        <v>2.0092817213374081E-2</v>
      </c>
    </row>
    <row r="384" spans="13:33" x14ac:dyDescent="0.35">
      <c r="M384" s="555">
        <v>42145</v>
      </c>
      <c r="N384" s="543" t="s">
        <v>449</v>
      </c>
      <c r="O384" s="543">
        <v>32617.74</v>
      </c>
      <c r="P384" s="73" t="s">
        <v>431</v>
      </c>
      <c r="Q384" s="158">
        <v>43.56</v>
      </c>
      <c r="R384" s="563">
        <f t="shared" si="22"/>
        <v>5.7486425963992893E-4</v>
      </c>
      <c r="S384" s="563">
        <f t="shared" si="23"/>
        <v>-4.9738219895287927E-2</v>
      </c>
      <c r="AA384" s="594">
        <v>42143</v>
      </c>
      <c r="AB384" s="595" t="s">
        <v>449</v>
      </c>
      <c r="AC384" s="595">
        <v>32729.55</v>
      </c>
      <c r="AD384" s="596" t="s">
        <v>395</v>
      </c>
      <c r="AE384" s="595">
        <v>187.75</v>
      </c>
      <c r="AF384" s="597">
        <f t="shared" si="24"/>
        <v>-4.759159352017206E-3</v>
      </c>
      <c r="AG384" s="597">
        <f t="shared" si="25"/>
        <v>-2.936462803081219E-2</v>
      </c>
    </row>
    <row r="385" spans="13:33" x14ac:dyDescent="0.35">
      <c r="M385" s="555">
        <v>42146</v>
      </c>
      <c r="N385" s="543" t="s">
        <v>449</v>
      </c>
      <c r="O385" s="543">
        <v>32605.62</v>
      </c>
      <c r="P385" s="73" t="s">
        <v>431</v>
      </c>
      <c r="Q385" s="158">
        <v>41.6</v>
      </c>
      <c r="R385" s="563">
        <f t="shared" si="22"/>
        <v>-3.7157693942013736E-4</v>
      </c>
      <c r="S385" s="563">
        <f t="shared" si="23"/>
        <v>-4.4995408631772316E-2</v>
      </c>
      <c r="AA385" s="594">
        <v>42144</v>
      </c>
      <c r="AB385" s="595" t="s">
        <v>449</v>
      </c>
      <c r="AC385" s="595">
        <v>32599</v>
      </c>
      <c r="AD385" s="596" t="s">
        <v>395</v>
      </c>
      <c r="AE385" s="595">
        <v>186.5</v>
      </c>
      <c r="AF385" s="597">
        <f t="shared" si="24"/>
        <v>-3.9887502272411002E-3</v>
      </c>
      <c r="AG385" s="597">
        <f t="shared" si="25"/>
        <v>-6.6577896138482195E-3</v>
      </c>
    </row>
    <row r="386" spans="13:33" x14ac:dyDescent="0.35">
      <c r="M386" s="555">
        <v>42149</v>
      </c>
      <c r="N386" s="543" t="s">
        <v>449</v>
      </c>
      <c r="O386" s="543">
        <v>32707.22</v>
      </c>
      <c r="P386" s="73" t="s">
        <v>431</v>
      </c>
      <c r="Q386" s="158">
        <v>39.53</v>
      </c>
      <c r="R386" s="563">
        <f t="shared" si="22"/>
        <v>3.1160272370223119E-3</v>
      </c>
      <c r="S386" s="563">
        <f t="shared" si="23"/>
        <v>-4.9759615384615374E-2</v>
      </c>
      <c r="AA386" s="594">
        <v>42145</v>
      </c>
      <c r="AB386" s="595" t="s">
        <v>449</v>
      </c>
      <c r="AC386" s="595">
        <v>32617.74</v>
      </c>
      <c r="AD386" s="596" t="s">
        <v>395</v>
      </c>
      <c r="AE386" s="595">
        <v>187.5</v>
      </c>
      <c r="AF386" s="597">
        <f t="shared" si="24"/>
        <v>5.7486425963992893E-4</v>
      </c>
      <c r="AG386" s="597">
        <f t="shared" si="25"/>
        <v>5.3619302949061698E-3</v>
      </c>
    </row>
    <row r="387" spans="13:33" x14ac:dyDescent="0.35">
      <c r="M387" s="555">
        <v>42150</v>
      </c>
      <c r="N387" s="543" t="s">
        <v>449</v>
      </c>
      <c r="O387" s="543">
        <v>32510.35</v>
      </c>
      <c r="P387" s="73" t="s">
        <v>431</v>
      </c>
      <c r="Q387" s="158">
        <v>37.96</v>
      </c>
      <c r="R387" s="563">
        <f t="shared" si="22"/>
        <v>-6.0191602954944301E-3</v>
      </c>
      <c r="S387" s="563">
        <f t="shared" si="23"/>
        <v>-3.9716670882873784E-2</v>
      </c>
      <c r="AA387" s="594">
        <v>42146</v>
      </c>
      <c r="AB387" s="595" t="s">
        <v>449</v>
      </c>
      <c r="AC387" s="595">
        <v>32605.62</v>
      </c>
      <c r="AD387" s="596" t="s">
        <v>395</v>
      </c>
      <c r="AE387" s="595">
        <v>188.25</v>
      </c>
      <c r="AF387" s="597">
        <f t="shared" si="24"/>
        <v>-3.7157693942013736E-4</v>
      </c>
      <c r="AG387" s="597">
        <f t="shared" si="25"/>
        <v>4.0000000000000036E-3</v>
      </c>
    </row>
    <row r="388" spans="13:33" x14ac:dyDescent="0.35">
      <c r="M388" s="555">
        <v>42151</v>
      </c>
      <c r="N388" s="543" t="s">
        <v>449</v>
      </c>
      <c r="O388" s="543">
        <v>32842.589999999997</v>
      </c>
      <c r="P388" s="73" t="s">
        <v>431</v>
      </c>
      <c r="Q388" s="158">
        <v>39.85</v>
      </c>
      <c r="R388" s="563">
        <f t="shared" si="22"/>
        <v>1.0219514708392774E-2</v>
      </c>
      <c r="S388" s="563">
        <f t="shared" si="23"/>
        <v>4.9789251844046367E-2</v>
      </c>
      <c r="AA388" s="594">
        <v>42149</v>
      </c>
      <c r="AB388" s="595" t="s">
        <v>449</v>
      </c>
      <c r="AC388" s="595">
        <v>32707.22</v>
      </c>
      <c r="AD388" s="596" t="s">
        <v>395</v>
      </c>
      <c r="AE388" s="595">
        <v>190</v>
      </c>
      <c r="AF388" s="597">
        <f t="shared" si="24"/>
        <v>3.1160272370223119E-3</v>
      </c>
      <c r="AG388" s="597">
        <f t="shared" si="25"/>
        <v>9.2961487383798058E-3</v>
      </c>
    </row>
    <row r="389" spans="13:33" x14ac:dyDescent="0.35">
      <c r="M389" s="555">
        <v>42152</v>
      </c>
      <c r="N389" s="543" t="s">
        <v>449</v>
      </c>
      <c r="O389" s="543">
        <v>32763.48</v>
      </c>
      <c r="P389" s="73" t="s">
        <v>431</v>
      </c>
      <c r="Q389" s="158">
        <v>41.8</v>
      </c>
      <c r="R389" s="563">
        <f t="shared" si="22"/>
        <v>-2.4087625245146072E-3</v>
      </c>
      <c r="S389" s="563">
        <f t="shared" si="23"/>
        <v>4.8933500627352355E-2</v>
      </c>
      <c r="AA389" s="594">
        <v>42150</v>
      </c>
      <c r="AB389" s="595" t="s">
        <v>449</v>
      </c>
      <c r="AC389" s="595">
        <v>32510.35</v>
      </c>
      <c r="AD389" s="596" t="s">
        <v>395</v>
      </c>
      <c r="AE389" s="595">
        <v>189.46</v>
      </c>
      <c r="AF389" s="597">
        <f t="shared" si="24"/>
        <v>-6.0191602954944301E-3</v>
      </c>
      <c r="AG389" s="597">
        <f t="shared" si="25"/>
        <v>-2.842105263157868E-3</v>
      </c>
    </row>
    <row r="390" spans="13:33" x14ac:dyDescent="0.35">
      <c r="M390" s="555">
        <v>42153</v>
      </c>
      <c r="N390" s="543" t="s">
        <v>449</v>
      </c>
      <c r="O390" s="543">
        <v>33056.79</v>
      </c>
      <c r="P390" s="73" t="s">
        <v>431</v>
      </c>
      <c r="Q390" s="158">
        <v>41.32</v>
      </c>
      <c r="R390" s="563">
        <f t="shared" si="22"/>
        <v>8.952345721516819E-3</v>
      </c>
      <c r="S390" s="563">
        <f t="shared" si="23"/>
        <v>-1.1483253588516651E-2</v>
      </c>
      <c r="AA390" s="594">
        <v>42151</v>
      </c>
      <c r="AB390" s="595" t="s">
        <v>449</v>
      </c>
      <c r="AC390" s="595">
        <v>32842.589999999997</v>
      </c>
      <c r="AD390" s="596" t="s">
        <v>395</v>
      </c>
      <c r="AE390" s="595">
        <v>191</v>
      </c>
      <c r="AF390" s="597">
        <f t="shared" si="24"/>
        <v>1.0219514708392774E-2</v>
      </c>
      <c r="AG390" s="597">
        <f t="shared" si="25"/>
        <v>8.1283648263485997E-3</v>
      </c>
    </row>
    <row r="391" spans="13:33" x14ac:dyDescent="0.35">
      <c r="M391" s="555">
        <v>42156</v>
      </c>
      <c r="N391" s="543" t="s">
        <v>449</v>
      </c>
      <c r="O391" s="543">
        <v>33563.379999999997</v>
      </c>
      <c r="P391" s="73" t="s">
        <v>431</v>
      </c>
      <c r="Q391" s="158">
        <v>40.6</v>
      </c>
      <c r="R391" s="563">
        <f t="shared" si="22"/>
        <v>1.5324839465658879E-2</v>
      </c>
      <c r="S391" s="563">
        <f t="shared" si="23"/>
        <v>-1.742497579864466E-2</v>
      </c>
      <c r="AA391" s="594">
        <v>42152</v>
      </c>
      <c r="AB391" s="595" t="s">
        <v>449</v>
      </c>
      <c r="AC391" s="595">
        <v>32763.48</v>
      </c>
      <c r="AD391" s="596" t="s">
        <v>395</v>
      </c>
      <c r="AE391" s="595">
        <v>191.23</v>
      </c>
      <c r="AF391" s="597">
        <f t="shared" si="24"/>
        <v>-2.4087625245146072E-3</v>
      </c>
      <c r="AG391" s="597">
        <f t="shared" si="25"/>
        <v>1.2041884816753612E-3</v>
      </c>
    </row>
    <row r="392" spans="13:33" x14ac:dyDescent="0.35">
      <c r="M392" s="555">
        <v>42157</v>
      </c>
      <c r="N392" s="543" t="s">
        <v>449</v>
      </c>
      <c r="O392" s="543">
        <v>33895.339999999997</v>
      </c>
      <c r="P392" s="73" t="s">
        <v>431</v>
      </c>
      <c r="Q392" s="158">
        <v>42.13</v>
      </c>
      <c r="R392" s="563">
        <f t="shared" si="22"/>
        <v>9.8905414174614847E-3</v>
      </c>
      <c r="S392" s="563">
        <f t="shared" si="23"/>
        <v>3.7684729064039413E-2</v>
      </c>
      <c r="AA392" s="594">
        <v>42153</v>
      </c>
      <c r="AB392" s="595" t="s">
        <v>449</v>
      </c>
      <c r="AC392" s="595">
        <v>33056.79</v>
      </c>
      <c r="AD392" s="596" t="s">
        <v>395</v>
      </c>
      <c r="AE392" s="595">
        <v>190.29</v>
      </c>
      <c r="AF392" s="597">
        <f t="shared" si="24"/>
        <v>8.952345721516819E-3</v>
      </c>
      <c r="AG392" s="597">
        <f t="shared" si="25"/>
        <v>-4.9155467238404249E-3</v>
      </c>
    </row>
    <row r="393" spans="13:33" x14ac:dyDescent="0.35">
      <c r="M393" s="555">
        <v>42158</v>
      </c>
      <c r="N393" s="543" t="s">
        <v>449</v>
      </c>
      <c r="O393" s="543">
        <v>33908.620000000003</v>
      </c>
      <c r="P393" s="73" t="s">
        <v>431</v>
      </c>
      <c r="Q393" s="158">
        <v>41.45</v>
      </c>
      <c r="R393" s="563">
        <f t="shared" si="22"/>
        <v>3.917942702449384E-4</v>
      </c>
      <c r="S393" s="563">
        <f t="shared" si="23"/>
        <v>-1.6140517446000424E-2</v>
      </c>
      <c r="AA393" s="594">
        <v>42156</v>
      </c>
      <c r="AB393" s="595" t="s">
        <v>449</v>
      </c>
      <c r="AC393" s="595">
        <v>33563.379999999997</v>
      </c>
      <c r="AD393" s="596" t="s">
        <v>395</v>
      </c>
      <c r="AE393" s="595">
        <v>190.33</v>
      </c>
      <c r="AF393" s="597">
        <f t="shared" si="24"/>
        <v>1.5324839465658879E-2</v>
      </c>
      <c r="AG393" s="597">
        <f t="shared" si="25"/>
        <v>2.1020547585282046E-4</v>
      </c>
    </row>
    <row r="394" spans="13:33" x14ac:dyDescent="0.35">
      <c r="M394" s="555">
        <v>42159</v>
      </c>
      <c r="N394" s="543" t="s">
        <v>449</v>
      </c>
      <c r="O394" s="543">
        <v>34085.74</v>
      </c>
      <c r="P394" s="73" t="s">
        <v>431</v>
      </c>
      <c r="Q394" s="158">
        <v>41.15</v>
      </c>
      <c r="R394" s="563">
        <f t="shared" si="22"/>
        <v>5.2234505562300804E-3</v>
      </c>
      <c r="S394" s="563">
        <f t="shared" si="23"/>
        <v>-7.2376357056695984E-3</v>
      </c>
      <c r="AA394" s="594">
        <v>42157</v>
      </c>
      <c r="AB394" s="595" t="s">
        <v>449</v>
      </c>
      <c r="AC394" s="595">
        <v>33895.339999999997</v>
      </c>
      <c r="AD394" s="596" t="s">
        <v>395</v>
      </c>
      <c r="AE394" s="595">
        <v>190.13</v>
      </c>
      <c r="AF394" s="597">
        <f t="shared" si="24"/>
        <v>9.8905414174614847E-3</v>
      </c>
      <c r="AG394" s="597">
        <f t="shared" si="25"/>
        <v>-1.0508064939842576E-3</v>
      </c>
    </row>
    <row r="395" spans="13:33" x14ac:dyDescent="0.35">
      <c r="M395" s="555">
        <v>42160</v>
      </c>
      <c r="N395" s="543" t="s">
        <v>449</v>
      </c>
      <c r="O395" s="543">
        <v>34012.49</v>
      </c>
      <c r="P395" s="73" t="s">
        <v>431</v>
      </c>
      <c r="Q395" s="158">
        <v>41.34</v>
      </c>
      <c r="R395" s="563">
        <f t="shared" si="22"/>
        <v>-2.1489925112377906E-3</v>
      </c>
      <c r="S395" s="563">
        <f t="shared" si="23"/>
        <v>4.6172539489672815E-3</v>
      </c>
      <c r="AA395" s="594">
        <v>42158</v>
      </c>
      <c r="AB395" s="595" t="s">
        <v>449</v>
      </c>
      <c r="AC395" s="595">
        <v>33908.620000000003</v>
      </c>
      <c r="AD395" s="596" t="s">
        <v>395</v>
      </c>
      <c r="AE395" s="595">
        <v>192.45</v>
      </c>
      <c r="AF395" s="597">
        <f t="shared" si="24"/>
        <v>3.917942702449384E-4</v>
      </c>
      <c r="AG395" s="597">
        <f t="shared" si="25"/>
        <v>1.220217745752894E-2</v>
      </c>
    </row>
    <row r="396" spans="13:33" x14ac:dyDescent="0.35">
      <c r="M396" s="555">
        <v>42163</v>
      </c>
      <c r="N396" s="543" t="s">
        <v>449</v>
      </c>
      <c r="O396" s="543">
        <v>34151.11</v>
      </c>
      <c r="P396" s="73" t="s">
        <v>431</v>
      </c>
      <c r="Q396" s="158">
        <v>41.56</v>
      </c>
      <c r="R396" s="563">
        <f t="shared" si="22"/>
        <v>4.0755616539689399E-3</v>
      </c>
      <c r="S396" s="563">
        <f t="shared" si="23"/>
        <v>5.3217223028543259E-3</v>
      </c>
      <c r="AA396" s="594">
        <v>42159</v>
      </c>
      <c r="AB396" s="595" t="s">
        <v>449</v>
      </c>
      <c r="AC396" s="595">
        <v>34085.74</v>
      </c>
      <c r="AD396" s="596" t="s">
        <v>395</v>
      </c>
      <c r="AE396" s="595">
        <v>192.4</v>
      </c>
      <c r="AF396" s="597">
        <f t="shared" si="24"/>
        <v>5.2234505562300804E-3</v>
      </c>
      <c r="AG396" s="597">
        <f t="shared" si="25"/>
        <v>-2.5980774227063463E-4</v>
      </c>
    </row>
    <row r="397" spans="13:33" x14ac:dyDescent="0.35">
      <c r="M397" s="555">
        <v>42164</v>
      </c>
      <c r="N397" s="543" t="s">
        <v>449</v>
      </c>
      <c r="O397" s="543">
        <v>34270.28</v>
      </c>
      <c r="P397" s="73" t="s">
        <v>431</v>
      </c>
      <c r="Q397" s="158">
        <v>43.64</v>
      </c>
      <c r="R397" s="563">
        <f t="shared" si="22"/>
        <v>3.4894912639735765E-3</v>
      </c>
      <c r="S397" s="563">
        <f t="shared" si="23"/>
        <v>5.0048123195380212E-2</v>
      </c>
      <c r="AA397" s="594">
        <v>42160</v>
      </c>
      <c r="AB397" s="595" t="s">
        <v>449</v>
      </c>
      <c r="AC397" s="595">
        <v>34012.49</v>
      </c>
      <c r="AD397" s="596" t="s">
        <v>395</v>
      </c>
      <c r="AE397" s="595">
        <v>191.38</v>
      </c>
      <c r="AF397" s="597">
        <f t="shared" si="24"/>
        <v>-2.1489925112377906E-3</v>
      </c>
      <c r="AG397" s="597">
        <f t="shared" si="25"/>
        <v>-5.3014553014553156E-3</v>
      </c>
    </row>
    <row r="398" spans="13:33" x14ac:dyDescent="0.35">
      <c r="M398" s="555">
        <v>42165</v>
      </c>
      <c r="N398" s="543" t="s">
        <v>449</v>
      </c>
      <c r="O398" s="543">
        <v>34323.839999999997</v>
      </c>
      <c r="P398" s="73" t="s">
        <v>431</v>
      </c>
      <c r="Q398" s="158">
        <v>45.81</v>
      </c>
      <c r="R398" s="563">
        <f t="shared" si="22"/>
        <v>1.5628702187433507E-3</v>
      </c>
      <c r="S398" s="563">
        <f t="shared" si="23"/>
        <v>4.9725022914757222E-2</v>
      </c>
      <c r="AA398" s="594">
        <v>42163</v>
      </c>
      <c r="AB398" s="595" t="s">
        <v>449</v>
      </c>
      <c r="AC398" s="595">
        <v>34151.11</v>
      </c>
      <c r="AD398" s="596" t="s">
        <v>395</v>
      </c>
      <c r="AE398" s="595">
        <v>196</v>
      </c>
      <c r="AF398" s="597">
        <f t="shared" si="24"/>
        <v>4.0755616539689399E-3</v>
      </c>
      <c r="AG398" s="597">
        <f t="shared" si="25"/>
        <v>2.4140453547915275E-2</v>
      </c>
    </row>
    <row r="399" spans="13:33" x14ac:dyDescent="0.35">
      <c r="M399" s="555">
        <v>42166</v>
      </c>
      <c r="N399" s="543" t="s">
        <v>449</v>
      </c>
      <c r="O399" s="543">
        <v>34594.699999999997</v>
      </c>
      <c r="P399" s="73" t="s">
        <v>431</v>
      </c>
      <c r="Q399" s="158">
        <v>46.16</v>
      </c>
      <c r="R399" s="563">
        <f t="shared" si="22"/>
        <v>7.8913081986164979E-3</v>
      </c>
      <c r="S399" s="563">
        <f t="shared" si="23"/>
        <v>7.6402532198209805E-3</v>
      </c>
      <c r="AA399" s="594">
        <v>42164</v>
      </c>
      <c r="AB399" s="595" t="s">
        <v>449</v>
      </c>
      <c r="AC399" s="595">
        <v>34270.28</v>
      </c>
      <c r="AD399" s="596" t="s">
        <v>395</v>
      </c>
      <c r="AE399" s="595">
        <v>197.21</v>
      </c>
      <c r="AF399" s="597">
        <f t="shared" si="24"/>
        <v>3.4894912639735765E-3</v>
      </c>
      <c r="AG399" s="597">
        <f t="shared" si="25"/>
        <v>6.1734693877550928E-3</v>
      </c>
    </row>
    <row r="400" spans="13:33" x14ac:dyDescent="0.35">
      <c r="M400" s="555">
        <v>42167</v>
      </c>
      <c r="N400" s="543" t="s">
        <v>449</v>
      </c>
      <c r="O400" s="543">
        <v>34651.29</v>
      </c>
      <c r="P400" s="73" t="s">
        <v>431</v>
      </c>
      <c r="Q400" s="158">
        <v>44.74</v>
      </c>
      <c r="R400" s="563">
        <f t="shared" si="22"/>
        <v>1.6357997034228688E-3</v>
      </c>
      <c r="S400" s="563">
        <f t="shared" si="23"/>
        <v>-3.076256499133434E-2</v>
      </c>
      <c r="AA400" s="594">
        <v>42165</v>
      </c>
      <c r="AB400" s="595" t="s">
        <v>449</v>
      </c>
      <c r="AC400" s="595">
        <v>34323.839999999997</v>
      </c>
      <c r="AD400" s="596" t="s">
        <v>395</v>
      </c>
      <c r="AE400" s="595">
        <v>196.5</v>
      </c>
      <c r="AF400" s="597">
        <f t="shared" si="24"/>
        <v>1.5628702187433507E-3</v>
      </c>
      <c r="AG400" s="597">
        <f t="shared" si="25"/>
        <v>-3.6002231124182549E-3</v>
      </c>
    </row>
    <row r="401" spans="13:33" x14ac:dyDescent="0.35">
      <c r="M401" s="555">
        <v>42170</v>
      </c>
      <c r="N401" s="543" t="s">
        <v>449</v>
      </c>
      <c r="O401" s="543">
        <v>34710.29</v>
      </c>
      <c r="P401" s="73" t="s">
        <v>431</v>
      </c>
      <c r="Q401" s="158">
        <v>44.29</v>
      </c>
      <c r="R401" s="563">
        <f t="shared" si="22"/>
        <v>1.7026783129863166E-3</v>
      </c>
      <c r="S401" s="563">
        <f t="shared" si="23"/>
        <v>-1.005811354492625E-2</v>
      </c>
      <c r="AA401" s="594">
        <v>42166</v>
      </c>
      <c r="AB401" s="595" t="s">
        <v>449</v>
      </c>
      <c r="AC401" s="595">
        <v>34594.699999999997</v>
      </c>
      <c r="AD401" s="596" t="s">
        <v>395</v>
      </c>
      <c r="AE401" s="595">
        <v>204.29</v>
      </c>
      <c r="AF401" s="597">
        <f t="shared" si="24"/>
        <v>7.8913081986164979E-3</v>
      </c>
      <c r="AG401" s="597">
        <f t="shared" si="25"/>
        <v>3.9643765903307759E-2</v>
      </c>
    </row>
    <row r="402" spans="13:33" x14ac:dyDescent="0.35">
      <c r="M402" s="555">
        <v>42171</v>
      </c>
      <c r="N402" s="543" t="s">
        <v>449</v>
      </c>
      <c r="O402" s="543">
        <v>34516.300000000003</v>
      </c>
      <c r="P402" s="73" t="s">
        <v>431</v>
      </c>
      <c r="Q402" s="158">
        <v>44.42</v>
      </c>
      <c r="R402" s="563">
        <f t="shared" si="22"/>
        <v>-5.5888325911421788E-3</v>
      </c>
      <c r="S402" s="563">
        <f t="shared" si="23"/>
        <v>2.9351998193722917E-3</v>
      </c>
      <c r="AA402" s="594">
        <v>42167</v>
      </c>
      <c r="AB402" s="595" t="s">
        <v>449</v>
      </c>
      <c r="AC402" s="595">
        <v>34651.29</v>
      </c>
      <c r="AD402" s="596" t="s">
        <v>395</v>
      </c>
      <c r="AE402" s="595">
        <v>201.94</v>
      </c>
      <c r="AF402" s="597">
        <f t="shared" si="24"/>
        <v>1.6357997034228688E-3</v>
      </c>
      <c r="AG402" s="597">
        <f t="shared" si="25"/>
        <v>-1.1503255176464777E-2</v>
      </c>
    </row>
    <row r="403" spans="13:33" x14ac:dyDescent="0.35">
      <c r="M403" s="555">
        <v>42172</v>
      </c>
      <c r="N403" s="543" t="s">
        <v>449</v>
      </c>
      <c r="O403" s="543">
        <v>34482</v>
      </c>
      <c r="P403" s="73" t="s">
        <v>431</v>
      </c>
      <c r="Q403" s="158">
        <v>43.04</v>
      </c>
      <c r="R403" s="563">
        <f t="shared" si="22"/>
        <v>-9.9373339552621953E-4</v>
      </c>
      <c r="S403" s="563">
        <f t="shared" si="23"/>
        <v>-3.1067086897793805E-2</v>
      </c>
      <c r="AA403" s="594">
        <v>42170</v>
      </c>
      <c r="AB403" s="595" t="s">
        <v>449</v>
      </c>
      <c r="AC403" s="595">
        <v>34710.29</v>
      </c>
      <c r="AD403" s="596" t="s">
        <v>395</v>
      </c>
      <c r="AE403" s="595">
        <v>201.95</v>
      </c>
      <c r="AF403" s="597">
        <f t="shared" si="24"/>
        <v>1.7026783129863166E-3</v>
      </c>
      <c r="AG403" s="597">
        <f t="shared" si="25"/>
        <v>4.9519659304664287E-5</v>
      </c>
    </row>
    <row r="404" spans="13:33" x14ac:dyDescent="0.35">
      <c r="M404" s="555">
        <v>42173</v>
      </c>
      <c r="N404" s="543" t="s">
        <v>449</v>
      </c>
      <c r="O404" s="543">
        <v>34674.61</v>
      </c>
      <c r="P404" s="73" t="s">
        <v>431</v>
      </c>
      <c r="Q404" s="158">
        <v>42.61</v>
      </c>
      <c r="R404" s="563">
        <f t="shared" si="22"/>
        <v>5.5858128878836233E-3</v>
      </c>
      <c r="S404" s="563">
        <f t="shared" si="23"/>
        <v>-9.9907063197025581E-3</v>
      </c>
      <c r="AA404" s="594">
        <v>42171</v>
      </c>
      <c r="AB404" s="595" t="s">
        <v>449</v>
      </c>
      <c r="AC404" s="595">
        <v>34516.300000000003</v>
      </c>
      <c r="AD404" s="596" t="s">
        <v>395</v>
      </c>
      <c r="AE404" s="595">
        <v>203.91</v>
      </c>
      <c r="AF404" s="597">
        <f t="shared" si="24"/>
        <v>-5.5888325911421788E-3</v>
      </c>
      <c r="AG404" s="597">
        <f t="shared" si="25"/>
        <v>9.7053726169844534E-3</v>
      </c>
    </row>
    <row r="405" spans="13:33" x14ac:dyDescent="0.35">
      <c r="M405" s="555">
        <v>42174</v>
      </c>
      <c r="N405" s="543" t="s">
        <v>449</v>
      </c>
      <c r="O405" s="543">
        <v>34526.699999999997</v>
      </c>
      <c r="P405" s="73" t="s">
        <v>431</v>
      </c>
      <c r="Q405" s="158">
        <v>41.72</v>
      </c>
      <c r="R405" s="563">
        <f t="shared" si="22"/>
        <v>-4.2656572056615216E-3</v>
      </c>
      <c r="S405" s="563">
        <f t="shared" si="23"/>
        <v>-2.0887115700539804E-2</v>
      </c>
      <c r="AA405" s="594">
        <v>42172</v>
      </c>
      <c r="AB405" s="595" t="s">
        <v>449</v>
      </c>
      <c r="AC405" s="595">
        <v>34482</v>
      </c>
      <c r="AD405" s="596" t="s">
        <v>395</v>
      </c>
      <c r="AE405" s="595">
        <v>207.75</v>
      </c>
      <c r="AF405" s="597">
        <f t="shared" si="24"/>
        <v>-9.9373339552621953E-4</v>
      </c>
      <c r="AG405" s="597">
        <f t="shared" si="25"/>
        <v>1.8831837575400856E-2</v>
      </c>
    </row>
    <row r="406" spans="13:33" x14ac:dyDescent="0.35">
      <c r="M406" s="526">
        <v>42178</v>
      </c>
      <c r="N406" s="524" t="s">
        <v>449</v>
      </c>
      <c r="O406" s="524">
        <v>34133.839999999997</v>
      </c>
      <c r="P406" s="73" t="s">
        <v>431</v>
      </c>
      <c r="Q406">
        <v>43.34</v>
      </c>
      <c r="R406" s="563">
        <f t="shared" si="22"/>
        <v>-1.1378440453330363E-2</v>
      </c>
      <c r="S406" s="563">
        <f t="shared" si="23"/>
        <v>3.8830297219559107E-2</v>
      </c>
      <c r="AA406" s="594">
        <v>42173</v>
      </c>
      <c r="AB406" s="595" t="s">
        <v>449</v>
      </c>
      <c r="AC406" s="595">
        <v>34674.61</v>
      </c>
      <c r="AD406" s="596" t="s">
        <v>395</v>
      </c>
      <c r="AE406" s="595">
        <v>206.83</v>
      </c>
      <c r="AF406" s="597">
        <f t="shared" si="24"/>
        <v>5.5858128878836233E-3</v>
      </c>
      <c r="AG406" s="597">
        <f t="shared" si="25"/>
        <v>-4.4283995186521485E-3</v>
      </c>
    </row>
    <row r="407" spans="13:33" x14ac:dyDescent="0.35">
      <c r="M407" s="555">
        <v>42179</v>
      </c>
      <c r="N407" s="543" t="s">
        <v>449</v>
      </c>
      <c r="O407" s="543">
        <v>34331.94</v>
      </c>
      <c r="P407" s="73" t="s">
        <v>431</v>
      </c>
      <c r="Q407" s="158">
        <v>44.43</v>
      </c>
      <c r="R407" s="563">
        <f t="shared" si="22"/>
        <v>5.8036247899446725E-3</v>
      </c>
      <c r="S407" s="563">
        <f t="shared" si="23"/>
        <v>2.5149976926626572E-2</v>
      </c>
      <c r="AA407" s="594">
        <v>42174</v>
      </c>
      <c r="AB407" s="595" t="s">
        <v>449</v>
      </c>
      <c r="AC407" s="595">
        <v>34526.699999999997</v>
      </c>
      <c r="AD407" s="596" t="s">
        <v>395</v>
      </c>
      <c r="AE407" s="595">
        <v>207.07</v>
      </c>
      <c r="AF407" s="597">
        <f t="shared" si="24"/>
        <v>-4.2656572056615216E-3</v>
      </c>
      <c r="AG407" s="597">
        <f t="shared" si="25"/>
        <v>1.1603732533964628E-3</v>
      </c>
    </row>
    <row r="408" spans="13:33" x14ac:dyDescent="0.35">
      <c r="M408" s="555">
        <v>42180</v>
      </c>
      <c r="N408" s="543" t="s">
        <v>449</v>
      </c>
      <c r="O408" s="543">
        <v>34077.919999999998</v>
      </c>
      <c r="P408" s="73" t="s">
        <v>431</v>
      </c>
      <c r="Q408" s="158">
        <v>42.39</v>
      </c>
      <c r="R408" s="563">
        <f t="shared" si="22"/>
        <v>-7.3989410444036396E-3</v>
      </c>
      <c r="S408" s="563">
        <f t="shared" si="23"/>
        <v>-4.5914922349763687E-2</v>
      </c>
      <c r="AA408" s="594">
        <v>42178</v>
      </c>
      <c r="AB408" s="595" t="s">
        <v>449</v>
      </c>
      <c r="AC408" s="595">
        <v>34133.839999999997</v>
      </c>
      <c r="AD408" s="596" t="s">
        <v>395</v>
      </c>
      <c r="AE408" s="595">
        <v>203.99</v>
      </c>
      <c r="AF408" s="597">
        <f t="shared" si="24"/>
        <v>-1.1378440453330363E-2</v>
      </c>
      <c r="AG408" s="597">
        <f t="shared" si="25"/>
        <v>-1.4874197131404809E-2</v>
      </c>
    </row>
    <row r="409" spans="13:33" x14ac:dyDescent="0.35">
      <c r="M409" s="555">
        <v>42181</v>
      </c>
      <c r="N409" s="543" t="s">
        <v>449</v>
      </c>
      <c r="O409" s="543">
        <v>33885.129999999997</v>
      </c>
      <c r="P409" s="73" t="s">
        <v>431</v>
      </c>
      <c r="Q409" s="158">
        <v>42.4</v>
      </c>
      <c r="R409" s="563">
        <f t="shared" si="22"/>
        <v>-5.6573288510566311E-3</v>
      </c>
      <c r="S409" s="563">
        <f t="shared" si="23"/>
        <v>2.3590469450329721E-4</v>
      </c>
      <c r="AA409" s="594">
        <v>42179</v>
      </c>
      <c r="AB409" s="595" t="s">
        <v>449</v>
      </c>
      <c r="AC409" s="595">
        <v>34331.94</v>
      </c>
      <c r="AD409" s="596" t="s">
        <v>395</v>
      </c>
      <c r="AE409" s="595">
        <v>201.78</v>
      </c>
      <c r="AF409" s="597">
        <f t="shared" si="24"/>
        <v>5.8036247899446725E-3</v>
      </c>
      <c r="AG409" s="597">
        <f t="shared" si="25"/>
        <v>-1.083386440511791E-2</v>
      </c>
    </row>
    <row r="410" spans="13:33" x14ac:dyDescent="0.35">
      <c r="M410" s="555">
        <v>42184</v>
      </c>
      <c r="N410" s="543" t="s">
        <v>449</v>
      </c>
      <c r="O410" s="543">
        <v>34093.550000000003</v>
      </c>
      <c r="P410" s="73" t="s">
        <v>431</v>
      </c>
      <c r="Q410" s="158">
        <v>42.85</v>
      </c>
      <c r="R410" s="563">
        <f t="shared" ref="R410:R473" si="26">(O410/O409)-1</f>
        <v>6.1507805931393378E-3</v>
      </c>
      <c r="S410" s="563">
        <f t="shared" ref="S410:S473" si="27">(Q410/Q409)-1</f>
        <v>1.0613207547169878E-2</v>
      </c>
      <c r="AA410" s="594">
        <v>42180</v>
      </c>
      <c r="AB410" s="595" t="s">
        <v>449</v>
      </c>
      <c r="AC410" s="595">
        <v>34077.919999999998</v>
      </c>
      <c r="AD410" s="596" t="s">
        <v>395</v>
      </c>
      <c r="AE410" s="595">
        <v>203</v>
      </c>
      <c r="AF410" s="597">
        <f t="shared" si="24"/>
        <v>-7.3989410444036396E-3</v>
      </c>
      <c r="AG410" s="597">
        <f t="shared" si="25"/>
        <v>6.0461889186242956E-3</v>
      </c>
    </row>
    <row r="411" spans="13:33" x14ac:dyDescent="0.35">
      <c r="M411" s="555">
        <v>42185</v>
      </c>
      <c r="N411" s="543" t="s">
        <v>449</v>
      </c>
      <c r="O411" s="543">
        <v>34398.86</v>
      </c>
      <c r="P411" s="73" t="s">
        <v>431</v>
      </c>
      <c r="Q411" s="158">
        <v>44.35</v>
      </c>
      <c r="R411" s="563">
        <f t="shared" si="26"/>
        <v>8.955066280865287E-3</v>
      </c>
      <c r="S411" s="563">
        <f t="shared" si="27"/>
        <v>3.5005834305717576E-2</v>
      </c>
      <c r="AA411" s="594">
        <v>42181</v>
      </c>
      <c r="AB411" s="595" t="s">
        <v>449</v>
      </c>
      <c r="AC411" s="595">
        <v>33885.129999999997</v>
      </c>
      <c r="AD411" s="596" t="s">
        <v>395</v>
      </c>
      <c r="AE411" s="595">
        <v>201.45</v>
      </c>
      <c r="AF411" s="597">
        <f t="shared" si="24"/>
        <v>-5.6573288510566311E-3</v>
      </c>
      <c r="AG411" s="597">
        <f t="shared" si="25"/>
        <v>-7.6354679802955738E-3</v>
      </c>
    </row>
    <row r="412" spans="13:33" x14ac:dyDescent="0.35">
      <c r="M412" s="555">
        <v>42186</v>
      </c>
      <c r="N412" s="543" t="s">
        <v>449</v>
      </c>
      <c r="O412" s="543">
        <v>34843.61</v>
      </c>
      <c r="P412" s="73" t="s">
        <v>431</v>
      </c>
      <c r="Q412" s="158">
        <v>45.22</v>
      </c>
      <c r="R412" s="563">
        <f t="shared" si="26"/>
        <v>1.2929207537691667E-2</v>
      </c>
      <c r="S412" s="563">
        <f t="shared" si="27"/>
        <v>1.9616685456595118E-2</v>
      </c>
      <c r="AA412" s="594">
        <v>42184</v>
      </c>
      <c r="AB412" s="595" t="s">
        <v>449</v>
      </c>
      <c r="AC412" s="595">
        <v>34093.550000000003</v>
      </c>
      <c r="AD412" s="596" t="s">
        <v>395</v>
      </c>
      <c r="AE412" s="595">
        <v>201.45</v>
      </c>
      <c r="AF412" s="597">
        <f t="shared" ref="AF412:AF475" si="28">(AC412/AC411)-1</f>
        <v>6.1507805931393378E-3</v>
      </c>
      <c r="AG412" s="597">
        <f t="shared" ref="AG412:AG475" si="29">(AE412/AE411)-1</f>
        <v>0</v>
      </c>
    </row>
    <row r="413" spans="13:33" x14ac:dyDescent="0.35">
      <c r="M413" s="555">
        <v>42187</v>
      </c>
      <c r="N413" s="543" t="s">
        <v>449</v>
      </c>
      <c r="O413" s="543">
        <v>35186.559999999998</v>
      </c>
      <c r="P413" s="73" t="s">
        <v>431</v>
      </c>
      <c r="Q413" s="158">
        <v>44.58</v>
      </c>
      <c r="R413" s="563">
        <f t="shared" si="26"/>
        <v>9.8425507575132798E-3</v>
      </c>
      <c r="S413" s="563">
        <f t="shared" si="27"/>
        <v>-1.4153029632905767E-2</v>
      </c>
      <c r="AA413" s="594">
        <v>42185</v>
      </c>
      <c r="AB413" s="595" t="s">
        <v>449</v>
      </c>
      <c r="AC413" s="595">
        <v>34398.86</v>
      </c>
      <c r="AD413" s="596" t="s">
        <v>395</v>
      </c>
      <c r="AE413" s="595">
        <v>198.53</v>
      </c>
      <c r="AF413" s="597">
        <f t="shared" si="28"/>
        <v>8.955066280865287E-3</v>
      </c>
      <c r="AG413" s="597">
        <f t="shared" si="29"/>
        <v>-1.4494911888806139E-2</v>
      </c>
    </row>
    <row r="414" spans="13:33" x14ac:dyDescent="0.35">
      <c r="M414" s="555">
        <v>42188</v>
      </c>
      <c r="N414" s="543" t="s">
        <v>449</v>
      </c>
      <c r="O414" s="543">
        <v>35456.35</v>
      </c>
      <c r="P414" s="73" t="s">
        <v>431</v>
      </c>
      <c r="Q414" s="158">
        <v>44.34</v>
      </c>
      <c r="R414" s="563">
        <f t="shared" si="26"/>
        <v>7.6674161952745568E-3</v>
      </c>
      <c r="S414" s="563">
        <f t="shared" si="27"/>
        <v>-5.3835800807535694E-3</v>
      </c>
      <c r="AA414" s="594">
        <v>42186</v>
      </c>
      <c r="AB414" s="595" t="s">
        <v>449</v>
      </c>
      <c r="AC414" s="595">
        <v>34843.61</v>
      </c>
      <c r="AD414" s="596" t="s">
        <v>395</v>
      </c>
      <c r="AE414" s="595">
        <v>202.75</v>
      </c>
      <c r="AF414" s="597">
        <f t="shared" si="28"/>
        <v>1.2929207537691667E-2</v>
      </c>
      <c r="AG414" s="597">
        <f t="shared" si="29"/>
        <v>2.1256233314864259E-2</v>
      </c>
    </row>
    <row r="415" spans="13:33" x14ac:dyDescent="0.35">
      <c r="M415" s="555">
        <v>42191</v>
      </c>
      <c r="N415" s="543" t="s">
        <v>449</v>
      </c>
      <c r="O415" s="543">
        <v>35502.28</v>
      </c>
      <c r="P415" s="73" t="s">
        <v>431</v>
      </c>
      <c r="Q415" s="158">
        <v>43.56</v>
      </c>
      <c r="R415" s="563">
        <f t="shared" si="26"/>
        <v>1.2953956061467764E-3</v>
      </c>
      <c r="S415" s="563">
        <f t="shared" si="27"/>
        <v>-1.7591339648173276E-2</v>
      </c>
      <c r="AA415" s="594">
        <v>42187</v>
      </c>
      <c r="AB415" s="595" t="s">
        <v>449</v>
      </c>
      <c r="AC415" s="595">
        <v>35186.559999999998</v>
      </c>
      <c r="AD415" s="596" t="s">
        <v>395</v>
      </c>
      <c r="AE415" s="595">
        <v>205</v>
      </c>
      <c r="AF415" s="597">
        <f t="shared" si="28"/>
        <v>9.8425507575132798E-3</v>
      </c>
      <c r="AG415" s="597">
        <f t="shared" si="29"/>
        <v>1.1097410604192337E-2</v>
      </c>
    </row>
    <row r="416" spans="13:33" x14ac:dyDescent="0.35">
      <c r="M416" s="555">
        <v>42192</v>
      </c>
      <c r="N416" s="543" t="s">
        <v>449</v>
      </c>
      <c r="O416" s="543">
        <v>35537.69</v>
      </c>
      <c r="P416" s="73" t="s">
        <v>431</v>
      </c>
      <c r="Q416" s="158">
        <v>41.39</v>
      </c>
      <c r="R416" s="563">
        <f t="shared" si="26"/>
        <v>9.9740073031928667E-4</v>
      </c>
      <c r="S416" s="563">
        <f t="shared" si="27"/>
        <v>-4.9816345270890738E-2</v>
      </c>
      <c r="AA416" s="594">
        <v>42188</v>
      </c>
      <c r="AB416" s="595" t="s">
        <v>449</v>
      </c>
      <c r="AC416" s="595">
        <v>35456.35</v>
      </c>
      <c r="AD416" s="596" t="s">
        <v>395</v>
      </c>
      <c r="AE416" s="595">
        <v>202.49</v>
      </c>
      <c r="AF416" s="597">
        <f t="shared" si="28"/>
        <v>7.6674161952745568E-3</v>
      </c>
      <c r="AG416" s="597">
        <f t="shared" si="29"/>
        <v>-1.2243902439024401E-2</v>
      </c>
    </row>
    <row r="417" spans="13:33" x14ac:dyDescent="0.35">
      <c r="M417" s="555">
        <v>42193</v>
      </c>
      <c r="N417" s="543" t="s">
        <v>449</v>
      </c>
      <c r="O417" s="543">
        <v>35328.83</v>
      </c>
      <c r="P417" s="73" t="s">
        <v>431</v>
      </c>
      <c r="Q417" s="158">
        <v>39.32</v>
      </c>
      <c r="R417" s="563">
        <f t="shared" si="26"/>
        <v>-5.877140579480522E-3</v>
      </c>
      <c r="S417" s="563">
        <f t="shared" si="27"/>
        <v>-5.001208021261172E-2</v>
      </c>
      <c r="AA417" s="594">
        <v>42191</v>
      </c>
      <c r="AB417" s="595" t="s">
        <v>449</v>
      </c>
      <c r="AC417" s="595">
        <v>35502.28</v>
      </c>
      <c r="AD417" s="596" t="s">
        <v>395</v>
      </c>
      <c r="AE417" s="595">
        <v>203.8</v>
      </c>
      <c r="AF417" s="597">
        <f t="shared" si="28"/>
        <v>1.2953956061467764E-3</v>
      </c>
      <c r="AG417" s="597">
        <f t="shared" si="29"/>
        <v>6.4694552817423645E-3</v>
      </c>
    </row>
    <row r="418" spans="13:33" x14ac:dyDescent="0.35">
      <c r="M418" s="555">
        <v>42194</v>
      </c>
      <c r="N418" s="543" t="s">
        <v>449</v>
      </c>
      <c r="O418" s="543">
        <v>35147.129999999997</v>
      </c>
      <c r="P418" s="73" t="s">
        <v>431</v>
      </c>
      <c r="Q418" s="158">
        <v>40.97</v>
      </c>
      <c r="R418" s="563">
        <f t="shared" si="26"/>
        <v>-5.143108333901969E-3</v>
      </c>
      <c r="S418" s="563">
        <f t="shared" si="27"/>
        <v>4.1963377416073255E-2</v>
      </c>
      <c r="AA418" s="594">
        <v>42192</v>
      </c>
      <c r="AB418" s="595" t="s">
        <v>449</v>
      </c>
      <c r="AC418" s="595">
        <v>35537.69</v>
      </c>
      <c r="AD418" s="596" t="s">
        <v>395</v>
      </c>
      <c r="AE418" s="595">
        <v>202.68</v>
      </c>
      <c r="AF418" s="597">
        <f t="shared" si="28"/>
        <v>9.9740073031928667E-4</v>
      </c>
      <c r="AG418" s="597">
        <f t="shared" si="29"/>
        <v>-5.4955839057899691E-3</v>
      </c>
    </row>
    <row r="419" spans="13:33" x14ac:dyDescent="0.35">
      <c r="M419" s="555">
        <v>42195</v>
      </c>
      <c r="N419" s="543" t="s">
        <v>449</v>
      </c>
      <c r="O419" s="543">
        <v>35112.29</v>
      </c>
      <c r="P419" s="73" t="s">
        <v>431</v>
      </c>
      <c r="Q419" s="158">
        <v>39.39</v>
      </c>
      <c r="R419" s="563">
        <f t="shared" si="26"/>
        <v>-9.9126159091789123E-4</v>
      </c>
      <c r="S419" s="563">
        <f t="shared" si="27"/>
        <v>-3.8564803514766877E-2</v>
      </c>
      <c r="AA419" s="594">
        <v>42193</v>
      </c>
      <c r="AB419" s="595" t="s">
        <v>449</v>
      </c>
      <c r="AC419" s="595">
        <v>35328.83</v>
      </c>
      <c r="AD419" s="596" t="s">
        <v>395</v>
      </c>
      <c r="AE419" s="595">
        <v>199.27</v>
      </c>
      <c r="AF419" s="597">
        <f t="shared" si="28"/>
        <v>-5.877140579480522E-3</v>
      </c>
      <c r="AG419" s="597">
        <f t="shared" si="29"/>
        <v>-1.6824551016380473E-2</v>
      </c>
    </row>
    <row r="420" spans="13:33" x14ac:dyDescent="0.35">
      <c r="M420" s="526">
        <v>42199</v>
      </c>
      <c r="N420" s="524" t="s">
        <v>449</v>
      </c>
      <c r="O420" s="524">
        <v>35446.89</v>
      </c>
      <c r="P420" s="73" t="s">
        <v>431</v>
      </c>
      <c r="Q420">
        <v>41.31</v>
      </c>
      <c r="R420" s="563">
        <f t="shared" si="26"/>
        <v>9.5294268758887579E-3</v>
      </c>
      <c r="S420" s="563">
        <f t="shared" si="27"/>
        <v>4.8743335872048821E-2</v>
      </c>
      <c r="AA420" s="594">
        <v>42194</v>
      </c>
      <c r="AB420" s="595" t="s">
        <v>449</v>
      </c>
      <c r="AC420" s="595">
        <v>35147.129999999997</v>
      </c>
      <c r="AD420" s="596" t="s">
        <v>395</v>
      </c>
      <c r="AE420" s="595">
        <v>200</v>
      </c>
      <c r="AF420" s="597">
        <f t="shared" si="28"/>
        <v>-5.143108333901969E-3</v>
      </c>
      <c r="AG420" s="597">
        <f t="shared" si="29"/>
        <v>3.6633713052640626E-3</v>
      </c>
    </row>
    <row r="421" spans="13:33" x14ac:dyDescent="0.35">
      <c r="M421" s="555">
        <v>42200</v>
      </c>
      <c r="N421" s="543" t="s">
        <v>449</v>
      </c>
      <c r="O421" s="543">
        <v>35699.75</v>
      </c>
      <c r="P421" s="73" t="s">
        <v>431</v>
      </c>
      <c r="Q421" s="158">
        <v>42.05</v>
      </c>
      <c r="R421" s="563">
        <f t="shared" si="26"/>
        <v>7.1334890028433851E-3</v>
      </c>
      <c r="S421" s="563">
        <f t="shared" si="27"/>
        <v>1.7913338174776028E-2</v>
      </c>
      <c r="AA421" s="594">
        <v>42195</v>
      </c>
      <c r="AB421" s="595" t="s">
        <v>449</v>
      </c>
      <c r="AC421" s="595">
        <v>35112.29</v>
      </c>
      <c r="AD421" s="596" t="s">
        <v>395</v>
      </c>
      <c r="AE421" s="595">
        <v>196</v>
      </c>
      <c r="AF421" s="597">
        <f t="shared" si="28"/>
        <v>-9.9126159091789123E-4</v>
      </c>
      <c r="AG421" s="597">
        <f t="shared" si="29"/>
        <v>-2.0000000000000018E-2</v>
      </c>
    </row>
    <row r="422" spans="13:33" x14ac:dyDescent="0.35">
      <c r="M422" s="555">
        <v>42201</v>
      </c>
      <c r="N422" s="543" t="s">
        <v>449</v>
      </c>
      <c r="O422" s="543">
        <v>35887.660000000003</v>
      </c>
      <c r="P422" s="73" t="s">
        <v>431</v>
      </c>
      <c r="Q422" s="158">
        <v>41.3</v>
      </c>
      <c r="R422" s="563">
        <f t="shared" si="26"/>
        <v>5.2636222942739064E-3</v>
      </c>
      <c r="S422" s="563">
        <f t="shared" si="27"/>
        <v>-1.7835909631391256E-2</v>
      </c>
      <c r="AA422" s="594">
        <v>42199</v>
      </c>
      <c r="AB422" s="595" t="s">
        <v>449</v>
      </c>
      <c r="AC422" s="595">
        <v>35446.89</v>
      </c>
      <c r="AD422" s="596" t="s">
        <v>395</v>
      </c>
      <c r="AE422" s="595">
        <v>200</v>
      </c>
      <c r="AF422" s="597">
        <f t="shared" si="28"/>
        <v>9.5294268758887579E-3</v>
      </c>
      <c r="AG422" s="597">
        <f t="shared" si="29"/>
        <v>2.0408163265306145E-2</v>
      </c>
    </row>
    <row r="423" spans="13:33" x14ac:dyDescent="0.35">
      <c r="M423" s="555">
        <v>42207</v>
      </c>
      <c r="N423" s="543" t="s">
        <v>449</v>
      </c>
      <c r="O423" s="543">
        <v>36056.68</v>
      </c>
      <c r="P423" s="73" t="s">
        <v>431</v>
      </c>
      <c r="Q423" s="158">
        <v>41.98</v>
      </c>
      <c r="R423" s="563">
        <f t="shared" si="26"/>
        <v>4.7096968707349696E-3</v>
      </c>
      <c r="S423" s="563">
        <f t="shared" si="27"/>
        <v>1.6464891041162222E-2</v>
      </c>
      <c r="AA423" s="594">
        <v>42200</v>
      </c>
      <c r="AB423" s="595" t="s">
        <v>449</v>
      </c>
      <c r="AC423" s="595">
        <v>35699.75</v>
      </c>
      <c r="AD423" s="596" t="s">
        <v>395</v>
      </c>
      <c r="AE423" s="595">
        <v>201.86</v>
      </c>
      <c r="AF423" s="597">
        <f t="shared" si="28"/>
        <v>7.1334890028433851E-3</v>
      </c>
      <c r="AG423" s="597">
        <f t="shared" si="29"/>
        <v>9.300000000000086E-3</v>
      </c>
    </row>
    <row r="424" spans="13:33" x14ac:dyDescent="0.35">
      <c r="M424" s="555">
        <v>42208</v>
      </c>
      <c r="N424" s="543" t="s">
        <v>449</v>
      </c>
      <c r="O424" s="543">
        <v>35934.99</v>
      </c>
      <c r="P424" s="73" t="s">
        <v>431</v>
      </c>
      <c r="Q424" s="158">
        <v>41.81</v>
      </c>
      <c r="R424" s="563">
        <f t="shared" si="26"/>
        <v>-3.3749640843250273E-3</v>
      </c>
      <c r="S424" s="563">
        <f t="shared" si="27"/>
        <v>-4.0495474035253665E-3</v>
      </c>
      <c r="AA424" s="594">
        <v>42201</v>
      </c>
      <c r="AB424" s="595" t="s">
        <v>449</v>
      </c>
      <c r="AC424" s="595">
        <v>35887.660000000003</v>
      </c>
      <c r="AD424" s="596" t="s">
        <v>395</v>
      </c>
      <c r="AE424" s="595">
        <v>200</v>
      </c>
      <c r="AF424" s="597">
        <f t="shared" si="28"/>
        <v>5.2636222942739064E-3</v>
      </c>
      <c r="AG424" s="597">
        <f t="shared" si="29"/>
        <v>-9.214306945407813E-3</v>
      </c>
    </row>
    <row r="425" spans="13:33" x14ac:dyDescent="0.35">
      <c r="M425" s="555">
        <v>42209</v>
      </c>
      <c r="N425" s="543" t="s">
        <v>449</v>
      </c>
      <c r="O425" s="543">
        <v>35815.199999999997</v>
      </c>
      <c r="P425" s="73" t="s">
        <v>431</v>
      </c>
      <c r="Q425" s="158">
        <v>43.05</v>
      </c>
      <c r="R425" s="563">
        <f t="shared" si="26"/>
        <v>-3.3335197811381612E-3</v>
      </c>
      <c r="S425" s="563">
        <f t="shared" si="27"/>
        <v>2.9657976560631294E-2</v>
      </c>
      <c r="AA425" s="594">
        <v>42207</v>
      </c>
      <c r="AB425" s="595" t="s">
        <v>449</v>
      </c>
      <c r="AC425" s="595">
        <v>36056.68</v>
      </c>
      <c r="AD425" s="596" t="s">
        <v>395</v>
      </c>
      <c r="AE425" s="595">
        <v>204.77</v>
      </c>
      <c r="AF425" s="597">
        <f t="shared" si="28"/>
        <v>4.7096968707349696E-3</v>
      </c>
      <c r="AG425" s="597">
        <f t="shared" si="29"/>
        <v>2.3850000000000149E-2</v>
      </c>
    </row>
    <row r="426" spans="13:33" x14ac:dyDescent="0.35">
      <c r="M426" s="555">
        <v>42212</v>
      </c>
      <c r="N426" s="543" t="s">
        <v>449</v>
      </c>
      <c r="O426" s="543">
        <v>35175.49</v>
      </c>
      <c r="P426" s="73" t="s">
        <v>431</v>
      </c>
      <c r="Q426" s="158">
        <v>41.56</v>
      </c>
      <c r="R426" s="563">
        <f t="shared" si="26"/>
        <v>-1.7861410797650135E-2</v>
      </c>
      <c r="S426" s="563">
        <f t="shared" si="27"/>
        <v>-3.4610917537746699E-2</v>
      </c>
      <c r="AA426" s="594">
        <v>42208</v>
      </c>
      <c r="AB426" s="595" t="s">
        <v>449</v>
      </c>
      <c r="AC426" s="595">
        <v>35934.99</v>
      </c>
      <c r="AD426" s="596" t="s">
        <v>395</v>
      </c>
      <c r="AE426" s="595">
        <v>203</v>
      </c>
      <c r="AF426" s="597">
        <f t="shared" si="28"/>
        <v>-3.3749640843250273E-3</v>
      </c>
      <c r="AG426" s="597">
        <f t="shared" si="29"/>
        <v>-8.6438443131318099E-3</v>
      </c>
    </row>
    <row r="427" spans="13:33" x14ac:dyDescent="0.35">
      <c r="M427" s="555">
        <v>42213</v>
      </c>
      <c r="N427" s="543" t="s">
        <v>449</v>
      </c>
      <c r="O427" s="543">
        <v>35274.660000000003</v>
      </c>
      <c r="P427" s="73" t="s">
        <v>431</v>
      </c>
      <c r="Q427" s="158">
        <v>42.12</v>
      </c>
      <c r="R427" s="563">
        <f t="shared" si="26"/>
        <v>2.8192926381411798E-3</v>
      </c>
      <c r="S427" s="563">
        <f t="shared" si="27"/>
        <v>1.3474494706448459E-2</v>
      </c>
      <c r="AA427" s="594">
        <v>42209</v>
      </c>
      <c r="AB427" s="595" t="s">
        <v>449</v>
      </c>
      <c r="AC427" s="595">
        <v>35815.199999999997</v>
      </c>
      <c r="AD427" s="596" t="s">
        <v>395</v>
      </c>
      <c r="AE427" s="595">
        <v>200.89</v>
      </c>
      <c r="AF427" s="597">
        <f t="shared" si="28"/>
        <v>-3.3335197811381612E-3</v>
      </c>
      <c r="AG427" s="597">
        <f t="shared" si="29"/>
        <v>-1.0394088669950841E-2</v>
      </c>
    </row>
    <row r="428" spans="13:33" x14ac:dyDescent="0.35">
      <c r="M428" s="555">
        <v>42214</v>
      </c>
      <c r="N428" s="543" t="s">
        <v>449</v>
      </c>
      <c r="O428" s="543">
        <v>35676.5</v>
      </c>
      <c r="P428" s="73" t="s">
        <v>431</v>
      </c>
      <c r="Q428" s="158">
        <v>42.25</v>
      </c>
      <c r="R428" s="563">
        <f t="shared" si="26"/>
        <v>1.1391746936752822E-2</v>
      </c>
      <c r="S428" s="563">
        <f t="shared" si="27"/>
        <v>3.0864197530864335E-3</v>
      </c>
      <c r="AA428" s="594">
        <v>42212</v>
      </c>
      <c r="AB428" s="595" t="s">
        <v>449</v>
      </c>
      <c r="AC428" s="595">
        <v>35175.49</v>
      </c>
      <c r="AD428" s="596" t="s">
        <v>395</v>
      </c>
      <c r="AE428" s="595">
        <v>196.43</v>
      </c>
      <c r="AF428" s="597">
        <f t="shared" si="28"/>
        <v>-1.7861410797650135E-2</v>
      </c>
      <c r="AG428" s="597">
        <f t="shared" si="29"/>
        <v>-2.2201204639354821E-2</v>
      </c>
    </row>
    <row r="429" spans="13:33" x14ac:dyDescent="0.35">
      <c r="M429" s="555">
        <v>42215</v>
      </c>
      <c r="N429" s="543" t="s">
        <v>449</v>
      </c>
      <c r="O429" s="543">
        <v>35730.01</v>
      </c>
      <c r="P429" s="73" t="s">
        <v>431</v>
      </c>
      <c r="Q429" s="158">
        <v>42.24</v>
      </c>
      <c r="R429" s="563">
        <f t="shared" si="26"/>
        <v>1.4998668591370556E-3</v>
      </c>
      <c r="S429" s="563">
        <f t="shared" si="27"/>
        <v>-2.3668639053253671E-4</v>
      </c>
      <c r="AA429" s="594">
        <v>42213</v>
      </c>
      <c r="AB429" s="595" t="s">
        <v>449</v>
      </c>
      <c r="AC429" s="595">
        <v>35274.660000000003</v>
      </c>
      <c r="AD429" s="596" t="s">
        <v>395</v>
      </c>
      <c r="AE429" s="595">
        <v>201.5</v>
      </c>
      <c r="AF429" s="597">
        <f t="shared" si="28"/>
        <v>2.8192926381411798E-3</v>
      </c>
      <c r="AG429" s="597">
        <f t="shared" si="29"/>
        <v>2.5810721376571699E-2</v>
      </c>
    </row>
    <row r="430" spans="13:33" x14ac:dyDescent="0.35">
      <c r="M430" s="555">
        <v>42216</v>
      </c>
      <c r="N430" s="543" t="s">
        <v>449</v>
      </c>
      <c r="O430" s="543">
        <v>35741.519999999997</v>
      </c>
      <c r="P430" s="73" t="s">
        <v>431</v>
      </c>
      <c r="Q430" s="158">
        <v>42.23</v>
      </c>
      <c r="R430" s="563">
        <f t="shared" si="26"/>
        <v>3.2213816900683589E-4</v>
      </c>
      <c r="S430" s="563">
        <f t="shared" si="27"/>
        <v>-2.3674242424254199E-4</v>
      </c>
      <c r="AA430" s="594">
        <v>42214</v>
      </c>
      <c r="AB430" s="595" t="s">
        <v>449</v>
      </c>
      <c r="AC430" s="595">
        <v>35676.5</v>
      </c>
      <c r="AD430" s="596" t="s">
        <v>395</v>
      </c>
      <c r="AE430" s="595">
        <v>204</v>
      </c>
      <c r="AF430" s="597">
        <f t="shared" si="28"/>
        <v>1.1391746936752822E-2</v>
      </c>
      <c r="AG430" s="597">
        <f t="shared" si="29"/>
        <v>1.2406947890818865E-2</v>
      </c>
    </row>
    <row r="431" spans="13:33" x14ac:dyDescent="0.35">
      <c r="M431" s="555">
        <v>42219</v>
      </c>
      <c r="N431" s="543" t="s">
        <v>449</v>
      </c>
      <c r="O431" s="543">
        <v>35824.559999999998</v>
      </c>
      <c r="P431" s="73" t="s">
        <v>431</v>
      </c>
      <c r="Q431" s="158">
        <v>41.82</v>
      </c>
      <c r="R431" s="563">
        <f t="shared" si="26"/>
        <v>2.3233483075146832E-3</v>
      </c>
      <c r="S431" s="563">
        <f t="shared" si="27"/>
        <v>-9.7087378640775546E-3</v>
      </c>
      <c r="AA431" s="594">
        <v>42215</v>
      </c>
      <c r="AB431" s="595" t="s">
        <v>449</v>
      </c>
      <c r="AC431" s="595">
        <v>35730.01</v>
      </c>
      <c r="AD431" s="596" t="s">
        <v>395</v>
      </c>
      <c r="AE431" s="595">
        <v>206.28</v>
      </c>
      <c r="AF431" s="597">
        <f t="shared" si="28"/>
        <v>1.4998668591370556E-3</v>
      </c>
      <c r="AG431" s="597">
        <f t="shared" si="29"/>
        <v>1.1176470588235343E-2</v>
      </c>
    </row>
    <row r="432" spans="13:33" x14ac:dyDescent="0.35">
      <c r="M432" s="555">
        <v>42220</v>
      </c>
      <c r="N432" s="543" t="s">
        <v>449</v>
      </c>
      <c r="O432" s="543">
        <v>35921.71</v>
      </c>
      <c r="P432" s="73" t="s">
        <v>431</v>
      </c>
      <c r="Q432" s="158">
        <v>40.58</v>
      </c>
      <c r="R432" s="563">
        <f t="shared" si="26"/>
        <v>2.7118267467904911E-3</v>
      </c>
      <c r="S432" s="563">
        <f t="shared" si="27"/>
        <v>-2.965088474414157E-2</v>
      </c>
      <c r="AA432" s="594">
        <v>42216</v>
      </c>
      <c r="AB432" s="595" t="s">
        <v>449</v>
      </c>
      <c r="AC432" s="595">
        <v>35741.519999999997</v>
      </c>
      <c r="AD432" s="596" t="s">
        <v>395</v>
      </c>
      <c r="AE432" s="595">
        <v>205.13</v>
      </c>
      <c r="AF432" s="597">
        <f t="shared" si="28"/>
        <v>3.2213816900683589E-4</v>
      </c>
      <c r="AG432" s="597">
        <f t="shared" si="29"/>
        <v>-5.5749466744231535E-3</v>
      </c>
    </row>
    <row r="433" spans="13:33" x14ac:dyDescent="0.35">
      <c r="M433" s="555">
        <v>42221</v>
      </c>
      <c r="N433" s="543" t="s">
        <v>449</v>
      </c>
      <c r="O433" s="543">
        <v>36156.83</v>
      </c>
      <c r="P433" s="73" t="s">
        <v>431</v>
      </c>
      <c r="Q433" s="158">
        <v>41.05</v>
      </c>
      <c r="R433" s="563">
        <f t="shared" si="26"/>
        <v>6.5453454192465621E-3</v>
      </c>
      <c r="S433" s="563">
        <f t="shared" si="27"/>
        <v>1.1582060128142002E-2</v>
      </c>
      <c r="AA433" s="594">
        <v>42219</v>
      </c>
      <c r="AB433" s="595" t="s">
        <v>449</v>
      </c>
      <c r="AC433" s="595">
        <v>35824.559999999998</v>
      </c>
      <c r="AD433" s="596" t="s">
        <v>395</v>
      </c>
      <c r="AE433" s="595">
        <v>202.98</v>
      </c>
      <c r="AF433" s="597">
        <f t="shared" si="28"/>
        <v>2.3233483075146832E-3</v>
      </c>
      <c r="AG433" s="597">
        <f t="shared" si="29"/>
        <v>-1.0481158289864956E-2</v>
      </c>
    </row>
    <row r="434" spans="13:33" x14ac:dyDescent="0.35">
      <c r="M434" s="555">
        <v>42222</v>
      </c>
      <c r="N434" s="543" t="s">
        <v>449</v>
      </c>
      <c r="O434" s="543">
        <v>36228.879999999997</v>
      </c>
      <c r="P434" s="73" t="s">
        <v>431</v>
      </c>
      <c r="Q434" s="158">
        <v>40.549999999999997</v>
      </c>
      <c r="R434" s="563">
        <f t="shared" si="26"/>
        <v>1.9927078784283125E-3</v>
      </c>
      <c r="S434" s="563">
        <f t="shared" si="27"/>
        <v>-1.218026796589522E-2</v>
      </c>
      <c r="AA434" s="594">
        <v>42220</v>
      </c>
      <c r="AB434" s="595" t="s">
        <v>449</v>
      </c>
      <c r="AC434" s="595">
        <v>35921.71</v>
      </c>
      <c r="AD434" s="596" t="s">
        <v>395</v>
      </c>
      <c r="AE434" s="595">
        <v>206.32</v>
      </c>
      <c r="AF434" s="597">
        <f t="shared" si="28"/>
        <v>2.7118267467904911E-3</v>
      </c>
      <c r="AG434" s="597">
        <f t="shared" si="29"/>
        <v>1.6454823135284347E-2</v>
      </c>
    </row>
    <row r="435" spans="13:33" x14ac:dyDescent="0.35">
      <c r="M435" s="555">
        <v>42223</v>
      </c>
      <c r="N435" s="543" t="s">
        <v>449</v>
      </c>
      <c r="O435" s="543">
        <v>36222.629999999997</v>
      </c>
      <c r="P435" s="73" t="s">
        <v>431</v>
      </c>
      <c r="Q435" s="158">
        <v>40.65</v>
      </c>
      <c r="R435" s="563">
        <f t="shared" si="26"/>
        <v>-1.7251430350595509E-4</v>
      </c>
      <c r="S435" s="563">
        <f t="shared" si="27"/>
        <v>2.4660912453762229E-3</v>
      </c>
      <c r="AA435" s="594">
        <v>42221</v>
      </c>
      <c r="AB435" s="595" t="s">
        <v>449</v>
      </c>
      <c r="AC435" s="595">
        <v>36156.83</v>
      </c>
      <c r="AD435" s="596" t="s">
        <v>395</v>
      </c>
      <c r="AE435" s="595">
        <v>209.5</v>
      </c>
      <c r="AF435" s="597">
        <f t="shared" si="28"/>
        <v>6.5453454192465621E-3</v>
      </c>
      <c r="AG435" s="597">
        <f t="shared" si="29"/>
        <v>1.5412950756107158E-2</v>
      </c>
    </row>
    <row r="436" spans="13:33" x14ac:dyDescent="0.35">
      <c r="M436" s="555">
        <v>42226</v>
      </c>
      <c r="N436" s="543" t="s">
        <v>449</v>
      </c>
      <c r="O436" s="543">
        <v>36084.67</v>
      </c>
      <c r="P436" s="73" t="s">
        <v>431</v>
      </c>
      <c r="Q436" s="158">
        <v>39.71</v>
      </c>
      <c r="R436" s="563">
        <f t="shared" si="26"/>
        <v>-3.8086687797103114E-3</v>
      </c>
      <c r="S436" s="563">
        <f t="shared" si="27"/>
        <v>-2.3124231242312332E-2</v>
      </c>
      <c r="AA436" s="594">
        <v>42222</v>
      </c>
      <c r="AB436" s="595" t="s">
        <v>449</v>
      </c>
      <c r="AC436" s="595">
        <v>36228.879999999997</v>
      </c>
      <c r="AD436" s="596" t="s">
        <v>395</v>
      </c>
      <c r="AE436" s="595">
        <v>206.5</v>
      </c>
      <c r="AF436" s="597">
        <f t="shared" si="28"/>
        <v>1.9927078784283125E-3</v>
      </c>
      <c r="AG436" s="597">
        <f t="shared" si="29"/>
        <v>-1.4319809069212375E-2</v>
      </c>
    </row>
    <row r="437" spans="13:33" x14ac:dyDescent="0.35">
      <c r="M437" s="555">
        <v>42227</v>
      </c>
      <c r="N437" s="543" t="s">
        <v>449</v>
      </c>
      <c r="O437" s="543">
        <v>36205.94</v>
      </c>
      <c r="P437" s="73" t="s">
        <v>431</v>
      </c>
      <c r="Q437" s="158">
        <v>40.49</v>
      </c>
      <c r="R437" s="563">
        <f t="shared" si="26"/>
        <v>3.360706915152667E-3</v>
      </c>
      <c r="S437" s="563">
        <f t="shared" si="27"/>
        <v>1.9642407454041777E-2</v>
      </c>
      <c r="AA437" s="594">
        <v>42223</v>
      </c>
      <c r="AB437" s="595" t="s">
        <v>449</v>
      </c>
      <c r="AC437" s="595">
        <v>36222.629999999997</v>
      </c>
      <c r="AD437" s="596" t="s">
        <v>395</v>
      </c>
      <c r="AE437" s="595">
        <v>206.5</v>
      </c>
      <c r="AF437" s="597">
        <f t="shared" si="28"/>
        <v>-1.7251430350595509E-4</v>
      </c>
      <c r="AG437" s="597">
        <f t="shared" si="29"/>
        <v>0</v>
      </c>
    </row>
    <row r="438" spans="13:33" x14ac:dyDescent="0.35">
      <c r="M438" s="555">
        <v>42228</v>
      </c>
      <c r="N438" s="543" t="s">
        <v>449</v>
      </c>
      <c r="O438" s="543">
        <v>35892.769999999997</v>
      </c>
      <c r="P438" s="73" t="s">
        <v>431</v>
      </c>
      <c r="Q438" s="158">
        <v>39.79</v>
      </c>
      <c r="R438" s="563">
        <f t="shared" si="26"/>
        <v>-8.6496856593145655E-3</v>
      </c>
      <c r="S438" s="563">
        <f t="shared" si="27"/>
        <v>-1.7288219313410735E-2</v>
      </c>
      <c r="AA438" s="594">
        <v>42226</v>
      </c>
      <c r="AB438" s="595" t="s">
        <v>449</v>
      </c>
      <c r="AC438" s="595">
        <v>36084.67</v>
      </c>
      <c r="AD438" s="596" t="s">
        <v>395</v>
      </c>
      <c r="AE438" s="595">
        <v>215.58</v>
      </c>
      <c r="AF438" s="597">
        <f t="shared" si="28"/>
        <v>-3.8086687797103114E-3</v>
      </c>
      <c r="AG438" s="597">
        <f t="shared" si="29"/>
        <v>4.3970944309927429E-2</v>
      </c>
    </row>
    <row r="439" spans="13:33" x14ac:dyDescent="0.35">
      <c r="M439" s="555">
        <v>42229</v>
      </c>
      <c r="N439" s="543" t="s">
        <v>449</v>
      </c>
      <c r="O439" s="543">
        <v>35937.33</v>
      </c>
      <c r="P439" s="73" t="s">
        <v>431</v>
      </c>
      <c r="Q439" s="158">
        <v>39.340000000000003</v>
      </c>
      <c r="R439" s="563">
        <f t="shared" si="26"/>
        <v>1.2414756509460112E-3</v>
      </c>
      <c r="S439" s="563">
        <f t="shared" si="27"/>
        <v>-1.1309374214626633E-2</v>
      </c>
      <c r="AA439" s="594">
        <v>42227</v>
      </c>
      <c r="AB439" s="595" t="s">
        <v>449</v>
      </c>
      <c r="AC439" s="595">
        <v>36205.94</v>
      </c>
      <c r="AD439" s="596" t="s">
        <v>395</v>
      </c>
      <c r="AE439" s="595">
        <v>226.35</v>
      </c>
      <c r="AF439" s="597">
        <f t="shared" si="28"/>
        <v>3.360706915152667E-3</v>
      </c>
      <c r="AG439" s="597">
        <f t="shared" si="29"/>
        <v>4.9958252156971694E-2</v>
      </c>
    </row>
    <row r="440" spans="13:33" x14ac:dyDescent="0.35">
      <c r="M440" s="555">
        <v>42233</v>
      </c>
      <c r="N440" s="543" t="s">
        <v>449</v>
      </c>
      <c r="O440" s="543">
        <v>35588.050000000003</v>
      </c>
      <c r="P440" s="73" t="s">
        <v>431</v>
      </c>
      <c r="Q440" s="158">
        <v>38.24</v>
      </c>
      <c r="R440" s="563">
        <f t="shared" si="26"/>
        <v>-9.7191416279395204E-3</v>
      </c>
      <c r="S440" s="563">
        <f t="shared" si="27"/>
        <v>-2.7961362480935503E-2</v>
      </c>
      <c r="AA440" s="594">
        <v>42228</v>
      </c>
      <c r="AB440" s="595" t="s">
        <v>449</v>
      </c>
      <c r="AC440" s="595">
        <v>35892.769999999997</v>
      </c>
      <c r="AD440" s="596" t="s">
        <v>395</v>
      </c>
      <c r="AE440" s="595">
        <v>236.26</v>
      </c>
      <c r="AF440" s="597">
        <f t="shared" si="28"/>
        <v>-8.6496856593145655E-3</v>
      </c>
      <c r="AG440" s="597">
        <f t="shared" si="29"/>
        <v>4.3781753920918876E-2</v>
      </c>
    </row>
    <row r="441" spans="13:33" x14ac:dyDescent="0.35">
      <c r="M441" s="555">
        <v>42234</v>
      </c>
      <c r="N441" s="543" t="s">
        <v>449</v>
      </c>
      <c r="O441" s="543">
        <v>35546.03</v>
      </c>
      <c r="P441" s="73" t="s">
        <v>431</v>
      </c>
      <c r="Q441" s="158">
        <v>37.520000000000003</v>
      </c>
      <c r="R441" s="563">
        <f t="shared" si="26"/>
        <v>-1.180733420347635E-3</v>
      </c>
      <c r="S441" s="563">
        <f t="shared" si="27"/>
        <v>-1.882845188284521E-2</v>
      </c>
      <c r="AA441" s="594">
        <v>42229</v>
      </c>
      <c r="AB441" s="595" t="s">
        <v>449</v>
      </c>
      <c r="AC441" s="595">
        <v>35937.33</v>
      </c>
      <c r="AD441" s="596" t="s">
        <v>395</v>
      </c>
      <c r="AE441" s="595">
        <v>235.98</v>
      </c>
      <c r="AF441" s="597">
        <f t="shared" si="28"/>
        <v>1.2414756509460112E-3</v>
      </c>
      <c r="AG441" s="597">
        <f t="shared" si="29"/>
        <v>-1.1851350207399136E-3</v>
      </c>
    </row>
    <row r="442" spans="13:33" x14ac:dyDescent="0.35">
      <c r="M442" s="555">
        <v>42235</v>
      </c>
      <c r="N442" s="543" t="s">
        <v>449</v>
      </c>
      <c r="O442" s="543">
        <v>35461.58</v>
      </c>
      <c r="P442" s="73" t="s">
        <v>431</v>
      </c>
      <c r="Q442" s="158">
        <v>36.54</v>
      </c>
      <c r="R442" s="563">
        <f t="shared" si="26"/>
        <v>-2.3757927397235479E-3</v>
      </c>
      <c r="S442" s="563">
        <f t="shared" si="27"/>
        <v>-2.6119402985074758E-2</v>
      </c>
      <c r="AA442" s="594">
        <v>42233</v>
      </c>
      <c r="AB442" s="595" t="s">
        <v>449</v>
      </c>
      <c r="AC442" s="595">
        <v>35588.050000000003</v>
      </c>
      <c r="AD442" s="596" t="s">
        <v>395</v>
      </c>
      <c r="AE442" s="595">
        <v>237</v>
      </c>
      <c r="AF442" s="597">
        <f t="shared" si="28"/>
        <v>-9.7191416279395204E-3</v>
      </c>
      <c r="AG442" s="597">
        <f t="shared" si="29"/>
        <v>4.3224002034070175E-3</v>
      </c>
    </row>
    <row r="443" spans="13:33" x14ac:dyDescent="0.35">
      <c r="M443" s="555">
        <v>42236</v>
      </c>
      <c r="N443" s="543" t="s">
        <v>449</v>
      </c>
      <c r="O443" s="543">
        <v>35219.589999999997</v>
      </c>
      <c r="P443" s="73" t="s">
        <v>431</v>
      </c>
      <c r="Q443" s="158">
        <v>35.24</v>
      </c>
      <c r="R443" s="563">
        <f t="shared" si="26"/>
        <v>-6.8240050217730497E-3</v>
      </c>
      <c r="S443" s="563">
        <f t="shared" si="27"/>
        <v>-3.5577449370552738E-2</v>
      </c>
      <c r="AA443" s="594">
        <v>42234</v>
      </c>
      <c r="AB443" s="595" t="s">
        <v>449</v>
      </c>
      <c r="AC443" s="595">
        <v>35546.03</v>
      </c>
      <c r="AD443" s="596" t="s">
        <v>395</v>
      </c>
      <c r="AE443" s="595">
        <v>237</v>
      </c>
      <c r="AF443" s="597">
        <f t="shared" si="28"/>
        <v>-1.180733420347635E-3</v>
      </c>
      <c r="AG443" s="597">
        <f t="shared" si="29"/>
        <v>0</v>
      </c>
    </row>
    <row r="444" spans="13:33" x14ac:dyDescent="0.35">
      <c r="M444" s="555">
        <v>42237</v>
      </c>
      <c r="N444" s="543" t="s">
        <v>449</v>
      </c>
      <c r="O444" s="543">
        <v>34519.769999999997</v>
      </c>
      <c r="P444" s="73" t="s">
        <v>431</v>
      </c>
      <c r="Q444" s="158">
        <v>33.799999999999997</v>
      </c>
      <c r="R444" s="563">
        <f t="shared" si="26"/>
        <v>-1.9870191561003447E-2</v>
      </c>
      <c r="S444" s="563">
        <f t="shared" si="27"/>
        <v>-4.0862656072644832E-2</v>
      </c>
      <c r="AA444" s="594">
        <v>42235</v>
      </c>
      <c r="AB444" s="595" t="s">
        <v>449</v>
      </c>
      <c r="AC444" s="595">
        <v>35461.58</v>
      </c>
      <c r="AD444" s="596" t="s">
        <v>395</v>
      </c>
      <c r="AE444" s="595">
        <v>240</v>
      </c>
      <c r="AF444" s="597">
        <f t="shared" si="28"/>
        <v>-2.3757927397235479E-3</v>
      </c>
      <c r="AG444" s="597">
        <f t="shared" si="29"/>
        <v>1.2658227848101333E-2</v>
      </c>
    </row>
    <row r="445" spans="13:33" x14ac:dyDescent="0.35">
      <c r="M445" s="555">
        <v>42240</v>
      </c>
      <c r="N445" s="543" t="s">
        <v>449</v>
      </c>
      <c r="O445" s="543">
        <v>33100.339999999997</v>
      </c>
      <c r="P445" s="73" t="s">
        <v>431</v>
      </c>
      <c r="Q445" s="158">
        <v>32.11</v>
      </c>
      <c r="R445" s="563">
        <f t="shared" si="26"/>
        <v>-4.1119335383752564E-2</v>
      </c>
      <c r="S445" s="563">
        <f t="shared" si="27"/>
        <v>-4.9999999999999933E-2</v>
      </c>
      <c r="AA445" s="589">
        <v>42236</v>
      </c>
      <c r="AB445" s="590" t="s">
        <v>449</v>
      </c>
      <c r="AC445" s="590">
        <v>35219.589999999997</v>
      </c>
      <c r="AD445" s="591" t="s">
        <v>395</v>
      </c>
      <c r="AE445" s="590">
        <v>242</v>
      </c>
      <c r="AF445" s="592">
        <f t="shared" si="28"/>
        <v>-6.8240050217730497E-3</v>
      </c>
      <c r="AG445" s="592">
        <f t="shared" si="29"/>
        <v>8.3333333333333037E-3</v>
      </c>
    </row>
    <row r="446" spans="13:33" x14ac:dyDescent="0.35">
      <c r="M446" s="555">
        <v>42241</v>
      </c>
      <c r="N446" s="543" t="s">
        <v>449</v>
      </c>
      <c r="O446" s="543">
        <v>33798.800000000003</v>
      </c>
      <c r="P446" s="73" t="s">
        <v>431</v>
      </c>
      <c r="Q446" s="158">
        <v>32.619999999999997</v>
      </c>
      <c r="R446" s="563">
        <f t="shared" si="26"/>
        <v>2.1101293823568179E-2</v>
      </c>
      <c r="S446" s="563">
        <f t="shared" si="27"/>
        <v>1.5882902522578624E-2</v>
      </c>
      <c r="AA446" s="589">
        <v>42237</v>
      </c>
      <c r="AB446" s="590" t="s">
        <v>449</v>
      </c>
      <c r="AC446" s="590">
        <v>34519.769999999997</v>
      </c>
      <c r="AD446" s="591" t="s">
        <v>395</v>
      </c>
      <c r="AE446" s="590">
        <v>236.16</v>
      </c>
      <c r="AF446" s="592">
        <f t="shared" si="28"/>
        <v>-1.9870191561003447E-2</v>
      </c>
      <c r="AG446" s="592">
        <f t="shared" si="29"/>
        <v>-2.4132231404958682E-2</v>
      </c>
    </row>
    <row r="447" spans="13:33" x14ac:dyDescent="0.35">
      <c r="M447" s="555">
        <v>42242</v>
      </c>
      <c r="N447" s="543" t="s">
        <v>449</v>
      </c>
      <c r="O447" s="543">
        <v>33537.42</v>
      </c>
      <c r="P447" s="73" t="s">
        <v>431</v>
      </c>
      <c r="Q447" s="158">
        <v>32.409999999999997</v>
      </c>
      <c r="R447" s="563">
        <f t="shared" si="26"/>
        <v>-7.7334106536327551E-3</v>
      </c>
      <c r="S447" s="563">
        <f t="shared" si="27"/>
        <v>-6.4377682403433667E-3</v>
      </c>
      <c r="AA447" s="594">
        <v>42240</v>
      </c>
      <c r="AB447" s="595" t="s">
        <v>449</v>
      </c>
      <c r="AC447" s="595">
        <v>33100.339999999997</v>
      </c>
      <c r="AD447" s="596" t="s">
        <v>395</v>
      </c>
      <c r="AE447" s="595">
        <v>224.36</v>
      </c>
      <c r="AF447" s="597">
        <f t="shared" si="28"/>
        <v>-4.1119335383752564E-2</v>
      </c>
      <c r="AG447" s="597">
        <f t="shared" si="29"/>
        <v>-4.9966124661246503E-2</v>
      </c>
    </row>
    <row r="448" spans="13:33" x14ac:dyDescent="0.35">
      <c r="M448" s="555">
        <v>42243</v>
      </c>
      <c r="N448" s="543" t="s">
        <v>449</v>
      </c>
      <c r="O448" s="543">
        <v>33961.29</v>
      </c>
      <c r="P448" s="73" t="s">
        <v>431</v>
      </c>
      <c r="Q448" s="158">
        <v>33.49</v>
      </c>
      <c r="R448" s="563">
        <f t="shared" si="26"/>
        <v>1.2638718184046382E-2</v>
      </c>
      <c r="S448" s="563">
        <f t="shared" si="27"/>
        <v>3.3323048441839198E-2</v>
      </c>
      <c r="AA448" s="594">
        <v>42241</v>
      </c>
      <c r="AB448" s="595" t="s">
        <v>449</v>
      </c>
      <c r="AC448" s="595">
        <v>33798.800000000003</v>
      </c>
      <c r="AD448" s="596" t="s">
        <v>395</v>
      </c>
      <c r="AE448" s="595">
        <v>231.1</v>
      </c>
      <c r="AF448" s="597">
        <f t="shared" si="28"/>
        <v>2.1101293823568179E-2</v>
      </c>
      <c r="AG448" s="597">
        <f t="shared" si="29"/>
        <v>3.0041005526831865E-2</v>
      </c>
    </row>
    <row r="449" spans="13:33" x14ac:dyDescent="0.35">
      <c r="M449" s="555">
        <v>42244</v>
      </c>
      <c r="N449" s="543" t="s">
        <v>449</v>
      </c>
      <c r="O449" s="543">
        <v>34447.47</v>
      </c>
      <c r="P449" s="73" t="s">
        <v>431</v>
      </c>
      <c r="Q449" s="158">
        <v>35.159999999999997</v>
      </c>
      <c r="R449" s="563">
        <f t="shared" si="26"/>
        <v>1.4315710622299749E-2</v>
      </c>
      <c r="S449" s="563">
        <f t="shared" si="27"/>
        <v>4.9865631531800458E-2</v>
      </c>
      <c r="AA449" s="594">
        <v>42242</v>
      </c>
      <c r="AB449" s="595" t="s">
        <v>449</v>
      </c>
      <c r="AC449" s="595">
        <v>33537.42</v>
      </c>
      <c r="AD449" s="596" t="s">
        <v>395</v>
      </c>
      <c r="AE449" s="595">
        <v>231.06</v>
      </c>
      <c r="AF449" s="597">
        <f t="shared" si="28"/>
        <v>-7.7334106536327551E-3</v>
      </c>
      <c r="AG449" s="597">
        <f t="shared" si="29"/>
        <v>-1.7308524448289564E-4</v>
      </c>
    </row>
    <row r="450" spans="13:33" x14ac:dyDescent="0.35">
      <c r="M450" s="555">
        <v>42247</v>
      </c>
      <c r="N450" s="543" t="s">
        <v>449</v>
      </c>
      <c r="O450" s="543">
        <v>34726.51</v>
      </c>
      <c r="P450" s="73" t="s">
        <v>431</v>
      </c>
      <c r="Q450" s="158">
        <v>35.89</v>
      </c>
      <c r="R450" s="563">
        <f t="shared" si="26"/>
        <v>8.1004497572680911E-3</v>
      </c>
      <c r="S450" s="563">
        <f t="shared" si="27"/>
        <v>2.0762229806598587E-2</v>
      </c>
      <c r="AA450" s="594">
        <v>42243</v>
      </c>
      <c r="AB450" s="595" t="s">
        <v>449</v>
      </c>
      <c r="AC450" s="595">
        <v>33961.29</v>
      </c>
      <c r="AD450" s="596" t="s">
        <v>395</v>
      </c>
      <c r="AE450" s="595">
        <v>242.47</v>
      </c>
      <c r="AF450" s="597">
        <f t="shared" si="28"/>
        <v>1.2638718184046382E-2</v>
      </c>
      <c r="AG450" s="597">
        <f t="shared" si="29"/>
        <v>4.9381113130788634E-2</v>
      </c>
    </row>
    <row r="451" spans="13:33" x14ac:dyDescent="0.35">
      <c r="M451" s="555">
        <v>42248</v>
      </c>
      <c r="N451" s="543" t="s">
        <v>449</v>
      </c>
      <c r="O451" s="543">
        <v>34456.339999999997</v>
      </c>
      <c r="P451" s="73" t="s">
        <v>431</v>
      </c>
      <c r="Q451" s="158">
        <v>34.9</v>
      </c>
      <c r="R451" s="563">
        <f t="shared" si="26"/>
        <v>-7.7799352713533443E-3</v>
      </c>
      <c r="S451" s="563">
        <f t="shared" si="27"/>
        <v>-2.7584285316244128E-2</v>
      </c>
      <c r="AA451" s="594">
        <v>42244</v>
      </c>
      <c r="AB451" s="595" t="s">
        <v>449</v>
      </c>
      <c r="AC451" s="595">
        <v>34447.47</v>
      </c>
      <c r="AD451" s="596" t="s">
        <v>395</v>
      </c>
      <c r="AE451" s="595">
        <v>244.57</v>
      </c>
      <c r="AF451" s="597">
        <f t="shared" si="28"/>
        <v>1.4315710622299749E-2</v>
      </c>
      <c r="AG451" s="597">
        <f t="shared" si="29"/>
        <v>8.6608652616817494E-3</v>
      </c>
    </row>
    <row r="452" spans="13:33" x14ac:dyDescent="0.35">
      <c r="M452" s="555">
        <v>42249</v>
      </c>
      <c r="N452" s="543" t="s">
        <v>449</v>
      </c>
      <c r="O452" s="543">
        <v>34309.760000000002</v>
      </c>
      <c r="P452" s="73" t="s">
        <v>431</v>
      </c>
      <c r="Q452" s="158">
        <v>34.01</v>
      </c>
      <c r="R452" s="563">
        <f t="shared" si="26"/>
        <v>-4.2540792202536704E-3</v>
      </c>
      <c r="S452" s="563">
        <f t="shared" si="27"/>
        <v>-2.5501432664756463E-2</v>
      </c>
      <c r="AA452" s="594">
        <v>42247</v>
      </c>
      <c r="AB452" s="595" t="s">
        <v>449</v>
      </c>
      <c r="AC452" s="595">
        <v>34726.51</v>
      </c>
      <c r="AD452" s="596" t="s">
        <v>395</v>
      </c>
      <c r="AE452" s="595">
        <v>243</v>
      </c>
      <c r="AF452" s="597">
        <f t="shared" si="28"/>
        <v>8.1004497572680911E-3</v>
      </c>
      <c r="AG452" s="597">
        <f t="shared" si="29"/>
        <v>-6.4194300200350884E-3</v>
      </c>
    </row>
    <row r="453" spans="13:33" x14ac:dyDescent="0.35">
      <c r="M453" s="555">
        <v>42250</v>
      </c>
      <c r="N453" s="543" t="s">
        <v>449</v>
      </c>
      <c r="O453" s="543">
        <v>34397.33</v>
      </c>
      <c r="P453" s="73" t="s">
        <v>431</v>
      </c>
      <c r="Q453" s="158">
        <v>33.82</v>
      </c>
      <c r="R453" s="563">
        <f t="shared" si="26"/>
        <v>2.5523349624130276E-3</v>
      </c>
      <c r="S453" s="563">
        <f t="shared" si="27"/>
        <v>-5.5865921787708883E-3</v>
      </c>
      <c r="AA453" s="594">
        <v>42248</v>
      </c>
      <c r="AB453" s="595" t="s">
        <v>449</v>
      </c>
      <c r="AC453" s="595">
        <v>34456.339999999997</v>
      </c>
      <c r="AD453" s="596" t="s">
        <v>395</v>
      </c>
      <c r="AE453" s="595">
        <v>241.16</v>
      </c>
      <c r="AF453" s="597">
        <f t="shared" si="28"/>
        <v>-7.7799352713533443E-3</v>
      </c>
      <c r="AG453" s="597">
        <f t="shared" si="29"/>
        <v>-7.5720164609053286E-3</v>
      </c>
    </row>
    <row r="454" spans="13:33" x14ac:dyDescent="0.35">
      <c r="M454" s="555">
        <v>42251</v>
      </c>
      <c r="N454" s="543" t="s">
        <v>449</v>
      </c>
      <c r="O454" s="543">
        <v>33891.08</v>
      </c>
      <c r="P454" s="73" t="s">
        <v>431</v>
      </c>
      <c r="Q454" s="158">
        <v>32.619999999999997</v>
      </c>
      <c r="R454" s="563">
        <f t="shared" si="26"/>
        <v>-1.4717712101491642E-2</v>
      </c>
      <c r="S454" s="563">
        <f t="shared" si="27"/>
        <v>-3.5481963335304623E-2</v>
      </c>
      <c r="AA454" s="594">
        <v>42249</v>
      </c>
      <c r="AB454" s="595" t="s">
        <v>449</v>
      </c>
      <c r="AC454" s="595">
        <v>34309.760000000002</v>
      </c>
      <c r="AD454" s="596" t="s">
        <v>395</v>
      </c>
      <c r="AE454" s="595">
        <v>241.01</v>
      </c>
      <c r="AF454" s="597">
        <f t="shared" si="28"/>
        <v>-4.2540792202536704E-3</v>
      </c>
      <c r="AG454" s="597">
        <f t="shared" si="29"/>
        <v>-6.2199369713056285E-4</v>
      </c>
    </row>
    <row r="455" spans="13:33" x14ac:dyDescent="0.35">
      <c r="M455" s="555">
        <v>42254</v>
      </c>
      <c r="N455" s="543" t="s">
        <v>449</v>
      </c>
      <c r="O455" s="543">
        <v>32944.480000000003</v>
      </c>
      <c r="P455" s="73" t="s">
        <v>431</v>
      </c>
      <c r="Q455" s="158">
        <v>31.12</v>
      </c>
      <c r="R455" s="563">
        <f t="shared" si="26"/>
        <v>-2.7930653139410122E-2</v>
      </c>
      <c r="S455" s="563">
        <f t="shared" si="27"/>
        <v>-4.5984058859595223E-2</v>
      </c>
      <c r="AA455" s="594">
        <v>42250</v>
      </c>
      <c r="AB455" s="595" t="s">
        <v>449</v>
      </c>
      <c r="AC455" s="595">
        <v>34397.33</v>
      </c>
      <c r="AD455" s="596" t="s">
        <v>395</v>
      </c>
      <c r="AE455" s="595">
        <v>242.29</v>
      </c>
      <c r="AF455" s="597">
        <f t="shared" si="28"/>
        <v>2.5523349624130276E-3</v>
      </c>
      <c r="AG455" s="597">
        <f t="shared" si="29"/>
        <v>5.3109829467656855E-3</v>
      </c>
    </row>
    <row r="456" spans="13:33" x14ac:dyDescent="0.35">
      <c r="M456" s="555">
        <v>42255</v>
      </c>
      <c r="N456" s="543" t="s">
        <v>449</v>
      </c>
      <c r="O456" s="543">
        <v>33474.17</v>
      </c>
      <c r="P456" s="73" t="s">
        <v>431</v>
      </c>
      <c r="Q456" s="158">
        <v>32.56</v>
      </c>
      <c r="R456" s="563">
        <f t="shared" si="26"/>
        <v>1.6078262579952485E-2</v>
      </c>
      <c r="S456" s="563">
        <f t="shared" si="27"/>
        <v>4.6272493573264795E-2</v>
      </c>
      <c r="AA456" s="594">
        <v>42251</v>
      </c>
      <c r="AB456" s="595" t="s">
        <v>449</v>
      </c>
      <c r="AC456" s="595">
        <v>33891.08</v>
      </c>
      <c r="AD456" s="596" t="s">
        <v>395</v>
      </c>
      <c r="AE456" s="595">
        <v>234.3</v>
      </c>
      <c r="AF456" s="597">
        <f t="shared" si="28"/>
        <v>-1.4717712101491642E-2</v>
      </c>
      <c r="AG456" s="597">
        <f t="shared" si="29"/>
        <v>-3.2977011019852176E-2</v>
      </c>
    </row>
    <row r="457" spans="13:33" x14ac:dyDescent="0.35">
      <c r="M457" s="555">
        <v>42256</v>
      </c>
      <c r="N457" s="543" t="s">
        <v>449</v>
      </c>
      <c r="O457" s="543">
        <v>33830.36</v>
      </c>
      <c r="P457" s="73" t="s">
        <v>431</v>
      </c>
      <c r="Q457" s="158">
        <v>32.61</v>
      </c>
      <c r="R457" s="563">
        <f t="shared" si="26"/>
        <v>1.0640741801813292E-2</v>
      </c>
      <c r="S457" s="563">
        <f t="shared" si="27"/>
        <v>1.5356265356265553E-3</v>
      </c>
      <c r="AA457" s="594">
        <v>42254</v>
      </c>
      <c r="AB457" s="595" t="s">
        <v>449</v>
      </c>
      <c r="AC457" s="595">
        <v>32944.480000000003</v>
      </c>
      <c r="AD457" s="596" t="s">
        <v>395</v>
      </c>
      <c r="AE457" s="595">
        <v>233</v>
      </c>
      <c r="AF457" s="597">
        <f t="shared" si="28"/>
        <v>-2.7930653139410122E-2</v>
      </c>
      <c r="AG457" s="597">
        <f t="shared" si="29"/>
        <v>-5.5484421681605278E-3</v>
      </c>
    </row>
    <row r="458" spans="13:33" x14ac:dyDescent="0.35">
      <c r="M458" s="555">
        <v>42257</v>
      </c>
      <c r="N458" s="543" t="s">
        <v>449</v>
      </c>
      <c r="O458" s="543">
        <v>33792.370000000003</v>
      </c>
      <c r="P458" s="73" t="s">
        <v>431</v>
      </c>
      <c r="Q458" s="158">
        <v>32.299999999999997</v>
      </c>
      <c r="R458" s="563">
        <f t="shared" si="26"/>
        <v>-1.1229558302069398E-3</v>
      </c>
      <c r="S458" s="563">
        <f t="shared" si="27"/>
        <v>-9.506286415210119E-3</v>
      </c>
      <c r="AA458" s="594">
        <v>42255</v>
      </c>
      <c r="AB458" s="595" t="s">
        <v>449</v>
      </c>
      <c r="AC458" s="595">
        <v>33474.17</v>
      </c>
      <c r="AD458" s="596" t="s">
        <v>395</v>
      </c>
      <c r="AE458" s="595">
        <v>240.6</v>
      </c>
      <c r="AF458" s="597">
        <f t="shared" si="28"/>
        <v>1.6078262579952485E-2</v>
      </c>
      <c r="AG458" s="597">
        <f t="shared" si="29"/>
        <v>3.2618025751072866E-2</v>
      </c>
    </row>
    <row r="459" spans="13:33" x14ac:dyDescent="0.35">
      <c r="M459" s="555">
        <v>42258</v>
      </c>
      <c r="N459" s="543" t="s">
        <v>449</v>
      </c>
      <c r="O459" s="543">
        <v>33672.720000000001</v>
      </c>
      <c r="P459" s="73" t="s">
        <v>431</v>
      </c>
      <c r="Q459" s="158">
        <v>32.32</v>
      </c>
      <c r="R459" s="563">
        <f t="shared" si="26"/>
        <v>-3.5407401138186634E-3</v>
      </c>
      <c r="S459" s="563">
        <f t="shared" si="27"/>
        <v>6.1919504643981327E-4</v>
      </c>
      <c r="AA459" s="594">
        <v>42256</v>
      </c>
      <c r="AB459" s="595" t="s">
        <v>449</v>
      </c>
      <c r="AC459" s="595">
        <v>33830.36</v>
      </c>
      <c r="AD459" s="596" t="s">
        <v>395</v>
      </c>
      <c r="AE459" s="595">
        <v>252.15</v>
      </c>
      <c r="AF459" s="597">
        <f t="shared" si="28"/>
        <v>1.0640741801813292E-2</v>
      </c>
      <c r="AG459" s="597">
        <f t="shared" si="29"/>
        <v>4.8004987531172105E-2</v>
      </c>
    </row>
    <row r="460" spans="13:33" x14ac:dyDescent="0.35">
      <c r="M460" s="555">
        <v>42261</v>
      </c>
      <c r="N460" s="543" t="s">
        <v>449</v>
      </c>
      <c r="O460" s="543">
        <v>33384.730000000003</v>
      </c>
      <c r="P460" s="73" t="s">
        <v>431</v>
      </c>
      <c r="Q460" s="158">
        <v>31.91</v>
      </c>
      <c r="R460" s="563">
        <f t="shared" si="26"/>
        <v>-8.5526206377150027E-3</v>
      </c>
      <c r="S460" s="563">
        <f t="shared" si="27"/>
        <v>-1.2685643564356419E-2</v>
      </c>
      <c r="AA460" s="594">
        <v>42257</v>
      </c>
      <c r="AB460" s="595" t="s">
        <v>449</v>
      </c>
      <c r="AC460" s="595">
        <v>33792.370000000003</v>
      </c>
      <c r="AD460" s="596" t="s">
        <v>395</v>
      </c>
      <c r="AE460" s="595">
        <v>259.79000000000002</v>
      </c>
      <c r="AF460" s="597">
        <f t="shared" si="28"/>
        <v>-1.1229558302069398E-3</v>
      </c>
      <c r="AG460" s="597">
        <f t="shared" si="29"/>
        <v>3.0299424945469111E-2</v>
      </c>
    </row>
    <row r="461" spans="13:33" x14ac:dyDescent="0.35">
      <c r="M461" s="555">
        <v>42262</v>
      </c>
      <c r="N461" s="543" t="s">
        <v>449</v>
      </c>
      <c r="O461" s="543">
        <v>33191.46</v>
      </c>
      <c r="P461" s="73" t="s">
        <v>431</v>
      </c>
      <c r="Q461" s="158">
        <v>30.78</v>
      </c>
      <c r="R461" s="563">
        <f t="shared" si="26"/>
        <v>-5.7891736731136012E-3</v>
      </c>
      <c r="S461" s="563">
        <f t="shared" si="27"/>
        <v>-3.5412096521466596E-2</v>
      </c>
      <c r="AA461" s="594">
        <v>42258</v>
      </c>
      <c r="AB461" s="595" t="s">
        <v>449</v>
      </c>
      <c r="AC461" s="595">
        <v>33672.720000000001</v>
      </c>
      <c r="AD461" s="596" t="s">
        <v>395</v>
      </c>
      <c r="AE461" s="595">
        <v>259.25</v>
      </c>
      <c r="AF461" s="597">
        <f t="shared" si="28"/>
        <v>-3.5407401138186634E-3</v>
      </c>
      <c r="AG461" s="597">
        <f t="shared" si="29"/>
        <v>-2.0786019477271322E-3</v>
      </c>
    </row>
    <row r="462" spans="13:33" x14ac:dyDescent="0.35">
      <c r="M462" s="555">
        <v>42263</v>
      </c>
      <c r="N462" s="543" t="s">
        <v>449</v>
      </c>
      <c r="O462" s="543">
        <v>33345.56</v>
      </c>
      <c r="P462" s="73" t="s">
        <v>431</v>
      </c>
      <c r="Q462" s="158">
        <v>30.59</v>
      </c>
      <c r="R462" s="563">
        <f t="shared" si="26"/>
        <v>4.6427605173138264E-3</v>
      </c>
      <c r="S462" s="563">
        <f t="shared" si="27"/>
        <v>-6.1728395061728669E-3</v>
      </c>
      <c r="AA462" s="594">
        <v>42261</v>
      </c>
      <c r="AB462" s="595" t="s">
        <v>449</v>
      </c>
      <c r="AC462" s="595">
        <v>33384.730000000003</v>
      </c>
      <c r="AD462" s="596" t="s">
        <v>395</v>
      </c>
      <c r="AE462" s="595">
        <v>257.05</v>
      </c>
      <c r="AF462" s="597">
        <f t="shared" si="28"/>
        <v>-8.5526206377150027E-3</v>
      </c>
      <c r="AG462" s="597">
        <f t="shared" si="29"/>
        <v>-8.4860173577627762E-3</v>
      </c>
    </row>
    <row r="463" spans="13:33" x14ac:dyDescent="0.35">
      <c r="M463" s="555">
        <v>42264</v>
      </c>
      <c r="N463" s="543" t="s">
        <v>449</v>
      </c>
      <c r="O463" s="543">
        <v>33152.07</v>
      </c>
      <c r="P463" s="73" t="s">
        <v>431</v>
      </c>
      <c r="Q463" s="158">
        <v>30.72</v>
      </c>
      <c r="R463" s="563">
        <f t="shared" si="26"/>
        <v>-5.8025716167309227E-3</v>
      </c>
      <c r="S463" s="563">
        <f t="shared" si="27"/>
        <v>4.2497548218372039E-3</v>
      </c>
      <c r="AA463" s="594">
        <v>42262</v>
      </c>
      <c r="AB463" s="595" t="s">
        <v>449</v>
      </c>
      <c r="AC463" s="595">
        <v>33191.46</v>
      </c>
      <c r="AD463" s="596" t="s">
        <v>395</v>
      </c>
      <c r="AE463" s="595">
        <v>256</v>
      </c>
      <c r="AF463" s="597">
        <f t="shared" si="28"/>
        <v>-5.7891736731136012E-3</v>
      </c>
      <c r="AG463" s="597">
        <f t="shared" si="29"/>
        <v>-4.08480840303449E-3</v>
      </c>
    </row>
    <row r="464" spans="13:33" x14ac:dyDescent="0.35">
      <c r="M464" s="555">
        <v>42265</v>
      </c>
      <c r="N464" s="543" t="s">
        <v>449</v>
      </c>
      <c r="O464" s="543">
        <v>32760.95</v>
      </c>
      <c r="P464" s="73" t="s">
        <v>431</v>
      </c>
      <c r="Q464" s="158">
        <v>29.96</v>
      </c>
      <c r="R464" s="563">
        <f t="shared" si="26"/>
        <v>-1.179775501197966E-2</v>
      </c>
      <c r="S464" s="563">
        <f t="shared" si="27"/>
        <v>-2.4739583333333259E-2</v>
      </c>
      <c r="AA464" s="594">
        <v>42263</v>
      </c>
      <c r="AB464" s="595" t="s">
        <v>449</v>
      </c>
      <c r="AC464" s="595">
        <v>33345.56</v>
      </c>
      <c r="AD464" s="596" t="s">
        <v>395</v>
      </c>
      <c r="AE464" s="595">
        <v>268.8</v>
      </c>
      <c r="AF464" s="597">
        <f t="shared" si="28"/>
        <v>4.6427605173138264E-3</v>
      </c>
      <c r="AG464" s="597">
        <f t="shared" si="29"/>
        <v>5.0000000000000044E-2</v>
      </c>
    </row>
    <row r="465" spans="13:33" x14ac:dyDescent="0.35">
      <c r="M465" s="555">
        <v>42268</v>
      </c>
      <c r="N465" s="543" t="s">
        <v>449</v>
      </c>
      <c r="O465" s="543">
        <v>32826.239999999998</v>
      </c>
      <c r="P465" s="73" t="s">
        <v>431</v>
      </c>
      <c r="Q465" s="158">
        <v>29.81</v>
      </c>
      <c r="R465" s="563">
        <f t="shared" si="26"/>
        <v>1.9929214506904103E-3</v>
      </c>
      <c r="S465" s="563">
        <f t="shared" si="27"/>
        <v>-5.006675567423291E-3</v>
      </c>
      <c r="AA465" s="594">
        <v>42264</v>
      </c>
      <c r="AB465" s="595" t="s">
        <v>449</v>
      </c>
      <c r="AC465" s="595">
        <v>33152.07</v>
      </c>
      <c r="AD465" s="596" t="s">
        <v>395</v>
      </c>
      <c r="AE465" s="595">
        <v>281.02999999999997</v>
      </c>
      <c r="AF465" s="597">
        <f t="shared" si="28"/>
        <v>-5.8025716167309227E-3</v>
      </c>
      <c r="AG465" s="597">
        <f t="shared" si="29"/>
        <v>4.5498511904761729E-2</v>
      </c>
    </row>
    <row r="466" spans="13:33" x14ac:dyDescent="0.35">
      <c r="M466" s="555">
        <v>42269</v>
      </c>
      <c r="N466" s="543" t="s">
        <v>449</v>
      </c>
      <c r="O466" s="543">
        <v>32882.019999999997</v>
      </c>
      <c r="P466" s="73" t="s">
        <v>431</v>
      </c>
      <c r="Q466" s="158">
        <v>29.88</v>
      </c>
      <c r="R466" s="563">
        <f t="shared" si="26"/>
        <v>1.6992503558128647E-3</v>
      </c>
      <c r="S466" s="563">
        <f t="shared" si="27"/>
        <v>2.3482053002348291E-3</v>
      </c>
      <c r="AA466" s="594">
        <v>42265</v>
      </c>
      <c r="AB466" s="595" t="s">
        <v>449</v>
      </c>
      <c r="AC466" s="595">
        <v>32760.95</v>
      </c>
      <c r="AD466" s="596" t="s">
        <v>395</v>
      </c>
      <c r="AE466" s="595">
        <v>274.06</v>
      </c>
      <c r="AF466" s="597">
        <f t="shared" si="28"/>
        <v>-1.179775501197966E-2</v>
      </c>
      <c r="AG466" s="597">
        <f t="shared" si="29"/>
        <v>-2.4801622602569018E-2</v>
      </c>
    </row>
    <row r="467" spans="13:33" x14ac:dyDescent="0.35">
      <c r="M467" s="555">
        <v>42270</v>
      </c>
      <c r="N467" s="543" t="s">
        <v>449</v>
      </c>
      <c r="O467" s="543">
        <v>32822.839999999997</v>
      </c>
      <c r="P467" s="73" t="s">
        <v>431</v>
      </c>
      <c r="Q467" s="158">
        <v>30.23</v>
      </c>
      <c r="R467" s="563">
        <f t="shared" si="26"/>
        <v>-1.7997677758240238E-3</v>
      </c>
      <c r="S467" s="563">
        <f t="shared" si="27"/>
        <v>1.1713520749665474E-2</v>
      </c>
      <c r="AA467" s="594">
        <v>42268</v>
      </c>
      <c r="AB467" s="595" t="s">
        <v>449</v>
      </c>
      <c r="AC467" s="595">
        <v>32826.239999999998</v>
      </c>
      <c r="AD467" s="596" t="s">
        <v>395</v>
      </c>
      <c r="AE467" s="595">
        <v>275</v>
      </c>
      <c r="AF467" s="597">
        <f t="shared" si="28"/>
        <v>1.9929214506904103E-3</v>
      </c>
      <c r="AG467" s="597">
        <f t="shared" si="29"/>
        <v>3.4299058600306687E-3</v>
      </c>
    </row>
    <row r="468" spans="13:33" x14ac:dyDescent="0.35">
      <c r="M468" s="555">
        <v>42275</v>
      </c>
      <c r="N468" s="543" t="s">
        <v>449</v>
      </c>
      <c r="O468" s="543">
        <v>32690.02</v>
      </c>
      <c r="P468" s="73" t="s">
        <v>431</v>
      </c>
      <c r="Q468" s="158">
        <v>29.97</v>
      </c>
      <c r="R468" s="563">
        <f t="shared" si="26"/>
        <v>-4.0465724477222187E-3</v>
      </c>
      <c r="S468" s="563">
        <f t="shared" si="27"/>
        <v>-8.6007277538868721E-3</v>
      </c>
      <c r="AA468" s="594">
        <v>42269</v>
      </c>
      <c r="AB468" s="595" t="s">
        <v>449</v>
      </c>
      <c r="AC468" s="595">
        <v>32882.019999999997</v>
      </c>
      <c r="AD468" s="596" t="s">
        <v>395</v>
      </c>
      <c r="AE468" s="595">
        <v>279.64</v>
      </c>
      <c r="AF468" s="597">
        <f t="shared" si="28"/>
        <v>1.6992503558128647E-3</v>
      </c>
      <c r="AG468" s="597">
        <f t="shared" si="29"/>
        <v>1.687272727272715E-2</v>
      </c>
    </row>
    <row r="469" spans="13:33" x14ac:dyDescent="0.35">
      <c r="M469" s="555">
        <v>42276</v>
      </c>
      <c r="N469" s="543" t="s">
        <v>449</v>
      </c>
      <c r="O469" s="543">
        <v>32214.58</v>
      </c>
      <c r="P469" s="73" t="s">
        <v>431</v>
      </c>
      <c r="Q469" s="158">
        <v>29.55</v>
      </c>
      <c r="R469" s="563">
        <f t="shared" si="26"/>
        <v>-1.4543888318208409E-2</v>
      </c>
      <c r="S469" s="563">
        <f t="shared" si="27"/>
        <v>-1.401401401401392E-2</v>
      </c>
      <c r="AA469" s="594">
        <v>42270</v>
      </c>
      <c r="AB469" s="595" t="s">
        <v>449</v>
      </c>
      <c r="AC469" s="595">
        <v>32822.839999999997</v>
      </c>
      <c r="AD469" s="596" t="s">
        <v>395</v>
      </c>
      <c r="AE469" s="595">
        <v>271.79000000000002</v>
      </c>
      <c r="AF469" s="597">
        <f t="shared" si="28"/>
        <v>-1.7997677758240238E-3</v>
      </c>
      <c r="AG469" s="597">
        <f t="shared" si="29"/>
        <v>-2.8071806608496508E-2</v>
      </c>
    </row>
    <row r="470" spans="13:33" x14ac:dyDescent="0.35">
      <c r="M470" s="555">
        <v>42277</v>
      </c>
      <c r="N470" s="543" t="s">
        <v>449</v>
      </c>
      <c r="O470" s="543">
        <v>32287.41</v>
      </c>
      <c r="P470" s="73" t="s">
        <v>431</v>
      </c>
      <c r="Q470" s="158">
        <v>29.88</v>
      </c>
      <c r="R470" s="563">
        <f t="shared" si="26"/>
        <v>2.2607775733844981E-3</v>
      </c>
      <c r="S470" s="563">
        <f t="shared" si="27"/>
        <v>1.1167512690355208E-2</v>
      </c>
      <c r="AA470" s="594">
        <v>42275</v>
      </c>
      <c r="AB470" s="595" t="s">
        <v>449</v>
      </c>
      <c r="AC470" s="595">
        <v>32690.02</v>
      </c>
      <c r="AD470" s="596" t="s">
        <v>395</v>
      </c>
      <c r="AE470" s="595">
        <v>282.72000000000003</v>
      </c>
      <c r="AF470" s="597">
        <f t="shared" si="28"/>
        <v>-4.0465724477222187E-3</v>
      </c>
      <c r="AG470" s="597">
        <f t="shared" si="29"/>
        <v>4.021487177600358E-2</v>
      </c>
    </row>
    <row r="471" spans="13:33" x14ac:dyDescent="0.35">
      <c r="M471" s="555">
        <v>42278</v>
      </c>
      <c r="N471" s="543" t="s">
        <v>449</v>
      </c>
      <c r="O471" s="543">
        <v>32750.31</v>
      </c>
      <c r="P471" s="73" t="s">
        <v>431</v>
      </c>
      <c r="Q471" s="158">
        <v>30.57</v>
      </c>
      <c r="R471" s="563">
        <f t="shared" si="26"/>
        <v>1.4336857617257115E-2</v>
      </c>
      <c r="S471" s="563">
        <f t="shared" si="27"/>
        <v>2.3092369477911712E-2</v>
      </c>
      <c r="AA471" s="594">
        <v>42276</v>
      </c>
      <c r="AB471" s="595" t="s">
        <v>449</v>
      </c>
      <c r="AC471" s="595">
        <v>32214.58</v>
      </c>
      <c r="AD471" s="596" t="s">
        <v>395</v>
      </c>
      <c r="AE471" s="595">
        <v>273.56</v>
      </c>
      <c r="AF471" s="597">
        <f t="shared" si="28"/>
        <v>-1.4543888318208409E-2</v>
      </c>
      <c r="AG471" s="597">
        <f t="shared" si="29"/>
        <v>-3.2399547255234973E-2</v>
      </c>
    </row>
    <row r="472" spans="13:33" x14ac:dyDescent="0.35">
      <c r="M472" s="555">
        <v>42279</v>
      </c>
      <c r="N472" s="543" t="s">
        <v>449</v>
      </c>
      <c r="O472" s="543">
        <v>32969.730000000003</v>
      </c>
      <c r="P472" s="73" t="s">
        <v>431</v>
      </c>
      <c r="Q472" s="158">
        <v>30.38</v>
      </c>
      <c r="R472" s="563">
        <f t="shared" si="26"/>
        <v>6.6997839104423473E-3</v>
      </c>
      <c r="S472" s="563">
        <f t="shared" si="27"/>
        <v>-6.2152437029767693E-3</v>
      </c>
      <c r="AA472" s="594">
        <v>42277</v>
      </c>
      <c r="AB472" s="595" t="s">
        <v>449</v>
      </c>
      <c r="AC472" s="595">
        <v>32287.41</v>
      </c>
      <c r="AD472" s="596" t="s">
        <v>395</v>
      </c>
      <c r="AE472" s="595">
        <v>274.99</v>
      </c>
      <c r="AF472" s="597">
        <f t="shared" si="28"/>
        <v>2.2607775733844981E-3</v>
      </c>
      <c r="AG472" s="597">
        <f t="shared" si="29"/>
        <v>5.2273724228688589E-3</v>
      </c>
    </row>
    <row r="473" spans="13:33" x14ac:dyDescent="0.35">
      <c r="M473" s="555">
        <v>42282</v>
      </c>
      <c r="N473" s="543" t="s">
        <v>449</v>
      </c>
      <c r="O473" s="543">
        <v>32784.94</v>
      </c>
      <c r="P473" s="73" t="s">
        <v>431</v>
      </c>
      <c r="Q473" s="158">
        <v>29.54</v>
      </c>
      <c r="R473" s="563">
        <f t="shared" si="26"/>
        <v>-5.6048381348589027E-3</v>
      </c>
      <c r="S473" s="563">
        <f t="shared" si="27"/>
        <v>-2.7649769585253448E-2</v>
      </c>
      <c r="AA473" s="594">
        <v>42278</v>
      </c>
      <c r="AB473" s="595" t="s">
        <v>449</v>
      </c>
      <c r="AC473" s="595">
        <v>32750.31</v>
      </c>
      <c r="AD473" s="596" t="s">
        <v>395</v>
      </c>
      <c r="AE473" s="595">
        <v>276.02</v>
      </c>
      <c r="AF473" s="597">
        <f t="shared" si="28"/>
        <v>1.4336857617257115E-2</v>
      </c>
      <c r="AG473" s="597">
        <f t="shared" si="29"/>
        <v>3.7455907487544682E-3</v>
      </c>
    </row>
    <row r="474" spans="13:33" x14ac:dyDescent="0.35">
      <c r="M474" s="555">
        <v>42283</v>
      </c>
      <c r="N474" s="543" t="s">
        <v>449</v>
      </c>
      <c r="O474" s="543">
        <v>33202.870000000003</v>
      </c>
      <c r="P474" s="73" t="s">
        <v>431</v>
      </c>
      <c r="Q474" s="158">
        <v>29.92</v>
      </c>
      <c r="R474" s="563">
        <f t="shared" ref="R474:R537" si="30">(O474/O473)-1</f>
        <v>1.2747621316372637E-2</v>
      </c>
      <c r="S474" s="563">
        <f t="shared" ref="S474:S537" si="31">(Q474/Q473)-1</f>
        <v>1.2863913337846977E-2</v>
      </c>
      <c r="AA474" s="594">
        <v>42279</v>
      </c>
      <c r="AB474" s="595" t="s">
        <v>449</v>
      </c>
      <c r="AC474" s="595">
        <v>32969.730000000003</v>
      </c>
      <c r="AD474" s="596" t="s">
        <v>395</v>
      </c>
      <c r="AE474" s="595">
        <v>268.7</v>
      </c>
      <c r="AF474" s="597">
        <f t="shared" si="28"/>
        <v>6.6997839104423473E-3</v>
      </c>
      <c r="AG474" s="597">
        <f t="shared" si="29"/>
        <v>-2.6519817404535906E-2</v>
      </c>
    </row>
    <row r="475" spans="13:33" x14ac:dyDescent="0.35">
      <c r="M475" s="555">
        <v>42284</v>
      </c>
      <c r="N475" s="543" t="s">
        <v>449</v>
      </c>
      <c r="O475" s="543">
        <v>33376.199999999997</v>
      </c>
      <c r="P475" s="73" t="s">
        <v>431</v>
      </c>
      <c r="Q475" s="158">
        <v>30.8</v>
      </c>
      <c r="R475" s="563">
        <f t="shared" si="30"/>
        <v>5.2203318568544432E-3</v>
      </c>
      <c r="S475" s="563">
        <f t="shared" si="31"/>
        <v>2.9411764705882248E-2</v>
      </c>
      <c r="AA475" s="594">
        <v>42282</v>
      </c>
      <c r="AB475" s="595" t="s">
        <v>449</v>
      </c>
      <c r="AC475" s="595">
        <v>32784.94</v>
      </c>
      <c r="AD475" s="596" t="s">
        <v>395</v>
      </c>
      <c r="AE475" s="595">
        <v>268.39999999999998</v>
      </c>
      <c r="AF475" s="597">
        <f t="shared" si="28"/>
        <v>-5.6048381348589027E-3</v>
      </c>
      <c r="AG475" s="597">
        <f t="shared" si="29"/>
        <v>-1.1164867882397234E-3</v>
      </c>
    </row>
    <row r="476" spans="13:33" x14ac:dyDescent="0.35">
      <c r="M476" s="555">
        <v>42285</v>
      </c>
      <c r="N476" s="543" t="s">
        <v>449</v>
      </c>
      <c r="O476" s="543">
        <v>33469.15</v>
      </c>
      <c r="P476" s="73" t="s">
        <v>431</v>
      </c>
      <c r="Q476" s="158">
        <v>30.29</v>
      </c>
      <c r="R476" s="563">
        <f t="shared" si="30"/>
        <v>2.7849185946873245E-3</v>
      </c>
      <c r="S476" s="563">
        <f t="shared" si="31"/>
        <v>-1.6558441558441661E-2</v>
      </c>
      <c r="AA476" s="594">
        <v>42283</v>
      </c>
      <c r="AB476" s="595" t="s">
        <v>449</v>
      </c>
      <c r="AC476" s="595">
        <v>33202.870000000003</v>
      </c>
      <c r="AD476" s="596" t="s">
        <v>395</v>
      </c>
      <c r="AE476" s="595">
        <v>262.81</v>
      </c>
      <c r="AF476" s="597">
        <f t="shared" ref="AF476:AF539" si="32">(AC476/AC475)-1</f>
        <v>1.2747621316372637E-2</v>
      </c>
      <c r="AG476" s="597">
        <f t="shared" ref="AG476:AG539" si="33">(AE476/AE475)-1</f>
        <v>-2.0827123695976058E-2</v>
      </c>
    </row>
    <row r="477" spans="13:33" x14ac:dyDescent="0.35">
      <c r="M477" s="555">
        <v>42286</v>
      </c>
      <c r="N477" s="543" t="s">
        <v>449</v>
      </c>
      <c r="O477" s="543">
        <v>33843.18</v>
      </c>
      <c r="P477" s="73" t="s">
        <v>431</v>
      </c>
      <c r="Q477" s="158">
        <v>30.65</v>
      </c>
      <c r="R477" s="563">
        <f t="shared" si="30"/>
        <v>1.1175365971349605E-2</v>
      </c>
      <c r="S477" s="563">
        <f t="shared" si="31"/>
        <v>1.1885110597557036E-2</v>
      </c>
      <c r="AA477" s="594">
        <v>42284</v>
      </c>
      <c r="AB477" s="595" t="s">
        <v>449</v>
      </c>
      <c r="AC477" s="595">
        <v>33376.199999999997</v>
      </c>
      <c r="AD477" s="596" t="s">
        <v>395</v>
      </c>
      <c r="AE477" s="595">
        <v>264.08999999999997</v>
      </c>
      <c r="AF477" s="597">
        <f t="shared" si="32"/>
        <v>5.2203318568544432E-3</v>
      </c>
      <c r="AG477" s="597">
        <f t="shared" si="33"/>
        <v>4.8704387199878241E-3</v>
      </c>
    </row>
    <row r="478" spans="13:33" x14ac:dyDescent="0.35">
      <c r="M478" s="555">
        <v>42289</v>
      </c>
      <c r="N478" s="543" t="s">
        <v>449</v>
      </c>
      <c r="O478" s="543">
        <v>34183.85</v>
      </c>
      <c r="P478" s="73" t="s">
        <v>431</v>
      </c>
      <c r="Q478" s="158">
        <v>30.48</v>
      </c>
      <c r="R478" s="563">
        <f t="shared" si="30"/>
        <v>1.0066134447176633E-2</v>
      </c>
      <c r="S478" s="563">
        <f t="shared" si="31"/>
        <v>-5.5464926590538255E-3</v>
      </c>
      <c r="AA478" s="594">
        <v>42285</v>
      </c>
      <c r="AB478" s="595" t="s">
        <v>449</v>
      </c>
      <c r="AC478" s="595">
        <v>33469.15</v>
      </c>
      <c r="AD478" s="596" t="s">
        <v>395</v>
      </c>
      <c r="AE478" s="595">
        <v>265.3</v>
      </c>
      <c r="AF478" s="597">
        <f t="shared" si="32"/>
        <v>2.7849185946873245E-3</v>
      </c>
      <c r="AG478" s="597">
        <f t="shared" si="33"/>
        <v>4.5817713658224957E-3</v>
      </c>
    </row>
    <row r="479" spans="13:33" x14ac:dyDescent="0.35">
      <c r="M479" s="555">
        <v>42290</v>
      </c>
      <c r="N479" s="543" t="s">
        <v>449</v>
      </c>
      <c r="O479" s="543">
        <v>34031.78</v>
      </c>
      <c r="P479" s="73" t="s">
        <v>431</v>
      </c>
      <c r="Q479" s="158">
        <v>29.78</v>
      </c>
      <c r="R479" s="563">
        <f t="shared" si="30"/>
        <v>-4.4485919520474981E-3</v>
      </c>
      <c r="S479" s="563">
        <f t="shared" si="31"/>
        <v>-2.296587926509186E-2</v>
      </c>
      <c r="AA479" s="594">
        <v>42286</v>
      </c>
      <c r="AB479" s="595" t="s">
        <v>449</v>
      </c>
      <c r="AC479" s="595">
        <v>33843.18</v>
      </c>
      <c r="AD479" s="596" t="s">
        <v>395</v>
      </c>
      <c r="AE479" s="595">
        <v>263.18</v>
      </c>
      <c r="AF479" s="597">
        <f t="shared" si="32"/>
        <v>1.1175365971349605E-2</v>
      </c>
      <c r="AG479" s="597">
        <f t="shared" si="33"/>
        <v>-7.9909536373916623E-3</v>
      </c>
    </row>
    <row r="480" spans="13:33" x14ac:dyDescent="0.35">
      <c r="M480" s="555">
        <v>42291</v>
      </c>
      <c r="N480" s="543" t="s">
        <v>449</v>
      </c>
      <c r="O480" s="543">
        <v>33974.85</v>
      </c>
      <c r="P480" s="73" t="s">
        <v>431</v>
      </c>
      <c r="Q480" s="158">
        <v>29.79</v>
      </c>
      <c r="R480" s="563">
        <f t="shared" si="30"/>
        <v>-1.6728481437057185E-3</v>
      </c>
      <c r="S480" s="563">
        <f t="shared" si="31"/>
        <v>3.3579583613163599E-4</v>
      </c>
      <c r="AA480" s="594">
        <v>42289</v>
      </c>
      <c r="AB480" s="595" t="s">
        <v>449</v>
      </c>
      <c r="AC480" s="595">
        <v>34183.85</v>
      </c>
      <c r="AD480" s="596" t="s">
        <v>395</v>
      </c>
      <c r="AE480" s="595">
        <v>265</v>
      </c>
      <c r="AF480" s="597">
        <f t="shared" si="32"/>
        <v>1.0066134447176633E-2</v>
      </c>
      <c r="AG480" s="597">
        <f t="shared" si="33"/>
        <v>6.9154191047950953E-3</v>
      </c>
    </row>
    <row r="481" spans="13:33" x14ac:dyDescent="0.35">
      <c r="M481" s="555">
        <v>42292</v>
      </c>
      <c r="N481" s="543" t="s">
        <v>449</v>
      </c>
      <c r="O481" s="543">
        <v>33921.96</v>
      </c>
      <c r="P481" s="73" t="s">
        <v>431</v>
      </c>
      <c r="Q481" s="158">
        <v>30.81</v>
      </c>
      <c r="R481" s="563">
        <f t="shared" si="30"/>
        <v>-1.5567397648554859E-3</v>
      </c>
      <c r="S481" s="563">
        <f t="shared" si="31"/>
        <v>3.4239677744209551E-2</v>
      </c>
      <c r="AA481" s="594">
        <v>42290</v>
      </c>
      <c r="AB481" s="595" t="s">
        <v>449</v>
      </c>
      <c r="AC481" s="595">
        <v>34031.78</v>
      </c>
      <c r="AD481" s="596" t="s">
        <v>395</v>
      </c>
      <c r="AE481" s="595">
        <v>265</v>
      </c>
      <c r="AF481" s="597">
        <f t="shared" si="32"/>
        <v>-4.4485919520474981E-3</v>
      </c>
      <c r="AG481" s="597">
        <f t="shared" si="33"/>
        <v>0</v>
      </c>
    </row>
    <row r="482" spans="13:33" x14ac:dyDescent="0.35">
      <c r="M482" s="555">
        <v>42293</v>
      </c>
      <c r="N482" s="543" t="s">
        <v>449</v>
      </c>
      <c r="O482" s="543">
        <v>33954.980000000003</v>
      </c>
      <c r="P482" s="73" t="s">
        <v>431</v>
      </c>
      <c r="Q482" s="158">
        <v>32.35</v>
      </c>
      <c r="R482" s="563">
        <f t="shared" si="30"/>
        <v>9.7341073452139604E-4</v>
      </c>
      <c r="S482" s="563">
        <f t="shared" si="31"/>
        <v>4.99837715027589E-2</v>
      </c>
      <c r="AA482" s="594">
        <v>42291</v>
      </c>
      <c r="AB482" s="595" t="s">
        <v>449</v>
      </c>
      <c r="AC482" s="595">
        <v>33974.85</v>
      </c>
      <c r="AD482" s="596" t="s">
        <v>395</v>
      </c>
      <c r="AE482" s="595">
        <v>270.41000000000003</v>
      </c>
      <c r="AF482" s="597">
        <f t="shared" si="32"/>
        <v>-1.6728481437057185E-3</v>
      </c>
      <c r="AG482" s="597">
        <f t="shared" si="33"/>
        <v>2.041509433962263E-2</v>
      </c>
    </row>
    <row r="483" spans="13:33" x14ac:dyDescent="0.35">
      <c r="M483" s="555">
        <v>42296</v>
      </c>
      <c r="N483" s="543" t="s">
        <v>449</v>
      </c>
      <c r="O483" s="543">
        <v>33966.75</v>
      </c>
      <c r="P483" s="73" t="s">
        <v>431</v>
      </c>
      <c r="Q483" s="158">
        <v>31.39</v>
      </c>
      <c r="R483" s="563">
        <f t="shared" si="30"/>
        <v>3.4663545671342888E-4</v>
      </c>
      <c r="S483" s="563">
        <f t="shared" si="31"/>
        <v>-2.9675425038639847E-2</v>
      </c>
      <c r="AA483" s="594">
        <v>42292</v>
      </c>
      <c r="AB483" s="595" t="s">
        <v>449</v>
      </c>
      <c r="AC483" s="595">
        <v>33921.96</v>
      </c>
      <c r="AD483" s="596" t="s">
        <v>395</v>
      </c>
      <c r="AE483" s="595">
        <v>270</v>
      </c>
      <c r="AF483" s="597">
        <f t="shared" si="32"/>
        <v>-1.5567397648554859E-3</v>
      </c>
      <c r="AG483" s="597">
        <f t="shared" si="33"/>
        <v>-1.5162161162679544E-3</v>
      </c>
    </row>
    <row r="484" spans="13:33" x14ac:dyDescent="0.35">
      <c r="M484" s="555">
        <v>42297</v>
      </c>
      <c r="N484" s="543" t="s">
        <v>449</v>
      </c>
      <c r="O484" s="543">
        <v>33910.17</v>
      </c>
      <c r="P484" s="73" t="s">
        <v>431</v>
      </c>
      <c r="Q484" s="158">
        <v>30.82</v>
      </c>
      <c r="R484" s="563">
        <f t="shared" si="30"/>
        <v>-1.665746649296751E-3</v>
      </c>
      <c r="S484" s="563">
        <f t="shared" si="31"/>
        <v>-1.8158649251353909E-2</v>
      </c>
      <c r="AA484" s="594">
        <v>42293</v>
      </c>
      <c r="AB484" s="595" t="s">
        <v>449</v>
      </c>
      <c r="AC484" s="595">
        <v>33954.980000000003</v>
      </c>
      <c r="AD484" s="596" t="s">
        <v>395</v>
      </c>
      <c r="AE484" s="595">
        <v>279.52999999999997</v>
      </c>
      <c r="AF484" s="597">
        <f t="shared" si="32"/>
        <v>9.7341073452139604E-4</v>
      </c>
      <c r="AG484" s="597">
        <f t="shared" si="33"/>
        <v>3.5296296296296159E-2</v>
      </c>
    </row>
    <row r="485" spans="13:33" x14ac:dyDescent="0.35">
      <c r="M485" s="555">
        <v>42298</v>
      </c>
      <c r="N485" s="543" t="s">
        <v>449</v>
      </c>
      <c r="O485" s="543">
        <v>33943.74</v>
      </c>
      <c r="P485" s="73" t="s">
        <v>431</v>
      </c>
      <c r="Q485" s="158">
        <v>30.6</v>
      </c>
      <c r="R485" s="563">
        <f t="shared" si="30"/>
        <v>9.8996849617671856E-4</v>
      </c>
      <c r="S485" s="563">
        <f t="shared" si="31"/>
        <v>-7.1382219338091968E-3</v>
      </c>
      <c r="AA485" s="594">
        <v>42296</v>
      </c>
      <c r="AB485" s="595" t="s">
        <v>449</v>
      </c>
      <c r="AC485" s="595">
        <v>33966.75</v>
      </c>
      <c r="AD485" s="596" t="s">
        <v>395</v>
      </c>
      <c r="AE485" s="595">
        <v>290.58999999999997</v>
      </c>
      <c r="AF485" s="597">
        <f t="shared" si="32"/>
        <v>3.4663545671342888E-4</v>
      </c>
      <c r="AG485" s="597">
        <f t="shared" si="33"/>
        <v>3.9566415053840398E-2</v>
      </c>
    </row>
    <row r="486" spans="13:33" x14ac:dyDescent="0.35">
      <c r="M486" s="555">
        <v>42299</v>
      </c>
      <c r="N486" s="543" t="s">
        <v>449</v>
      </c>
      <c r="O486" s="543">
        <v>33945.32</v>
      </c>
      <c r="P486" s="73" t="s">
        <v>431</v>
      </c>
      <c r="Q486" s="158">
        <v>31.41</v>
      </c>
      <c r="R486" s="563">
        <f t="shared" si="30"/>
        <v>4.6547610840885767E-5</v>
      </c>
      <c r="S486" s="563">
        <f t="shared" si="31"/>
        <v>2.6470588235294024E-2</v>
      </c>
      <c r="AA486" s="594">
        <v>42297</v>
      </c>
      <c r="AB486" s="595" t="s">
        <v>449</v>
      </c>
      <c r="AC486" s="595">
        <v>33910.17</v>
      </c>
      <c r="AD486" s="596" t="s">
        <v>395</v>
      </c>
      <c r="AE486" s="595">
        <v>291.52999999999997</v>
      </c>
      <c r="AF486" s="597">
        <f t="shared" si="32"/>
        <v>-1.665746649296751E-3</v>
      </c>
      <c r="AG486" s="597">
        <f t="shared" si="33"/>
        <v>3.2347981692417704E-3</v>
      </c>
    </row>
    <row r="487" spans="13:33" x14ac:dyDescent="0.35">
      <c r="M487" s="555">
        <v>42303</v>
      </c>
      <c r="N487" s="543" t="s">
        <v>449</v>
      </c>
      <c r="O487" s="543">
        <v>33860.639999999999</v>
      </c>
      <c r="P487" s="73" t="s">
        <v>431</v>
      </c>
      <c r="Q487" s="158">
        <v>30.62</v>
      </c>
      <c r="R487" s="563">
        <f t="shared" si="30"/>
        <v>-2.494600139282821E-3</v>
      </c>
      <c r="S487" s="563">
        <f t="shared" si="31"/>
        <v>-2.5151225724291626E-2</v>
      </c>
      <c r="AA487" s="594">
        <v>42298</v>
      </c>
      <c r="AB487" s="595" t="s">
        <v>449</v>
      </c>
      <c r="AC487" s="595">
        <v>33943.74</v>
      </c>
      <c r="AD487" s="596" t="s">
        <v>395</v>
      </c>
      <c r="AE487" s="595">
        <v>297.68</v>
      </c>
      <c r="AF487" s="597">
        <f t="shared" si="32"/>
        <v>9.8996849617671856E-4</v>
      </c>
      <c r="AG487" s="597">
        <f t="shared" si="33"/>
        <v>2.1095599080712235E-2</v>
      </c>
    </row>
    <row r="488" spans="13:33" x14ac:dyDescent="0.35">
      <c r="M488" s="555">
        <v>42304</v>
      </c>
      <c r="N488" s="543" t="s">
        <v>449</v>
      </c>
      <c r="O488" s="543">
        <v>33843.83</v>
      </c>
      <c r="P488" s="73" t="s">
        <v>431</v>
      </c>
      <c r="Q488" s="158">
        <v>30.72</v>
      </c>
      <c r="R488" s="563">
        <f t="shared" si="30"/>
        <v>-4.9644661175918259E-4</v>
      </c>
      <c r="S488" s="563">
        <f t="shared" si="31"/>
        <v>3.2658393207054548E-3</v>
      </c>
      <c r="AA488" s="594">
        <v>42299</v>
      </c>
      <c r="AB488" s="595" t="s">
        <v>449</v>
      </c>
      <c r="AC488" s="595">
        <v>33945.32</v>
      </c>
      <c r="AD488" s="596" t="s">
        <v>395</v>
      </c>
      <c r="AE488" s="595">
        <v>311.77</v>
      </c>
      <c r="AF488" s="597">
        <f t="shared" si="32"/>
        <v>4.6547610840885767E-5</v>
      </c>
      <c r="AG488" s="597">
        <f t="shared" si="33"/>
        <v>4.7332706261757451E-2</v>
      </c>
    </row>
    <row r="489" spans="13:33" x14ac:dyDescent="0.35">
      <c r="M489" s="555">
        <v>42305</v>
      </c>
      <c r="N489" s="543" t="s">
        <v>449</v>
      </c>
      <c r="O489" s="543">
        <v>34061.42</v>
      </c>
      <c r="P489" s="73" t="s">
        <v>431</v>
      </c>
      <c r="Q489" s="158">
        <v>30.71</v>
      </c>
      <c r="R489" s="563">
        <f t="shared" si="30"/>
        <v>6.4292368801048827E-3</v>
      </c>
      <c r="S489" s="563">
        <f t="shared" si="31"/>
        <v>-3.2552083333325932E-4</v>
      </c>
      <c r="AA489" s="594">
        <v>42303</v>
      </c>
      <c r="AB489" s="595" t="s">
        <v>449</v>
      </c>
      <c r="AC489" s="595">
        <v>33860.639999999999</v>
      </c>
      <c r="AD489" s="596" t="s">
        <v>395</v>
      </c>
      <c r="AE489" s="595">
        <v>324.55</v>
      </c>
      <c r="AF489" s="597">
        <f t="shared" si="32"/>
        <v>-2.494600139282821E-3</v>
      </c>
      <c r="AG489" s="597">
        <f t="shared" si="33"/>
        <v>4.0991756743753438E-2</v>
      </c>
    </row>
    <row r="490" spans="13:33" x14ac:dyDescent="0.35">
      <c r="M490" s="555">
        <v>42306</v>
      </c>
      <c r="N490" s="543" t="s">
        <v>449</v>
      </c>
      <c r="O490" s="543">
        <v>34332.43</v>
      </c>
      <c r="P490" s="73" t="s">
        <v>431</v>
      </c>
      <c r="Q490" s="158">
        <v>30.83</v>
      </c>
      <c r="R490" s="563">
        <f t="shared" si="30"/>
        <v>7.9565091531710319E-3</v>
      </c>
      <c r="S490" s="563">
        <f t="shared" si="31"/>
        <v>3.907521979811035E-3</v>
      </c>
      <c r="AA490" s="594">
        <v>42304</v>
      </c>
      <c r="AB490" s="595" t="s">
        <v>449</v>
      </c>
      <c r="AC490" s="595">
        <v>33843.83</v>
      </c>
      <c r="AD490" s="596" t="s">
        <v>395</v>
      </c>
      <c r="AE490" s="595">
        <v>308.33</v>
      </c>
      <c r="AF490" s="597">
        <f t="shared" si="32"/>
        <v>-4.9644661175918259E-4</v>
      </c>
      <c r="AG490" s="597">
        <f t="shared" si="33"/>
        <v>-4.9976891079956953E-2</v>
      </c>
    </row>
    <row r="491" spans="13:33" x14ac:dyDescent="0.35">
      <c r="M491" s="555">
        <v>42307</v>
      </c>
      <c r="N491" s="543" t="s">
        <v>449</v>
      </c>
      <c r="O491" s="543">
        <v>34261.61</v>
      </c>
      <c r="P491" s="73" t="s">
        <v>431</v>
      </c>
      <c r="Q491" s="158">
        <v>30.32</v>
      </c>
      <c r="R491" s="563">
        <f t="shared" si="30"/>
        <v>-2.062772719554018E-3</v>
      </c>
      <c r="S491" s="563">
        <f t="shared" si="31"/>
        <v>-1.6542328900421621E-2</v>
      </c>
      <c r="AA491" s="594">
        <v>42305</v>
      </c>
      <c r="AB491" s="595" t="s">
        <v>449</v>
      </c>
      <c r="AC491" s="595">
        <v>34061.42</v>
      </c>
      <c r="AD491" s="596" t="s">
        <v>395</v>
      </c>
      <c r="AE491" s="595">
        <v>292.92</v>
      </c>
      <c r="AF491" s="597">
        <f t="shared" si="32"/>
        <v>6.4292368801048827E-3</v>
      </c>
      <c r="AG491" s="597">
        <f t="shared" si="33"/>
        <v>-4.9978918691012786E-2</v>
      </c>
    </row>
    <row r="492" spans="13:33" x14ac:dyDescent="0.35">
      <c r="M492" s="555">
        <v>42310</v>
      </c>
      <c r="N492" s="543" t="s">
        <v>449</v>
      </c>
      <c r="O492" s="543">
        <v>34226.120000000003</v>
      </c>
      <c r="P492" s="73" t="s">
        <v>431</v>
      </c>
      <c r="Q492" s="158">
        <v>29.96</v>
      </c>
      <c r="R492" s="563">
        <f t="shared" si="30"/>
        <v>-1.0358532479938232E-3</v>
      </c>
      <c r="S492" s="563">
        <f t="shared" si="31"/>
        <v>-1.187335092348285E-2</v>
      </c>
      <c r="AA492" s="594">
        <v>42306</v>
      </c>
      <c r="AB492" s="595" t="s">
        <v>449</v>
      </c>
      <c r="AC492" s="595">
        <v>34332.43</v>
      </c>
      <c r="AD492" s="596" t="s">
        <v>395</v>
      </c>
      <c r="AE492" s="595">
        <v>278.27999999999997</v>
      </c>
      <c r="AF492" s="597">
        <f t="shared" si="32"/>
        <v>7.9565091531710319E-3</v>
      </c>
      <c r="AG492" s="597">
        <f t="shared" si="33"/>
        <v>-4.9979516591560968E-2</v>
      </c>
    </row>
    <row r="493" spans="13:33" x14ac:dyDescent="0.35">
      <c r="M493" s="555">
        <v>42311</v>
      </c>
      <c r="N493" s="543" t="s">
        <v>449</v>
      </c>
      <c r="O493" s="543">
        <v>34275.75</v>
      </c>
      <c r="P493" s="73" t="s">
        <v>431</v>
      </c>
      <c r="Q493" s="158">
        <v>29.99</v>
      </c>
      <c r="R493" s="563">
        <f t="shared" si="30"/>
        <v>1.4500621163018312E-3</v>
      </c>
      <c r="S493" s="563">
        <f t="shared" si="31"/>
        <v>1.0013351134845472E-3</v>
      </c>
      <c r="AA493" s="594">
        <v>42307</v>
      </c>
      <c r="AB493" s="595" t="s">
        <v>449</v>
      </c>
      <c r="AC493" s="595">
        <v>34261.61</v>
      </c>
      <c r="AD493" s="596" t="s">
        <v>395</v>
      </c>
      <c r="AE493" s="595">
        <v>278.75</v>
      </c>
      <c r="AF493" s="597">
        <f t="shared" si="32"/>
        <v>-2.062772719554018E-3</v>
      </c>
      <c r="AG493" s="597">
        <f t="shared" si="33"/>
        <v>1.6889463849361075E-3</v>
      </c>
    </row>
    <row r="494" spans="13:33" x14ac:dyDescent="0.35">
      <c r="M494" s="555">
        <v>42312</v>
      </c>
      <c r="N494" s="543" t="s">
        <v>449</v>
      </c>
      <c r="O494" s="543">
        <v>34522.949999999997</v>
      </c>
      <c r="P494" s="73" t="s">
        <v>431</v>
      </c>
      <c r="Q494" s="158">
        <v>30.2</v>
      </c>
      <c r="R494" s="563">
        <f t="shared" si="30"/>
        <v>7.2120960154042901E-3</v>
      </c>
      <c r="S494" s="563">
        <f t="shared" si="31"/>
        <v>7.0023341113705229E-3</v>
      </c>
      <c r="AA494" s="594">
        <v>42310</v>
      </c>
      <c r="AB494" s="595" t="s">
        <v>449</v>
      </c>
      <c r="AC494" s="595">
        <v>34226.120000000003</v>
      </c>
      <c r="AD494" s="596" t="s">
        <v>395</v>
      </c>
      <c r="AE494" s="595">
        <v>273.67</v>
      </c>
      <c r="AF494" s="597">
        <f t="shared" si="32"/>
        <v>-1.0358532479938232E-3</v>
      </c>
      <c r="AG494" s="597">
        <f t="shared" si="33"/>
        <v>-1.8224215246636755E-2</v>
      </c>
    </row>
    <row r="495" spans="13:33" x14ac:dyDescent="0.35">
      <c r="M495" s="555">
        <v>42313</v>
      </c>
      <c r="N495" s="543" t="s">
        <v>449</v>
      </c>
      <c r="O495" s="543">
        <v>34454.589999999997</v>
      </c>
      <c r="P495" s="73" t="s">
        <v>431</v>
      </c>
      <c r="Q495" s="158">
        <v>31.71</v>
      </c>
      <c r="R495" s="563">
        <f t="shared" si="30"/>
        <v>-1.9801320570809189E-3</v>
      </c>
      <c r="S495" s="563">
        <f t="shared" si="31"/>
        <v>5.0000000000000044E-2</v>
      </c>
      <c r="AA495" s="594">
        <v>42311</v>
      </c>
      <c r="AB495" s="595" t="s">
        <v>449</v>
      </c>
      <c r="AC495" s="595">
        <v>34275.75</v>
      </c>
      <c r="AD495" s="596" t="s">
        <v>395</v>
      </c>
      <c r="AE495" s="595">
        <v>278.76</v>
      </c>
      <c r="AF495" s="597">
        <f t="shared" si="32"/>
        <v>1.4500621163018312E-3</v>
      </c>
      <c r="AG495" s="597">
        <f t="shared" si="33"/>
        <v>1.8599042642598596E-2</v>
      </c>
    </row>
    <row r="496" spans="13:33" x14ac:dyDescent="0.35">
      <c r="M496" s="555">
        <v>42314</v>
      </c>
      <c r="N496" s="543" t="s">
        <v>449</v>
      </c>
      <c r="O496" s="543">
        <v>34426.75</v>
      </c>
      <c r="P496" s="73" t="s">
        <v>431</v>
      </c>
      <c r="Q496" s="158">
        <v>33.29</v>
      </c>
      <c r="R496" s="563">
        <f t="shared" si="30"/>
        <v>-8.0802006350955136E-4</v>
      </c>
      <c r="S496" s="563">
        <f t="shared" si="31"/>
        <v>4.9826553137811258E-2</v>
      </c>
      <c r="AA496" s="594">
        <v>42312</v>
      </c>
      <c r="AB496" s="595" t="s">
        <v>449</v>
      </c>
      <c r="AC496" s="595">
        <v>34522.949999999997</v>
      </c>
      <c r="AD496" s="596" t="s">
        <v>395</v>
      </c>
      <c r="AE496" s="595">
        <v>279.94</v>
      </c>
      <c r="AF496" s="597">
        <f t="shared" si="32"/>
        <v>7.2120960154042901E-3</v>
      </c>
      <c r="AG496" s="597">
        <f t="shared" si="33"/>
        <v>4.2330319988521659E-3</v>
      </c>
    </row>
    <row r="497" spans="13:33" x14ac:dyDescent="0.35">
      <c r="M497" s="555">
        <v>42317</v>
      </c>
      <c r="N497" s="543" t="s">
        <v>449</v>
      </c>
      <c r="O497" s="543">
        <v>34336.47</v>
      </c>
      <c r="P497" s="73" t="s">
        <v>431</v>
      </c>
      <c r="Q497" s="158">
        <v>34.409999999999997</v>
      </c>
      <c r="R497" s="563">
        <f t="shared" si="30"/>
        <v>-2.6223793997399714E-3</v>
      </c>
      <c r="S497" s="563">
        <f t="shared" si="31"/>
        <v>3.3643736857915219E-2</v>
      </c>
      <c r="AA497" s="594">
        <v>42313</v>
      </c>
      <c r="AB497" s="595" t="s">
        <v>449</v>
      </c>
      <c r="AC497" s="595">
        <v>34454.589999999997</v>
      </c>
      <c r="AD497" s="596" t="s">
        <v>395</v>
      </c>
      <c r="AE497" s="595">
        <v>277.81</v>
      </c>
      <c r="AF497" s="597">
        <f t="shared" si="32"/>
        <v>-1.9801320570809189E-3</v>
      </c>
      <c r="AG497" s="597">
        <f t="shared" si="33"/>
        <v>-7.6087733085661302E-3</v>
      </c>
    </row>
    <row r="498" spans="13:33" x14ac:dyDescent="0.35">
      <c r="M498" s="555">
        <v>42318</v>
      </c>
      <c r="N498" s="543" t="s">
        <v>449</v>
      </c>
      <c r="O498" s="543">
        <v>33958.120000000003</v>
      </c>
      <c r="P498" s="73" t="s">
        <v>431</v>
      </c>
      <c r="Q498" s="158">
        <v>34.18</v>
      </c>
      <c r="R498" s="563">
        <f t="shared" si="30"/>
        <v>-1.1018896234819664E-2</v>
      </c>
      <c r="S498" s="563">
        <f t="shared" si="31"/>
        <v>-6.6841034582969527E-3</v>
      </c>
      <c r="AA498" s="594">
        <v>42314</v>
      </c>
      <c r="AB498" s="595" t="s">
        <v>449</v>
      </c>
      <c r="AC498" s="595">
        <v>34426.75</v>
      </c>
      <c r="AD498" s="596" t="s">
        <v>395</v>
      </c>
      <c r="AE498" s="595">
        <v>279.70999999999998</v>
      </c>
      <c r="AF498" s="597">
        <f t="shared" si="32"/>
        <v>-8.0802006350955136E-4</v>
      </c>
      <c r="AG498" s="597">
        <f t="shared" si="33"/>
        <v>6.8392066520281958E-3</v>
      </c>
    </row>
    <row r="499" spans="13:33" x14ac:dyDescent="0.35">
      <c r="M499" s="555">
        <v>42319</v>
      </c>
      <c r="N499" s="543" t="s">
        <v>449</v>
      </c>
      <c r="O499" s="543">
        <v>33934.04</v>
      </c>
      <c r="P499" s="73" t="s">
        <v>431</v>
      </c>
      <c r="Q499" s="158">
        <v>34.69</v>
      </c>
      <c r="R499" s="563">
        <f t="shared" si="30"/>
        <v>-7.0910874924767775E-4</v>
      </c>
      <c r="S499" s="563">
        <f t="shared" si="31"/>
        <v>1.4921006436512618E-2</v>
      </c>
      <c r="AA499" s="594">
        <v>42317</v>
      </c>
      <c r="AB499" s="595" t="s">
        <v>449</v>
      </c>
      <c r="AC499" s="595">
        <v>34336.47</v>
      </c>
      <c r="AD499" s="596" t="s">
        <v>395</v>
      </c>
      <c r="AE499" s="595">
        <v>279.45</v>
      </c>
      <c r="AF499" s="597">
        <f t="shared" si="32"/>
        <v>-2.6223793997399714E-3</v>
      </c>
      <c r="AG499" s="597">
        <f t="shared" si="33"/>
        <v>-9.2953416038032977E-4</v>
      </c>
    </row>
    <row r="500" spans="13:33" x14ac:dyDescent="0.35">
      <c r="M500" s="555">
        <v>42320</v>
      </c>
      <c r="N500" s="543" t="s">
        <v>449</v>
      </c>
      <c r="O500" s="543">
        <v>34264.559999999998</v>
      </c>
      <c r="P500" s="73" t="s">
        <v>431</v>
      </c>
      <c r="Q500" s="158">
        <v>34.43</v>
      </c>
      <c r="R500" s="563">
        <f t="shared" si="30"/>
        <v>9.7400722106768534E-3</v>
      </c>
      <c r="S500" s="563">
        <f t="shared" si="31"/>
        <v>-7.4949553185355011E-3</v>
      </c>
      <c r="AA500" s="594">
        <v>42318</v>
      </c>
      <c r="AB500" s="595" t="s">
        <v>449</v>
      </c>
      <c r="AC500" s="595">
        <v>33958.120000000003</v>
      </c>
      <c r="AD500" s="596" t="s">
        <v>395</v>
      </c>
      <c r="AE500" s="595">
        <v>276</v>
      </c>
      <c r="AF500" s="597">
        <f t="shared" si="32"/>
        <v>-1.1018896234819664E-2</v>
      </c>
      <c r="AG500" s="597">
        <f t="shared" si="33"/>
        <v>-1.2345679012345623E-2</v>
      </c>
    </row>
    <row r="501" spans="13:33" x14ac:dyDescent="0.35">
      <c r="M501" s="555">
        <v>42321</v>
      </c>
      <c r="N501" s="543" t="s">
        <v>449</v>
      </c>
      <c r="O501" s="543">
        <v>34144.78</v>
      </c>
      <c r="P501" s="73" t="s">
        <v>431</v>
      </c>
      <c r="Q501" s="158">
        <v>33.93</v>
      </c>
      <c r="R501" s="563">
        <f t="shared" si="30"/>
        <v>-3.4957402050398434E-3</v>
      </c>
      <c r="S501" s="563">
        <f t="shared" si="31"/>
        <v>-1.4522218995062453E-2</v>
      </c>
      <c r="AA501" s="594">
        <v>42319</v>
      </c>
      <c r="AB501" s="595" t="s">
        <v>449</v>
      </c>
      <c r="AC501" s="595">
        <v>33934.04</v>
      </c>
      <c r="AD501" s="596" t="s">
        <v>395</v>
      </c>
      <c r="AE501" s="595">
        <v>279.95</v>
      </c>
      <c r="AF501" s="597">
        <f t="shared" si="32"/>
        <v>-7.0910874924767775E-4</v>
      </c>
      <c r="AG501" s="597">
        <f t="shared" si="33"/>
        <v>1.4311594202898403E-2</v>
      </c>
    </row>
    <row r="502" spans="13:33" x14ac:dyDescent="0.35">
      <c r="M502" s="555">
        <v>42324</v>
      </c>
      <c r="N502" s="543" t="s">
        <v>449</v>
      </c>
      <c r="O502" s="543">
        <v>33946.410000000003</v>
      </c>
      <c r="P502" s="73" t="s">
        <v>431</v>
      </c>
      <c r="Q502" s="158">
        <v>34.47</v>
      </c>
      <c r="R502" s="563">
        <f t="shared" si="30"/>
        <v>-5.8096728108950613E-3</v>
      </c>
      <c r="S502" s="563">
        <f t="shared" si="31"/>
        <v>1.5915119363395291E-2</v>
      </c>
      <c r="AA502" s="594">
        <v>42320</v>
      </c>
      <c r="AB502" s="595" t="s">
        <v>449</v>
      </c>
      <c r="AC502" s="595">
        <v>34264.559999999998</v>
      </c>
      <c r="AD502" s="596" t="s">
        <v>395</v>
      </c>
      <c r="AE502" s="595">
        <v>281.32</v>
      </c>
      <c r="AF502" s="597">
        <f t="shared" si="32"/>
        <v>9.7400722106768534E-3</v>
      </c>
      <c r="AG502" s="597">
        <f t="shared" si="33"/>
        <v>4.8937310233969633E-3</v>
      </c>
    </row>
    <row r="503" spans="13:33" x14ac:dyDescent="0.35">
      <c r="M503" s="555">
        <v>42325</v>
      </c>
      <c r="N503" s="543" t="s">
        <v>449</v>
      </c>
      <c r="O503" s="543">
        <v>34065.870000000003</v>
      </c>
      <c r="P503" s="73" t="s">
        <v>431</v>
      </c>
      <c r="Q503" s="158">
        <v>36.18</v>
      </c>
      <c r="R503" s="563">
        <f t="shared" si="30"/>
        <v>3.5190760967065415E-3</v>
      </c>
      <c r="S503" s="563">
        <f t="shared" si="31"/>
        <v>4.9608355091383949E-2</v>
      </c>
      <c r="AA503" s="594">
        <v>42321</v>
      </c>
      <c r="AB503" s="595" t="s">
        <v>449</v>
      </c>
      <c r="AC503" s="595">
        <v>34144.78</v>
      </c>
      <c r="AD503" s="596" t="s">
        <v>395</v>
      </c>
      <c r="AE503" s="595">
        <v>285.60000000000002</v>
      </c>
      <c r="AF503" s="597">
        <f t="shared" si="32"/>
        <v>-3.4957402050398434E-3</v>
      </c>
      <c r="AG503" s="597">
        <f t="shared" si="33"/>
        <v>1.5213991184416464E-2</v>
      </c>
    </row>
    <row r="504" spans="13:33" x14ac:dyDescent="0.35">
      <c r="M504" s="555">
        <v>42326</v>
      </c>
      <c r="N504" s="543" t="s">
        <v>449</v>
      </c>
      <c r="O504" s="543">
        <v>33949.26</v>
      </c>
      <c r="P504" s="73" t="s">
        <v>431</v>
      </c>
      <c r="Q504" s="158">
        <v>37.99</v>
      </c>
      <c r="R504" s="563">
        <f t="shared" si="30"/>
        <v>-3.4230741795233666E-3</v>
      </c>
      <c r="S504" s="563">
        <f t="shared" si="31"/>
        <v>5.0027639579878436E-2</v>
      </c>
      <c r="AA504" s="594">
        <v>42324</v>
      </c>
      <c r="AB504" s="595" t="s">
        <v>449</v>
      </c>
      <c r="AC504" s="595">
        <v>33946.410000000003</v>
      </c>
      <c r="AD504" s="596" t="s">
        <v>395</v>
      </c>
      <c r="AE504" s="595">
        <v>298.45999999999998</v>
      </c>
      <c r="AF504" s="597">
        <f t="shared" si="32"/>
        <v>-5.8096728108950613E-3</v>
      </c>
      <c r="AG504" s="597">
        <f t="shared" si="33"/>
        <v>4.5028011204481633E-2</v>
      </c>
    </row>
    <row r="505" spans="13:33" x14ac:dyDescent="0.35">
      <c r="M505" s="555">
        <v>42327</v>
      </c>
      <c r="N505" s="543" t="s">
        <v>449</v>
      </c>
      <c r="O505" s="543">
        <v>33908.44</v>
      </c>
      <c r="P505" s="73" t="s">
        <v>431</v>
      </c>
      <c r="Q505" s="158">
        <v>39.28</v>
      </c>
      <c r="R505" s="563">
        <f t="shared" si="30"/>
        <v>-1.2023826145253214E-3</v>
      </c>
      <c r="S505" s="563">
        <f t="shared" si="31"/>
        <v>3.3956304290602812E-2</v>
      </c>
      <c r="AA505" s="594">
        <v>42325</v>
      </c>
      <c r="AB505" s="595" t="s">
        <v>449</v>
      </c>
      <c r="AC505" s="595">
        <v>34065.870000000003</v>
      </c>
      <c r="AD505" s="596" t="s">
        <v>395</v>
      </c>
      <c r="AE505" s="595">
        <v>293.64</v>
      </c>
      <c r="AF505" s="597">
        <f t="shared" si="32"/>
        <v>3.5190760967065415E-3</v>
      </c>
      <c r="AG505" s="597">
        <f t="shared" si="33"/>
        <v>-1.6149567781277185E-2</v>
      </c>
    </row>
    <row r="506" spans="13:33" x14ac:dyDescent="0.35">
      <c r="M506" s="555">
        <v>42328</v>
      </c>
      <c r="N506" s="543" t="s">
        <v>449</v>
      </c>
      <c r="O506" s="543">
        <v>33857</v>
      </c>
      <c r="P506" s="73" t="s">
        <v>431</v>
      </c>
      <c r="Q506" s="158">
        <v>38.380000000000003</v>
      </c>
      <c r="R506" s="563">
        <f t="shared" si="30"/>
        <v>-1.5170264394351873E-3</v>
      </c>
      <c r="S506" s="563">
        <f t="shared" si="31"/>
        <v>-2.2912423625254585E-2</v>
      </c>
      <c r="AA506" s="594">
        <v>42326</v>
      </c>
      <c r="AB506" s="595" t="s">
        <v>449</v>
      </c>
      <c r="AC506" s="595">
        <v>33949.26</v>
      </c>
      <c r="AD506" s="596" t="s">
        <v>395</v>
      </c>
      <c r="AE506" s="595">
        <v>286.20999999999998</v>
      </c>
      <c r="AF506" s="597">
        <f t="shared" si="32"/>
        <v>-3.4230741795233666E-3</v>
      </c>
      <c r="AG506" s="597">
        <f t="shared" si="33"/>
        <v>-2.5303092221768186E-2</v>
      </c>
    </row>
    <row r="507" spans="13:33" x14ac:dyDescent="0.35">
      <c r="M507" s="555">
        <v>42331</v>
      </c>
      <c r="N507" s="543" t="s">
        <v>449</v>
      </c>
      <c r="O507" s="543">
        <v>33732.910000000003</v>
      </c>
      <c r="P507" s="73" t="s">
        <v>431</v>
      </c>
      <c r="Q507" s="158">
        <v>37.85</v>
      </c>
      <c r="R507" s="563">
        <f t="shared" si="30"/>
        <v>-3.6651209498773651E-3</v>
      </c>
      <c r="S507" s="563">
        <f t="shared" si="31"/>
        <v>-1.3809275664408593E-2</v>
      </c>
      <c r="AA507" s="594">
        <v>42327</v>
      </c>
      <c r="AB507" s="595" t="s">
        <v>449</v>
      </c>
      <c r="AC507" s="595">
        <v>33908.44</v>
      </c>
      <c r="AD507" s="596" t="s">
        <v>395</v>
      </c>
      <c r="AE507" s="595">
        <v>288</v>
      </c>
      <c r="AF507" s="597">
        <f t="shared" si="32"/>
        <v>-1.2023826145253214E-3</v>
      </c>
      <c r="AG507" s="597">
        <f t="shared" si="33"/>
        <v>6.2541490513958742E-3</v>
      </c>
    </row>
    <row r="508" spans="13:33" x14ac:dyDescent="0.35">
      <c r="M508" s="555">
        <v>42332</v>
      </c>
      <c r="N508" s="543" t="s">
        <v>449</v>
      </c>
      <c r="O508" s="543">
        <v>33571.589999999997</v>
      </c>
      <c r="P508" s="73" t="s">
        <v>431</v>
      </c>
      <c r="Q508" s="158">
        <v>36.340000000000003</v>
      </c>
      <c r="R508" s="563">
        <f t="shared" si="30"/>
        <v>-4.7822734534318512E-3</v>
      </c>
      <c r="S508" s="563">
        <f t="shared" si="31"/>
        <v>-3.9894319682958979E-2</v>
      </c>
      <c r="AA508" s="594">
        <v>42328</v>
      </c>
      <c r="AB508" s="595" t="s">
        <v>449</v>
      </c>
      <c r="AC508" s="595">
        <v>33857</v>
      </c>
      <c r="AD508" s="596" t="s">
        <v>395</v>
      </c>
      <c r="AE508" s="595">
        <v>288</v>
      </c>
      <c r="AF508" s="597">
        <f t="shared" si="32"/>
        <v>-1.5170264394351873E-3</v>
      </c>
      <c r="AG508" s="597">
        <f t="shared" si="33"/>
        <v>0</v>
      </c>
    </row>
    <row r="509" spans="13:33" x14ac:dyDescent="0.35">
      <c r="M509" s="555">
        <v>42333</v>
      </c>
      <c r="N509" s="543" t="s">
        <v>449</v>
      </c>
      <c r="O509" s="543">
        <v>33199.86</v>
      </c>
      <c r="P509" s="73" t="s">
        <v>431</v>
      </c>
      <c r="Q509" s="158">
        <v>37.020000000000003</v>
      </c>
      <c r="R509" s="563">
        <f t="shared" si="30"/>
        <v>-1.1072755267176659E-2</v>
      </c>
      <c r="S509" s="563">
        <f t="shared" si="31"/>
        <v>1.8712162905888841E-2</v>
      </c>
      <c r="AA509" s="594">
        <v>42331</v>
      </c>
      <c r="AB509" s="595" t="s">
        <v>449</v>
      </c>
      <c r="AC509" s="595">
        <v>33732.910000000003</v>
      </c>
      <c r="AD509" s="596" t="s">
        <v>395</v>
      </c>
      <c r="AE509" s="595">
        <v>286.01</v>
      </c>
      <c r="AF509" s="597">
        <f t="shared" si="32"/>
        <v>-3.6651209498773651E-3</v>
      </c>
      <c r="AG509" s="597">
        <f t="shared" si="33"/>
        <v>-6.9097222222223031E-3</v>
      </c>
    </row>
    <row r="510" spans="13:33" x14ac:dyDescent="0.35">
      <c r="M510" s="555">
        <v>42334</v>
      </c>
      <c r="N510" s="543" t="s">
        <v>449</v>
      </c>
      <c r="O510" s="543">
        <v>33079.370000000003</v>
      </c>
      <c r="P510" s="73" t="s">
        <v>431</v>
      </c>
      <c r="Q510" s="158">
        <v>36.31</v>
      </c>
      <c r="R510" s="563">
        <f t="shared" si="30"/>
        <v>-3.6292321714609388E-3</v>
      </c>
      <c r="S510" s="563">
        <f t="shared" si="31"/>
        <v>-1.9178822258238859E-2</v>
      </c>
      <c r="AA510" s="589">
        <v>42332</v>
      </c>
      <c r="AB510" s="590" t="s">
        <v>449</v>
      </c>
      <c r="AC510" s="590">
        <v>33571.589999999997</v>
      </c>
      <c r="AD510" s="591" t="s">
        <v>395</v>
      </c>
      <c r="AE510" s="590">
        <v>287.88</v>
      </c>
      <c r="AF510" s="592">
        <f t="shared" si="32"/>
        <v>-4.7822734534318512E-3</v>
      </c>
      <c r="AG510" s="592">
        <f t="shared" si="33"/>
        <v>6.5382329289185304E-3</v>
      </c>
    </row>
    <row r="511" spans="13:33" x14ac:dyDescent="0.35">
      <c r="M511" s="555">
        <v>42335</v>
      </c>
      <c r="N511" s="543" t="s">
        <v>449</v>
      </c>
      <c r="O511" s="543">
        <v>32960.269999999997</v>
      </c>
      <c r="P511" s="73" t="s">
        <v>431</v>
      </c>
      <c r="Q511" s="158">
        <v>35.909999999999997</v>
      </c>
      <c r="R511" s="563">
        <f t="shared" si="30"/>
        <v>-3.6004313262315568E-3</v>
      </c>
      <c r="S511" s="563">
        <f t="shared" si="31"/>
        <v>-1.101624896722686E-2</v>
      </c>
      <c r="AA511" s="589">
        <v>42333</v>
      </c>
      <c r="AB511" s="590" t="s">
        <v>449</v>
      </c>
      <c r="AC511" s="590">
        <v>33199.86</v>
      </c>
      <c r="AD511" s="591" t="s">
        <v>395</v>
      </c>
      <c r="AE511" s="590">
        <v>288.89999999999998</v>
      </c>
      <c r="AF511" s="592">
        <f t="shared" si="32"/>
        <v>-1.1072755267176659E-2</v>
      </c>
      <c r="AG511" s="592">
        <f t="shared" si="33"/>
        <v>3.5431429762400324E-3</v>
      </c>
    </row>
    <row r="512" spans="13:33" x14ac:dyDescent="0.35">
      <c r="M512" s="555">
        <v>42338</v>
      </c>
      <c r="N512" s="543" t="s">
        <v>449</v>
      </c>
      <c r="O512" s="543">
        <v>32255.200000000001</v>
      </c>
      <c r="P512" s="73" t="s">
        <v>431</v>
      </c>
      <c r="Q512" s="158">
        <v>34.65</v>
      </c>
      <c r="R512" s="563">
        <f t="shared" si="30"/>
        <v>-2.1391511659340057E-2</v>
      </c>
      <c r="S512" s="563">
        <f t="shared" si="31"/>
        <v>-3.5087719298245612E-2</v>
      </c>
      <c r="AA512" s="594">
        <v>42334</v>
      </c>
      <c r="AB512" s="595" t="s">
        <v>449</v>
      </c>
      <c r="AC512" s="595">
        <v>33079.370000000003</v>
      </c>
      <c r="AD512" s="596" t="s">
        <v>395</v>
      </c>
      <c r="AE512" s="595">
        <v>290</v>
      </c>
      <c r="AF512" s="597">
        <f t="shared" si="32"/>
        <v>-3.6292321714609388E-3</v>
      </c>
      <c r="AG512" s="597">
        <f t="shared" si="33"/>
        <v>3.8075458636206427E-3</v>
      </c>
    </row>
    <row r="513" spans="13:33" x14ac:dyDescent="0.35">
      <c r="M513" s="555">
        <v>42339</v>
      </c>
      <c r="N513" s="543" t="s">
        <v>449</v>
      </c>
      <c r="O513" s="543">
        <v>31709.360000000001</v>
      </c>
      <c r="P513" s="73" t="s">
        <v>431</v>
      </c>
      <c r="Q513" s="158">
        <v>32.92</v>
      </c>
      <c r="R513" s="563">
        <f t="shared" si="30"/>
        <v>-1.6922542721793721E-2</v>
      </c>
      <c r="S513" s="563">
        <f t="shared" si="31"/>
        <v>-4.9927849927849821E-2</v>
      </c>
      <c r="AA513" s="594">
        <v>42335</v>
      </c>
      <c r="AB513" s="595" t="s">
        <v>449</v>
      </c>
      <c r="AC513" s="595">
        <v>32960.269999999997</v>
      </c>
      <c r="AD513" s="596" t="s">
        <v>395</v>
      </c>
      <c r="AE513" s="595">
        <v>284.98</v>
      </c>
      <c r="AF513" s="597">
        <f t="shared" si="32"/>
        <v>-3.6004313262315568E-3</v>
      </c>
      <c r="AG513" s="597">
        <f t="shared" si="33"/>
        <v>-1.7310344827586199E-2</v>
      </c>
    </row>
    <row r="514" spans="13:33" x14ac:dyDescent="0.35">
      <c r="M514" s="555">
        <v>42340</v>
      </c>
      <c r="N514" s="543" t="s">
        <v>449</v>
      </c>
      <c r="O514" s="543">
        <v>32392.92</v>
      </c>
      <c r="P514" s="73" t="s">
        <v>431</v>
      </c>
      <c r="Q514" s="158">
        <v>34.17</v>
      </c>
      <c r="R514" s="563">
        <f t="shared" si="30"/>
        <v>2.1557041832443113E-2</v>
      </c>
      <c r="S514" s="563">
        <f t="shared" si="31"/>
        <v>3.7970838396111706E-2</v>
      </c>
      <c r="AA514" s="594">
        <v>42338</v>
      </c>
      <c r="AB514" s="595" t="s">
        <v>449</v>
      </c>
      <c r="AC514" s="595">
        <v>32255.200000000001</v>
      </c>
      <c r="AD514" s="596" t="s">
        <v>395</v>
      </c>
      <c r="AE514" s="595">
        <v>278</v>
      </c>
      <c r="AF514" s="597">
        <f t="shared" si="32"/>
        <v>-2.1391511659340057E-2</v>
      </c>
      <c r="AG514" s="597">
        <f t="shared" si="33"/>
        <v>-2.4492946873464816E-2</v>
      </c>
    </row>
    <row r="515" spans="13:33" x14ac:dyDescent="0.35">
      <c r="M515" s="555">
        <v>42341</v>
      </c>
      <c r="N515" s="543" t="s">
        <v>449</v>
      </c>
      <c r="O515" s="543">
        <v>32565.14</v>
      </c>
      <c r="P515" s="73" t="s">
        <v>431</v>
      </c>
      <c r="Q515" s="158">
        <v>33.770000000000003</v>
      </c>
      <c r="R515" s="563">
        <f t="shared" si="30"/>
        <v>5.3165938729822226E-3</v>
      </c>
      <c r="S515" s="563">
        <f t="shared" si="31"/>
        <v>-1.17061750073163E-2</v>
      </c>
      <c r="AA515" s="594">
        <v>42339</v>
      </c>
      <c r="AB515" s="595" t="s">
        <v>449</v>
      </c>
      <c r="AC515" s="595">
        <v>31709.360000000001</v>
      </c>
      <c r="AD515" s="596" t="s">
        <v>395</v>
      </c>
      <c r="AE515" s="595">
        <v>278.95</v>
      </c>
      <c r="AF515" s="597">
        <f t="shared" si="32"/>
        <v>-1.6922542721793721E-2</v>
      </c>
      <c r="AG515" s="597">
        <f t="shared" si="33"/>
        <v>3.4172661870504051E-3</v>
      </c>
    </row>
    <row r="516" spans="13:33" x14ac:dyDescent="0.35">
      <c r="M516" s="555">
        <v>42342</v>
      </c>
      <c r="N516" s="543" t="s">
        <v>449</v>
      </c>
      <c r="O516" s="543">
        <v>32707.91</v>
      </c>
      <c r="P516" s="73" t="s">
        <v>431</v>
      </c>
      <c r="Q516" s="158">
        <v>34.36</v>
      </c>
      <c r="R516" s="563">
        <f t="shared" si="30"/>
        <v>4.384135919575316E-3</v>
      </c>
      <c r="S516" s="563">
        <f t="shared" si="31"/>
        <v>1.7471128220313714E-2</v>
      </c>
      <c r="AA516" s="594">
        <v>42340</v>
      </c>
      <c r="AB516" s="595" t="s">
        <v>449</v>
      </c>
      <c r="AC516" s="595">
        <v>32392.92</v>
      </c>
      <c r="AD516" s="596" t="s">
        <v>395</v>
      </c>
      <c r="AE516" s="595">
        <v>280</v>
      </c>
      <c r="AF516" s="597">
        <f t="shared" si="32"/>
        <v>2.1557041832443113E-2</v>
      </c>
      <c r="AG516" s="597">
        <f t="shared" si="33"/>
        <v>3.7641154328733606E-3</v>
      </c>
    </row>
    <row r="517" spans="13:33" x14ac:dyDescent="0.35">
      <c r="M517" s="555">
        <v>42345</v>
      </c>
      <c r="N517" s="543" t="s">
        <v>449</v>
      </c>
      <c r="O517" s="543">
        <v>32853.54</v>
      </c>
      <c r="P517" s="73" t="s">
        <v>431</v>
      </c>
      <c r="Q517" s="158">
        <v>34.04</v>
      </c>
      <c r="R517" s="563">
        <f t="shared" si="30"/>
        <v>4.4524397920870928E-3</v>
      </c>
      <c r="S517" s="563">
        <f t="shared" si="31"/>
        <v>-9.3131548311990997E-3</v>
      </c>
      <c r="AA517" s="594">
        <v>42341</v>
      </c>
      <c r="AB517" s="595" t="s">
        <v>449</v>
      </c>
      <c r="AC517" s="595">
        <v>32565.14</v>
      </c>
      <c r="AD517" s="596" t="s">
        <v>395</v>
      </c>
      <c r="AE517" s="595">
        <v>288</v>
      </c>
      <c r="AF517" s="597">
        <f t="shared" si="32"/>
        <v>5.3165938729822226E-3</v>
      </c>
      <c r="AG517" s="597">
        <f t="shared" si="33"/>
        <v>2.857142857142847E-2</v>
      </c>
    </row>
    <row r="518" spans="13:33" x14ac:dyDescent="0.35">
      <c r="M518" s="555">
        <v>42346</v>
      </c>
      <c r="N518" s="543" t="s">
        <v>449</v>
      </c>
      <c r="O518" s="543">
        <v>32791.71</v>
      </c>
      <c r="P518" s="73" t="s">
        <v>431</v>
      </c>
      <c r="Q518" s="158">
        <v>33.94</v>
      </c>
      <c r="R518" s="563">
        <f t="shared" si="30"/>
        <v>-1.881988972877835E-3</v>
      </c>
      <c r="S518" s="563">
        <f t="shared" si="31"/>
        <v>-2.9377203290247289E-3</v>
      </c>
      <c r="AA518" s="594">
        <v>42342</v>
      </c>
      <c r="AB518" s="595" t="s">
        <v>449</v>
      </c>
      <c r="AC518" s="595">
        <v>32707.91</v>
      </c>
      <c r="AD518" s="596" t="s">
        <v>395</v>
      </c>
      <c r="AE518" s="595">
        <v>288.17</v>
      </c>
      <c r="AF518" s="597">
        <f t="shared" si="32"/>
        <v>4.384135919575316E-3</v>
      </c>
      <c r="AG518" s="597">
        <f t="shared" si="33"/>
        <v>5.9027777777775903E-4</v>
      </c>
    </row>
    <row r="519" spans="13:33" x14ac:dyDescent="0.35">
      <c r="M519" s="555">
        <v>42347</v>
      </c>
      <c r="N519" s="543" t="s">
        <v>449</v>
      </c>
      <c r="O519" s="543">
        <v>33020.26</v>
      </c>
      <c r="P519" s="73" t="s">
        <v>431</v>
      </c>
      <c r="Q519" s="158">
        <v>34.75</v>
      </c>
      <c r="R519" s="563">
        <f t="shared" si="30"/>
        <v>6.969749366532163E-3</v>
      </c>
      <c r="S519" s="563">
        <f t="shared" si="31"/>
        <v>2.3865645256334833E-2</v>
      </c>
      <c r="AA519" s="594">
        <v>42345</v>
      </c>
      <c r="AB519" s="595" t="s">
        <v>449</v>
      </c>
      <c r="AC519" s="595">
        <v>32853.54</v>
      </c>
      <c r="AD519" s="596" t="s">
        <v>395</v>
      </c>
      <c r="AE519" s="595">
        <v>288.95</v>
      </c>
      <c r="AF519" s="597">
        <f t="shared" si="32"/>
        <v>4.4524397920870928E-3</v>
      </c>
      <c r="AG519" s="597">
        <f t="shared" si="33"/>
        <v>2.7067356074539362E-3</v>
      </c>
    </row>
    <row r="520" spans="13:33" x14ac:dyDescent="0.35">
      <c r="M520" s="555">
        <v>42348</v>
      </c>
      <c r="N520" s="543" t="s">
        <v>449</v>
      </c>
      <c r="O520" s="543">
        <v>33211.919999999998</v>
      </c>
      <c r="P520" s="73" t="s">
        <v>431</v>
      </c>
      <c r="Q520" s="158">
        <v>34.979999999999997</v>
      </c>
      <c r="R520" s="563">
        <f t="shared" si="30"/>
        <v>5.8043152900673078E-3</v>
      </c>
      <c r="S520" s="563">
        <f t="shared" si="31"/>
        <v>6.618705035971173E-3</v>
      </c>
      <c r="AA520" s="594">
        <v>42346</v>
      </c>
      <c r="AB520" s="595" t="s">
        <v>449</v>
      </c>
      <c r="AC520" s="595">
        <v>32791.71</v>
      </c>
      <c r="AD520" s="596" t="s">
        <v>395</v>
      </c>
      <c r="AE520" s="595">
        <v>283.95</v>
      </c>
      <c r="AF520" s="597">
        <f t="shared" si="32"/>
        <v>-1.881988972877835E-3</v>
      </c>
      <c r="AG520" s="597">
        <f t="shared" si="33"/>
        <v>-1.7304031839418532E-2</v>
      </c>
    </row>
    <row r="521" spans="13:33" x14ac:dyDescent="0.35">
      <c r="M521" s="555">
        <v>42349</v>
      </c>
      <c r="N521" s="543" t="s">
        <v>449</v>
      </c>
      <c r="O521" s="543">
        <v>33048.51</v>
      </c>
      <c r="P521" s="73" t="s">
        <v>431</v>
      </c>
      <c r="Q521" s="158">
        <v>35.36</v>
      </c>
      <c r="R521" s="563">
        <f t="shared" si="30"/>
        <v>-4.9202214144800083E-3</v>
      </c>
      <c r="S521" s="563">
        <f t="shared" si="31"/>
        <v>1.0863350485992074E-2</v>
      </c>
      <c r="AA521" s="594">
        <v>42347</v>
      </c>
      <c r="AB521" s="595" t="s">
        <v>449</v>
      </c>
      <c r="AC521" s="595">
        <v>33020.26</v>
      </c>
      <c r="AD521" s="596" t="s">
        <v>395</v>
      </c>
      <c r="AE521" s="595">
        <v>282.2</v>
      </c>
      <c r="AF521" s="597">
        <f t="shared" si="32"/>
        <v>6.969749366532163E-3</v>
      </c>
      <c r="AG521" s="597">
        <f t="shared" si="33"/>
        <v>-6.1630568762105487E-3</v>
      </c>
    </row>
    <row r="522" spans="13:33" x14ac:dyDescent="0.35">
      <c r="M522" s="555">
        <v>42352</v>
      </c>
      <c r="N522" s="543" t="s">
        <v>449</v>
      </c>
      <c r="O522" s="543">
        <v>32757.82</v>
      </c>
      <c r="P522" s="73" t="s">
        <v>431</v>
      </c>
      <c r="Q522" s="158">
        <v>34.54</v>
      </c>
      <c r="R522" s="563">
        <f t="shared" si="30"/>
        <v>-8.7958579675756488E-3</v>
      </c>
      <c r="S522" s="563">
        <f t="shared" si="31"/>
        <v>-2.3190045248868807E-2</v>
      </c>
      <c r="AA522" s="594">
        <v>42348</v>
      </c>
      <c r="AB522" s="595" t="s">
        <v>449</v>
      </c>
      <c r="AC522" s="595">
        <v>33211.919999999998</v>
      </c>
      <c r="AD522" s="596" t="s">
        <v>395</v>
      </c>
      <c r="AE522" s="595">
        <v>282</v>
      </c>
      <c r="AF522" s="597">
        <f t="shared" si="32"/>
        <v>5.8043152900673078E-3</v>
      </c>
      <c r="AG522" s="597">
        <f t="shared" si="33"/>
        <v>-7.0871722182841435E-4</v>
      </c>
    </row>
    <row r="523" spans="13:33" x14ac:dyDescent="0.35">
      <c r="M523" s="555">
        <v>42353</v>
      </c>
      <c r="N523" s="543" t="s">
        <v>449</v>
      </c>
      <c r="O523" s="543">
        <v>32467.040000000001</v>
      </c>
      <c r="P523" s="73" t="s">
        <v>431</v>
      </c>
      <c r="Q523" s="158">
        <v>34.659999999999997</v>
      </c>
      <c r="R523" s="563">
        <f t="shared" si="30"/>
        <v>-8.876659069498527E-3</v>
      </c>
      <c r="S523" s="563">
        <f t="shared" si="31"/>
        <v>3.474232773595709E-3</v>
      </c>
      <c r="AA523" s="594">
        <v>42349</v>
      </c>
      <c r="AB523" s="595" t="s">
        <v>449</v>
      </c>
      <c r="AC523" s="595">
        <v>33048.51</v>
      </c>
      <c r="AD523" s="596" t="s">
        <v>395</v>
      </c>
      <c r="AE523" s="595">
        <v>280</v>
      </c>
      <c r="AF523" s="597">
        <f t="shared" si="32"/>
        <v>-4.9202214144800083E-3</v>
      </c>
      <c r="AG523" s="597">
        <f t="shared" si="33"/>
        <v>-7.0921985815602939E-3</v>
      </c>
    </row>
    <row r="524" spans="13:33" x14ac:dyDescent="0.35">
      <c r="M524" s="555">
        <v>42354</v>
      </c>
      <c r="N524" s="543" t="s">
        <v>449</v>
      </c>
      <c r="O524" s="543">
        <v>32714.6</v>
      </c>
      <c r="P524" s="73" t="s">
        <v>431</v>
      </c>
      <c r="Q524" s="158">
        <v>34.33</v>
      </c>
      <c r="R524" s="563">
        <f t="shared" si="30"/>
        <v>7.6249636554486244E-3</v>
      </c>
      <c r="S524" s="563">
        <f t="shared" si="31"/>
        <v>-9.5210617426427779E-3</v>
      </c>
      <c r="AA524" s="594">
        <v>42352</v>
      </c>
      <c r="AB524" s="595" t="s">
        <v>449</v>
      </c>
      <c r="AC524" s="595">
        <v>32757.82</v>
      </c>
      <c r="AD524" s="596" t="s">
        <v>395</v>
      </c>
      <c r="AE524" s="595">
        <v>280.25</v>
      </c>
      <c r="AF524" s="597">
        <f t="shared" si="32"/>
        <v>-8.7958579675756488E-3</v>
      </c>
      <c r="AG524" s="597">
        <f t="shared" si="33"/>
        <v>8.9285714285725071E-4</v>
      </c>
    </row>
    <row r="525" spans="13:33" x14ac:dyDescent="0.35">
      <c r="M525" s="555">
        <v>42355</v>
      </c>
      <c r="N525" s="543" t="s">
        <v>449</v>
      </c>
      <c r="O525" s="543">
        <v>33109.54</v>
      </c>
      <c r="P525" s="73" t="s">
        <v>431</v>
      </c>
      <c r="Q525" s="158">
        <v>34.450000000000003</v>
      </c>
      <c r="R525" s="563">
        <f t="shared" si="30"/>
        <v>1.2072285768433666E-2</v>
      </c>
      <c r="S525" s="563">
        <f t="shared" si="31"/>
        <v>3.4954849985435743E-3</v>
      </c>
      <c r="AA525" s="589">
        <v>42353</v>
      </c>
      <c r="AB525" s="590" t="s">
        <v>449</v>
      </c>
      <c r="AC525" s="590">
        <v>32467.040000000001</v>
      </c>
      <c r="AD525" s="591" t="s">
        <v>395</v>
      </c>
      <c r="AE525" s="590">
        <v>280.52999999999997</v>
      </c>
      <c r="AF525" s="592">
        <f t="shared" si="32"/>
        <v>-8.876659069498527E-3</v>
      </c>
      <c r="AG525" s="592">
        <f t="shared" si="33"/>
        <v>9.9910793933988273E-4</v>
      </c>
    </row>
    <row r="526" spans="13:33" x14ac:dyDescent="0.35">
      <c r="M526" s="555">
        <v>42356</v>
      </c>
      <c r="N526" s="543" t="s">
        <v>449</v>
      </c>
      <c r="O526" s="543">
        <v>32777.040000000001</v>
      </c>
      <c r="P526" s="73" t="s">
        <v>431</v>
      </c>
      <c r="Q526" s="158">
        <v>34.03</v>
      </c>
      <c r="R526" s="563">
        <f t="shared" si="30"/>
        <v>-1.0042422818317576E-2</v>
      </c>
      <c r="S526" s="563">
        <f t="shared" si="31"/>
        <v>-1.2191582002902823E-2</v>
      </c>
      <c r="AA526" s="589">
        <v>42354</v>
      </c>
      <c r="AB526" s="590" t="s">
        <v>449</v>
      </c>
      <c r="AC526" s="590">
        <v>32714.6</v>
      </c>
      <c r="AD526" s="591" t="s">
        <v>395</v>
      </c>
      <c r="AE526" s="590">
        <v>285.67</v>
      </c>
      <c r="AF526" s="592">
        <f t="shared" si="32"/>
        <v>7.6249636554486244E-3</v>
      </c>
      <c r="AG526" s="592">
        <f t="shared" si="33"/>
        <v>1.8322461055858774E-2</v>
      </c>
    </row>
    <row r="527" spans="13:33" x14ac:dyDescent="0.35">
      <c r="M527" s="555">
        <v>42359</v>
      </c>
      <c r="N527" s="543" t="s">
        <v>449</v>
      </c>
      <c r="O527" s="543">
        <v>32658.97</v>
      </c>
      <c r="P527" s="73" t="s">
        <v>431</v>
      </c>
      <c r="Q527" s="158">
        <v>34.630000000000003</v>
      </c>
      <c r="R527" s="563">
        <f t="shared" si="30"/>
        <v>-3.6022166736227046E-3</v>
      </c>
      <c r="S527" s="563">
        <f t="shared" si="31"/>
        <v>1.7631501616220957E-2</v>
      </c>
      <c r="AA527" s="594">
        <v>42355</v>
      </c>
      <c r="AB527" s="595" t="s">
        <v>449</v>
      </c>
      <c r="AC527" s="595">
        <v>33109.54</v>
      </c>
      <c r="AD527" s="596" t="s">
        <v>395</v>
      </c>
      <c r="AE527" s="595">
        <v>285.98</v>
      </c>
      <c r="AF527" s="597">
        <f t="shared" si="32"/>
        <v>1.2072285768433666E-2</v>
      </c>
      <c r="AG527" s="597">
        <f t="shared" si="33"/>
        <v>1.0851682010710739E-3</v>
      </c>
    </row>
    <row r="528" spans="13:33" x14ac:dyDescent="0.35">
      <c r="M528" s="555">
        <v>42360</v>
      </c>
      <c r="N528" s="543" t="s">
        <v>449</v>
      </c>
      <c r="O528" s="543">
        <v>32641.09</v>
      </c>
      <c r="P528" s="73" t="s">
        <v>431</v>
      </c>
      <c r="Q528" s="158">
        <v>34.119999999999997</v>
      </c>
      <c r="R528" s="563">
        <f t="shared" si="30"/>
        <v>-5.4747593080861634E-4</v>
      </c>
      <c r="S528" s="563">
        <f t="shared" si="31"/>
        <v>-1.4727115218019171E-2</v>
      </c>
      <c r="AA528" s="594">
        <v>42356</v>
      </c>
      <c r="AB528" s="595" t="s">
        <v>449</v>
      </c>
      <c r="AC528" s="595">
        <v>32777.040000000001</v>
      </c>
      <c r="AD528" s="596" t="s">
        <v>395</v>
      </c>
      <c r="AE528" s="595">
        <v>284.99</v>
      </c>
      <c r="AF528" s="597">
        <f t="shared" si="32"/>
        <v>-1.0042422818317576E-2</v>
      </c>
      <c r="AG528" s="597">
        <f t="shared" si="33"/>
        <v>-3.461780544094073E-3</v>
      </c>
    </row>
    <row r="529" spans="13:33" x14ac:dyDescent="0.35">
      <c r="M529" s="555">
        <v>42361</v>
      </c>
      <c r="N529" s="543" t="s">
        <v>449</v>
      </c>
      <c r="O529" s="543">
        <v>32500.75</v>
      </c>
      <c r="P529" s="73" t="s">
        <v>431</v>
      </c>
      <c r="Q529" s="158">
        <v>33.69</v>
      </c>
      <c r="R529" s="563">
        <f t="shared" si="30"/>
        <v>-4.2994887731996334E-3</v>
      </c>
      <c r="S529" s="563">
        <f t="shared" si="31"/>
        <v>-1.2602579132473646E-2</v>
      </c>
      <c r="AA529" s="594">
        <v>42359</v>
      </c>
      <c r="AB529" s="595" t="s">
        <v>449</v>
      </c>
      <c r="AC529" s="595">
        <v>32658.97</v>
      </c>
      <c r="AD529" s="596" t="s">
        <v>395</v>
      </c>
      <c r="AE529" s="595">
        <v>281.29000000000002</v>
      </c>
      <c r="AF529" s="597">
        <f t="shared" si="32"/>
        <v>-3.6022166736227046E-3</v>
      </c>
      <c r="AG529" s="597">
        <f t="shared" si="33"/>
        <v>-1.2982911681111542E-2</v>
      </c>
    </row>
    <row r="530" spans="13:33" x14ac:dyDescent="0.35">
      <c r="M530" s="526">
        <v>42367</v>
      </c>
      <c r="N530" s="524" t="s">
        <v>449</v>
      </c>
      <c r="O530" s="524">
        <v>32811.89</v>
      </c>
      <c r="P530" s="73" t="s">
        <v>431</v>
      </c>
      <c r="Q530">
        <v>33.08</v>
      </c>
      <c r="R530" s="563">
        <f t="shared" si="30"/>
        <v>9.5733175388259539E-3</v>
      </c>
      <c r="S530" s="563">
        <f t="shared" si="31"/>
        <v>-1.8106262986049226E-2</v>
      </c>
      <c r="AA530" s="594">
        <v>42360</v>
      </c>
      <c r="AB530" s="595" t="s">
        <v>449</v>
      </c>
      <c r="AC530" s="595">
        <v>32641.09</v>
      </c>
      <c r="AD530" s="596" t="s">
        <v>395</v>
      </c>
      <c r="AE530" s="595">
        <v>287.54000000000002</v>
      </c>
      <c r="AF530" s="597">
        <f t="shared" si="32"/>
        <v>-5.4747593080861634E-4</v>
      </c>
      <c r="AG530" s="597">
        <f t="shared" si="33"/>
        <v>2.2219062177823545E-2</v>
      </c>
    </row>
    <row r="531" spans="13:33" x14ac:dyDescent="0.35">
      <c r="M531" s="555">
        <v>42368</v>
      </c>
      <c r="N531" s="543" t="s">
        <v>449</v>
      </c>
      <c r="O531" s="543">
        <v>32825.03</v>
      </c>
      <c r="P531" s="73" t="s">
        <v>431</v>
      </c>
      <c r="Q531" s="158">
        <v>33.130000000000003</v>
      </c>
      <c r="R531" s="563">
        <f t="shared" si="30"/>
        <v>4.0046458768450144E-4</v>
      </c>
      <c r="S531" s="563">
        <f t="shared" si="31"/>
        <v>1.5114873035066978E-3</v>
      </c>
      <c r="AA531" s="594">
        <v>42361</v>
      </c>
      <c r="AB531" s="595" t="s">
        <v>449</v>
      </c>
      <c r="AC531" s="595">
        <v>32500.75</v>
      </c>
      <c r="AD531" s="596" t="s">
        <v>395</v>
      </c>
      <c r="AE531" s="595">
        <v>281.3</v>
      </c>
      <c r="AF531" s="597">
        <f t="shared" si="32"/>
        <v>-4.2994887731996334E-3</v>
      </c>
      <c r="AG531" s="597">
        <f t="shared" si="33"/>
        <v>-2.1701328510815965E-2</v>
      </c>
    </row>
    <row r="532" spans="13:33" x14ac:dyDescent="0.35">
      <c r="M532" s="555">
        <v>42369</v>
      </c>
      <c r="N532" s="543" t="s">
        <v>449</v>
      </c>
      <c r="O532" s="543">
        <v>32816.31</v>
      </c>
      <c r="P532" s="73" t="s">
        <v>431</v>
      </c>
      <c r="Q532" s="158">
        <v>32.909999999999997</v>
      </c>
      <c r="R532" s="563">
        <f t="shared" si="30"/>
        <v>-2.6565093771435677E-4</v>
      </c>
      <c r="S532" s="563">
        <f t="shared" si="31"/>
        <v>-6.6405070932691324E-3</v>
      </c>
      <c r="AA532" s="594">
        <v>42367</v>
      </c>
      <c r="AB532" s="595" t="s">
        <v>449</v>
      </c>
      <c r="AC532" s="595">
        <v>32811.89</v>
      </c>
      <c r="AD532" s="596" t="s">
        <v>395</v>
      </c>
      <c r="AE532" s="595">
        <v>283.5</v>
      </c>
      <c r="AF532" s="597">
        <f t="shared" si="32"/>
        <v>9.5733175388259539E-3</v>
      </c>
      <c r="AG532" s="597">
        <f t="shared" si="33"/>
        <v>7.8208318521151288E-3</v>
      </c>
    </row>
    <row r="533" spans="13:33" x14ac:dyDescent="0.35">
      <c r="M533" s="555">
        <v>42370</v>
      </c>
      <c r="N533" s="543" t="s">
        <v>449</v>
      </c>
      <c r="O533" s="543">
        <v>33228.949999999997</v>
      </c>
      <c r="P533" s="73" t="s">
        <v>431</v>
      </c>
      <c r="Q533" s="158">
        <v>33.42</v>
      </c>
      <c r="R533" s="563">
        <f t="shared" si="30"/>
        <v>1.2574235189757754E-2</v>
      </c>
      <c r="S533" s="563">
        <f t="shared" si="31"/>
        <v>1.549680948040133E-2</v>
      </c>
      <c r="AA533" s="594">
        <v>42368</v>
      </c>
      <c r="AB533" s="595" t="s">
        <v>449</v>
      </c>
      <c r="AC533" s="595">
        <v>32825.03</v>
      </c>
      <c r="AD533" s="596" t="s">
        <v>395</v>
      </c>
      <c r="AE533" s="595">
        <v>284</v>
      </c>
      <c r="AF533" s="597">
        <f t="shared" si="32"/>
        <v>4.0046458768450144E-4</v>
      </c>
      <c r="AG533" s="597">
        <f t="shared" si="33"/>
        <v>1.7636684303350414E-3</v>
      </c>
    </row>
    <row r="534" spans="13:33" x14ac:dyDescent="0.35">
      <c r="M534" s="555">
        <v>42373</v>
      </c>
      <c r="N534" s="543" t="s">
        <v>449</v>
      </c>
      <c r="O534" s="543">
        <v>33009.129999999997</v>
      </c>
      <c r="P534" s="73" t="s">
        <v>431</v>
      </c>
      <c r="Q534" s="158">
        <v>33.24</v>
      </c>
      <c r="R534" s="563">
        <f t="shared" si="30"/>
        <v>-6.6153158616206742E-3</v>
      </c>
      <c r="S534" s="563">
        <f t="shared" si="31"/>
        <v>-5.3859964093356805E-3</v>
      </c>
      <c r="AA534" s="594">
        <v>42369</v>
      </c>
      <c r="AB534" s="595" t="s">
        <v>449</v>
      </c>
      <c r="AC534" s="595">
        <v>32816.31</v>
      </c>
      <c r="AD534" s="596" t="s">
        <v>395</v>
      </c>
      <c r="AE534" s="595">
        <v>285</v>
      </c>
      <c r="AF534" s="597">
        <f t="shared" si="32"/>
        <v>-2.6565093771435677E-4</v>
      </c>
      <c r="AG534" s="597">
        <f t="shared" si="33"/>
        <v>3.5211267605634866E-3</v>
      </c>
    </row>
    <row r="535" spans="13:33" x14ac:dyDescent="0.35">
      <c r="M535" s="555">
        <v>42374</v>
      </c>
      <c r="N535" s="543" t="s">
        <v>449</v>
      </c>
      <c r="O535" s="543">
        <v>32983.47</v>
      </c>
      <c r="P535" s="73" t="s">
        <v>431</v>
      </c>
      <c r="Q535" s="158">
        <v>32.119999999999997</v>
      </c>
      <c r="R535" s="563">
        <f t="shared" si="30"/>
        <v>-7.773606877853334E-4</v>
      </c>
      <c r="S535" s="563">
        <f t="shared" si="31"/>
        <v>-3.3694344163658352E-2</v>
      </c>
      <c r="AA535" s="594">
        <v>42370</v>
      </c>
      <c r="AB535" s="595" t="s">
        <v>449</v>
      </c>
      <c r="AC535" s="595">
        <v>33228.949999999997</v>
      </c>
      <c r="AD535" s="596" t="s">
        <v>395</v>
      </c>
      <c r="AE535" s="595">
        <v>287</v>
      </c>
      <c r="AF535" s="597">
        <f t="shared" si="32"/>
        <v>1.2574235189757754E-2</v>
      </c>
      <c r="AG535" s="597">
        <f t="shared" si="33"/>
        <v>7.0175438596491446E-3</v>
      </c>
    </row>
    <row r="536" spans="13:33" x14ac:dyDescent="0.35">
      <c r="M536" s="555">
        <v>42375</v>
      </c>
      <c r="N536" s="543" t="s">
        <v>449</v>
      </c>
      <c r="O536" s="543">
        <v>32968.26</v>
      </c>
      <c r="P536" s="73" t="s">
        <v>431</v>
      </c>
      <c r="Q536" s="158">
        <v>32.49</v>
      </c>
      <c r="R536" s="563">
        <f t="shared" si="30"/>
        <v>-4.6114008016739927E-4</v>
      </c>
      <c r="S536" s="563">
        <f t="shared" si="31"/>
        <v>1.1519302615193183E-2</v>
      </c>
      <c r="AA536" s="594">
        <v>42373</v>
      </c>
      <c r="AB536" s="595" t="s">
        <v>449</v>
      </c>
      <c r="AC536" s="595">
        <v>33009.129999999997</v>
      </c>
      <c r="AD536" s="596" t="s">
        <v>395</v>
      </c>
      <c r="AE536" s="595">
        <v>280</v>
      </c>
      <c r="AF536" s="597">
        <f t="shared" si="32"/>
        <v>-6.6153158616206742E-3</v>
      </c>
      <c r="AG536" s="597">
        <f t="shared" si="33"/>
        <v>-2.4390243902439046E-2</v>
      </c>
    </row>
    <row r="537" spans="13:33" x14ac:dyDescent="0.35">
      <c r="M537" s="555">
        <v>42376</v>
      </c>
      <c r="N537" s="543" t="s">
        <v>449</v>
      </c>
      <c r="O537" s="543">
        <v>32682.5</v>
      </c>
      <c r="P537" s="73" t="s">
        <v>431</v>
      </c>
      <c r="Q537" s="158">
        <v>31.66</v>
      </c>
      <c r="R537" s="563">
        <f t="shared" si="30"/>
        <v>-8.6677307203959497E-3</v>
      </c>
      <c r="S537" s="563">
        <f t="shared" si="31"/>
        <v>-2.5546321945214001E-2</v>
      </c>
      <c r="AA537" s="594">
        <v>42374</v>
      </c>
      <c r="AB537" s="595" t="s">
        <v>449</v>
      </c>
      <c r="AC537" s="595">
        <v>32983.47</v>
      </c>
      <c r="AD537" s="596" t="s">
        <v>395</v>
      </c>
      <c r="AE537" s="595">
        <v>282</v>
      </c>
      <c r="AF537" s="597">
        <f t="shared" si="32"/>
        <v>-7.773606877853334E-4</v>
      </c>
      <c r="AG537" s="597">
        <f t="shared" si="33"/>
        <v>7.1428571428571175E-3</v>
      </c>
    </row>
    <row r="538" spans="13:33" x14ac:dyDescent="0.35">
      <c r="M538" s="555">
        <v>42377</v>
      </c>
      <c r="N538" s="543" t="s">
        <v>449</v>
      </c>
      <c r="O538" s="543">
        <v>32534.85</v>
      </c>
      <c r="P538" s="73" t="s">
        <v>431</v>
      </c>
      <c r="Q538" s="158">
        <v>31.56</v>
      </c>
      <c r="R538" s="563">
        <f t="shared" ref="R538:R601" si="34">(O538/O537)-1</f>
        <v>-4.5177082536526081E-3</v>
      </c>
      <c r="S538" s="563">
        <f t="shared" ref="S538:S601" si="35">(Q538/Q537)-1</f>
        <v>-3.1585596967783625E-3</v>
      </c>
      <c r="AA538" s="594">
        <v>42375</v>
      </c>
      <c r="AB538" s="595" t="s">
        <v>449</v>
      </c>
      <c r="AC538" s="595">
        <v>32968.26</v>
      </c>
      <c r="AD538" s="596" t="s">
        <v>395</v>
      </c>
      <c r="AE538" s="595">
        <v>284.95</v>
      </c>
      <c r="AF538" s="597">
        <f t="shared" si="32"/>
        <v>-4.6114008016739927E-4</v>
      </c>
      <c r="AG538" s="597">
        <f t="shared" si="33"/>
        <v>1.0460992907801447E-2</v>
      </c>
    </row>
    <row r="539" spans="13:33" x14ac:dyDescent="0.35">
      <c r="M539" s="555">
        <v>42380</v>
      </c>
      <c r="N539" s="543" t="s">
        <v>449</v>
      </c>
      <c r="O539" s="543">
        <v>32320.05</v>
      </c>
      <c r="P539" s="73" t="s">
        <v>431</v>
      </c>
      <c r="Q539" s="158">
        <v>30.56</v>
      </c>
      <c r="R539" s="563">
        <f t="shared" si="34"/>
        <v>-6.6021512316792874E-3</v>
      </c>
      <c r="S539" s="563">
        <f t="shared" si="35"/>
        <v>-3.1685678073510748E-2</v>
      </c>
      <c r="AA539" s="594">
        <v>42376</v>
      </c>
      <c r="AB539" s="595" t="s">
        <v>449</v>
      </c>
      <c r="AC539" s="595">
        <v>32682.5</v>
      </c>
      <c r="AD539" s="596" t="s">
        <v>395</v>
      </c>
      <c r="AE539" s="595">
        <v>280</v>
      </c>
      <c r="AF539" s="597">
        <f t="shared" si="32"/>
        <v>-8.6677307203959497E-3</v>
      </c>
      <c r="AG539" s="597">
        <f t="shared" si="33"/>
        <v>-1.7371468678715529E-2</v>
      </c>
    </row>
    <row r="540" spans="13:33" x14ac:dyDescent="0.35">
      <c r="M540" s="555">
        <v>42381</v>
      </c>
      <c r="N540" s="543" t="s">
        <v>449</v>
      </c>
      <c r="O540" s="543">
        <v>32265.65</v>
      </c>
      <c r="P540" s="73" t="s">
        <v>431</v>
      </c>
      <c r="Q540" s="158">
        <v>30.05</v>
      </c>
      <c r="R540" s="563">
        <f t="shared" si="34"/>
        <v>-1.6831657129242616E-3</v>
      </c>
      <c r="S540" s="563">
        <f t="shared" si="35"/>
        <v>-1.6688481675392608E-2</v>
      </c>
      <c r="AA540" s="594">
        <v>42377</v>
      </c>
      <c r="AB540" s="595" t="s">
        <v>449</v>
      </c>
      <c r="AC540" s="595">
        <v>32534.85</v>
      </c>
      <c r="AD540" s="596" t="s">
        <v>395</v>
      </c>
      <c r="AE540" s="595">
        <v>282</v>
      </c>
      <c r="AF540" s="597">
        <f t="shared" ref="AF540:AF603" si="36">(AC540/AC539)-1</f>
        <v>-4.5177082536526081E-3</v>
      </c>
      <c r="AG540" s="597">
        <f t="shared" ref="AG540:AG603" si="37">(AE540/AE539)-1</f>
        <v>7.1428571428571175E-3</v>
      </c>
    </row>
    <row r="541" spans="13:33" x14ac:dyDescent="0.35">
      <c r="M541" s="555">
        <v>42382</v>
      </c>
      <c r="N541" s="543" t="s">
        <v>449</v>
      </c>
      <c r="O541" s="543">
        <v>32154.17</v>
      </c>
      <c r="P541" s="73" t="s">
        <v>431</v>
      </c>
      <c r="Q541" s="158">
        <v>28.82</v>
      </c>
      <c r="R541" s="563">
        <f t="shared" si="34"/>
        <v>-3.4550675408678844E-3</v>
      </c>
      <c r="S541" s="563">
        <f t="shared" si="35"/>
        <v>-4.0931780366056603E-2</v>
      </c>
      <c r="AA541" s="594">
        <v>42380</v>
      </c>
      <c r="AB541" s="595" t="s">
        <v>449</v>
      </c>
      <c r="AC541" s="595">
        <v>32320.05</v>
      </c>
      <c r="AD541" s="596" t="s">
        <v>395</v>
      </c>
      <c r="AE541" s="595">
        <v>276.52</v>
      </c>
      <c r="AF541" s="597">
        <f t="shared" si="36"/>
        <v>-6.6021512316792874E-3</v>
      </c>
      <c r="AG541" s="597">
        <f t="shared" si="37"/>
        <v>-1.9432624113475239E-2</v>
      </c>
    </row>
    <row r="542" spans="13:33" x14ac:dyDescent="0.35">
      <c r="M542" s="555">
        <v>42383</v>
      </c>
      <c r="N542" s="543" t="s">
        <v>449</v>
      </c>
      <c r="O542" s="543">
        <v>31441.02</v>
      </c>
      <c r="P542" s="73" t="s">
        <v>431</v>
      </c>
      <c r="Q542" s="158">
        <v>27.4</v>
      </c>
      <c r="R542" s="563">
        <f t="shared" si="34"/>
        <v>-2.2179082837467057E-2</v>
      </c>
      <c r="S542" s="563">
        <f t="shared" si="35"/>
        <v>-4.9271339347675247E-2</v>
      </c>
      <c r="AA542" s="594">
        <v>42381</v>
      </c>
      <c r="AB542" s="595" t="s">
        <v>449</v>
      </c>
      <c r="AC542" s="595">
        <v>32265.65</v>
      </c>
      <c r="AD542" s="596" t="s">
        <v>395</v>
      </c>
      <c r="AE542" s="595">
        <v>275</v>
      </c>
      <c r="AF542" s="597">
        <f t="shared" si="36"/>
        <v>-1.6831657129242616E-3</v>
      </c>
      <c r="AG542" s="597">
        <f t="shared" si="37"/>
        <v>-5.4968899175465991E-3</v>
      </c>
    </row>
    <row r="543" spans="13:33" x14ac:dyDescent="0.35">
      <c r="M543" s="555">
        <v>42384</v>
      </c>
      <c r="N543" s="543" t="s">
        <v>449</v>
      </c>
      <c r="O543" s="543">
        <v>31001.49</v>
      </c>
      <c r="P543" s="73" t="s">
        <v>431</v>
      </c>
      <c r="Q543" s="158">
        <v>26.1</v>
      </c>
      <c r="R543" s="563">
        <f t="shared" si="34"/>
        <v>-1.3979508298394894E-2</v>
      </c>
      <c r="S543" s="563">
        <f t="shared" si="35"/>
        <v>-4.7445255474452441E-2</v>
      </c>
      <c r="AA543" s="594">
        <v>42382</v>
      </c>
      <c r="AB543" s="595" t="s">
        <v>449</v>
      </c>
      <c r="AC543" s="595">
        <v>32154.17</v>
      </c>
      <c r="AD543" s="596" t="s">
        <v>395</v>
      </c>
      <c r="AE543" s="595">
        <v>266.88</v>
      </c>
      <c r="AF543" s="597">
        <f t="shared" si="36"/>
        <v>-3.4550675408678844E-3</v>
      </c>
      <c r="AG543" s="597">
        <f t="shared" si="37"/>
        <v>-2.9527272727272735E-2</v>
      </c>
    </row>
    <row r="544" spans="13:33" x14ac:dyDescent="0.35">
      <c r="M544" s="555">
        <v>42387</v>
      </c>
      <c r="N544" s="543" t="s">
        <v>449</v>
      </c>
      <c r="O544" s="543">
        <v>30628.400000000001</v>
      </c>
      <c r="P544" s="73" t="s">
        <v>431</v>
      </c>
      <c r="Q544" s="158">
        <v>25.82</v>
      </c>
      <c r="R544" s="563">
        <f t="shared" si="34"/>
        <v>-1.2034582853920894E-2</v>
      </c>
      <c r="S544" s="563">
        <f t="shared" si="35"/>
        <v>-1.072796934865905E-2</v>
      </c>
      <c r="AA544" s="594">
        <v>42383</v>
      </c>
      <c r="AB544" s="595" t="s">
        <v>449</v>
      </c>
      <c r="AC544" s="595">
        <v>31441.02</v>
      </c>
      <c r="AD544" s="596" t="s">
        <v>395</v>
      </c>
      <c r="AE544" s="595">
        <v>260</v>
      </c>
      <c r="AF544" s="597">
        <f t="shared" si="36"/>
        <v>-2.2179082837467057E-2</v>
      </c>
      <c r="AG544" s="597">
        <f t="shared" si="37"/>
        <v>-2.577937649880091E-2</v>
      </c>
    </row>
    <row r="545" spans="13:33" x14ac:dyDescent="0.35">
      <c r="M545" s="555">
        <v>42388</v>
      </c>
      <c r="N545" s="543" t="s">
        <v>449</v>
      </c>
      <c r="O545" s="543">
        <v>31092.61</v>
      </c>
      <c r="P545" s="73" t="s">
        <v>431</v>
      </c>
      <c r="Q545" s="158">
        <v>27.1</v>
      </c>
      <c r="R545" s="563">
        <f t="shared" si="34"/>
        <v>1.5156194904075937E-2</v>
      </c>
      <c r="S545" s="563">
        <f t="shared" si="35"/>
        <v>4.9573973663826543E-2</v>
      </c>
      <c r="AA545" s="594">
        <v>42384</v>
      </c>
      <c r="AB545" s="595" t="s">
        <v>449</v>
      </c>
      <c r="AC545" s="595">
        <v>31001.49</v>
      </c>
      <c r="AD545" s="596" t="s">
        <v>395</v>
      </c>
      <c r="AE545" s="595">
        <v>255</v>
      </c>
      <c r="AF545" s="597">
        <f t="shared" si="36"/>
        <v>-1.3979508298394894E-2</v>
      </c>
      <c r="AG545" s="597">
        <f t="shared" si="37"/>
        <v>-1.9230769230769273E-2</v>
      </c>
    </row>
    <row r="546" spans="13:33" x14ac:dyDescent="0.35">
      <c r="M546" s="555">
        <v>42389</v>
      </c>
      <c r="N546" s="543" t="s">
        <v>449</v>
      </c>
      <c r="O546" s="543">
        <v>30766.01</v>
      </c>
      <c r="P546" s="73" t="s">
        <v>431</v>
      </c>
      <c r="Q546" s="158">
        <v>27.57</v>
      </c>
      <c r="R546" s="563">
        <f t="shared" si="34"/>
        <v>-1.0504103708244616E-2</v>
      </c>
      <c r="S546" s="563">
        <f t="shared" si="35"/>
        <v>1.7343173431734193E-2</v>
      </c>
      <c r="AA546" s="594">
        <v>42387</v>
      </c>
      <c r="AB546" s="595" t="s">
        <v>449</v>
      </c>
      <c r="AC546" s="595">
        <v>30628.400000000001</v>
      </c>
      <c r="AD546" s="596" t="s">
        <v>395</v>
      </c>
      <c r="AE546" s="595">
        <v>247.5</v>
      </c>
      <c r="AF546" s="597">
        <f t="shared" si="36"/>
        <v>-1.2034582853920894E-2</v>
      </c>
      <c r="AG546" s="597">
        <f t="shared" si="37"/>
        <v>-2.9411764705882359E-2</v>
      </c>
    </row>
    <row r="547" spans="13:33" x14ac:dyDescent="0.35">
      <c r="M547" s="555">
        <v>42390</v>
      </c>
      <c r="N547" s="543" t="s">
        <v>449</v>
      </c>
      <c r="O547" s="543">
        <v>30751.8</v>
      </c>
      <c r="P547" s="73" t="s">
        <v>431</v>
      </c>
      <c r="Q547" s="158">
        <v>28.36</v>
      </c>
      <c r="R547" s="563">
        <f t="shared" si="34"/>
        <v>-4.6187334659253398E-4</v>
      </c>
      <c r="S547" s="563">
        <f t="shared" si="35"/>
        <v>2.8654334421472694E-2</v>
      </c>
      <c r="AA547" s="594">
        <v>42388</v>
      </c>
      <c r="AB547" s="595" t="s">
        <v>449</v>
      </c>
      <c r="AC547" s="595">
        <v>31092.61</v>
      </c>
      <c r="AD547" s="596" t="s">
        <v>395</v>
      </c>
      <c r="AE547" s="595">
        <v>259.60000000000002</v>
      </c>
      <c r="AF547" s="597">
        <f t="shared" si="36"/>
        <v>1.5156194904075937E-2</v>
      </c>
      <c r="AG547" s="597">
        <f t="shared" si="37"/>
        <v>4.8888888888888982E-2</v>
      </c>
    </row>
    <row r="548" spans="13:33" x14ac:dyDescent="0.35">
      <c r="M548" s="555">
        <v>42391</v>
      </c>
      <c r="N548" s="543" t="s">
        <v>449</v>
      </c>
      <c r="O548" s="543">
        <v>30949.03</v>
      </c>
      <c r="P548" s="73" t="s">
        <v>431</v>
      </c>
      <c r="Q548" s="158">
        <v>29.75</v>
      </c>
      <c r="R548" s="563">
        <f t="shared" si="34"/>
        <v>6.4136083091070883E-3</v>
      </c>
      <c r="S548" s="563">
        <f t="shared" si="35"/>
        <v>4.9012693935119866E-2</v>
      </c>
      <c r="AA548" s="594">
        <v>42389</v>
      </c>
      <c r="AB548" s="595" t="s">
        <v>449</v>
      </c>
      <c r="AC548" s="595">
        <v>30766.01</v>
      </c>
      <c r="AD548" s="596" t="s">
        <v>395</v>
      </c>
      <c r="AE548" s="595">
        <v>272.58</v>
      </c>
      <c r="AF548" s="597">
        <f t="shared" si="36"/>
        <v>-1.0504103708244616E-2</v>
      </c>
      <c r="AG548" s="597">
        <f t="shared" si="37"/>
        <v>4.9999999999999822E-2</v>
      </c>
    </row>
    <row r="549" spans="13:33" x14ac:dyDescent="0.35">
      <c r="M549" s="555">
        <v>42394</v>
      </c>
      <c r="N549" s="543" t="s">
        <v>449</v>
      </c>
      <c r="O549" s="543">
        <v>31065.13</v>
      </c>
      <c r="P549" s="73" t="s">
        <v>431</v>
      </c>
      <c r="Q549" s="158">
        <v>30.16</v>
      </c>
      <c r="R549" s="563">
        <f t="shared" si="34"/>
        <v>3.7513292015938227E-3</v>
      </c>
      <c r="S549" s="563">
        <f t="shared" si="35"/>
        <v>1.3781512605042012E-2</v>
      </c>
      <c r="AA549" s="594">
        <v>42390</v>
      </c>
      <c r="AB549" s="595" t="s">
        <v>449</v>
      </c>
      <c r="AC549" s="595">
        <v>30751.8</v>
      </c>
      <c r="AD549" s="596" t="s">
        <v>395</v>
      </c>
      <c r="AE549" s="595">
        <v>261.87</v>
      </c>
      <c r="AF549" s="597">
        <f t="shared" si="36"/>
        <v>-4.6187334659253398E-4</v>
      </c>
      <c r="AG549" s="597">
        <f t="shared" si="37"/>
        <v>-3.9291217257318878E-2</v>
      </c>
    </row>
    <row r="550" spans="13:33" x14ac:dyDescent="0.35">
      <c r="M550" s="555">
        <v>42395</v>
      </c>
      <c r="N550" s="543" t="s">
        <v>449</v>
      </c>
      <c r="O550" s="543">
        <v>31074.38</v>
      </c>
      <c r="P550" s="73" t="s">
        <v>431</v>
      </c>
      <c r="Q550" s="158">
        <v>31.53</v>
      </c>
      <c r="R550" s="563">
        <f t="shared" si="34"/>
        <v>2.9776150944815782E-4</v>
      </c>
      <c r="S550" s="563">
        <f t="shared" si="35"/>
        <v>4.5424403183023987E-2</v>
      </c>
      <c r="AA550" s="594">
        <v>42391</v>
      </c>
      <c r="AB550" s="595" t="s">
        <v>449</v>
      </c>
      <c r="AC550" s="595">
        <v>30949.03</v>
      </c>
      <c r="AD550" s="596" t="s">
        <v>395</v>
      </c>
      <c r="AE550" s="595">
        <v>267.89999999999998</v>
      </c>
      <c r="AF550" s="597">
        <f t="shared" si="36"/>
        <v>6.4136083091070883E-3</v>
      </c>
      <c r="AG550" s="597">
        <f t="shared" si="37"/>
        <v>2.3026692633749457E-2</v>
      </c>
    </row>
    <row r="551" spans="13:33" x14ac:dyDescent="0.35">
      <c r="M551" s="555">
        <v>42396</v>
      </c>
      <c r="N551" s="543" t="s">
        <v>449</v>
      </c>
      <c r="O551" s="543">
        <v>31101.38</v>
      </c>
      <c r="P551" s="73" t="s">
        <v>431</v>
      </c>
      <c r="Q551" s="158">
        <v>30.51</v>
      </c>
      <c r="R551" s="563">
        <f t="shared" si="34"/>
        <v>8.6888298334519831E-4</v>
      </c>
      <c r="S551" s="563">
        <f t="shared" si="35"/>
        <v>-3.2350142721217834E-2</v>
      </c>
      <c r="AA551" s="594">
        <v>42394</v>
      </c>
      <c r="AB551" s="595" t="s">
        <v>449</v>
      </c>
      <c r="AC551" s="595">
        <v>31065.13</v>
      </c>
      <c r="AD551" s="596" t="s">
        <v>395</v>
      </c>
      <c r="AE551" s="595">
        <v>260</v>
      </c>
      <c r="AF551" s="597">
        <f t="shared" si="36"/>
        <v>3.7513292015938227E-3</v>
      </c>
      <c r="AG551" s="597">
        <f t="shared" si="37"/>
        <v>-2.9488615154908415E-2</v>
      </c>
    </row>
    <row r="552" spans="13:33" x14ac:dyDescent="0.35">
      <c r="M552" s="555">
        <v>42397</v>
      </c>
      <c r="N552" s="543" t="s">
        <v>449</v>
      </c>
      <c r="O552" s="543">
        <v>31193.73</v>
      </c>
      <c r="P552" s="73" t="s">
        <v>431</v>
      </c>
      <c r="Q552" s="158">
        <v>30.35</v>
      </c>
      <c r="R552" s="563">
        <f t="shared" si="34"/>
        <v>2.969321618526255E-3</v>
      </c>
      <c r="S552" s="563">
        <f t="shared" si="35"/>
        <v>-5.2441822353326284E-3</v>
      </c>
      <c r="AA552" s="594">
        <v>42395</v>
      </c>
      <c r="AB552" s="595" t="s">
        <v>449</v>
      </c>
      <c r="AC552" s="595">
        <v>31074.38</v>
      </c>
      <c r="AD552" s="596" t="s">
        <v>395</v>
      </c>
      <c r="AE552" s="595">
        <v>260</v>
      </c>
      <c r="AF552" s="597">
        <f t="shared" si="36"/>
        <v>2.9776150944815782E-4</v>
      </c>
      <c r="AG552" s="597">
        <f t="shared" si="37"/>
        <v>0</v>
      </c>
    </row>
    <row r="553" spans="13:33" x14ac:dyDescent="0.35">
      <c r="M553" s="555">
        <v>42398</v>
      </c>
      <c r="N553" s="543" t="s">
        <v>449</v>
      </c>
      <c r="O553" s="543">
        <v>31298.6</v>
      </c>
      <c r="P553" s="73" t="s">
        <v>431</v>
      </c>
      <c r="Q553" s="158">
        <v>30.14</v>
      </c>
      <c r="R553" s="563">
        <f t="shared" si="34"/>
        <v>3.361893560019924E-3</v>
      </c>
      <c r="S553" s="563">
        <f t="shared" si="35"/>
        <v>-6.9192751235584993E-3</v>
      </c>
      <c r="AA553" s="594">
        <v>42396</v>
      </c>
      <c r="AB553" s="595" t="s">
        <v>449</v>
      </c>
      <c r="AC553" s="595">
        <v>31101.38</v>
      </c>
      <c r="AD553" s="596" t="s">
        <v>395</v>
      </c>
      <c r="AE553" s="595">
        <v>269.02999999999997</v>
      </c>
      <c r="AF553" s="597">
        <f t="shared" si="36"/>
        <v>8.6888298334519831E-4</v>
      </c>
      <c r="AG553" s="597">
        <f t="shared" si="37"/>
        <v>3.4730769230769232E-2</v>
      </c>
    </row>
    <row r="554" spans="13:33" x14ac:dyDescent="0.35">
      <c r="M554" s="555">
        <v>42401</v>
      </c>
      <c r="N554" s="543" t="s">
        <v>449</v>
      </c>
      <c r="O554" s="543">
        <v>31878.15</v>
      </c>
      <c r="P554" s="73" t="s">
        <v>431</v>
      </c>
      <c r="Q554" s="158">
        <v>29.55</v>
      </c>
      <c r="R554" s="563">
        <f t="shared" si="34"/>
        <v>1.8516802668490095E-2</v>
      </c>
      <c r="S554" s="563">
        <f t="shared" si="35"/>
        <v>-1.9575315195753173E-2</v>
      </c>
      <c r="AA554" s="594">
        <v>42397</v>
      </c>
      <c r="AB554" s="595" t="s">
        <v>449</v>
      </c>
      <c r="AC554" s="595">
        <v>31193.73</v>
      </c>
      <c r="AD554" s="596" t="s">
        <v>395</v>
      </c>
      <c r="AE554" s="595">
        <v>276.33</v>
      </c>
      <c r="AF554" s="597">
        <f t="shared" si="36"/>
        <v>2.969321618526255E-3</v>
      </c>
      <c r="AG554" s="597">
        <f t="shared" si="37"/>
        <v>2.7134520313719657E-2</v>
      </c>
    </row>
    <row r="555" spans="13:33" x14ac:dyDescent="0.35">
      <c r="M555" s="555">
        <v>42402</v>
      </c>
      <c r="N555" s="543" t="s">
        <v>449</v>
      </c>
      <c r="O555" s="543">
        <v>31960.61</v>
      </c>
      <c r="P555" s="73" t="s">
        <v>431</v>
      </c>
      <c r="Q555" s="158">
        <v>29.4</v>
      </c>
      <c r="R555" s="563">
        <f t="shared" si="34"/>
        <v>2.5867247628861278E-3</v>
      </c>
      <c r="S555" s="563">
        <f t="shared" si="35"/>
        <v>-5.0761421319798217E-3</v>
      </c>
      <c r="AA555" s="594">
        <v>42398</v>
      </c>
      <c r="AB555" s="595" t="s">
        <v>449</v>
      </c>
      <c r="AC555" s="595">
        <v>31298.6</v>
      </c>
      <c r="AD555" s="596" t="s">
        <v>395</v>
      </c>
      <c r="AE555" s="595">
        <v>267.48</v>
      </c>
      <c r="AF555" s="597">
        <f t="shared" si="36"/>
        <v>3.361893560019924E-3</v>
      </c>
      <c r="AG555" s="597">
        <f t="shared" si="37"/>
        <v>-3.2026924329605744E-2</v>
      </c>
    </row>
    <row r="556" spans="13:33" x14ac:dyDescent="0.35">
      <c r="M556" s="555">
        <v>42403</v>
      </c>
      <c r="N556" s="543" t="s">
        <v>449</v>
      </c>
      <c r="O556" s="543">
        <v>32084.06</v>
      </c>
      <c r="P556" s="73" t="s">
        <v>431</v>
      </c>
      <c r="Q556" s="158">
        <v>29.53</v>
      </c>
      <c r="R556" s="563">
        <f t="shared" si="34"/>
        <v>3.8625670786633926E-3</v>
      </c>
      <c r="S556" s="563">
        <f t="shared" si="35"/>
        <v>4.4217687074830092E-3</v>
      </c>
      <c r="AA556" s="594">
        <v>42401</v>
      </c>
      <c r="AB556" s="595" t="s">
        <v>449</v>
      </c>
      <c r="AC556" s="595">
        <v>31878.15</v>
      </c>
      <c r="AD556" s="596" t="s">
        <v>395</v>
      </c>
      <c r="AE556" s="595">
        <v>267.69</v>
      </c>
      <c r="AF556" s="597">
        <f t="shared" si="36"/>
        <v>1.8516802668490095E-2</v>
      </c>
      <c r="AG556" s="597">
        <f t="shared" si="37"/>
        <v>7.8510542844312248E-4</v>
      </c>
    </row>
    <row r="557" spans="13:33" x14ac:dyDescent="0.35">
      <c r="M557" s="555">
        <v>42404</v>
      </c>
      <c r="N557" s="543" t="s">
        <v>449</v>
      </c>
      <c r="O557" s="543">
        <v>32478.98</v>
      </c>
      <c r="P557" s="73" t="s">
        <v>431</v>
      </c>
      <c r="Q557" s="158">
        <v>30.11</v>
      </c>
      <c r="R557" s="563">
        <f t="shared" si="34"/>
        <v>1.2308916016239735E-2</v>
      </c>
      <c r="S557" s="563">
        <f t="shared" si="35"/>
        <v>1.9641043007111447E-2</v>
      </c>
      <c r="AA557" s="594">
        <v>42402</v>
      </c>
      <c r="AB557" s="595" t="s">
        <v>449</v>
      </c>
      <c r="AC557" s="595">
        <v>31960.61</v>
      </c>
      <c r="AD557" s="596" t="s">
        <v>395</v>
      </c>
      <c r="AE557" s="595">
        <v>263.5</v>
      </c>
      <c r="AF557" s="597">
        <f t="shared" si="36"/>
        <v>2.5867247628861278E-3</v>
      </c>
      <c r="AG557" s="597">
        <f t="shared" si="37"/>
        <v>-1.5652433785348752E-2</v>
      </c>
    </row>
    <row r="558" spans="13:33" x14ac:dyDescent="0.35">
      <c r="M558" s="555">
        <v>42408</v>
      </c>
      <c r="N558" s="543" t="s">
        <v>449</v>
      </c>
      <c r="O558" s="543">
        <v>32706.22</v>
      </c>
      <c r="P558" s="73" t="s">
        <v>431</v>
      </c>
      <c r="Q558" s="158">
        <v>30.14</v>
      </c>
      <c r="R558" s="563">
        <f t="shared" si="34"/>
        <v>6.9965251371810755E-3</v>
      </c>
      <c r="S558" s="563">
        <f t="shared" si="35"/>
        <v>9.9634672866155682E-4</v>
      </c>
      <c r="AA558" s="594">
        <v>42403</v>
      </c>
      <c r="AB558" s="595" t="s">
        <v>449</v>
      </c>
      <c r="AC558" s="595">
        <v>32084.06</v>
      </c>
      <c r="AD558" s="596" t="s">
        <v>395</v>
      </c>
      <c r="AE558" s="595">
        <v>261</v>
      </c>
      <c r="AF558" s="597">
        <f t="shared" si="36"/>
        <v>3.8625670786633926E-3</v>
      </c>
      <c r="AG558" s="597">
        <f t="shared" si="37"/>
        <v>-9.4876660341556285E-3</v>
      </c>
    </row>
    <row r="559" spans="13:33" x14ac:dyDescent="0.35">
      <c r="M559" s="555">
        <v>42409</v>
      </c>
      <c r="N559" s="543" t="s">
        <v>449</v>
      </c>
      <c r="O559" s="543">
        <v>32444.2</v>
      </c>
      <c r="P559" s="73" t="s">
        <v>431</v>
      </c>
      <c r="Q559" s="158">
        <v>29.6</v>
      </c>
      <c r="R559" s="563">
        <f t="shared" si="34"/>
        <v>-8.0113201709033355E-3</v>
      </c>
      <c r="S559" s="563">
        <f t="shared" si="35"/>
        <v>-1.791639017916391E-2</v>
      </c>
      <c r="AA559" s="594">
        <v>42404</v>
      </c>
      <c r="AB559" s="595" t="s">
        <v>449</v>
      </c>
      <c r="AC559" s="595">
        <v>32478.98</v>
      </c>
      <c r="AD559" s="596" t="s">
        <v>395</v>
      </c>
      <c r="AE559" s="595">
        <v>261.39</v>
      </c>
      <c r="AF559" s="597">
        <f t="shared" si="36"/>
        <v>1.2308916016239735E-2</v>
      </c>
      <c r="AG559" s="597">
        <f t="shared" si="37"/>
        <v>1.4942528735630844E-3</v>
      </c>
    </row>
    <row r="560" spans="13:33" x14ac:dyDescent="0.35">
      <c r="M560" s="555">
        <v>42410</v>
      </c>
      <c r="N560" s="543" t="s">
        <v>449</v>
      </c>
      <c r="O560" s="543">
        <v>32144.59</v>
      </c>
      <c r="P560" s="73" t="s">
        <v>431</v>
      </c>
      <c r="Q560" s="158">
        <v>29.21</v>
      </c>
      <c r="R560" s="563">
        <f t="shared" si="34"/>
        <v>-9.2346243704576336E-3</v>
      </c>
      <c r="S560" s="563">
        <f t="shared" si="35"/>
        <v>-1.317567567567568E-2</v>
      </c>
      <c r="AA560" s="594">
        <v>42408</v>
      </c>
      <c r="AB560" s="595" t="s">
        <v>449</v>
      </c>
      <c r="AC560" s="595">
        <v>32706.22</v>
      </c>
      <c r="AD560" s="596" t="s">
        <v>395</v>
      </c>
      <c r="AE560" s="595">
        <v>260.5</v>
      </c>
      <c r="AF560" s="597">
        <f t="shared" si="36"/>
        <v>6.9965251371810755E-3</v>
      </c>
      <c r="AG560" s="597">
        <f t="shared" si="37"/>
        <v>-3.404873943150033E-3</v>
      </c>
    </row>
    <row r="561" spans="13:33" x14ac:dyDescent="0.35">
      <c r="M561" s="555">
        <v>42411</v>
      </c>
      <c r="N561" s="543" t="s">
        <v>449</v>
      </c>
      <c r="O561" s="543">
        <v>31820.54</v>
      </c>
      <c r="P561" s="73" t="s">
        <v>431</v>
      </c>
      <c r="Q561" s="158">
        <v>28.88</v>
      </c>
      <c r="R561" s="563">
        <f t="shared" si="34"/>
        <v>-1.0081012076993301E-2</v>
      </c>
      <c r="S561" s="563">
        <f t="shared" si="35"/>
        <v>-1.1297500855871334E-2</v>
      </c>
      <c r="AA561" s="594">
        <v>42409</v>
      </c>
      <c r="AB561" s="595" t="s">
        <v>449</v>
      </c>
      <c r="AC561" s="595">
        <v>32444.2</v>
      </c>
      <c r="AD561" s="596" t="s">
        <v>395</v>
      </c>
      <c r="AE561" s="595">
        <v>262.02999999999997</v>
      </c>
      <c r="AF561" s="597">
        <f t="shared" si="36"/>
        <v>-8.0113201709033355E-3</v>
      </c>
      <c r="AG561" s="597">
        <f t="shared" si="37"/>
        <v>5.8733205374279507E-3</v>
      </c>
    </row>
    <row r="562" spans="13:33" x14ac:dyDescent="0.35">
      <c r="M562" s="555">
        <v>42412</v>
      </c>
      <c r="N562" s="543" t="s">
        <v>449</v>
      </c>
      <c r="O562" s="543">
        <v>31464.16</v>
      </c>
      <c r="P562" s="73" t="s">
        <v>431</v>
      </c>
      <c r="Q562" s="158">
        <v>28.37</v>
      </c>
      <c r="R562" s="563">
        <f t="shared" si="34"/>
        <v>-1.1199684229117435E-2</v>
      </c>
      <c r="S562" s="563">
        <f t="shared" si="35"/>
        <v>-1.7659279778393322E-2</v>
      </c>
      <c r="AA562" s="594">
        <v>42410</v>
      </c>
      <c r="AB562" s="595" t="s">
        <v>449</v>
      </c>
      <c r="AC562" s="595">
        <v>32144.59</v>
      </c>
      <c r="AD562" s="596" t="s">
        <v>395</v>
      </c>
      <c r="AE562" s="595">
        <v>260</v>
      </c>
      <c r="AF562" s="597">
        <f t="shared" si="36"/>
        <v>-9.2346243704576336E-3</v>
      </c>
      <c r="AG562" s="597">
        <f t="shared" si="37"/>
        <v>-7.7472045185664751E-3</v>
      </c>
    </row>
    <row r="563" spans="13:33" x14ac:dyDescent="0.35">
      <c r="M563" s="555">
        <v>42415</v>
      </c>
      <c r="N563" s="543" t="s">
        <v>449</v>
      </c>
      <c r="O563" s="543">
        <v>31928.15</v>
      </c>
      <c r="P563" s="73" t="s">
        <v>431</v>
      </c>
      <c r="Q563" s="158">
        <v>28.71</v>
      </c>
      <c r="R563" s="563">
        <f t="shared" si="34"/>
        <v>1.4746619645971792E-2</v>
      </c>
      <c r="S563" s="563">
        <f t="shared" si="35"/>
        <v>1.1984490659147085E-2</v>
      </c>
      <c r="AA563" s="594">
        <v>42411</v>
      </c>
      <c r="AB563" s="595" t="s">
        <v>449</v>
      </c>
      <c r="AC563" s="595">
        <v>31820.54</v>
      </c>
      <c r="AD563" s="596" t="s">
        <v>395</v>
      </c>
      <c r="AE563" s="595">
        <v>258</v>
      </c>
      <c r="AF563" s="597">
        <f t="shared" si="36"/>
        <v>-1.0081012076993301E-2</v>
      </c>
      <c r="AG563" s="597">
        <f t="shared" si="37"/>
        <v>-7.692307692307665E-3</v>
      </c>
    </row>
    <row r="564" spans="13:33" x14ac:dyDescent="0.35">
      <c r="M564" s="555">
        <v>42416</v>
      </c>
      <c r="N564" s="543" t="s">
        <v>449</v>
      </c>
      <c r="O564" s="543">
        <v>31673.16</v>
      </c>
      <c r="P564" s="73" t="s">
        <v>431</v>
      </c>
      <c r="Q564" s="158">
        <v>28.29</v>
      </c>
      <c r="R564" s="563">
        <f t="shared" si="34"/>
        <v>-7.9863693950322778E-3</v>
      </c>
      <c r="S564" s="563">
        <f t="shared" si="35"/>
        <v>-1.4629049111807846E-2</v>
      </c>
      <c r="AA564" s="594">
        <v>42412</v>
      </c>
      <c r="AB564" s="595" t="s">
        <v>449</v>
      </c>
      <c r="AC564" s="595">
        <v>31464.16</v>
      </c>
      <c r="AD564" s="596" t="s">
        <v>395</v>
      </c>
      <c r="AE564" s="595">
        <v>257.10000000000002</v>
      </c>
      <c r="AF564" s="597">
        <f t="shared" si="36"/>
        <v>-1.1199684229117435E-2</v>
      </c>
      <c r="AG564" s="597">
        <f t="shared" si="37"/>
        <v>-3.4883720930232176E-3</v>
      </c>
    </row>
    <row r="565" spans="13:33" x14ac:dyDescent="0.35">
      <c r="M565" s="555">
        <v>42417</v>
      </c>
      <c r="N565" s="543" t="s">
        <v>449</v>
      </c>
      <c r="O565" s="543">
        <v>31469.7</v>
      </c>
      <c r="P565" s="73" t="s">
        <v>431</v>
      </c>
      <c r="Q565" s="158">
        <v>27.99</v>
      </c>
      <c r="R565" s="563">
        <f t="shared" si="34"/>
        <v>-6.423735427724897E-3</v>
      </c>
      <c r="S565" s="563">
        <f t="shared" si="35"/>
        <v>-1.0604453870625696E-2</v>
      </c>
      <c r="AA565" s="594">
        <v>42415</v>
      </c>
      <c r="AB565" s="595" t="s">
        <v>449</v>
      </c>
      <c r="AC565" s="595">
        <v>31928.15</v>
      </c>
      <c r="AD565" s="596" t="s">
        <v>395</v>
      </c>
      <c r="AE565" s="595">
        <v>262</v>
      </c>
      <c r="AF565" s="597">
        <f t="shared" si="36"/>
        <v>1.4746619645971792E-2</v>
      </c>
      <c r="AG565" s="597">
        <f t="shared" si="37"/>
        <v>1.9058732010890589E-2</v>
      </c>
    </row>
    <row r="566" spans="13:33" x14ac:dyDescent="0.35">
      <c r="M566" s="555">
        <v>42418</v>
      </c>
      <c r="N566" s="543" t="s">
        <v>449</v>
      </c>
      <c r="O566" s="543">
        <v>31282.44</v>
      </c>
      <c r="P566" s="73" t="s">
        <v>431</v>
      </c>
      <c r="Q566" s="158">
        <v>27.72</v>
      </c>
      <c r="R566" s="563">
        <f t="shared" si="34"/>
        <v>-5.9504857052975479E-3</v>
      </c>
      <c r="S566" s="563">
        <f t="shared" si="35"/>
        <v>-9.6463022508038732E-3</v>
      </c>
      <c r="AA566" s="594">
        <v>42416</v>
      </c>
      <c r="AB566" s="595" t="s">
        <v>449</v>
      </c>
      <c r="AC566" s="595">
        <v>31673.16</v>
      </c>
      <c r="AD566" s="596" t="s">
        <v>395</v>
      </c>
      <c r="AE566" s="595">
        <v>262</v>
      </c>
      <c r="AF566" s="597">
        <f t="shared" si="36"/>
        <v>-7.9863693950322778E-3</v>
      </c>
      <c r="AG566" s="597">
        <f t="shared" si="37"/>
        <v>0</v>
      </c>
    </row>
    <row r="567" spans="13:33" x14ac:dyDescent="0.35">
      <c r="M567" s="526">
        <v>42422</v>
      </c>
      <c r="N567" s="524" t="s">
        <v>449</v>
      </c>
      <c r="O567" s="524">
        <v>30677.68</v>
      </c>
      <c r="P567" s="73" t="s">
        <v>431</v>
      </c>
      <c r="Q567">
        <v>25.97</v>
      </c>
      <c r="R567" s="563">
        <f t="shared" si="34"/>
        <v>-1.9332251576283599E-2</v>
      </c>
      <c r="S567" s="563">
        <f t="shared" si="35"/>
        <v>-6.3131313131313149E-2</v>
      </c>
      <c r="AA567" s="594">
        <v>42417</v>
      </c>
      <c r="AB567" s="595" t="s">
        <v>449</v>
      </c>
      <c r="AC567" s="595">
        <v>31469.7</v>
      </c>
      <c r="AD567" s="596" t="s">
        <v>395</v>
      </c>
      <c r="AE567" s="595">
        <v>261.5</v>
      </c>
      <c r="AF567" s="597">
        <f t="shared" si="36"/>
        <v>-6.423735427724897E-3</v>
      </c>
      <c r="AG567" s="597">
        <f t="shared" si="37"/>
        <v>-1.9083969465648609E-3</v>
      </c>
    </row>
    <row r="568" spans="13:33" x14ac:dyDescent="0.35">
      <c r="M568" s="555">
        <v>42423</v>
      </c>
      <c r="N568" s="543" t="s">
        <v>449</v>
      </c>
      <c r="O568" s="543">
        <v>30564.5</v>
      </c>
      <c r="P568" s="73" t="s">
        <v>431</v>
      </c>
      <c r="Q568" s="158">
        <v>26.2</v>
      </c>
      <c r="R568" s="563">
        <f t="shared" si="34"/>
        <v>-3.6893272242229935E-3</v>
      </c>
      <c r="S568" s="563">
        <f t="shared" si="35"/>
        <v>8.8563727377743984E-3</v>
      </c>
      <c r="AA568" s="594">
        <v>42418</v>
      </c>
      <c r="AB568" s="595" t="s">
        <v>449</v>
      </c>
      <c r="AC568" s="595">
        <v>31282.44</v>
      </c>
      <c r="AD568" s="596" t="s">
        <v>395</v>
      </c>
      <c r="AE568" s="595">
        <v>250.57</v>
      </c>
      <c r="AF568" s="597">
        <f t="shared" si="36"/>
        <v>-5.9504857052975479E-3</v>
      </c>
      <c r="AG568" s="597">
        <f t="shared" si="37"/>
        <v>-4.1797323135755238E-2</v>
      </c>
    </row>
    <row r="569" spans="13:33" x14ac:dyDescent="0.35">
      <c r="M569" s="555">
        <v>42424</v>
      </c>
      <c r="N569" s="543" t="s">
        <v>449</v>
      </c>
      <c r="O569" s="543">
        <v>30786.6</v>
      </c>
      <c r="P569" s="73" t="s">
        <v>431</v>
      </c>
      <c r="Q569" s="158">
        <v>26.7</v>
      </c>
      <c r="R569" s="563">
        <f t="shared" si="34"/>
        <v>7.2666001406860303E-3</v>
      </c>
      <c r="S569" s="563">
        <f t="shared" si="35"/>
        <v>1.9083969465648831E-2</v>
      </c>
      <c r="AA569" s="594">
        <v>42422</v>
      </c>
      <c r="AB569" s="595" t="s">
        <v>449</v>
      </c>
      <c r="AC569" s="595">
        <v>30677.68</v>
      </c>
      <c r="AD569" s="596" t="s">
        <v>395</v>
      </c>
      <c r="AE569" s="595">
        <v>251.9</v>
      </c>
      <c r="AF569" s="597">
        <f t="shared" si="36"/>
        <v>-1.9332251576283599E-2</v>
      </c>
      <c r="AG569" s="597">
        <f t="shared" si="37"/>
        <v>5.3078979925769154E-3</v>
      </c>
    </row>
    <row r="570" spans="13:33" x14ac:dyDescent="0.35">
      <c r="M570" s="555">
        <v>42425</v>
      </c>
      <c r="N570" s="543" t="s">
        <v>449</v>
      </c>
      <c r="O570" s="543">
        <v>30802.53</v>
      </c>
      <c r="P570" s="73" t="s">
        <v>431</v>
      </c>
      <c r="Q570" s="158">
        <v>26.95</v>
      </c>
      <c r="R570" s="563">
        <f t="shared" si="34"/>
        <v>5.1743290912287243E-4</v>
      </c>
      <c r="S570" s="563">
        <f t="shared" si="35"/>
        <v>9.3632958801497246E-3</v>
      </c>
      <c r="AA570" s="594">
        <v>42423</v>
      </c>
      <c r="AB570" s="595" t="s">
        <v>449</v>
      </c>
      <c r="AC570" s="595">
        <v>30564.5</v>
      </c>
      <c r="AD570" s="596" t="s">
        <v>395</v>
      </c>
      <c r="AE570" s="595">
        <v>257</v>
      </c>
      <c r="AF570" s="597">
        <f t="shared" si="36"/>
        <v>-3.6893272242229935E-3</v>
      </c>
      <c r="AG570" s="597">
        <f t="shared" si="37"/>
        <v>2.024612941643511E-2</v>
      </c>
    </row>
    <row r="571" spans="13:33" x14ac:dyDescent="0.35">
      <c r="M571" s="555">
        <v>42426</v>
      </c>
      <c r="N571" s="543" t="s">
        <v>449</v>
      </c>
      <c r="O571" s="543">
        <v>31294.080000000002</v>
      </c>
      <c r="P571" s="73" t="s">
        <v>431</v>
      </c>
      <c r="Q571" s="158">
        <v>27.24</v>
      </c>
      <c r="R571" s="563">
        <f t="shared" si="34"/>
        <v>1.5958104740097845E-2</v>
      </c>
      <c r="S571" s="563">
        <f t="shared" si="35"/>
        <v>1.0760667903525034E-2</v>
      </c>
      <c r="AA571" s="594">
        <v>42424</v>
      </c>
      <c r="AB571" s="595" t="s">
        <v>449</v>
      </c>
      <c r="AC571" s="595">
        <v>30786.6</v>
      </c>
      <c r="AD571" s="596" t="s">
        <v>395</v>
      </c>
      <c r="AE571" s="595">
        <v>260.95</v>
      </c>
      <c r="AF571" s="597">
        <f t="shared" si="36"/>
        <v>7.2666001406860303E-3</v>
      </c>
      <c r="AG571" s="597">
        <f t="shared" si="37"/>
        <v>1.5369649805447416E-2</v>
      </c>
    </row>
    <row r="572" spans="13:33" x14ac:dyDescent="0.35">
      <c r="M572" s="555">
        <v>42429</v>
      </c>
      <c r="N572" s="543" t="s">
        <v>449</v>
      </c>
      <c r="O572" s="543">
        <v>31369.51</v>
      </c>
      <c r="P572" s="73" t="s">
        <v>431</v>
      </c>
      <c r="Q572" s="158">
        <v>26.93</v>
      </c>
      <c r="R572" s="563">
        <f t="shared" si="34"/>
        <v>2.410360042538251E-3</v>
      </c>
      <c r="S572" s="563">
        <f t="shared" si="35"/>
        <v>-1.1380323054331787E-2</v>
      </c>
      <c r="AA572" s="594">
        <v>42425</v>
      </c>
      <c r="AB572" s="595" t="s">
        <v>449</v>
      </c>
      <c r="AC572" s="595">
        <v>30802.53</v>
      </c>
      <c r="AD572" s="596" t="s">
        <v>395</v>
      </c>
      <c r="AE572" s="595">
        <v>258</v>
      </c>
      <c r="AF572" s="597">
        <f t="shared" si="36"/>
        <v>5.1743290912287243E-4</v>
      </c>
      <c r="AG572" s="597">
        <f t="shared" si="37"/>
        <v>-1.1304847671967821E-2</v>
      </c>
    </row>
    <row r="573" spans="13:33" x14ac:dyDescent="0.35">
      <c r="M573" s="555">
        <v>42430</v>
      </c>
      <c r="N573" s="543" t="s">
        <v>449</v>
      </c>
      <c r="O573" s="543">
        <v>31509.11</v>
      </c>
      <c r="P573" s="73" t="s">
        <v>431</v>
      </c>
      <c r="Q573" s="158">
        <v>27.11</v>
      </c>
      <c r="R573" s="563">
        <f t="shared" si="34"/>
        <v>4.4501810834789435E-3</v>
      </c>
      <c r="S573" s="563">
        <f t="shared" si="35"/>
        <v>6.6839955440030074E-3</v>
      </c>
      <c r="AA573" s="594">
        <v>42426</v>
      </c>
      <c r="AB573" s="595" t="s">
        <v>449</v>
      </c>
      <c r="AC573" s="595">
        <v>31294.080000000002</v>
      </c>
      <c r="AD573" s="596" t="s">
        <v>395</v>
      </c>
      <c r="AE573" s="595">
        <v>262.33999999999997</v>
      </c>
      <c r="AF573" s="597">
        <f t="shared" si="36"/>
        <v>1.5958104740097845E-2</v>
      </c>
      <c r="AG573" s="597">
        <f t="shared" si="37"/>
        <v>1.6821705426356415E-2</v>
      </c>
    </row>
    <row r="574" spans="13:33" x14ac:dyDescent="0.35">
      <c r="M574" s="555">
        <v>42431</v>
      </c>
      <c r="N574" s="543" t="s">
        <v>449</v>
      </c>
      <c r="O574" s="543">
        <v>31772.9</v>
      </c>
      <c r="P574" s="73" t="s">
        <v>431</v>
      </c>
      <c r="Q574" s="158">
        <v>27.88</v>
      </c>
      <c r="R574" s="563">
        <f t="shared" si="34"/>
        <v>8.3718645179124973E-3</v>
      </c>
      <c r="S574" s="563">
        <f t="shared" si="35"/>
        <v>2.8402803393581699E-2</v>
      </c>
      <c r="AA574" s="594">
        <v>42429</v>
      </c>
      <c r="AB574" s="595" t="s">
        <v>449</v>
      </c>
      <c r="AC574" s="595">
        <v>31369.51</v>
      </c>
      <c r="AD574" s="596" t="s">
        <v>395</v>
      </c>
      <c r="AE574" s="595">
        <v>257.01</v>
      </c>
      <c r="AF574" s="597">
        <f t="shared" si="36"/>
        <v>2.410360042538251E-3</v>
      </c>
      <c r="AG574" s="597">
        <f t="shared" si="37"/>
        <v>-2.031714568880072E-2</v>
      </c>
    </row>
    <row r="575" spans="13:33" x14ac:dyDescent="0.35">
      <c r="M575" s="555">
        <v>42432</v>
      </c>
      <c r="N575" s="543" t="s">
        <v>449</v>
      </c>
      <c r="O575" s="543">
        <v>32146.58</v>
      </c>
      <c r="P575" s="73" t="s">
        <v>431</v>
      </c>
      <c r="Q575" s="158">
        <v>29.27</v>
      </c>
      <c r="R575" s="563">
        <f t="shared" si="34"/>
        <v>1.1760966106335813E-2</v>
      </c>
      <c r="S575" s="563">
        <f t="shared" si="35"/>
        <v>4.9856527977044429E-2</v>
      </c>
      <c r="AA575" s="594">
        <v>42430</v>
      </c>
      <c r="AB575" s="595" t="s">
        <v>449</v>
      </c>
      <c r="AC575" s="595">
        <v>31509.11</v>
      </c>
      <c r="AD575" s="596" t="s">
        <v>395</v>
      </c>
      <c r="AE575" s="595">
        <v>255.56</v>
      </c>
      <c r="AF575" s="597">
        <f t="shared" si="36"/>
        <v>4.4501810834789435E-3</v>
      </c>
      <c r="AG575" s="597">
        <f t="shared" si="37"/>
        <v>-5.6418038208629895E-3</v>
      </c>
    </row>
    <row r="576" spans="13:33" x14ac:dyDescent="0.35">
      <c r="M576" s="555">
        <v>42433</v>
      </c>
      <c r="N576" s="543" t="s">
        <v>449</v>
      </c>
      <c r="O576" s="543">
        <v>32441.74</v>
      </c>
      <c r="P576" s="73" t="s">
        <v>431</v>
      </c>
      <c r="Q576" s="158">
        <v>30.73</v>
      </c>
      <c r="R576" s="563">
        <f t="shared" si="34"/>
        <v>9.1816921115714933E-3</v>
      </c>
      <c r="S576" s="563">
        <f t="shared" si="35"/>
        <v>4.988042364195433E-2</v>
      </c>
      <c r="AA576" s="594">
        <v>42431</v>
      </c>
      <c r="AB576" s="595" t="s">
        <v>449</v>
      </c>
      <c r="AC576" s="595">
        <v>31772.9</v>
      </c>
      <c r="AD576" s="596" t="s">
        <v>395</v>
      </c>
      <c r="AE576" s="595">
        <v>255.01</v>
      </c>
      <c r="AF576" s="597">
        <f t="shared" si="36"/>
        <v>8.3718645179124973E-3</v>
      </c>
      <c r="AG576" s="597">
        <f t="shared" si="37"/>
        <v>-2.1521364845829005E-3</v>
      </c>
    </row>
    <row r="577" spans="13:33" x14ac:dyDescent="0.35">
      <c r="M577" s="555">
        <v>42436</v>
      </c>
      <c r="N577" s="543" t="s">
        <v>449</v>
      </c>
      <c r="O577" s="543">
        <v>33022.6</v>
      </c>
      <c r="P577" s="73" t="s">
        <v>431</v>
      </c>
      <c r="Q577" s="158">
        <v>32.270000000000003</v>
      </c>
      <c r="R577" s="563">
        <f t="shared" si="34"/>
        <v>1.7904711646169247E-2</v>
      </c>
      <c r="S577" s="563">
        <f t="shared" si="35"/>
        <v>5.0113895216401083E-2</v>
      </c>
      <c r="AA577" s="594">
        <v>42432</v>
      </c>
      <c r="AB577" s="595" t="s">
        <v>449</v>
      </c>
      <c r="AC577" s="595">
        <v>32146.58</v>
      </c>
      <c r="AD577" s="596" t="s">
        <v>395</v>
      </c>
      <c r="AE577" s="595">
        <v>255</v>
      </c>
      <c r="AF577" s="597">
        <f t="shared" si="36"/>
        <v>1.1760966106335813E-2</v>
      </c>
      <c r="AG577" s="597">
        <f t="shared" si="37"/>
        <v>-3.9214148464750131E-5</v>
      </c>
    </row>
    <row r="578" spans="13:33" x14ac:dyDescent="0.35">
      <c r="M578" s="526">
        <v>42438</v>
      </c>
      <c r="N578" s="524" t="s">
        <v>449</v>
      </c>
      <c r="O578" s="524">
        <v>32957.980000000003</v>
      </c>
      <c r="P578" s="73" t="s">
        <v>431</v>
      </c>
      <c r="Q578">
        <v>33.17</v>
      </c>
      <c r="R578" s="563">
        <f t="shared" si="34"/>
        <v>-1.9568416781233777E-3</v>
      </c>
      <c r="S578" s="563">
        <f t="shared" si="35"/>
        <v>2.7889680818097284E-2</v>
      </c>
      <c r="AA578" s="594">
        <v>42433</v>
      </c>
      <c r="AB578" s="595" t="s">
        <v>449</v>
      </c>
      <c r="AC578" s="595">
        <v>32441.74</v>
      </c>
      <c r="AD578" s="596" t="s">
        <v>395</v>
      </c>
      <c r="AE578" s="595">
        <v>259.70999999999998</v>
      </c>
      <c r="AF578" s="597">
        <f t="shared" si="36"/>
        <v>9.1816921115714933E-3</v>
      </c>
      <c r="AG578" s="597">
        <f t="shared" si="37"/>
        <v>1.8470588235294016E-2</v>
      </c>
    </row>
    <row r="579" spans="13:33" x14ac:dyDescent="0.35">
      <c r="M579" s="555">
        <v>42439</v>
      </c>
      <c r="N579" s="543" t="s">
        <v>449</v>
      </c>
      <c r="O579" s="543">
        <v>32710.560000000001</v>
      </c>
      <c r="P579" s="73" t="s">
        <v>431</v>
      </c>
      <c r="Q579" s="158">
        <v>31.52</v>
      </c>
      <c r="R579" s="563">
        <f t="shared" si="34"/>
        <v>-7.5071348426087869E-3</v>
      </c>
      <c r="S579" s="563">
        <f t="shared" si="35"/>
        <v>-4.9743744347301888E-2</v>
      </c>
      <c r="AA579" s="594">
        <v>42436</v>
      </c>
      <c r="AB579" s="595" t="s">
        <v>449</v>
      </c>
      <c r="AC579" s="595">
        <v>33022.6</v>
      </c>
      <c r="AD579" s="596" t="s">
        <v>395</v>
      </c>
      <c r="AE579" s="595">
        <v>259.99</v>
      </c>
      <c r="AF579" s="597">
        <f t="shared" si="36"/>
        <v>1.7904711646169247E-2</v>
      </c>
      <c r="AG579" s="597">
        <f t="shared" si="37"/>
        <v>1.0781256016327845E-3</v>
      </c>
    </row>
    <row r="580" spans="13:33" x14ac:dyDescent="0.35">
      <c r="M580" s="555">
        <v>42440</v>
      </c>
      <c r="N580" s="543" t="s">
        <v>449</v>
      </c>
      <c r="O580" s="543">
        <v>32669.16</v>
      </c>
      <c r="P580" s="73" t="s">
        <v>431</v>
      </c>
      <c r="Q580" s="158">
        <v>31.63</v>
      </c>
      <c r="R580" s="563">
        <f t="shared" si="34"/>
        <v>-1.2656463233892135E-3</v>
      </c>
      <c r="S580" s="563">
        <f t="shared" si="35"/>
        <v>3.4898477157361274E-3</v>
      </c>
      <c r="AA580" s="594">
        <v>42438</v>
      </c>
      <c r="AB580" s="595" t="s">
        <v>449</v>
      </c>
      <c r="AC580" s="595">
        <v>32957.980000000003</v>
      </c>
      <c r="AD580" s="596" t="s">
        <v>395</v>
      </c>
      <c r="AE580" s="595">
        <v>261.68</v>
      </c>
      <c r="AF580" s="597">
        <f t="shared" si="36"/>
        <v>-1.9568416781233777E-3</v>
      </c>
      <c r="AG580" s="597">
        <f t="shared" si="37"/>
        <v>6.5002500096158489E-3</v>
      </c>
    </row>
    <row r="581" spans="13:33" x14ac:dyDescent="0.35">
      <c r="M581" s="555">
        <v>42443</v>
      </c>
      <c r="N581" s="543" t="s">
        <v>449</v>
      </c>
      <c r="O581" s="543">
        <v>32738.560000000001</v>
      </c>
      <c r="P581" s="73" t="s">
        <v>431</v>
      </c>
      <c r="Q581" s="158">
        <v>30.58</v>
      </c>
      <c r="R581" s="563">
        <f t="shared" si="34"/>
        <v>2.1243276533586819E-3</v>
      </c>
      <c r="S581" s="563">
        <f t="shared" si="35"/>
        <v>-3.3196332595637035E-2</v>
      </c>
      <c r="AA581" s="594">
        <v>42439</v>
      </c>
      <c r="AB581" s="595" t="s">
        <v>449</v>
      </c>
      <c r="AC581" s="595">
        <v>32710.560000000001</v>
      </c>
      <c r="AD581" s="596" t="s">
        <v>395</v>
      </c>
      <c r="AE581" s="595">
        <v>263.02</v>
      </c>
      <c r="AF581" s="597">
        <f t="shared" si="36"/>
        <v>-7.5071348426087869E-3</v>
      </c>
      <c r="AG581" s="597">
        <f t="shared" si="37"/>
        <v>5.1207581779271205E-3</v>
      </c>
    </row>
    <row r="582" spans="13:33" x14ac:dyDescent="0.35">
      <c r="M582" s="555">
        <v>42444</v>
      </c>
      <c r="N582" s="543" t="s">
        <v>449</v>
      </c>
      <c r="O582" s="543">
        <v>32623.02</v>
      </c>
      <c r="P582" s="73" t="s">
        <v>431</v>
      </c>
      <c r="Q582" s="158">
        <v>31.07</v>
      </c>
      <c r="R582" s="563">
        <f t="shared" si="34"/>
        <v>-3.5291717167768022E-3</v>
      </c>
      <c r="S582" s="563">
        <f t="shared" si="35"/>
        <v>1.6023544800523259E-2</v>
      </c>
      <c r="AA582" s="594">
        <v>42440</v>
      </c>
      <c r="AB582" s="595" t="s">
        <v>449</v>
      </c>
      <c r="AC582" s="595">
        <v>32669.16</v>
      </c>
      <c r="AD582" s="596" t="s">
        <v>395</v>
      </c>
      <c r="AE582" s="595">
        <v>259.83</v>
      </c>
      <c r="AF582" s="597">
        <f t="shared" si="36"/>
        <v>-1.2656463233892135E-3</v>
      </c>
      <c r="AG582" s="597">
        <f t="shared" si="37"/>
        <v>-1.2128355258155255E-2</v>
      </c>
    </row>
    <row r="583" spans="13:33" x14ac:dyDescent="0.35">
      <c r="M583" s="555">
        <v>42445</v>
      </c>
      <c r="N583" s="543" t="s">
        <v>449</v>
      </c>
      <c r="O583" s="543">
        <v>32891.08</v>
      </c>
      <c r="P583" s="73" t="s">
        <v>431</v>
      </c>
      <c r="Q583" s="158">
        <v>31.19</v>
      </c>
      <c r="R583" s="563">
        <f t="shared" si="34"/>
        <v>8.2168971480875985E-3</v>
      </c>
      <c r="S583" s="563">
        <f t="shared" si="35"/>
        <v>3.862246540070835E-3</v>
      </c>
      <c r="AA583" s="594">
        <v>42443</v>
      </c>
      <c r="AB583" s="595" t="s">
        <v>449</v>
      </c>
      <c r="AC583" s="595">
        <v>32738.560000000001</v>
      </c>
      <c r="AD583" s="596" t="s">
        <v>395</v>
      </c>
      <c r="AE583" s="595">
        <v>261.52999999999997</v>
      </c>
      <c r="AF583" s="597">
        <f t="shared" si="36"/>
        <v>2.1243276533586819E-3</v>
      </c>
      <c r="AG583" s="597">
        <f t="shared" si="37"/>
        <v>6.5427394835084751E-3</v>
      </c>
    </row>
    <row r="584" spans="13:33" x14ac:dyDescent="0.35">
      <c r="M584" s="555">
        <v>42446</v>
      </c>
      <c r="N584" s="543" t="s">
        <v>449</v>
      </c>
      <c r="O584" s="543">
        <v>32957.75</v>
      </c>
      <c r="P584" s="73" t="s">
        <v>431</v>
      </c>
      <c r="Q584" s="158">
        <v>31.36</v>
      </c>
      <c r="R584" s="563">
        <f t="shared" si="34"/>
        <v>2.0269933367951243E-3</v>
      </c>
      <c r="S584" s="563">
        <f t="shared" si="35"/>
        <v>5.4504648925937094E-3</v>
      </c>
      <c r="AA584" s="594">
        <v>42444</v>
      </c>
      <c r="AB584" s="595" t="s">
        <v>449</v>
      </c>
      <c r="AC584" s="595">
        <v>32623.02</v>
      </c>
      <c r="AD584" s="596" t="s">
        <v>395</v>
      </c>
      <c r="AE584" s="595">
        <v>260.89999999999998</v>
      </c>
      <c r="AF584" s="597">
        <f t="shared" si="36"/>
        <v>-3.5291717167768022E-3</v>
      </c>
      <c r="AG584" s="597">
        <f t="shared" si="37"/>
        <v>-2.4089014644591566E-3</v>
      </c>
    </row>
    <row r="585" spans="13:33" x14ac:dyDescent="0.35">
      <c r="M585" s="526">
        <v>42450</v>
      </c>
      <c r="N585" s="524" t="s">
        <v>449</v>
      </c>
      <c r="O585" s="524">
        <v>33022.870000000003</v>
      </c>
      <c r="P585" s="73" t="s">
        <v>431</v>
      </c>
      <c r="Q585">
        <v>30.91</v>
      </c>
      <c r="R585" s="563">
        <f t="shared" si="34"/>
        <v>1.9758630367667784E-3</v>
      </c>
      <c r="S585" s="563">
        <f t="shared" si="35"/>
        <v>-1.4349489795918324E-2</v>
      </c>
      <c r="AA585" s="594">
        <v>42445</v>
      </c>
      <c r="AB585" s="595" t="s">
        <v>449</v>
      </c>
      <c r="AC585" s="595">
        <v>32891.08</v>
      </c>
      <c r="AD585" s="596" t="s">
        <v>395</v>
      </c>
      <c r="AE585" s="595">
        <v>261</v>
      </c>
      <c r="AF585" s="597">
        <f t="shared" si="36"/>
        <v>8.2168971480875985E-3</v>
      </c>
      <c r="AG585" s="597">
        <f t="shared" si="37"/>
        <v>3.8328861632819233E-4</v>
      </c>
    </row>
    <row r="586" spans="13:33" x14ac:dyDescent="0.35">
      <c r="M586" s="555">
        <v>42451</v>
      </c>
      <c r="N586" s="543" t="s">
        <v>449</v>
      </c>
      <c r="O586" s="543">
        <v>32928.300000000003</v>
      </c>
      <c r="P586" s="73" t="s">
        <v>431</v>
      </c>
      <c r="Q586" s="158">
        <v>30.73</v>
      </c>
      <c r="R586" s="563">
        <f t="shared" si="34"/>
        <v>-2.8637728943607943E-3</v>
      </c>
      <c r="S586" s="563">
        <f t="shared" si="35"/>
        <v>-5.8233581365253473E-3</v>
      </c>
      <c r="AA586" s="594">
        <v>42446</v>
      </c>
      <c r="AB586" s="595" t="s">
        <v>449</v>
      </c>
      <c r="AC586" s="595">
        <v>32957.75</v>
      </c>
      <c r="AD586" s="596" t="s">
        <v>395</v>
      </c>
      <c r="AE586" s="595">
        <v>261</v>
      </c>
      <c r="AF586" s="597">
        <f t="shared" si="36"/>
        <v>2.0269933367951243E-3</v>
      </c>
      <c r="AG586" s="597">
        <f t="shared" si="37"/>
        <v>0</v>
      </c>
    </row>
    <row r="587" spans="13:33" x14ac:dyDescent="0.35">
      <c r="M587" s="555">
        <v>42453</v>
      </c>
      <c r="N587" s="543" t="s">
        <v>449</v>
      </c>
      <c r="O587" s="543">
        <v>32801.879999999997</v>
      </c>
      <c r="P587" s="73" t="s">
        <v>431</v>
      </c>
      <c r="Q587" s="158">
        <v>30.56</v>
      </c>
      <c r="R587" s="563">
        <f t="shared" si="34"/>
        <v>-3.8392507356895811E-3</v>
      </c>
      <c r="S587" s="563">
        <f t="shared" si="35"/>
        <v>-5.5320533680442985E-3</v>
      </c>
      <c r="AA587" s="594">
        <v>42450</v>
      </c>
      <c r="AB587" s="595" t="s">
        <v>449</v>
      </c>
      <c r="AC587" s="595">
        <v>33022.870000000003</v>
      </c>
      <c r="AD587" s="596" t="s">
        <v>395</v>
      </c>
      <c r="AE587" s="595">
        <v>261</v>
      </c>
      <c r="AF587" s="597">
        <f t="shared" si="36"/>
        <v>1.9758630367667784E-3</v>
      </c>
      <c r="AG587" s="597">
        <f t="shared" si="37"/>
        <v>0</v>
      </c>
    </row>
    <row r="588" spans="13:33" x14ac:dyDescent="0.35">
      <c r="M588" s="555">
        <v>42454</v>
      </c>
      <c r="N588" s="543" t="s">
        <v>449</v>
      </c>
      <c r="O588" s="543">
        <v>32876.550000000003</v>
      </c>
      <c r="P588" s="73" t="s">
        <v>431</v>
      </c>
      <c r="Q588" s="158">
        <v>31.02</v>
      </c>
      <c r="R588" s="563">
        <f t="shared" si="34"/>
        <v>2.2763939140075795E-3</v>
      </c>
      <c r="S588" s="563">
        <f t="shared" si="35"/>
        <v>1.5052356020942348E-2</v>
      </c>
      <c r="AA588" s="594">
        <v>42451</v>
      </c>
      <c r="AB588" s="595" t="s">
        <v>449</v>
      </c>
      <c r="AC588" s="595">
        <v>32928.300000000003</v>
      </c>
      <c r="AD588" s="596" t="s">
        <v>395</v>
      </c>
      <c r="AE588" s="595">
        <v>253</v>
      </c>
      <c r="AF588" s="597">
        <f t="shared" si="36"/>
        <v>-2.8637728943607943E-3</v>
      </c>
      <c r="AG588" s="597">
        <f t="shared" si="37"/>
        <v>-3.0651340996168619E-2</v>
      </c>
    </row>
    <row r="589" spans="13:33" x14ac:dyDescent="0.35">
      <c r="M589" s="555">
        <v>42457</v>
      </c>
      <c r="N589" s="543" t="s">
        <v>449</v>
      </c>
      <c r="O589" s="543">
        <v>32904.32</v>
      </c>
      <c r="P589" s="73" t="s">
        <v>431</v>
      </c>
      <c r="Q589" s="158">
        <v>31.73</v>
      </c>
      <c r="R589" s="563">
        <f t="shared" si="34"/>
        <v>8.4467500391616213E-4</v>
      </c>
      <c r="S589" s="563">
        <f t="shared" si="35"/>
        <v>2.2888459058671762E-2</v>
      </c>
      <c r="AA589" s="594">
        <v>42453</v>
      </c>
      <c r="AB589" s="595" t="s">
        <v>449</v>
      </c>
      <c r="AC589" s="595">
        <v>32801.879999999997</v>
      </c>
      <c r="AD589" s="596" t="s">
        <v>395</v>
      </c>
      <c r="AE589" s="595">
        <v>261.89999999999998</v>
      </c>
      <c r="AF589" s="597">
        <f t="shared" si="36"/>
        <v>-3.8392507356895811E-3</v>
      </c>
      <c r="AG589" s="597">
        <f t="shared" si="37"/>
        <v>3.517786561264824E-2</v>
      </c>
    </row>
    <row r="590" spans="13:33" x14ac:dyDescent="0.35">
      <c r="M590" s="555">
        <v>42458</v>
      </c>
      <c r="N590" s="543" t="s">
        <v>449</v>
      </c>
      <c r="O590" s="543">
        <v>32879.67</v>
      </c>
      <c r="P590" s="73" t="s">
        <v>431</v>
      </c>
      <c r="Q590" s="158">
        <v>31.72</v>
      </c>
      <c r="R590" s="563">
        <f t="shared" si="34"/>
        <v>-7.4914175403117955E-4</v>
      </c>
      <c r="S590" s="563">
        <f t="shared" si="35"/>
        <v>-3.1515915537350114E-4</v>
      </c>
      <c r="AA590" s="594">
        <v>42454</v>
      </c>
      <c r="AB590" s="595" t="s">
        <v>449</v>
      </c>
      <c r="AC590" s="595">
        <v>32876.550000000003</v>
      </c>
      <c r="AD590" s="596" t="s">
        <v>395</v>
      </c>
      <c r="AE590" s="595">
        <v>258.99</v>
      </c>
      <c r="AF590" s="597">
        <f t="shared" si="36"/>
        <v>2.2763939140075795E-3</v>
      </c>
      <c r="AG590" s="597">
        <f t="shared" si="37"/>
        <v>-1.1111111111110961E-2</v>
      </c>
    </row>
    <row r="591" spans="13:33" x14ac:dyDescent="0.35">
      <c r="M591" s="555">
        <v>42459</v>
      </c>
      <c r="N591" s="543" t="s">
        <v>449</v>
      </c>
      <c r="O591" s="543">
        <v>32922.400000000001</v>
      </c>
      <c r="P591" s="73" t="s">
        <v>431</v>
      </c>
      <c r="Q591" s="158">
        <v>31.56</v>
      </c>
      <c r="R591" s="563">
        <f t="shared" si="34"/>
        <v>1.2995872525485286E-3</v>
      </c>
      <c r="S591" s="563">
        <f t="shared" si="35"/>
        <v>-5.0441361916772065E-3</v>
      </c>
      <c r="AA591" s="594">
        <v>42457</v>
      </c>
      <c r="AB591" s="595" t="s">
        <v>449</v>
      </c>
      <c r="AC591" s="595">
        <v>32904.32</v>
      </c>
      <c r="AD591" s="596" t="s">
        <v>395</v>
      </c>
      <c r="AE591" s="595">
        <v>252.35</v>
      </c>
      <c r="AF591" s="597">
        <f t="shared" si="36"/>
        <v>8.4467500391616213E-4</v>
      </c>
      <c r="AG591" s="597">
        <f t="shared" si="37"/>
        <v>-2.5638055523379388E-2</v>
      </c>
    </row>
    <row r="592" spans="13:33" x14ac:dyDescent="0.35">
      <c r="M592" s="526">
        <v>42461</v>
      </c>
      <c r="N592" s="524" t="s">
        <v>449</v>
      </c>
      <c r="O592" s="524">
        <v>33449.620000000003</v>
      </c>
      <c r="P592" s="73" t="s">
        <v>431</v>
      </c>
      <c r="Q592">
        <v>31.08</v>
      </c>
      <c r="R592" s="563">
        <f t="shared" si="34"/>
        <v>1.6014020849026922E-2</v>
      </c>
      <c r="S592" s="563">
        <f t="shared" si="35"/>
        <v>-1.520912547528519E-2</v>
      </c>
      <c r="AA592" s="594">
        <v>42458</v>
      </c>
      <c r="AB592" s="595" t="s">
        <v>449</v>
      </c>
      <c r="AC592" s="595">
        <v>32879.67</v>
      </c>
      <c r="AD592" s="596" t="s">
        <v>395</v>
      </c>
      <c r="AE592" s="595">
        <v>250</v>
      </c>
      <c r="AF592" s="597">
        <f t="shared" si="36"/>
        <v>-7.4914175403117955E-4</v>
      </c>
      <c r="AG592" s="597">
        <f t="shared" si="37"/>
        <v>-9.3124628492173844E-3</v>
      </c>
    </row>
    <row r="593" spans="13:33" x14ac:dyDescent="0.35">
      <c r="M593" s="555">
        <v>42464</v>
      </c>
      <c r="N593" s="543" t="s">
        <v>449</v>
      </c>
      <c r="O593" s="543">
        <v>33808.42</v>
      </c>
      <c r="P593" s="73" t="s">
        <v>431</v>
      </c>
      <c r="Q593" s="158">
        <v>31.39</v>
      </c>
      <c r="R593" s="563">
        <f t="shared" si="34"/>
        <v>1.0726579255608826E-2</v>
      </c>
      <c r="S593" s="563">
        <f t="shared" si="35"/>
        <v>9.9742599742600468E-3</v>
      </c>
      <c r="AA593" s="594">
        <v>42459</v>
      </c>
      <c r="AB593" s="595" t="s">
        <v>449</v>
      </c>
      <c r="AC593" s="595">
        <v>32922.400000000001</v>
      </c>
      <c r="AD593" s="596" t="s">
        <v>395</v>
      </c>
      <c r="AE593" s="595">
        <v>250.99</v>
      </c>
      <c r="AF593" s="597">
        <f t="shared" si="36"/>
        <v>1.2995872525485286E-3</v>
      </c>
      <c r="AG593" s="597">
        <f t="shared" si="37"/>
        <v>3.9599999999999635E-3</v>
      </c>
    </row>
    <row r="594" spans="13:33" x14ac:dyDescent="0.35">
      <c r="M594" s="555">
        <v>42465</v>
      </c>
      <c r="N594" s="543" t="s">
        <v>449</v>
      </c>
      <c r="O594" s="543">
        <v>33766.49</v>
      </c>
      <c r="P594" s="73" t="s">
        <v>431</v>
      </c>
      <c r="Q594" s="158">
        <v>31.1</v>
      </c>
      <c r="R594" s="563">
        <f t="shared" si="34"/>
        <v>-1.2402235892715607E-3</v>
      </c>
      <c r="S594" s="563">
        <f t="shared" si="35"/>
        <v>-9.2386110226186924E-3</v>
      </c>
      <c r="AA594" s="594">
        <v>42461</v>
      </c>
      <c r="AB594" s="595" t="s">
        <v>449</v>
      </c>
      <c r="AC594" s="595">
        <v>33449.620000000003</v>
      </c>
      <c r="AD594" s="596" t="s">
        <v>395</v>
      </c>
      <c r="AE594" s="595">
        <v>250.5</v>
      </c>
      <c r="AF594" s="597">
        <f t="shared" si="36"/>
        <v>1.6014020849026922E-2</v>
      </c>
      <c r="AG594" s="597">
        <f t="shared" si="37"/>
        <v>-1.9522690147018018E-3</v>
      </c>
    </row>
    <row r="595" spans="13:33" x14ac:dyDescent="0.35">
      <c r="M595" s="555">
        <v>42466</v>
      </c>
      <c r="N595" s="543" t="s">
        <v>449</v>
      </c>
      <c r="O595" s="543">
        <v>33946.370000000003</v>
      </c>
      <c r="P595" s="73" t="s">
        <v>431</v>
      </c>
      <c r="Q595" s="158">
        <v>31.19</v>
      </c>
      <c r="R595" s="563">
        <f t="shared" si="34"/>
        <v>5.3271749595531492E-3</v>
      </c>
      <c r="S595" s="563">
        <f t="shared" si="35"/>
        <v>2.8938906752411508E-3</v>
      </c>
      <c r="AA595" s="594">
        <v>42464</v>
      </c>
      <c r="AB595" s="595" t="s">
        <v>449</v>
      </c>
      <c r="AC595" s="595">
        <v>33808.42</v>
      </c>
      <c r="AD595" s="596" t="s">
        <v>395</v>
      </c>
      <c r="AE595" s="595">
        <v>254</v>
      </c>
      <c r="AF595" s="597">
        <f t="shared" si="36"/>
        <v>1.0726579255608826E-2</v>
      </c>
      <c r="AG595" s="597">
        <f t="shared" si="37"/>
        <v>1.3972055888223478E-2</v>
      </c>
    </row>
    <row r="596" spans="13:33" x14ac:dyDescent="0.35">
      <c r="M596" s="555">
        <v>42467</v>
      </c>
      <c r="N596" s="543" t="s">
        <v>449</v>
      </c>
      <c r="O596" s="543">
        <v>33896.03</v>
      </c>
      <c r="P596" s="73" t="s">
        <v>431</v>
      </c>
      <c r="Q596" s="158">
        <v>31.85</v>
      </c>
      <c r="R596" s="563">
        <f t="shared" si="34"/>
        <v>-1.4829273350878136E-3</v>
      </c>
      <c r="S596" s="563">
        <f t="shared" si="35"/>
        <v>2.1160628406540649E-2</v>
      </c>
      <c r="AA596" s="594">
        <v>42465</v>
      </c>
      <c r="AB596" s="595" t="s">
        <v>449</v>
      </c>
      <c r="AC596" s="595">
        <v>33766.49</v>
      </c>
      <c r="AD596" s="596" t="s">
        <v>395</v>
      </c>
      <c r="AE596" s="595">
        <v>252</v>
      </c>
      <c r="AF596" s="597">
        <f t="shared" si="36"/>
        <v>-1.2402235892715607E-3</v>
      </c>
      <c r="AG596" s="597">
        <f t="shared" si="37"/>
        <v>-7.8740157480314821E-3</v>
      </c>
    </row>
    <row r="597" spans="13:33" x14ac:dyDescent="0.35">
      <c r="M597" s="555">
        <v>42468</v>
      </c>
      <c r="N597" s="543" t="s">
        <v>449</v>
      </c>
      <c r="O597" s="543">
        <v>33967.54</v>
      </c>
      <c r="P597" s="73" t="s">
        <v>431</v>
      </c>
      <c r="Q597" s="158">
        <v>31.9</v>
      </c>
      <c r="R597" s="563">
        <f t="shared" si="34"/>
        <v>2.1096865916157004E-3</v>
      </c>
      <c r="S597" s="563">
        <f t="shared" si="35"/>
        <v>1.5698587127157548E-3</v>
      </c>
      <c r="AA597" s="594">
        <v>42466</v>
      </c>
      <c r="AB597" s="595" t="s">
        <v>449</v>
      </c>
      <c r="AC597" s="595">
        <v>33946.370000000003</v>
      </c>
      <c r="AD597" s="596" t="s">
        <v>395</v>
      </c>
      <c r="AE597" s="595">
        <v>251.1</v>
      </c>
      <c r="AF597" s="597">
        <f t="shared" si="36"/>
        <v>5.3271749595531492E-3</v>
      </c>
      <c r="AG597" s="597">
        <f t="shared" si="37"/>
        <v>-3.5714285714285587E-3</v>
      </c>
    </row>
    <row r="598" spans="13:33" x14ac:dyDescent="0.35">
      <c r="M598" s="555">
        <v>42471</v>
      </c>
      <c r="N598" s="543" t="s">
        <v>449</v>
      </c>
      <c r="O598" s="543">
        <v>33566.22</v>
      </c>
      <c r="P598" s="73" t="s">
        <v>431</v>
      </c>
      <c r="Q598" s="158">
        <v>31.65</v>
      </c>
      <c r="R598" s="563">
        <f t="shared" si="34"/>
        <v>-1.1814809079491728E-2</v>
      </c>
      <c r="S598" s="563">
        <f t="shared" si="35"/>
        <v>-7.8369905956112706E-3</v>
      </c>
      <c r="AA598" s="594">
        <v>42467</v>
      </c>
      <c r="AB598" s="595" t="s">
        <v>449</v>
      </c>
      <c r="AC598" s="595">
        <v>33896.03</v>
      </c>
      <c r="AD598" s="596" t="s">
        <v>395</v>
      </c>
      <c r="AE598" s="595">
        <v>248.94</v>
      </c>
      <c r="AF598" s="597">
        <f t="shared" si="36"/>
        <v>-1.4829273350878136E-3</v>
      </c>
      <c r="AG598" s="597">
        <f t="shared" si="37"/>
        <v>-8.6021505376343566E-3</v>
      </c>
    </row>
    <row r="599" spans="13:33" x14ac:dyDescent="0.35">
      <c r="M599" s="555">
        <v>42472</v>
      </c>
      <c r="N599" s="543" t="s">
        <v>449</v>
      </c>
      <c r="O599" s="543">
        <v>33616.9</v>
      </c>
      <c r="P599" s="73" t="s">
        <v>431</v>
      </c>
      <c r="Q599" s="158">
        <v>31.38</v>
      </c>
      <c r="R599" s="563">
        <f t="shared" si="34"/>
        <v>1.5098512730953306E-3</v>
      </c>
      <c r="S599" s="563">
        <f t="shared" si="35"/>
        <v>-8.5308056872037685E-3</v>
      </c>
      <c r="AA599" s="594">
        <v>42468</v>
      </c>
      <c r="AB599" s="595" t="s">
        <v>449</v>
      </c>
      <c r="AC599" s="595">
        <v>33967.54</v>
      </c>
      <c r="AD599" s="596" t="s">
        <v>395</v>
      </c>
      <c r="AE599" s="595">
        <v>252.75</v>
      </c>
      <c r="AF599" s="597">
        <f t="shared" si="36"/>
        <v>2.1096865916157004E-3</v>
      </c>
      <c r="AG599" s="597">
        <f t="shared" si="37"/>
        <v>1.5304892745239718E-2</v>
      </c>
    </row>
    <row r="600" spans="13:33" x14ac:dyDescent="0.35">
      <c r="M600" s="555">
        <v>42473</v>
      </c>
      <c r="N600" s="543" t="s">
        <v>449</v>
      </c>
      <c r="O600" s="543">
        <v>33646.1</v>
      </c>
      <c r="P600" s="73" t="s">
        <v>431</v>
      </c>
      <c r="Q600" s="158">
        <v>31.15</v>
      </c>
      <c r="R600" s="563">
        <f t="shared" si="34"/>
        <v>8.6861072853228194E-4</v>
      </c>
      <c r="S600" s="563">
        <f t="shared" si="35"/>
        <v>-7.3295092415551766E-3</v>
      </c>
      <c r="AA600" s="594">
        <v>42471</v>
      </c>
      <c r="AB600" s="595" t="s">
        <v>449</v>
      </c>
      <c r="AC600" s="595">
        <v>33566.22</v>
      </c>
      <c r="AD600" s="596" t="s">
        <v>395</v>
      </c>
      <c r="AE600" s="595">
        <v>254</v>
      </c>
      <c r="AF600" s="597">
        <f t="shared" si="36"/>
        <v>-1.1814809079491728E-2</v>
      </c>
      <c r="AG600" s="597">
        <f t="shared" si="37"/>
        <v>4.9455984174084922E-3</v>
      </c>
    </row>
    <row r="601" spans="13:33" x14ac:dyDescent="0.35">
      <c r="M601" s="555">
        <v>42474</v>
      </c>
      <c r="N601" s="543" t="s">
        <v>449</v>
      </c>
      <c r="O601" s="543">
        <v>33767.589999999997</v>
      </c>
      <c r="P601" s="73" t="s">
        <v>431</v>
      </c>
      <c r="Q601" s="158">
        <v>32.68</v>
      </c>
      <c r="R601" s="563">
        <f t="shared" si="34"/>
        <v>3.6108196789523817E-3</v>
      </c>
      <c r="S601" s="563">
        <f t="shared" si="35"/>
        <v>4.9117174959871557E-2</v>
      </c>
      <c r="AA601" s="594">
        <v>42472</v>
      </c>
      <c r="AB601" s="595" t="s">
        <v>449</v>
      </c>
      <c r="AC601" s="595">
        <v>33616.9</v>
      </c>
      <c r="AD601" s="596" t="s">
        <v>395</v>
      </c>
      <c r="AE601" s="595">
        <v>254.05</v>
      </c>
      <c r="AF601" s="597">
        <f t="shared" si="36"/>
        <v>1.5098512730953306E-3</v>
      </c>
      <c r="AG601" s="597">
        <f t="shared" si="37"/>
        <v>1.9685039370087587E-4</v>
      </c>
    </row>
    <row r="602" spans="13:33" x14ac:dyDescent="0.35">
      <c r="M602" s="555">
        <v>42475</v>
      </c>
      <c r="N602" s="543" t="s">
        <v>449</v>
      </c>
      <c r="O602" s="543">
        <v>33767.120000000003</v>
      </c>
      <c r="P602" s="73" t="s">
        <v>431</v>
      </c>
      <c r="Q602" s="158">
        <v>33.909999999999997</v>
      </c>
      <c r="R602" s="563">
        <f t="shared" ref="R602:R665" si="38">(O602/O601)-1</f>
        <v>-1.3918671720292153E-5</v>
      </c>
      <c r="S602" s="563">
        <f t="shared" ref="S602:S665" si="39">(Q602/Q601)-1</f>
        <v>3.7637698898408622E-2</v>
      </c>
      <c r="AA602" s="594">
        <v>42473</v>
      </c>
      <c r="AB602" s="595" t="s">
        <v>449</v>
      </c>
      <c r="AC602" s="595">
        <v>33646.1</v>
      </c>
      <c r="AD602" s="596" t="s">
        <v>395</v>
      </c>
      <c r="AE602" s="595">
        <v>248.73</v>
      </c>
      <c r="AF602" s="597">
        <f t="shared" si="36"/>
        <v>8.6861072853228194E-4</v>
      </c>
      <c r="AG602" s="597">
        <f t="shared" si="37"/>
        <v>-2.0940759692973931E-2</v>
      </c>
    </row>
    <row r="603" spans="13:33" x14ac:dyDescent="0.35">
      <c r="M603" s="555">
        <v>42478</v>
      </c>
      <c r="N603" s="543" t="s">
        <v>449</v>
      </c>
      <c r="O603" s="543">
        <v>33759.97</v>
      </c>
      <c r="P603" s="73" t="s">
        <v>431</v>
      </c>
      <c r="Q603" s="158">
        <v>34.64</v>
      </c>
      <c r="R603" s="563">
        <f t="shared" si="38"/>
        <v>-2.1174444252280988E-4</v>
      </c>
      <c r="S603" s="563">
        <f t="shared" si="39"/>
        <v>2.1527572987319443E-2</v>
      </c>
      <c r="AA603" s="594">
        <v>42474</v>
      </c>
      <c r="AB603" s="595" t="s">
        <v>449</v>
      </c>
      <c r="AC603" s="595">
        <v>33767.589999999997</v>
      </c>
      <c r="AD603" s="596" t="s">
        <v>395</v>
      </c>
      <c r="AE603" s="595">
        <v>257.01</v>
      </c>
      <c r="AF603" s="597">
        <f t="shared" si="36"/>
        <v>3.6108196789523817E-3</v>
      </c>
      <c r="AG603" s="597">
        <f t="shared" si="37"/>
        <v>3.3289108672054146E-2</v>
      </c>
    </row>
    <row r="604" spans="13:33" x14ac:dyDescent="0.35">
      <c r="M604" s="555">
        <v>42479</v>
      </c>
      <c r="N604" s="543" t="s">
        <v>449</v>
      </c>
      <c r="O604" s="543">
        <v>33729.620000000003</v>
      </c>
      <c r="P604" s="73" t="s">
        <v>431</v>
      </c>
      <c r="Q604" s="158">
        <v>34.19</v>
      </c>
      <c r="R604" s="563">
        <f t="shared" si="38"/>
        <v>-8.9899368986401385E-4</v>
      </c>
      <c r="S604" s="563">
        <f t="shared" si="39"/>
        <v>-1.2990762124711397E-2</v>
      </c>
      <c r="AA604" s="594">
        <v>42475</v>
      </c>
      <c r="AB604" s="595" t="s">
        <v>449</v>
      </c>
      <c r="AC604" s="595">
        <v>33767.120000000003</v>
      </c>
      <c r="AD604" s="596" t="s">
        <v>395</v>
      </c>
      <c r="AE604" s="595">
        <v>267.52</v>
      </c>
      <c r="AF604" s="597">
        <f t="shared" ref="AF604:AF667" si="40">(AC604/AC603)-1</f>
        <v>-1.3918671720292153E-5</v>
      </c>
      <c r="AG604" s="597">
        <f t="shared" ref="AG604:AG667" si="41">(AE604/AE603)-1</f>
        <v>4.089335045328979E-2</v>
      </c>
    </row>
    <row r="605" spans="13:33" x14ac:dyDescent="0.35">
      <c r="M605" s="555">
        <v>42480</v>
      </c>
      <c r="N605" s="543" t="s">
        <v>449</v>
      </c>
      <c r="O605" s="543">
        <v>33619.839999999997</v>
      </c>
      <c r="P605" s="73" t="s">
        <v>431</v>
      </c>
      <c r="Q605" s="158">
        <v>34.17</v>
      </c>
      <c r="R605" s="563">
        <f t="shared" si="38"/>
        <v>-3.2547061010472778E-3</v>
      </c>
      <c r="S605" s="563">
        <f t="shared" si="39"/>
        <v>-5.8496636443394756E-4</v>
      </c>
      <c r="AA605" s="594">
        <v>42478</v>
      </c>
      <c r="AB605" s="595" t="s">
        <v>449</v>
      </c>
      <c r="AC605" s="595">
        <v>33759.97</v>
      </c>
      <c r="AD605" s="596" t="s">
        <v>395</v>
      </c>
      <c r="AE605" s="595">
        <v>266.5</v>
      </c>
      <c r="AF605" s="597">
        <f t="shared" si="40"/>
        <v>-2.1174444252280988E-4</v>
      </c>
      <c r="AG605" s="597">
        <f t="shared" si="41"/>
        <v>-3.8127990430620873E-3</v>
      </c>
    </row>
    <row r="606" spans="13:33" x14ac:dyDescent="0.35">
      <c r="M606" s="555">
        <v>42481</v>
      </c>
      <c r="N606" s="543" t="s">
        <v>449</v>
      </c>
      <c r="O606" s="543">
        <v>33572.129999999997</v>
      </c>
      <c r="P606" s="73" t="s">
        <v>431</v>
      </c>
      <c r="Q606" s="158">
        <v>33.61</v>
      </c>
      <c r="R606" s="563">
        <f t="shared" si="38"/>
        <v>-1.4191025299347126E-3</v>
      </c>
      <c r="S606" s="563">
        <f t="shared" si="39"/>
        <v>-1.6388645010242953E-2</v>
      </c>
      <c r="AA606" s="594">
        <v>42479</v>
      </c>
      <c r="AB606" s="595" t="s">
        <v>449</v>
      </c>
      <c r="AC606" s="595">
        <v>33729.620000000003</v>
      </c>
      <c r="AD606" s="596" t="s">
        <v>395</v>
      </c>
      <c r="AE606" s="595">
        <v>261</v>
      </c>
      <c r="AF606" s="597">
        <f t="shared" si="40"/>
        <v>-8.9899368986401385E-4</v>
      </c>
      <c r="AG606" s="597">
        <f t="shared" si="41"/>
        <v>-2.0637898686679201E-2</v>
      </c>
    </row>
    <row r="607" spans="13:33" x14ac:dyDescent="0.35">
      <c r="M607" s="555">
        <v>42482</v>
      </c>
      <c r="N607" s="543" t="s">
        <v>449</v>
      </c>
      <c r="O607" s="543">
        <v>33739.54</v>
      </c>
      <c r="P607" s="73" t="s">
        <v>431</v>
      </c>
      <c r="Q607" s="158">
        <v>33.020000000000003</v>
      </c>
      <c r="R607" s="563">
        <f t="shared" si="38"/>
        <v>4.9865766634409336E-3</v>
      </c>
      <c r="S607" s="563">
        <f t="shared" si="39"/>
        <v>-1.7554299315679756E-2</v>
      </c>
      <c r="AA607" s="594">
        <v>42480</v>
      </c>
      <c r="AB607" s="595" t="s">
        <v>449</v>
      </c>
      <c r="AC607" s="595">
        <v>33619.839999999997</v>
      </c>
      <c r="AD607" s="596" t="s">
        <v>395</v>
      </c>
      <c r="AE607" s="595">
        <v>259.08</v>
      </c>
      <c r="AF607" s="597">
        <f t="shared" si="40"/>
        <v>-3.2547061010472778E-3</v>
      </c>
      <c r="AG607" s="597">
        <f t="shared" si="41"/>
        <v>-7.3563218390805263E-3</v>
      </c>
    </row>
    <row r="608" spans="13:33" x14ac:dyDescent="0.35">
      <c r="M608" s="555">
        <v>42485</v>
      </c>
      <c r="N608" s="543" t="s">
        <v>449</v>
      </c>
      <c r="O608" s="543">
        <v>33684.559999999998</v>
      </c>
      <c r="P608" s="73" t="s">
        <v>431</v>
      </c>
      <c r="Q608" s="158">
        <v>32.72</v>
      </c>
      <c r="R608" s="563">
        <f t="shared" si="38"/>
        <v>-1.6295420743733802E-3</v>
      </c>
      <c r="S608" s="563">
        <f t="shared" si="39"/>
        <v>-9.0854027861902997E-3</v>
      </c>
      <c r="AA608" s="594">
        <v>42481</v>
      </c>
      <c r="AB608" s="595" t="s">
        <v>449</v>
      </c>
      <c r="AC608" s="595">
        <v>33572.129999999997</v>
      </c>
      <c r="AD608" s="596" t="s">
        <v>395</v>
      </c>
      <c r="AE608" s="595">
        <v>264.89</v>
      </c>
      <c r="AF608" s="597">
        <f t="shared" si="40"/>
        <v>-1.4191025299347126E-3</v>
      </c>
      <c r="AG608" s="597">
        <f t="shared" si="41"/>
        <v>2.2425505635325083E-2</v>
      </c>
    </row>
    <row r="609" spans="13:33" x14ac:dyDescent="0.35">
      <c r="M609" s="555">
        <v>42486</v>
      </c>
      <c r="N609" s="543" t="s">
        <v>449</v>
      </c>
      <c r="O609" s="543">
        <v>33847.74</v>
      </c>
      <c r="P609" s="73" t="s">
        <v>431</v>
      </c>
      <c r="Q609" s="158">
        <v>32.78</v>
      </c>
      <c r="R609" s="563">
        <f t="shared" si="38"/>
        <v>4.8443559898065924E-3</v>
      </c>
      <c r="S609" s="563">
        <f t="shared" si="39"/>
        <v>1.8337408312958381E-3</v>
      </c>
      <c r="AA609" s="594">
        <v>42482</v>
      </c>
      <c r="AB609" s="595" t="s">
        <v>449</v>
      </c>
      <c r="AC609" s="595">
        <v>33739.54</v>
      </c>
      <c r="AD609" s="596" t="s">
        <v>395</v>
      </c>
      <c r="AE609" s="595">
        <v>275.13</v>
      </c>
      <c r="AF609" s="597">
        <f t="shared" si="40"/>
        <v>4.9865766634409336E-3</v>
      </c>
      <c r="AG609" s="597">
        <f t="shared" si="41"/>
        <v>3.8657555966627788E-2</v>
      </c>
    </row>
    <row r="610" spans="13:33" x14ac:dyDescent="0.35">
      <c r="M610" s="555">
        <v>42487</v>
      </c>
      <c r="N610" s="543" t="s">
        <v>449</v>
      </c>
      <c r="O610" s="543">
        <v>34269.279999999999</v>
      </c>
      <c r="P610" s="73" t="s">
        <v>431</v>
      </c>
      <c r="Q610" s="158">
        <v>33.909999999999997</v>
      </c>
      <c r="R610" s="563">
        <f t="shared" si="38"/>
        <v>1.2454007269022904E-2</v>
      </c>
      <c r="S610" s="563">
        <f t="shared" si="39"/>
        <v>3.4472239170225683E-2</v>
      </c>
      <c r="AA610" s="594">
        <v>42485</v>
      </c>
      <c r="AB610" s="595" t="s">
        <v>449</v>
      </c>
      <c r="AC610" s="595">
        <v>33684.559999999998</v>
      </c>
      <c r="AD610" s="596" t="s">
        <v>395</v>
      </c>
      <c r="AE610" s="595">
        <v>271.49</v>
      </c>
      <c r="AF610" s="597">
        <f t="shared" si="40"/>
        <v>-1.6295420743733802E-3</v>
      </c>
      <c r="AG610" s="597">
        <f t="shared" si="41"/>
        <v>-1.323010940282765E-2</v>
      </c>
    </row>
    <row r="611" spans="13:33" x14ac:dyDescent="0.35">
      <c r="M611" s="555">
        <v>42488</v>
      </c>
      <c r="N611" s="543" t="s">
        <v>449</v>
      </c>
      <c r="O611" s="543">
        <v>34503.64</v>
      </c>
      <c r="P611" s="73" t="s">
        <v>431</v>
      </c>
      <c r="Q611" s="158">
        <v>33.840000000000003</v>
      </c>
      <c r="R611" s="563">
        <f t="shared" si="38"/>
        <v>6.8387780542806809E-3</v>
      </c>
      <c r="S611" s="563">
        <f t="shared" si="39"/>
        <v>-2.0642878207016713E-3</v>
      </c>
      <c r="AA611" s="594">
        <v>42486</v>
      </c>
      <c r="AB611" s="595" t="s">
        <v>449</v>
      </c>
      <c r="AC611" s="595">
        <v>33847.74</v>
      </c>
      <c r="AD611" s="596" t="s">
        <v>395</v>
      </c>
      <c r="AE611" s="595">
        <v>270</v>
      </c>
      <c r="AF611" s="597">
        <f t="shared" si="40"/>
        <v>4.8443559898065924E-3</v>
      </c>
      <c r="AG611" s="597">
        <f t="shared" si="41"/>
        <v>-5.4882316107407458E-3</v>
      </c>
    </row>
    <row r="612" spans="13:33" x14ac:dyDescent="0.35">
      <c r="M612" s="555">
        <v>42489</v>
      </c>
      <c r="N612" s="543" t="s">
        <v>449</v>
      </c>
      <c r="O612" s="543">
        <v>34719.29</v>
      </c>
      <c r="P612" s="73" t="s">
        <v>431</v>
      </c>
      <c r="Q612" s="158">
        <v>33.409999999999997</v>
      </c>
      <c r="R612" s="563">
        <f t="shared" si="38"/>
        <v>6.2500652105110799E-3</v>
      </c>
      <c r="S612" s="563">
        <f t="shared" si="39"/>
        <v>-1.2706855791962401E-2</v>
      </c>
      <c r="AA612" s="594">
        <v>42487</v>
      </c>
      <c r="AB612" s="595" t="s">
        <v>449</v>
      </c>
      <c r="AC612" s="595">
        <v>34269.279999999999</v>
      </c>
      <c r="AD612" s="596" t="s">
        <v>395</v>
      </c>
      <c r="AE612" s="595">
        <v>275.3</v>
      </c>
      <c r="AF612" s="597">
        <f t="shared" si="40"/>
        <v>1.2454007269022904E-2</v>
      </c>
      <c r="AG612" s="597">
        <f t="shared" si="41"/>
        <v>1.9629629629629664E-2</v>
      </c>
    </row>
    <row r="613" spans="13:33" x14ac:dyDescent="0.35">
      <c r="M613" s="555">
        <v>42492</v>
      </c>
      <c r="N613" s="543" t="s">
        <v>449</v>
      </c>
      <c r="O613" s="543">
        <v>34567.519999999997</v>
      </c>
      <c r="P613" s="73" t="s">
        <v>431</v>
      </c>
      <c r="Q613" s="158">
        <v>32.799999999999997</v>
      </c>
      <c r="R613" s="563">
        <f t="shared" si="38"/>
        <v>-4.3713451513555102E-3</v>
      </c>
      <c r="S613" s="563">
        <f t="shared" si="39"/>
        <v>-1.8258006584854769E-2</v>
      </c>
      <c r="AA613" s="594">
        <v>42488</v>
      </c>
      <c r="AB613" s="595" t="s">
        <v>449</v>
      </c>
      <c r="AC613" s="595">
        <v>34503.64</v>
      </c>
      <c r="AD613" s="596" t="s">
        <v>395</v>
      </c>
      <c r="AE613" s="595">
        <v>276.3</v>
      </c>
      <c r="AF613" s="597">
        <f t="shared" si="40"/>
        <v>6.8387780542806809E-3</v>
      </c>
      <c r="AG613" s="597">
        <f t="shared" si="41"/>
        <v>3.6324010170722953E-3</v>
      </c>
    </row>
    <row r="614" spans="13:33" x14ac:dyDescent="0.35">
      <c r="M614" s="555">
        <v>42493</v>
      </c>
      <c r="N614" s="543" t="s">
        <v>449</v>
      </c>
      <c r="O614" s="543">
        <v>34897.300000000003</v>
      </c>
      <c r="P614" s="73" t="s">
        <v>431</v>
      </c>
      <c r="Q614" s="158">
        <v>32.9</v>
      </c>
      <c r="R614" s="563">
        <f t="shared" si="38"/>
        <v>9.5401695001551268E-3</v>
      </c>
      <c r="S614" s="563">
        <f t="shared" si="39"/>
        <v>3.0487804878049918E-3</v>
      </c>
      <c r="AA614" s="594">
        <v>42489</v>
      </c>
      <c r="AB614" s="595" t="s">
        <v>449</v>
      </c>
      <c r="AC614" s="595">
        <v>34719.29</v>
      </c>
      <c r="AD614" s="596" t="s">
        <v>395</v>
      </c>
      <c r="AE614" s="595">
        <v>277</v>
      </c>
      <c r="AF614" s="597">
        <f t="shared" si="40"/>
        <v>6.2500652105110799E-3</v>
      </c>
      <c r="AG614" s="597">
        <f t="shared" si="41"/>
        <v>2.5334781035106779E-3</v>
      </c>
    </row>
    <row r="615" spans="13:33" x14ac:dyDescent="0.35">
      <c r="M615" s="555">
        <v>42494</v>
      </c>
      <c r="N615" s="543" t="s">
        <v>449</v>
      </c>
      <c r="O615" s="543">
        <v>35317.56</v>
      </c>
      <c r="P615" s="73" t="s">
        <v>431</v>
      </c>
      <c r="Q615" s="158">
        <v>32.81</v>
      </c>
      <c r="R615" s="563">
        <f t="shared" si="38"/>
        <v>1.2042765486155016E-2</v>
      </c>
      <c r="S615" s="563">
        <f t="shared" si="39"/>
        <v>-2.7355623100302484E-3</v>
      </c>
      <c r="AA615" s="594">
        <v>42492</v>
      </c>
      <c r="AB615" s="595" t="s">
        <v>449</v>
      </c>
      <c r="AC615" s="595">
        <v>34567.519999999997</v>
      </c>
      <c r="AD615" s="596" t="s">
        <v>395</v>
      </c>
      <c r="AE615" s="595">
        <v>277.74</v>
      </c>
      <c r="AF615" s="597">
        <f t="shared" si="40"/>
        <v>-4.3713451513555102E-3</v>
      </c>
      <c r="AG615" s="597">
        <f t="shared" si="41"/>
        <v>2.6714801444043257E-3</v>
      </c>
    </row>
    <row r="616" spans="13:33" x14ac:dyDescent="0.35">
      <c r="M616" s="555">
        <v>42495</v>
      </c>
      <c r="N616" s="543" t="s">
        <v>449</v>
      </c>
      <c r="O616" s="543">
        <v>35941.47</v>
      </c>
      <c r="P616" s="73" t="s">
        <v>431</v>
      </c>
      <c r="Q616" s="158">
        <v>32.92</v>
      </c>
      <c r="R616" s="563">
        <f t="shared" si="38"/>
        <v>1.766571643114645E-2</v>
      </c>
      <c r="S616" s="563">
        <f t="shared" si="39"/>
        <v>3.3526363913440882E-3</v>
      </c>
      <c r="AA616" s="594">
        <v>42493</v>
      </c>
      <c r="AB616" s="595" t="s">
        <v>449</v>
      </c>
      <c r="AC616" s="595">
        <v>34897.300000000003</v>
      </c>
      <c r="AD616" s="596" t="s">
        <v>395</v>
      </c>
      <c r="AE616" s="595">
        <v>277.99</v>
      </c>
      <c r="AF616" s="597">
        <f t="shared" si="40"/>
        <v>9.5401695001551268E-3</v>
      </c>
      <c r="AG616" s="597">
        <f t="shared" si="41"/>
        <v>9.0012241664871873E-4</v>
      </c>
    </row>
    <row r="617" spans="13:33" x14ac:dyDescent="0.35">
      <c r="M617" s="555">
        <v>42496</v>
      </c>
      <c r="N617" s="543" t="s">
        <v>449</v>
      </c>
      <c r="O617" s="543">
        <v>35973.68</v>
      </c>
      <c r="P617" s="73" t="s">
        <v>431</v>
      </c>
      <c r="Q617" s="158">
        <v>32.619999999999997</v>
      </c>
      <c r="R617" s="563">
        <f t="shared" si="38"/>
        <v>8.9617926033636053E-4</v>
      </c>
      <c r="S617" s="563">
        <f t="shared" si="39"/>
        <v>-9.1130012150669737E-3</v>
      </c>
      <c r="AA617" s="594">
        <v>42494</v>
      </c>
      <c r="AB617" s="595" t="s">
        <v>449</v>
      </c>
      <c r="AC617" s="595">
        <v>35317.56</v>
      </c>
      <c r="AD617" s="596" t="s">
        <v>395</v>
      </c>
      <c r="AE617" s="595">
        <v>275.13</v>
      </c>
      <c r="AF617" s="597">
        <f t="shared" si="40"/>
        <v>1.2042765486155016E-2</v>
      </c>
      <c r="AG617" s="597">
        <f t="shared" si="41"/>
        <v>-1.0288139861146184E-2</v>
      </c>
    </row>
    <row r="618" spans="13:33" x14ac:dyDescent="0.35">
      <c r="M618" s="555">
        <v>42499</v>
      </c>
      <c r="N618" s="543" t="s">
        <v>449</v>
      </c>
      <c r="O618" s="543">
        <v>36234.99</v>
      </c>
      <c r="P618" s="73" t="s">
        <v>431</v>
      </c>
      <c r="Q618" s="158">
        <v>33.14</v>
      </c>
      <c r="R618" s="563">
        <f t="shared" si="38"/>
        <v>7.2639218450822884E-3</v>
      </c>
      <c r="S618" s="563">
        <f t="shared" si="39"/>
        <v>1.5941140404659881E-2</v>
      </c>
      <c r="AA618" s="594">
        <v>42495</v>
      </c>
      <c r="AB618" s="595" t="s">
        <v>449</v>
      </c>
      <c r="AC618" s="595">
        <v>35941.47</v>
      </c>
      <c r="AD618" s="596" t="s">
        <v>395</v>
      </c>
      <c r="AE618" s="595">
        <v>275.61</v>
      </c>
      <c r="AF618" s="597">
        <f t="shared" si="40"/>
        <v>1.766571643114645E-2</v>
      </c>
      <c r="AG618" s="597">
        <f t="shared" si="41"/>
        <v>1.7446298113619196E-3</v>
      </c>
    </row>
    <row r="619" spans="13:33" x14ac:dyDescent="0.35">
      <c r="M619" s="555">
        <v>42500</v>
      </c>
      <c r="N619" s="543" t="s">
        <v>449</v>
      </c>
      <c r="O619" s="543">
        <v>36265.120000000003</v>
      </c>
      <c r="P619" s="73" t="s">
        <v>431</v>
      </c>
      <c r="Q619" s="158">
        <v>32.96</v>
      </c>
      <c r="R619" s="563">
        <f t="shared" si="38"/>
        <v>8.3151671906089852E-4</v>
      </c>
      <c r="S619" s="563">
        <f t="shared" si="39"/>
        <v>-5.431502715751324E-3</v>
      </c>
      <c r="AA619" s="594">
        <v>42496</v>
      </c>
      <c r="AB619" s="595" t="s">
        <v>449</v>
      </c>
      <c r="AC619" s="595">
        <v>35973.68</v>
      </c>
      <c r="AD619" s="596" t="s">
        <v>395</v>
      </c>
      <c r="AE619" s="595">
        <v>277.18</v>
      </c>
      <c r="AF619" s="597">
        <f t="shared" si="40"/>
        <v>8.9617926033636053E-4</v>
      </c>
      <c r="AG619" s="597">
        <f t="shared" si="41"/>
        <v>5.6964551358804627E-3</v>
      </c>
    </row>
    <row r="620" spans="13:33" x14ac:dyDescent="0.35">
      <c r="M620" s="555">
        <v>42501</v>
      </c>
      <c r="N620" s="543" t="s">
        <v>449</v>
      </c>
      <c r="O620" s="543">
        <v>36266.230000000003</v>
      </c>
      <c r="P620" s="73" t="s">
        <v>431</v>
      </c>
      <c r="Q620" s="158">
        <v>32.83</v>
      </c>
      <c r="R620" s="563">
        <f t="shared" si="38"/>
        <v>3.0607922985037561E-5</v>
      </c>
      <c r="S620" s="563">
        <f t="shared" si="39"/>
        <v>-3.9441747572815933E-3</v>
      </c>
      <c r="AA620" s="594">
        <v>42499</v>
      </c>
      <c r="AB620" s="595" t="s">
        <v>449</v>
      </c>
      <c r="AC620" s="595">
        <v>36234.99</v>
      </c>
      <c r="AD620" s="596" t="s">
        <v>395</v>
      </c>
      <c r="AE620" s="595">
        <v>280</v>
      </c>
      <c r="AF620" s="597">
        <f t="shared" si="40"/>
        <v>7.2639218450822884E-3</v>
      </c>
      <c r="AG620" s="597">
        <f t="shared" si="41"/>
        <v>1.017389422036219E-2</v>
      </c>
    </row>
    <row r="621" spans="13:33" x14ac:dyDescent="0.35">
      <c r="M621" s="555">
        <v>42502</v>
      </c>
      <c r="N621" s="543" t="s">
        <v>449</v>
      </c>
      <c r="O621" s="543">
        <v>36048.76</v>
      </c>
      <c r="P621" s="73" t="s">
        <v>431</v>
      </c>
      <c r="Q621" s="158">
        <v>32.799999999999997</v>
      </c>
      <c r="R621" s="563">
        <f t="shared" si="38"/>
        <v>-5.9964876415332657E-3</v>
      </c>
      <c r="S621" s="563">
        <f t="shared" si="39"/>
        <v>-9.1379835516303132E-4</v>
      </c>
      <c r="AA621" s="594">
        <v>42500</v>
      </c>
      <c r="AB621" s="595" t="s">
        <v>449</v>
      </c>
      <c r="AC621" s="595">
        <v>36265.120000000003</v>
      </c>
      <c r="AD621" s="596" t="s">
        <v>395</v>
      </c>
      <c r="AE621" s="595">
        <v>280</v>
      </c>
      <c r="AF621" s="597">
        <f t="shared" si="40"/>
        <v>8.3151671906089852E-4</v>
      </c>
      <c r="AG621" s="597">
        <f t="shared" si="41"/>
        <v>0</v>
      </c>
    </row>
    <row r="622" spans="13:33" x14ac:dyDescent="0.35">
      <c r="M622" s="555">
        <v>42503</v>
      </c>
      <c r="N622" s="543" t="s">
        <v>449</v>
      </c>
      <c r="O622" s="543">
        <v>36122.49</v>
      </c>
      <c r="P622" s="73" t="s">
        <v>431</v>
      </c>
      <c r="Q622" s="158">
        <v>32.700000000000003</v>
      </c>
      <c r="R622" s="563">
        <f t="shared" si="38"/>
        <v>2.0452853302026508E-3</v>
      </c>
      <c r="S622" s="563">
        <f t="shared" si="39"/>
        <v>-3.0487804878046587E-3</v>
      </c>
      <c r="AA622" s="594">
        <v>42501</v>
      </c>
      <c r="AB622" s="595" t="s">
        <v>449</v>
      </c>
      <c r="AC622" s="595">
        <v>36266.230000000003</v>
      </c>
      <c r="AD622" s="596" t="s">
        <v>395</v>
      </c>
      <c r="AE622" s="595">
        <v>274.61</v>
      </c>
      <c r="AF622" s="597">
        <f t="shared" si="40"/>
        <v>3.0607922985037561E-5</v>
      </c>
      <c r="AG622" s="597">
        <f t="shared" si="41"/>
        <v>-1.9249999999999989E-2</v>
      </c>
    </row>
    <row r="623" spans="13:33" x14ac:dyDescent="0.35">
      <c r="M623" s="555">
        <v>42506</v>
      </c>
      <c r="N623" s="543" t="s">
        <v>449</v>
      </c>
      <c r="O623" s="543">
        <v>36125.370000000003</v>
      </c>
      <c r="P623" s="73" t="s">
        <v>431</v>
      </c>
      <c r="Q623" s="158">
        <v>33.01</v>
      </c>
      <c r="R623" s="563">
        <f t="shared" si="38"/>
        <v>7.9728723020089376E-5</v>
      </c>
      <c r="S623" s="563">
        <f t="shared" si="39"/>
        <v>9.4801223241589572E-3</v>
      </c>
      <c r="AA623" s="594">
        <v>42502</v>
      </c>
      <c r="AB623" s="595" t="s">
        <v>449</v>
      </c>
      <c r="AC623" s="595">
        <v>36048.76</v>
      </c>
      <c r="AD623" s="596" t="s">
        <v>395</v>
      </c>
      <c r="AE623" s="595">
        <v>275.87</v>
      </c>
      <c r="AF623" s="597">
        <f t="shared" si="40"/>
        <v>-5.9964876415332657E-3</v>
      </c>
      <c r="AG623" s="597">
        <f t="shared" si="41"/>
        <v>4.5883252612795022E-3</v>
      </c>
    </row>
    <row r="624" spans="13:33" x14ac:dyDescent="0.35">
      <c r="M624" s="555">
        <v>42507</v>
      </c>
      <c r="N624" s="543" t="s">
        <v>449</v>
      </c>
      <c r="O624" s="543">
        <v>36137.120000000003</v>
      </c>
      <c r="P624" s="73" t="s">
        <v>431</v>
      </c>
      <c r="Q624" s="158">
        <v>33.26</v>
      </c>
      <c r="R624" s="563">
        <f t="shared" si="38"/>
        <v>3.2525618422729607E-4</v>
      </c>
      <c r="S624" s="563">
        <f t="shared" si="39"/>
        <v>7.5734625870949035E-3</v>
      </c>
      <c r="AA624" s="594">
        <v>42503</v>
      </c>
      <c r="AB624" s="595" t="s">
        <v>449</v>
      </c>
      <c r="AC624" s="595">
        <v>36122.49</v>
      </c>
      <c r="AD624" s="596" t="s">
        <v>395</v>
      </c>
      <c r="AE624" s="595">
        <v>272</v>
      </c>
      <c r="AF624" s="597">
        <f t="shared" si="40"/>
        <v>2.0452853302026508E-3</v>
      </c>
      <c r="AG624" s="597">
        <f t="shared" si="41"/>
        <v>-1.4028346685032833E-2</v>
      </c>
    </row>
    <row r="625" spans="13:33" x14ac:dyDescent="0.35">
      <c r="M625" s="555">
        <v>42508</v>
      </c>
      <c r="N625" s="543" t="s">
        <v>449</v>
      </c>
      <c r="O625" s="543">
        <v>36318.21</v>
      </c>
      <c r="P625" s="73" t="s">
        <v>431</v>
      </c>
      <c r="Q625" s="158">
        <v>33.72</v>
      </c>
      <c r="R625" s="563">
        <f t="shared" si="38"/>
        <v>5.0111907091654473E-3</v>
      </c>
      <c r="S625" s="563">
        <f t="shared" si="39"/>
        <v>1.3830426939266394E-2</v>
      </c>
      <c r="AA625" s="594">
        <v>42506</v>
      </c>
      <c r="AB625" s="595" t="s">
        <v>449</v>
      </c>
      <c r="AC625" s="595">
        <v>36125.370000000003</v>
      </c>
      <c r="AD625" s="596" t="s">
        <v>395</v>
      </c>
      <c r="AE625" s="595">
        <v>272</v>
      </c>
      <c r="AF625" s="597">
        <f t="shared" si="40"/>
        <v>7.9728723020089376E-5</v>
      </c>
      <c r="AG625" s="597">
        <f t="shared" si="41"/>
        <v>0</v>
      </c>
    </row>
    <row r="626" spans="13:33" x14ac:dyDescent="0.35">
      <c r="M626" s="555">
        <v>42509</v>
      </c>
      <c r="N626" s="543" t="s">
        <v>449</v>
      </c>
      <c r="O626" s="543">
        <v>36685.050000000003</v>
      </c>
      <c r="P626" s="73" t="s">
        <v>431</v>
      </c>
      <c r="Q626" s="158">
        <v>33.729999999999997</v>
      </c>
      <c r="R626" s="563">
        <f t="shared" si="38"/>
        <v>1.0100718069530501E-2</v>
      </c>
      <c r="S626" s="563">
        <f t="shared" si="39"/>
        <v>2.9655990510080166E-4</v>
      </c>
      <c r="AA626" s="594">
        <v>42507</v>
      </c>
      <c r="AB626" s="595" t="s">
        <v>449</v>
      </c>
      <c r="AC626" s="595">
        <v>36137.120000000003</v>
      </c>
      <c r="AD626" s="596" t="s">
        <v>395</v>
      </c>
      <c r="AE626" s="595">
        <v>275.99</v>
      </c>
      <c r="AF626" s="597">
        <f t="shared" si="40"/>
        <v>3.2525618422729607E-4</v>
      </c>
      <c r="AG626" s="597">
        <f t="shared" si="41"/>
        <v>1.4669117647058805E-2</v>
      </c>
    </row>
    <row r="627" spans="13:33" x14ac:dyDescent="0.35">
      <c r="M627" s="555">
        <v>42510</v>
      </c>
      <c r="N627" s="543" t="s">
        <v>449</v>
      </c>
      <c r="O627" s="543">
        <v>36693.5</v>
      </c>
      <c r="P627" s="73" t="s">
        <v>431</v>
      </c>
      <c r="Q627" s="158">
        <v>33.42</v>
      </c>
      <c r="R627" s="563">
        <f t="shared" si="38"/>
        <v>2.3033906182479136E-4</v>
      </c>
      <c r="S627" s="563">
        <f t="shared" si="39"/>
        <v>-9.1906314853245075E-3</v>
      </c>
      <c r="AA627" s="594">
        <v>42508</v>
      </c>
      <c r="AB627" s="595" t="s">
        <v>449</v>
      </c>
      <c r="AC627" s="595">
        <v>36318.21</v>
      </c>
      <c r="AD627" s="596" t="s">
        <v>395</v>
      </c>
      <c r="AE627" s="595">
        <v>274</v>
      </c>
      <c r="AF627" s="597">
        <f t="shared" si="40"/>
        <v>5.0111907091654473E-3</v>
      </c>
      <c r="AG627" s="597">
        <f t="shared" si="41"/>
        <v>-7.2104061741368186E-3</v>
      </c>
    </row>
    <row r="628" spans="13:33" x14ac:dyDescent="0.35">
      <c r="M628" s="555">
        <v>42513</v>
      </c>
      <c r="N628" s="543" t="s">
        <v>449</v>
      </c>
      <c r="O628" s="543">
        <v>36723.35</v>
      </c>
      <c r="P628" s="73" t="s">
        <v>431</v>
      </c>
      <c r="Q628" s="158">
        <v>34.15</v>
      </c>
      <c r="R628" s="563">
        <f t="shared" si="38"/>
        <v>8.1349557823595653E-4</v>
      </c>
      <c r="S628" s="563">
        <f t="shared" si="39"/>
        <v>2.184320766008363E-2</v>
      </c>
      <c r="AA628" s="594">
        <v>42509</v>
      </c>
      <c r="AB628" s="595" t="s">
        <v>449</v>
      </c>
      <c r="AC628" s="595">
        <v>36685.050000000003</v>
      </c>
      <c r="AD628" s="596" t="s">
        <v>395</v>
      </c>
      <c r="AE628" s="595">
        <v>274.45999999999998</v>
      </c>
      <c r="AF628" s="597">
        <f t="shared" si="40"/>
        <v>1.0100718069530501E-2</v>
      </c>
      <c r="AG628" s="597">
        <f t="shared" si="41"/>
        <v>1.6788321167882092E-3</v>
      </c>
    </row>
    <row r="629" spans="13:33" x14ac:dyDescent="0.35">
      <c r="M629" s="555">
        <v>42514</v>
      </c>
      <c r="N629" s="543" t="s">
        <v>449</v>
      </c>
      <c r="O629" s="543">
        <v>36582.35</v>
      </c>
      <c r="P629" s="73" t="s">
        <v>431</v>
      </c>
      <c r="Q629" s="158">
        <v>33.82</v>
      </c>
      <c r="R629" s="563">
        <f t="shared" si="38"/>
        <v>-3.8395189981306199E-3</v>
      </c>
      <c r="S629" s="563">
        <f t="shared" si="39"/>
        <v>-9.6632503660322167E-3</v>
      </c>
      <c r="AA629" s="594">
        <v>42510</v>
      </c>
      <c r="AB629" s="595" t="s">
        <v>449</v>
      </c>
      <c r="AC629" s="595">
        <v>36693.5</v>
      </c>
      <c r="AD629" s="596" t="s">
        <v>395</v>
      </c>
      <c r="AE629" s="595">
        <v>270</v>
      </c>
      <c r="AF629" s="597">
        <f t="shared" si="40"/>
        <v>2.3033906182479136E-4</v>
      </c>
      <c r="AG629" s="597">
        <f t="shared" si="41"/>
        <v>-1.6250091087954499E-2</v>
      </c>
    </row>
    <row r="630" spans="13:33" x14ac:dyDescent="0.35">
      <c r="M630" s="555">
        <v>42515</v>
      </c>
      <c r="N630" s="543" t="s">
        <v>449</v>
      </c>
      <c r="O630" s="543">
        <v>36499.43</v>
      </c>
      <c r="P630" s="73" t="s">
        <v>431</v>
      </c>
      <c r="Q630" s="158">
        <v>33.56</v>
      </c>
      <c r="R630" s="563">
        <f t="shared" si="38"/>
        <v>-2.2666668489038644E-3</v>
      </c>
      <c r="S630" s="563">
        <f t="shared" si="39"/>
        <v>-7.6877587226492627E-3</v>
      </c>
      <c r="AA630" s="594">
        <v>42513</v>
      </c>
      <c r="AB630" s="595" t="s">
        <v>449</v>
      </c>
      <c r="AC630" s="595">
        <v>36723.35</v>
      </c>
      <c r="AD630" s="596" t="s">
        <v>395</v>
      </c>
      <c r="AE630" s="595">
        <v>269</v>
      </c>
      <c r="AF630" s="597">
        <f t="shared" si="40"/>
        <v>8.1349557823595653E-4</v>
      </c>
      <c r="AG630" s="597">
        <f t="shared" si="41"/>
        <v>-3.7037037037036535E-3</v>
      </c>
    </row>
    <row r="631" spans="13:33" x14ac:dyDescent="0.35">
      <c r="M631" s="555">
        <v>42516</v>
      </c>
      <c r="N631" s="543" t="s">
        <v>449</v>
      </c>
      <c r="O631" s="543">
        <v>36540.97</v>
      </c>
      <c r="P631" s="73" t="s">
        <v>431</v>
      </c>
      <c r="Q631" s="158">
        <v>33.229999999999997</v>
      </c>
      <c r="R631" s="563">
        <f t="shared" si="38"/>
        <v>1.1380999648487045E-3</v>
      </c>
      <c r="S631" s="563">
        <f t="shared" si="39"/>
        <v>-9.8331346841479261E-3</v>
      </c>
      <c r="AA631" s="594">
        <v>42514</v>
      </c>
      <c r="AB631" s="595" t="s">
        <v>449</v>
      </c>
      <c r="AC631" s="595">
        <v>36582.35</v>
      </c>
      <c r="AD631" s="596" t="s">
        <v>395</v>
      </c>
      <c r="AE631" s="595">
        <v>268.8</v>
      </c>
      <c r="AF631" s="597">
        <f t="shared" si="40"/>
        <v>-3.8395189981306199E-3</v>
      </c>
      <c r="AG631" s="597">
        <f t="shared" si="41"/>
        <v>-7.4349442379173514E-4</v>
      </c>
    </row>
    <row r="632" spans="13:33" x14ac:dyDescent="0.35">
      <c r="M632" s="555">
        <v>42517</v>
      </c>
      <c r="N632" s="543" t="s">
        <v>449</v>
      </c>
      <c r="O632" s="543">
        <v>36694.26</v>
      </c>
      <c r="P632" s="73" t="s">
        <v>431</v>
      </c>
      <c r="Q632" s="158">
        <v>33.08</v>
      </c>
      <c r="R632" s="563">
        <f t="shared" si="38"/>
        <v>4.1950172641831429E-3</v>
      </c>
      <c r="S632" s="563">
        <f t="shared" si="39"/>
        <v>-4.5139933794763332E-3</v>
      </c>
      <c r="AA632" s="594">
        <v>42515</v>
      </c>
      <c r="AB632" s="595" t="s">
        <v>449</v>
      </c>
      <c r="AC632" s="595">
        <v>36499.43</v>
      </c>
      <c r="AD632" s="596" t="s">
        <v>395</v>
      </c>
      <c r="AE632" s="595">
        <v>271.95</v>
      </c>
      <c r="AF632" s="597">
        <f t="shared" si="40"/>
        <v>-2.2666668489038644E-3</v>
      </c>
      <c r="AG632" s="597">
        <f t="shared" si="41"/>
        <v>1.171875E-2</v>
      </c>
    </row>
    <row r="633" spans="13:33" x14ac:dyDescent="0.35">
      <c r="M633" s="555">
        <v>42520</v>
      </c>
      <c r="N633" s="543" t="s">
        <v>449</v>
      </c>
      <c r="O633" s="543">
        <v>36234.69</v>
      </c>
      <c r="P633" s="73" t="s">
        <v>431</v>
      </c>
      <c r="Q633" s="158">
        <v>32.33</v>
      </c>
      <c r="R633" s="563">
        <f t="shared" si="38"/>
        <v>-1.2524302166060819E-2</v>
      </c>
      <c r="S633" s="563">
        <f t="shared" si="39"/>
        <v>-2.2672309552599801E-2</v>
      </c>
      <c r="AA633" s="594">
        <v>42516</v>
      </c>
      <c r="AB633" s="595" t="s">
        <v>449</v>
      </c>
      <c r="AC633" s="595">
        <v>36540.97</v>
      </c>
      <c r="AD633" s="596" t="s">
        <v>395</v>
      </c>
      <c r="AE633" s="595">
        <v>270</v>
      </c>
      <c r="AF633" s="597">
        <f t="shared" si="40"/>
        <v>1.1380999648487045E-3</v>
      </c>
      <c r="AG633" s="597">
        <f t="shared" si="41"/>
        <v>-7.1704357418642672E-3</v>
      </c>
    </row>
    <row r="634" spans="13:33" x14ac:dyDescent="0.35">
      <c r="M634" s="555">
        <v>42521</v>
      </c>
      <c r="N634" s="543" t="s">
        <v>449</v>
      </c>
      <c r="O634" s="543">
        <v>36061.56</v>
      </c>
      <c r="P634" s="73" t="s">
        <v>431</v>
      </c>
      <c r="Q634" s="158">
        <v>31.98</v>
      </c>
      <c r="R634" s="563">
        <f t="shared" si="38"/>
        <v>-4.7780179711763848E-3</v>
      </c>
      <c r="S634" s="563">
        <f t="shared" si="39"/>
        <v>-1.0825858335910876E-2</v>
      </c>
      <c r="AA634" s="594">
        <v>42517</v>
      </c>
      <c r="AB634" s="595" t="s">
        <v>449</v>
      </c>
      <c r="AC634" s="595">
        <v>36694.26</v>
      </c>
      <c r="AD634" s="596" t="s">
        <v>395</v>
      </c>
      <c r="AE634" s="595">
        <v>279.99</v>
      </c>
      <c r="AF634" s="597">
        <f t="shared" si="40"/>
        <v>4.1950172641831429E-3</v>
      </c>
      <c r="AG634" s="597">
        <f t="shared" si="41"/>
        <v>3.7000000000000144E-2</v>
      </c>
    </row>
    <row r="635" spans="13:33" x14ac:dyDescent="0.35">
      <c r="M635" s="555">
        <v>42522</v>
      </c>
      <c r="N635" s="543" t="s">
        <v>449</v>
      </c>
      <c r="O635" s="543">
        <v>36496.160000000003</v>
      </c>
      <c r="P635" s="73" t="s">
        <v>431</v>
      </c>
      <c r="Q635" s="158">
        <v>32.54</v>
      </c>
      <c r="R635" s="563">
        <f t="shared" si="38"/>
        <v>1.2051613962346774E-2</v>
      </c>
      <c r="S635" s="563">
        <f t="shared" si="39"/>
        <v>1.7510944340212609E-2</v>
      </c>
      <c r="AA635" s="594">
        <v>42520</v>
      </c>
      <c r="AB635" s="595" t="s">
        <v>449</v>
      </c>
      <c r="AC635" s="595">
        <v>36234.69</v>
      </c>
      <c r="AD635" s="596" t="s">
        <v>395</v>
      </c>
      <c r="AE635" s="595">
        <v>268</v>
      </c>
      <c r="AF635" s="597">
        <f t="shared" si="40"/>
        <v>-1.2524302166060819E-2</v>
      </c>
      <c r="AG635" s="597">
        <f t="shared" si="41"/>
        <v>-4.2822957962784458E-2</v>
      </c>
    </row>
    <row r="636" spans="13:33" x14ac:dyDescent="0.35">
      <c r="M636" s="555">
        <v>42523</v>
      </c>
      <c r="N636" s="543" t="s">
        <v>449</v>
      </c>
      <c r="O636" s="543">
        <v>36839.14</v>
      </c>
      <c r="P636" s="73" t="s">
        <v>431</v>
      </c>
      <c r="Q636" s="158">
        <v>32.549999999999997</v>
      </c>
      <c r="R636" s="563">
        <f t="shared" si="38"/>
        <v>9.397701018408311E-3</v>
      </c>
      <c r="S636" s="563">
        <f t="shared" si="39"/>
        <v>3.0731407498452157E-4</v>
      </c>
      <c r="AA636" s="589">
        <v>42521</v>
      </c>
      <c r="AB636" s="590" t="s">
        <v>449</v>
      </c>
      <c r="AC636" s="590">
        <v>36061.56</v>
      </c>
      <c r="AD636" s="591" t="s">
        <v>395</v>
      </c>
      <c r="AE636" s="590">
        <v>270.95</v>
      </c>
      <c r="AF636" s="592">
        <f t="shared" si="40"/>
        <v>-4.7780179711763848E-3</v>
      </c>
      <c r="AG636" s="592">
        <f t="shared" si="41"/>
        <v>1.1007462686567049E-2</v>
      </c>
    </row>
    <row r="637" spans="13:33" x14ac:dyDescent="0.35">
      <c r="M637" s="555">
        <v>42524</v>
      </c>
      <c r="N637" s="543" t="s">
        <v>449</v>
      </c>
      <c r="O637" s="543">
        <v>37223</v>
      </c>
      <c r="P637" s="73" t="s">
        <v>431</v>
      </c>
      <c r="Q637" s="158">
        <v>32.090000000000003</v>
      </c>
      <c r="R637" s="563">
        <f t="shared" si="38"/>
        <v>1.0419895795612977E-2</v>
      </c>
      <c r="S637" s="563">
        <f t="shared" si="39"/>
        <v>-1.4132104454684935E-2</v>
      </c>
      <c r="AA637" s="589">
        <v>42522</v>
      </c>
      <c r="AB637" s="590" t="s">
        <v>449</v>
      </c>
      <c r="AC637" s="590">
        <v>36496.160000000003</v>
      </c>
      <c r="AD637" s="591" t="s">
        <v>395</v>
      </c>
      <c r="AE637" s="590">
        <v>262.10000000000002</v>
      </c>
      <c r="AF637" s="592">
        <f t="shared" si="40"/>
        <v>1.2051613962346774E-2</v>
      </c>
      <c r="AG637" s="592">
        <f t="shared" si="41"/>
        <v>-3.2662852924893793E-2</v>
      </c>
    </row>
    <row r="638" spans="13:33" x14ac:dyDescent="0.35">
      <c r="M638" s="555">
        <v>42527</v>
      </c>
      <c r="N638" s="543" t="s">
        <v>449</v>
      </c>
      <c r="O638" s="543">
        <v>37352.269999999997</v>
      </c>
      <c r="P638" s="73" t="s">
        <v>431</v>
      </c>
      <c r="Q638" s="158">
        <v>32.5</v>
      </c>
      <c r="R638" s="563">
        <f t="shared" si="38"/>
        <v>3.4728528060605779E-3</v>
      </c>
      <c r="S638" s="563">
        <f t="shared" si="39"/>
        <v>1.2776565908382498E-2</v>
      </c>
      <c r="AA638" s="594">
        <v>42523</v>
      </c>
      <c r="AB638" s="595" t="s">
        <v>449</v>
      </c>
      <c r="AC638" s="595">
        <v>36839.14</v>
      </c>
      <c r="AD638" s="596" t="s">
        <v>395</v>
      </c>
      <c r="AE638" s="595">
        <v>265</v>
      </c>
      <c r="AF638" s="597">
        <f t="shared" si="40"/>
        <v>9.397701018408311E-3</v>
      </c>
      <c r="AG638" s="597">
        <f t="shared" si="41"/>
        <v>1.1064479206409628E-2</v>
      </c>
    </row>
    <row r="639" spans="13:33" x14ac:dyDescent="0.35">
      <c r="M639" s="526">
        <v>42529</v>
      </c>
      <c r="N639" s="524" t="s">
        <v>449</v>
      </c>
      <c r="O639" s="524">
        <v>37426.39</v>
      </c>
      <c r="P639" s="73" t="s">
        <v>431</v>
      </c>
      <c r="Q639">
        <v>32</v>
      </c>
      <c r="R639" s="563">
        <f t="shared" si="38"/>
        <v>1.9843506164418656E-3</v>
      </c>
      <c r="S639" s="563">
        <f t="shared" si="39"/>
        <v>-1.538461538461533E-2</v>
      </c>
      <c r="AA639" s="594">
        <v>42524</v>
      </c>
      <c r="AB639" s="595" t="s">
        <v>449</v>
      </c>
      <c r="AC639" s="595">
        <v>37223</v>
      </c>
      <c r="AD639" s="596" t="s">
        <v>395</v>
      </c>
      <c r="AE639" s="595">
        <v>269.99</v>
      </c>
      <c r="AF639" s="597">
        <f t="shared" si="40"/>
        <v>1.0419895795612977E-2</v>
      </c>
      <c r="AG639" s="597">
        <f t="shared" si="41"/>
        <v>1.8830188679245241E-2</v>
      </c>
    </row>
    <row r="640" spans="13:33" x14ac:dyDescent="0.35">
      <c r="M640" s="526">
        <v>42531</v>
      </c>
      <c r="N640" s="524" t="s">
        <v>449</v>
      </c>
      <c r="O640" s="524">
        <v>36940.879999999997</v>
      </c>
      <c r="P640" s="73" t="s">
        <v>431</v>
      </c>
      <c r="Q640">
        <v>31.95</v>
      </c>
      <c r="R640" s="563">
        <f t="shared" si="38"/>
        <v>-1.2972397284376158E-2</v>
      </c>
      <c r="S640" s="563">
        <f t="shared" si="39"/>
        <v>-1.5625000000000222E-3</v>
      </c>
      <c r="AA640" s="594">
        <v>42527</v>
      </c>
      <c r="AB640" s="595" t="s">
        <v>449</v>
      </c>
      <c r="AC640" s="595">
        <v>37352.269999999997</v>
      </c>
      <c r="AD640" s="596" t="s">
        <v>395</v>
      </c>
      <c r="AE640" s="595">
        <v>265</v>
      </c>
      <c r="AF640" s="597">
        <f t="shared" si="40"/>
        <v>3.4728528060605779E-3</v>
      </c>
      <c r="AG640" s="597">
        <f t="shared" si="41"/>
        <v>-1.8482166006148382E-2</v>
      </c>
    </row>
    <row r="641" spans="13:33" x14ac:dyDescent="0.35">
      <c r="M641" s="555">
        <v>42534</v>
      </c>
      <c r="N641" s="543" t="s">
        <v>449</v>
      </c>
      <c r="O641" s="543">
        <v>36979.96</v>
      </c>
      <c r="P641" s="73" t="s">
        <v>431</v>
      </c>
      <c r="Q641" s="158">
        <v>31.06</v>
      </c>
      <c r="R641" s="563">
        <f t="shared" si="38"/>
        <v>1.0579065793776543E-3</v>
      </c>
      <c r="S641" s="563">
        <f t="shared" si="39"/>
        <v>-2.7856025039123655E-2</v>
      </c>
      <c r="AA641" s="594">
        <v>42529</v>
      </c>
      <c r="AB641" s="595" t="s">
        <v>449</v>
      </c>
      <c r="AC641" s="595">
        <v>37426.39</v>
      </c>
      <c r="AD641" s="596" t="s">
        <v>395</v>
      </c>
      <c r="AE641" s="595">
        <v>262.52999999999997</v>
      </c>
      <c r="AF641" s="597">
        <f t="shared" si="40"/>
        <v>1.9843506164418656E-3</v>
      </c>
      <c r="AG641" s="597">
        <f t="shared" si="41"/>
        <v>-9.3207547169812388E-3</v>
      </c>
    </row>
    <row r="642" spans="13:33" x14ac:dyDescent="0.35">
      <c r="M642" s="555">
        <v>42535</v>
      </c>
      <c r="N642" s="543" t="s">
        <v>449</v>
      </c>
      <c r="O642" s="543">
        <v>37517.75</v>
      </c>
      <c r="P642" s="73" t="s">
        <v>431</v>
      </c>
      <c r="Q642" s="158">
        <v>31.27</v>
      </c>
      <c r="R642" s="563">
        <f t="shared" si="38"/>
        <v>1.4542741528114078E-2</v>
      </c>
      <c r="S642" s="563">
        <f t="shared" si="39"/>
        <v>6.7611075338056548E-3</v>
      </c>
      <c r="AA642" s="594">
        <v>42531</v>
      </c>
      <c r="AB642" s="595" t="s">
        <v>449</v>
      </c>
      <c r="AC642" s="595">
        <v>36940.879999999997</v>
      </c>
      <c r="AD642" s="596" t="s">
        <v>395</v>
      </c>
      <c r="AE642" s="595">
        <v>262.19</v>
      </c>
      <c r="AF642" s="597">
        <f t="shared" si="40"/>
        <v>-1.2972397284376158E-2</v>
      </c>
      <c r="AG642" s="597">
        <f t="shared" si="41"/>
        <v>-1.2950900849425517E-3</v>
      </c>
    </row>
    <row r="643" spans="13:33" x14ac:dyDescent="0.35">
      <c r="M643" s="555">
        <v>42536</v>
      </c>
      <c r="N643" s="543" t="s">
        <v>449</v>
      </c>
      <c r="O643" s="543">
        <v>38559.870000000003</v>
      </c>
      <c r="P643" s="73" t="s">
        <v>431</v>
      </c>
      <c r="Q643" s="158">
        <v>31.23</v>
      </c>
      <c r="R643" s="563">
        <f t="shared" si="38"/>
        <v>2.7776719019664053E-2</v>
      </c>
      <c r="S643" s="563">
        <f t="shared" si="39"/>
        <v>-1.2791813239526606E-3</v>
      </c>
      <c r="AA643" s="594">
        <v>42534</v>
      </c>
      <c r="AB643" s="595" t="s">
        <v>449</v>
      </c>
      <c r="AC643" s="595">
        <v>36979.96</v>
      </c>
      <c r="AD643" s="596" t="s">
        <v>395</v>
      </c>
      <c r="AE643" s="595">
        <v>261.25</v>
      </c>
      <c r="AF643" s="597">
        <f t="shared" si="40"/>
        <v>1.0579065793776543E-3</v>
      </c>
      <c r="AG643" s="597">
        <f t="shared" si="41"/>
        <v>-3.5851863152674968E-3</v>
      </c>
    </row>
    <row r="644" spans="13:33" x14ac:dyDescent="0.35">
      <c r="M644" s="555">
        <v>42537</v>
      </c>
      <c r="N644" s="543" t="s">
        <v>449</v>
      </c>
      <c r="O644" s="543">
        <v>38751.599999999999</v>
      </c>
      <c r="P644" s="73" t="s">
        <v>431</v>
      </c>
      <c r="Q644" s="158">
        <v>31.38</v>
      </c>
      <c r="R644" s="563">
        <f t="shared" si="38"/>
        <v>4.9722678006953736E-3</v>
      </c>
      <c r="S644" s="563">
        <f t="shared" si="39"/>
        <v>4.8030739673390332E-3</v>
      </c>
      <c r="AA644" s="594">
        <v>42535</v>
      </c>
      <c r="AB644" s="595" t="s">
        <v>449</v>
      </c>
      <c r="AC644" s="595">
        <v>37517.75</v>
      </c>
      <c r="AD644" s="596" t="s">
        <v>395</v>
      </c>
      <c r="AE644" s="595">
        <v>261.39</v>
      </c>
      <c r="AF644" s="597">
        <f t="shared" si="40"/>
        <v>1.4542741528114078E-2</v>
      </c>
      <c r="AG644" s="597">
        <f t="shared" si="41"/>
        <v>5.3588516746416737E-4</v>
      </c>
    </row>
    <row r="645" spans="13:33" x14ac:dyDescent="0.35">
      <c r="M645" s="555">
        <v>42538</v>
      </c>
      <c r="N645" s="543" t="s">
        <v>449</v>
      </c>
      <c r="O645" s="543">
        <v>38776.94</v>
      </c>
      <c r="P645" s="73" t="s">
        <v>431</v>
      </c>
      <c r="Q645" s="158">
        <v>31.2</v>
      </c>
      <c r="R645" s="563">
        <f t="shared" si="38"/>
        <v>6.5390848377888666E-4</v>
      </c>
      <c r="S645" s="563">
        <f t="shared" si="39"/>
        <v>-5.7361376673039643E-3</v>
      </c>
      <c r="AA645" s="594">
        <v>42536</v>
      </c>
      <c r="AB645" s="595" t="s">
        <v>449</v>
      </c>
      <c r="AC645" s="595">
        <v>38559.870000000003</v>
      </c>
      <c r="AD645" s="596" t="s">
        <v>395</v>
      </c>
      <c r="AE645" s="595">
        <v>260.52999999999997</v>
      </c>
      <c r="AF645" s="597">
        <f t="shared" si="40"/>
        <v>2.7776719019664053E-2</v>
      </c>
      <c r="AG645" s="597">
        <f t="shared" si="41"/>
        <v>-3.2901029113585611E-3</v>
      </c>
    </row>
    <row r="646" spans="13:33" x14ac:dyDescent="0.35">
      <c r="M646" s="526">
        <v>42542</v>
      </c>
      <c r="N646" s="524" t="s">
        <v>449</v>
      </c>
      <c r="O646" s="524">
        <v>38415.31</v>
      </c>
      <c r="P646" s="73" t="s">
        <v>431</v>
      </c>
      <c r="Q646">
        <v>31.18</v>
      </c>
      <c r="R646" s="563">
        <f t="shared" si="38"/>
        <v>-9.3259034880009972E-3</v>
      </c>
      <c r="S646" s="563">
        <f t="shared" si="39"/>
        <v>-6.4102564102563875E-4</v>
      </c>
      <c r="AA646" s="594">
        <v>42537</v>
      </c>
      <c r="AB646" s="595" t="s">
        <v>449</v>
      </c>
      <c r="AC646" s="595">
        <v>38751.599999999999</v>
      </c>
      <c r="AD646" s="596" t="s">
        <v>395</v>
      </c>
      <c r="AE646" s="595">
        <v>267.49</v>
      </c>
      <c r="AF646" s="597">
        <f t="shared" si="40"/>
        <v>4.9722678006953736E-3</v>
      </c>
      <c r="AG646" s="597">
        <f t="shared" si="41"/>
        <v>2.6714773730472707E-2</v>
      </c>
    </row>
    <row r="647" spans="13:33" x14ac:dyDescent="0.35">
      <c r="M647" s="555">
        <v>42543</v>
      </c>
      <c r="N647" s="543" t="s">
        <v>449</v>
      </c>
      <c r="O647" s="543">
        <v>38149.26</v>
      </c>
      <c r="P647" s="73" t="s">
        <v>431</v>
      </c>
      <c r="Q647" s="158">
        <v>30.97</v>
      </c>
      <c r="R647" s="563">
        <f t="shared" si="38"/>
        <v>-6.9256241847325262E-3</v>
      </c>
      <c r="S647" s="563">
        <f t="shared" si="39"/>
        <v>-6.7350865939704851E-3</v>
      </c>
      <c r="AA647" s="594">
        <v>42538</v>
      </c>
      <c r="AB647" s="595" t="s">
        <v>449</v>
      </c>
      <c r="AC647" s="595">
        <v>38776.94</v>
      </c>
      <c r="AD647" s="596" t="s">
        <v>395</v>
      </c>
      <c r="AE647" s="595">
        <v>261.24</v>
      </c>
      <c r="AF647" s="597">
        <f t="shared" si="40"/>
        <v>6.5390848377888666E-4</v>
      </c>
      <c r="AG647" s="597">
        <f t="shared" si="41"/>
        <v>-2.3365359452689805E-2</v>
      </c>
    </row>
    <row r="648" spans="13:33" x14ac:dyDescent="0.35">
      <c r="M648" s="555">
        <v>42544</v>
      </c>
      <c r="N648" s="543" t="s">
        <v>449</v>
      </c>
      <c r="O648" s="543">
        <v>38237.89</v>
      </c>
      <c r="P648" s="73" t="s">
        <v>431</v>
      </c>
      <c r="Q648" s="158">
        <v>31.04</v>
      </c>
      <c r="R648" s="563">
        <f t="shared" si="38"/>
        <v>2.3232429672290777E-3</v>
      </c>
      <c r="S648" s="563">
        <f t="shared" si="39"/>
        <v>2.2602518566354757E-3</v>
      </c>
      <c r="AA648" s="594">
        <v>42542</v>
      </c>
      <c r="AB648" s="595" t="s">
        <v>449</v>
      </c>
      <c r="AC648" s="595">
        <v>38415.31</v>
      </c>
      <c r="AD648" s="596" t="s">
        <v>395</v>
      </c>
      <c r="AE648" s="595">
        <v>263</v>
      </c>
      <c r="AF648" s="597">
        <f t="shared" si="40"/>
        <v>-9.3259034880009972E-3</v>
      </c>
      <c r="AG648" s="597">
        <f t="shared" si="41"/>
        <v>6.7370999846882995E-3</v>
      </c>
    </row>
    <row r="649" spans="13:33" x14ac:dyDescent="0.35">
      <c r="M649" s="555">
        <v>42545</v>
      </c>
      <c r="N649" s="543" t="s">
        <v>449</v>
      </c>
      <c r="O649" s="543">
        <v>37389.879999999997</v>
      </c>
      <c r="P649" s="73" t="s">
        <v>431</v>
      </c>
      <c r="Q649" s="158">
        <v>29.64</v>
      </c>
      <c r="R649" s="563">
        <f t="shared" si="38"/>
        <v>-2.2177217414454664E-2</v>
      </c>
      <c r="S649" s="563">
        <f t="shared" si="39"/>
        <v>-4.5103092783505105E-2</v>
      </c>
      <c r="AA649" s="594">
        <v>42543</v>
      </c>
      <c r="AB649" s="595" t="s">
        <v>449</v>
      </c>
      <c r="AC649" s="595">
        <v>38149.26</v>
      </c>
      <c r="AD649" s="596" t="s">
        <v>395</v>
      </c>
      <c r="AE649" s="595">
        <v>254.09</v>
      </c>
      <c r="AF649" s="597">
        <f t="shared" si="40"/>
        <v>-6.9256241847325262E-3</v>
      </c>
      <c r="AG649" s="597">
        <f t="shared" si="41"/>
        <v>-3.387832699619775E-2</v>
      </c>
    </row>
    <row r="650" spans="13:33" x14ac:dyDescent="0.35">
      <c r="M650" s="526">
        <v>42549</v>
      </c>
      <c r="N650" s="524" t="s">
        <v>449</v>
      </c>
      <c r="O650" s="524">
        <v>37076.629999999997</v>
      </c>
      <c r="P650" s="73" t="s">
        <v>431</v>
      </c>
      <c r="Q650">
        <v>29.31</v>
      </c>
      <c r="R650" s="563">
        <f t="shared" si="38"/>
        <v>-8.3779354199585709E-3</v>
      </c>
      <c r="S650" s="563">
        <f t="shared" si="39"/>
        <v>-1.1133603238866474E-2</v>
      </c>
      <c r="AA650" s="594">
        <v>42544</v>
      </c>
      <c r="AB650" s="595" t="s">
        <v>449</v>
      </c>
      <c r="AC650" s="595">
        <v>38237.89</v>
      </c>
      <c r="AD650" s="596" t="s">
        <v>395</v>
      </c>
      <c r="AE650" s="595">
        <v>258.99</v>
      </c>
      <c r="AF650" s="597">
        <f t="shared" si="40"/>
        <v>2.3232429672290777E-3</v>
      </c>
      <c r="AG650" s="597">
        <f t="shared" si="41"/>
        <v>1.9284505490180681E-2</v>
      </c>
    </row>
    <row r="651" spans="13:33" x14ac:dyDescent="0.35">
      <c r="M651" s="555">
        <v>42550</v>
      </c>
      <c r="N651" s="543" t="s">
        <v>449</v>
      </c>
      <c r="O651" s="543">
        <v>37786.57</v>
      </c>
      <c r="P651" s="73" t="s">
        <v>431</v>
      </c>
      <c r="Q651" s="158">
        <v>30.19</v>
      </c>
      <c r="R651" s="563">
        <f t="shared" si="38"/>
        <v>1.9147910691991177E-2</v>
      </c>
      <c r="S651" s="563">
        <f t="shared" si="39"/>
        <v>3.0023882633913423E-2</v>
      </c>
      <c r="AA651" s="594">
        <v>42545</v>
      </c>
      <c r="AB651" s="595" t="s">
        <v>449</v>
      </c>
      <c r="AC651" s="595">
        <v>37389.879999999997</v>
      </c>
      <c r="AD651" s="596" t="s">
        <v>395</v>
      </c>
      <c r="AE651" s="595">
        <v>260.11</v>
      </c>
      <c r="AF651" s="597">
        <f t="shared" si="40"/>
        <v>-2.2177217414454664E-2</v>
      </c>
      <c r="AG651" s="597">
        <f t="shared" si="41"/>
        <v>4.3244912931001966E-3</v>
      </c>
    </row>
    <row r="652" spans="13:33" x14ac:dyDescent="0.35">
      <c r="M652" s="555">
        <v>42551</v>
      </c>
      <c r="N652" s="543" t="s">
        <v>449</v>
      </c>
      <c r="O652" s="543">
        <v>37783.54</v>
      </c>
      <c r="P652" s="73" t="s">
        <v>431</v>
      </c>
      <c r="Q652" s="158">
        <v>29.97</v>
      </c>
      <c r="R652" s="563">
        <f t="shared" si="38"/>
        <v>-8.0187219956728839E-5</v>
      </c>
      <c r="S652" s="563">
        <f t="shared" si="39"/>
        <v>-7.2871811858231661E-3</v>
      </c>
      <c r="AA652" s="594">
        <v>42549</v>
      </c>
      <c r="AB652" s="595" t="s">
        <v>449</v>
      </c>
      <c r="AC652" s="595">
        <v>37076.629999999997</v>
      </c>
      <c r="AD652" s="596" t="s">
        <v>395</v>
      </c>
      <c r="AE652" s="595">
        <v>256.2</v>
      </c>
      <c r="AF652" s="597">
        <f t="shared" si="40"/>
        <v>-8.3779354199585709E-3</v>
      </c>
      <c r="AG652" s="597">
        <f t="shared" si="41"/>
        <v>-1.5032101803083453E-2</v>
      </c>
    </row>
    <row r="653" spans="13:33" x14ac:dyDescent="0.35">
      <c r="M653" s="555">
        <v>42555</v>
      </c>
      <c r="N653" s="543" t="s">
        <v>449</v>
      </c>
      <c r="O653" s="543">
        <v>37966.76</v>
      </c>
      <c r="P653" s="73" t="s">
        <v>431</v>
      </c>
      <c r="Q653" s="158">
        <v>30.46</v>
      </c>
      <c r="R653" s="563">
        <f t="shared" si="38"/>
        <v>4.8492015306136338E-3</v>
      </c>
      <c r="S653" s="563">
        <f t="shared" si="39"/>
        <v>1.6349683016349648E-2</v>
      </c>
      <c r="AA653" s="594">
        <v>42550</v>
      </c>
      <c r="AB653" s="595" t="s">
        <v>449</v>
      </c>
      <c r="AC653" s="595">
        <v>37786.57</v>
      </c>
      <c r="AD653" s="596" t="s">
        <v>395</v>
      </c>
      <c r="AE653" s="595">
        <v>260</v>
      </c>
      <c r="AF653" s="597">
        <f t="shared" si="40"/>
        <v>1.9147910691991177E-2</v>
      </c>
      <c r="AG653" s="597">
        <f t="shared" si="41"/>
        <v>1.4832162373145996E-2</v>
      </c>
    </row>
    <row r="654" spans="13:33" x14ac:dyDescent="0.35">
      <c r="M654" s="555">
        <v>42562</v>
      </c>
      <c r="N654" s="543" t="s">
        <v>449</v>
      </c>
      <c r="O654" s="543">
        <v>38367.96</v>
      </c>
      <c r="P654" s="73" t="s">
        <v>431</v>
      </c>
      <c r="Q654" s="158">
        <v>31.6</v>
      </c>
      <c r="R654" s="563">
        <f t="shared" si="38"/>
        <v>1.0567138201942994E-2</v>
      </c>
      <c r="S654" s="563">
        <f t="shared" si="39"/>
        <v>3.742613263296124E-2</v>
      </c>
      <c r="AA654" s="594">
        <v>42551</v>
      </c>
      <c r="AB654" s="595" t="s">
        <v>449</v>
      </c>
      <c r="AC654" s="595">
        <v>37783.54</v>
      </c>
      <c r="AD654" s="596" t="s">
        <v>395</v>
      </c>
      <c r="AE654" s="595">
        <v>260</v>
      </c>
      <c r="AF654" s="597">
        <f t="shared" si="40"/>
        <v>-8.0187219956728839E-5</v>
      </c>
      <c r="AG654" s="597">
        <f t="shared" si="41"/>
        <v>0</v>
      </c>
    </row>
    <row r="655" spans="13:33" x14ac:dyDescent="0.35">
      <c r="M655" s="555">
        <v>42563</v>
      </c>
      <c r="N655" s="543" t="s">
        <v>449</v>
      </c>
      <c r="O655" s="543">
        <v>39031.620000000003</v>
      </c>
      <c r="P655" s="73" t="s">
        <v>431</v>
      </c>
      <c r="Q655" s="158">
        <v>33.159999999999997</v>
      </c>
      <c r="R655" s="563">
        <f t="shared" si="38"/>
        <v>1.72972448887041E-2</v>
      </c>
      <c r="S655" s="563">
        <f t="shared" si="39"/>
        <v>4.9367088607594756E-2</v>
      </c>
      <c r="AA655" s="594">
        <v>42555</v>
      </c>
      <c r="AB655" s="595" t="s">
        <v>449</v>
      </c>
      <c r="AC655" s="595">
        <v>37966.76</v>
      </c>
      <c r="AD655" s="596" t="s">
        <v>395</v>
      </c>
      <c r="AE655" s="595">
        <v>255</v>
      </c>
      <c r="AF655" s="597">
        <f t="shared" si="40"/>
        <v>4.8492015306136338E-3</v>
      </c>
      <c r="AG655" s="597">
        <f t="shared" si="41"/>
        <v>-1.9230769230769273E-2</v>
      </c>
    </row>
    <row r="656" spans="13:33" x14ac:dyDescent="0.35">
      <c r="M656" s="555">
        <v>42564</v>
      </c>
      <c r="N656" s="543" t="s">
        <v>449</v>
      </c>
      <c r="O656" s="543">
        <v>39049.46</v>
      </c>
      <c r="P656" s="73" t="s">
        <v>431</v>
      </c>
      <c r="Q656" s="158">
        <v>33.07</v>
      </c>
      <c r="R656" s="563">
        <f t="shared" si="38"/>
        <v>4.5706532293543489E-4</v>
      </c>
      <c r="S656" s="563">
        <f t="shared" si="39"/>
        <v>-2.7141133896259051E-3</v>
      </c>
      <c r="AA656" s="594">
        <v>42562</v>
      </c>
      <c r="AB656" s="595" t="s">
        <v>449</v>
      </c>
      <c r="AC656" s="595">
        <v>38367.96</v>
      </c>
      <c r="AD656" s="596" t="s">
        <v>395</v>
      </c>
      <c r="AE656" s="595">
        <v>262.33</v>
      </c>
      <c r="AF656" s="597">
        <f t="shared" si="40"/>
        <v>1.0567138201942994E-2</v>
      </c>
      <c r="AG656" s="597">
        <f t="shared" si="41"/>
        <v>2.8745098039215655E-2</v>
      </c>
    </row>
    <row r="657" spans="13:33" x14ac:dyDescent="0.35">
      <c r="M657" s="555">
        <v>42565</v>
      </c>
      <c r="N657" s="543" t="s">
        <v>449</v>
      </c>
      <c r="O657" s="543">
        <v>39257</v>
      </c>
      <c r="P657" s="73" t="s">
        <v>431</v>
      </c>
      <c r="Q657" s="158">
        <v>33.74</v>
      </c>
      <c r="R657" s="563">
        <f t="shared" si="38"/>
        <v>5.3147982071968247E-3</v>
      </c>
      <c r="S657" s="563">
        <f t="shared" si="39"/>
        <v>2.0260054429997121E-2</v>
      </c>
      <c r="AA657" s="594">
        <v>42563</v>
      </c>
      <c r="AB657" s="595" t="s">
        <v>449</v>
      </c>
      <c r="AC657" s="595">
        <v>39031.620000000003</v>
      </c>
      <c r="AD657" s="596" t="s">
        <v>395</v>
      </c>
      <c r="AE657" s="595">
        <v>258.98</v>
      </c>
      <c r="AF657" s="597">
        <f t="shared" si="40"/>
        <v>1.72972448887041E-2</v>
      </c>
      <c r="AG657" s="597">
        <f t="shared" si="41"/>
        <v>-1.277017497045696E-2</v>
      </c>
    </row>
    <row r="658" spans="13:33" x14ac:dyDescent="0.35">
      <c r="M658" s="555">
        <v>42566</v>
      </c>
      <c r="N658" s="543" t="s">
        <v>449</v>
      </c>
      <c r="O658" s="543">
        <v>39188.47</v>
      </c>
      <c r="P658" s="73" t="s">
        <v>431</v>
      </c>
      <c r="Q658" s="158">
        <v>33.200000000000003</v>
      </c>
      <c r="R658" s="563">
        <f t="shared" si="38"/>
        <v>-1.7456759304073088E-3</v>
      </c>
      <c r="S658" s="563">
        <f t="shared" si="39"/>
        <v>-1.6004742145820927E-2</v>
      </c>
      <c r="AA658" s="594">
        <v>42564</v>
      </c>
      <c r="AB658" s="595" t="s">
        <v>449</v>
      </c>
      <c r="AC658" s="595">
        <v>39049.46</v>
      </c>
      <c r="AD658" s="596" t="s">
        <v>395</v>
      </c>
      <c r="AE658" s="595">
        <v>258.52999999999997</v>
      </c>
      <c r="AF658" s="597">
        <f t="shared" si="40"/>
        <v>4.5706532293543489E-4</v>
      </c>
      <c r="AG658" s="597">
        <f t="shared" si="41"/>
        <v>-1.7375859139703298E-3</v>
      </c>
    </row>
    <row r="659" spans="13:33" x14ac:dyDescent="0.35">
      <c r="M659" s="555">
        <v>42569</v>
      </c>
      <c r="N659" s="543" t="s">
        <v>449</v>
      </c>
      <c r="O659" s="543">
        <v>39253.25</v>
      </c>
      <c r="P659" s="73" t="s">
        <v>431</v>
      </c>
      <c r="Q659" s="158">
        <v>33.35</v>
      </c>
      <c r="R659" s="563">
        <f t="shared" si="38"/>
        <v>1.6530372326348797E-3</v>
      </c>
      <c r="S659" s="563">
        <f t="shared" si="39"/>
        <v>4.5180722891566827E-3</v>
      </c>
      <c r="AA659" s="594">
        <v>42565</v>
      </c>
      <c r="AB659" s="595" t="s">
        <v>449</v>
      </c>
      <c r="AC659" s="595">
        <v>39257</v>
      </c>
      <c r="AD659" s="596" t="s">
        <v>395</v>
      </c>
      <c r="AE659" s="595">
        <v>259.39</v>
      </c>
      <c r="AF659" s="597">
        <f t="shared" si="40"/>
        <v>5.3147982071968247E-3</v>
      </c>
      <c r="AG659" s="597">
        <f t="shared" si="41"/>
        <v>3.3264998259390222E-3</v>
      </c>
    </row>
    <row r="660" spans="13:33" x14ac:dyDescent="0.35">
      <c r="M660" s="555">
        <v>42570</v>
      </c>
      <c r="N660" s="543" t="s">
        <v>449</v>
      </c>
      <c r="O660" s="543">
        <v>39208.879999999997</v>
      </c>
      <c r="P660" s="73" t="s">
        <v>431</v>
      </c>
      <c r="Q660" s="158">
        <v>33.21</v>
      </c>
      <c r="R660" s="563">
        <f t="shared" si="38"/>
        <v>-1.1303522638254071E-3</v>
      </c>
      <c r="S660" s="563">
        <f t="shared" si="39"/>
        <v>-4.1979010494752611E-3</v>
      </c>
      <c r="AA660" s="594">
        <v>42566</v>
      </c>
      <c r="AB660" s="595" t="s">
        <v>449</v>
      </c>
      <c r="AC660" s="595">
        <v>39188.47</v>
      </c>
      <c r="AD660" s="596" t="s">
        <v>395</v>
      </c>
      <c r="AE660" s="595">
        <v>260.95</v>
      </c>
      <c r="AF660" s="597">
        <f t="shared" si="40"/>
        <v>-1.7456759304073088E-3</v>
      </c>
      <c r="AG660" s="597">
        <f t="shared" si="41"/>
        <v>6.014110027371844E-3</v>
      </c>
    </row>
    <row r="661" spans="13:33" x14ac:dyDescent="0.35">
      <c r="M661" s="555">
        <v>42571</v>
      </c>
      <c r="N661" s="543" t="s">
        <v>449</v>
      </c>
      <c r="O661" s="543">
        <v>39098.79</v>
      </c>
      <c r="P661" s="73" t="s">
        <v>431</v>
      </c>
      <c r="Q661" s="158">
        <v>33.020000000000003</v>
      </c>
      <c r="R661" s="563">
        <f t="shared" si="38"/>
        <v>-2.8077823186991591E-3</v>
      </c>
      <c r="S661" s="563">
        <f t="shared" si="39"/>
        <v>-5.7211683227942345E-3</v>
      </c>
      <c r="AA661" s="594">
        <v>42569</v>
      </c>
      <c r="AB661" s="595" t="s">
        <v>449</v>
      </c>
      <c r="AC661" s="595">
        <v>39253.25</v>
      </c>
      <c r="AD661" s="596" t="s">
        <v>395</v>
      </c>
      <c r="AE661" s="595">
        <v>262.8</v>
      </c>
      <c r="AF661" s="597">
        <f t="shared" si="40"/>
        <v>1.6530372326348797E-3</v>
      </c>
      <c r="AG661" s="597">
        <f t="shared" si="41"/>
        <v>7.0894807434376261E-3</v>
      </c>
    </row>
    <row r="662" spans="13:33" x14ac:dyDescent="0.35">
      <c r="M662" s="555">
        <v>42572</v>
      </c>
      <c r="N662" s="543" t="s">
        <v>449</v>
      </c>
      <c r="O662" s="543">
        <v>39306.79</v>
      </c>
      <c r="P662" s="73" t="s">
        <v>431</v>
      </c>
      <c r="Q662" s="158">
        <v>33.159999999999997</v>
      </c>
      <c r="R662" s="563">
        <f t="shared" si="38"/>
        <v>5.3198577244972789E-3</v>
      </c>
      <c r="S662" s="563">
        <f t="shared" si="39"/>
        <v>4.2398546335551401E-3</v>
      </c>
      <c r="AA662" s="594">
        <v>42570</v>
      </c>
      <c r="AB662" s="595" t="s">
        <v>449</v>
      </c>
      <c r="AC662" s="595">
        <v>39208.879999999997</v>
      </c>
      <c r="AD662" s="596" t="s">
        <v>395</v>
      </c>
      <c r="AE662" s="595">
        <v>260.69</v>
      </c>
      <c r="AF662" s="597">
        <f t="shared" si="40"/>
        <v>-1.1303522638254071E-3</v>
      </c>
      <c r="AG662" s="597">
        <f t="shared" si="41"/>
        <v>-8.0289193302892636E-3</v>
      </c>
    </row>
    <row r="663" spans="13:33" x14ac:dyDescent="0.35">
      <c r="M663" s="555">
        <v>42573</v>
      </c>
      <c r="N663" s="543" t="s">
        <v>449</v>
      </c>
      <c r="O663" s="543">
        <v>39151.78</v>
      </c>
      <c r="P663" s="73" t="s">
        <v>431</v>
      </c>
      <c r="Q663" s="158">
        <v>34.39</v>
      </c>
      <c r="R663" s="563">
        <f t="shared" si="38"/>
        <v>-3.9435934605700496E-3</v>
      </c>
      <c r="S663" s="563">
        <f t="shared" si="39"/>
        <v>3.709288299155622E-2</v>
      </c>
      <c r="AA663" s="594">
        <v>42571</v>
      </c>
      <c r="AB663" s="595" t="s">
        <v>449</v>
      </c>
      <c r="AC663" s="595">
        <v>39098.79</v>
      </c>
      <c r="AD663" s="596" t="s">
        <v>395</v>
      </c>
      <c r="AE663" s="595">
        <v>260.05</v>
      </c>
      <c r="AF663" s="597">
        <f t="shared" si="40"/>
        <v>-2.8077823186991591E-3</v>
      </c>
      <c r="AG663" s="597">
        <f t="shared" si="41"/>
        <v>-2.4550232076412382E-3</v>
      </c>
    </row>
    <row r="664" spans="13:33" x14ac:dyDescent="0.35">
      <c r="M664" s="555">
        <v>42576</v>
      </c>
      <c r="N664" s="543" t="s">
        <v>449</v>
      </c>
      <c r="O664" s="543">
        <v>39017.32</v>
      </c>
      <c r="P664" s="73" t="s">
        <v>431</v>
      </c>
      <c r="Q664" s="158">
        <v>35.450000000000003</v>
      </c>
      <c r="R664" s="563">
        <f t="shared" si="38"/>
        <v>-3.4343266129918115E-3</v>
      </c>
      <c r="S664" s="563">
        <f t="shared" si="39"/>
        <v>3.0822913637685412E-2</v>
      </c>
      <c r="AA664" s="594">
        <v>42572</v>
      </c>
      <c r="AB664" s="595" t="s">
        <v>449</v>
      </c>
      <c r="AC664" s="595">
        <v>39306.79</v>
      </c>
      <c r="AD664" s="596" t="s">
        <v>395</v>
      </c>
      <c r="AE664" s="595">
        <v>263.2</v>
      </c>
      <c r="AF664" s="597">
        <f t="shared" si="40"/>
        <v>5.3198577244972789E-3</v>
      </c>
      <c r="AG664" s="597">
        <f t="shared" si="41"/>
        <v>1.2113055181695698E-2</v>
      </c>
    </row>
    <row r="665" spans="13:33" x14ac:dyDescent="0.35">
      <c r="M665" s="555">
        <v>42577</v>
      </c>
      <c r="N665" s="543" t="s">
        <v>449</v>
      </c>
      <c r="O665" s="543">
        <v>39147.33</v>
      </c>
      <c r="P665" s="73" t="s">
        <v>431</v>
      </c>
      <c r="Q665" s="158">
        <v>35.24</v>
      </c>
      <c r="R665" s="563">
        <f t="shared" si="38"/>
        <v>3.3321099450194236E-3</v>
      </c>
      <c r="S665" s="563">
        <f t="shared" si="39"/>
        <v>-5.9238363892807344E-3</v>
      </c>
      <c r="AA665" s="594">
        <v>42573</v>
      </c>
      <c r="AB665" s="595" t="s">
        <v>449</v>
      </c>
      <c r="AC665" s="595">
        <v>39151.78</v>
      </c>
      <c r="AD665" s="596" t="s">
        <v>395</v>
      </c>
      <c r="AE665" s="595">
        <v>276.2</v>
      </c>
      <c r="AF665" s="597">
        <f t="shared" si="40"/>
        <v>-3.9435934605700496E-3</v>
      </c>
      <c r="AG665" s="597">
        <f t="shared" si="41"/>
        <v>4.9392097264437718E-2</v>
      </c>
    </row>
    <row r="666" spans="13:33" x14ac:dyDescent="0.35">
      <c r="M666" s="555">
        <v>42578</v>
      </c>
      <c r="N666" s="543" t="s">
        <v>449</v>
      </c>
      <c r="O666" s="543">
        <v>39434.97</v>
      </c>
      <c r="P666" s="73" t="s">
        <v>431</v>
      </c>
      <c r="Q666" s="158">
        <v>34.409999999999997</v>
      </c>
      <c r="R666" s="563">
        <f t="shared" ref="R666:R729" si="42">(O666/O665)-1</f>
        <v>7.3476275393493662E-3</v>
      </c>
      <c r="S666" s="563">
        <f t="shared" ref="S666:S729" si="43">(Q666/Q665)-1</f>
        <v>-2.3552780930760631E-2</v>
      </c>
      <c r="AA666" s="594">
        <v>42576</v>
      </c>
      <c r="AB666" s="595" t="s">
        <v>449</v>
      </c>
      <c r="AC666" s="595">
        <v>39017.32</v>
      </c>
      <c r="AD666" s="596" t="s">
        <v>395</v>
      </c>
      <c r="AE666" s="595">
        <v>281.52999999999997</v>
      </c>
      <c r="AF666" s="597">
        <f t="shared" si="40"/>
        <v>-3.4343266129918115E-3</v>
      </c>
      <c r="AG666" s="597">
        <f t="shared" si="41"/>
        <v>1.9297610427226664E-2</v>
      </c>
    </row>
    <row r="667" spans="13:33" x14ac:dyDescent="0.35">
      <c r="M667" s="555">
        <v>42579</v>
      </c>
      <c r="N667" s="543" t="s">
        <v>449</v>
      </c>
      <c r="O667" s="543">
        <v>39468.980000000003</v>
      </c>
      <c r="P667" s="73" t="s">
        <v>431</v>
      </c>
      <c r="Q667" s="158">
        <v>33.92</v>
      </c>
      <c r="R667" s="563">
        <f t="shared" si="42"/>
        <v>8.6243250597117793E-4</v>
      </c>
      <c r="S667" s="563">
        <f t="shared" si="43"/>
        <v>-1.4240046498110837E-2</v>
      </c>
      <c r="AA667" s="594">
        <v>42577</v>
      </c>
      <c r="AB667" s="595" t="s">
        <v>449</v>
      </c>
      <c r="AC667" s="595">
        <v>39147.33</v>
      </c>
      <c r="AD667" s="596" t="s">
        <v>395</v>
      </c>
      <c r="AE667" s="595">
        <v>276.45</v>
      </c>
      <c r="AF667" s="597">
        <f t="shared" si="40"/>
        <v>3.3321099450194236E-3</v>
      </c>
      <c r="AG667" s="597">
        <f t="shared" si="41"/>
        <v>-1.8044258160764381E-2</v>
      </c>
    </row>
    <row r="668" spans="13:33" x14ac:dyDescent="0.35">
      <c r="M668" s="555">
        <v>42580</v>
      </c>
      <c r="N668" s="543" t="s">
        <v>449</v>
      </c>
      <c r="O668" s="543">
        <v>39528.82</v>
      </c>
      <c r="P668" s="73" t="s">
        <v>431</v>
      </c>
      <c r="Q668" s="158">
        <v>33.979999999999997</v>
      </c>
      <c r="R668" s="563">
        <f t="shared" si="42"/>
        <v>1.5161273486163918E-3</v>
      </c>
      <c r="S668" s="563">
        <f t="shared" si="43"/>
        <v>1.768867924528239E-3</v>
      </c>
      <c r="AA668" s="594">
        <v>42578</v>
      </c>
      <c r="AB668" s="595" t="s">
        <v>449</v>
      </c>
      <c r="AC668" s="595">
        <v>39434.97</v>
      </c>
      <c r="AD668" s="596" t="s">
        <v>395</v>
      </c>
      <c r="AE668" s="595">
        <v>279</v>
      </c>
      <c r="AF668" s="597">
        <f t="shared" ref="AF668:AF731" si="44">(AC668/AC667)-1</f>
        <v>7.3476275393493662E-3</v>
      </c>
      <c r="AG668" s="597">
        <f t="shared" ref="AG668:AG731" si="45">(AE668/AE667)-1</f>
        <v>9.2240911557244232E-3</v>
      </c>
    </row>
    <row r="669" spans="13:33" x14ac:dyDescent="0.35">
      <c r="M669" s="555">
        <v>42583</v>
      </c>
      <c r="N669" s="543" t="s">
        <v>449</v>
      </c>
      <c r="O669" s="543">
        <v>39800.639999999999</v>
      </c>
      <c r="P669" s="73" t="s">
        <v>431</v>
      </c>
      <c r="Q669" s="158">
        <v>34.86</v>
      </c>
      <c r="R669" s="563">
        <f t="shared" si="42"/>
        <v>6.8765017523924055E-3</v>
      </c>
      <c r="S669" s="563">
        <f t="shared" si="43"/>
        <v>2.5897586815774032E-2</v>
      </c>
      <c r="AA669" s="594">
        <v>42579</v>
      </c>
      <c r="AB669" s="595" t="s">
        <v>449</v>
      </c>
      <c r="AC669" s="595">
        <v>39468.980000000003</v>
      </c>
      <c r="AD669" s="596" t="s">
        <v>395</v>
      </c>
      <c r="AE669" s="595">
        <v>276.26</v>
      </c>
      <c r="AF669" s="597">
        <f t="shared" si="44"/>
        <v>8.6243250597117793E-4</v>
      </c>
      <c r="AG669" s="597">
        <f t="shared" si="45"/>
        <v>-9.8207885304659737E-3</v>
      </c>
    </row>
    <row r="670" spans="13:33" x14ac:dyDescent="0.35">
      <c r="M670" s="555">
        <v>42584</v>
      </c>
      <c r="N670" s="543" t="s">
        <v>449</v>
      </c>
      <c r="O670" s="543">
        <v>39786.93</v>
      </c>
      <c r="P670" s="73" t="s">
        <v>431</v>
      </c>
      <c r="Q670" s="158">
        <v>34.659999999999997</v>
      </c>
      <c r="R670" s="563">
        <f t="shared" si="42"/>
        <v>-3.444668226439962E-4</v>
      </c>
      <c r="S670" s="563">
        <f t="shared" si="43"/>
        <v>-5.7372346528974383E-3</v>
      </c>
      <c r="AA670" s="594">
        <v>42580</v>
      </c>
      <c r="AB670" s="595" t="s">
        <v>449</v>
      </c>
      <c r="AC670" s="595">
        <v>39528.82</v>
      </c>
      <c r="AD670" s="596" t="s">
        <v>395</v>
      </c>
      <c r="AE670" s="595">
        <v>276</v>
      </c>
      <c r="AF670" s="597">
        <f t="shared" si="44"/>
        <v>1.5161273486163918E-3</v>
      </c>
      <c r="AG670" s="597">
        <f t="shared" si="45"/>
        <v>-9.4114240208498234E-4</v>
      </c>
    </row>
    <row r="671" spans="13:33" x14ac:dyDescent="0.35">
      <c r="M671" s="555">
        <v>42585</v>
      </c>
      <c r="N671" s="543" t="s">
        <v>449</v>
      </c>
      <c r="O671" s="543">
        <v>39615.760000000002</v>
      </c>
      <c r="P671" s="73" t="s">
        <v>431</v>
      </c>
      <c r="Q671" s="158">
        <v>34.299999999999997</v>
      </c>
      <c r="R671" s="563">
        <f t="shared" si="42"/>
        <v>-4.3021665657541064E-3</v>
      </c>
      <c r="S671" s="563">
        <f t="shared" si="43"/>
        <v>-1.0386612810155738E-2</v>
      </c>
      <c r="AA671" s="594">
        <v>42583</v>
      </c>
      <c r="AB671" s="595" t="s">
        <v>449</v>
      </c>
      <c r="AC671" s="595">
        <v>39800.639999999999</v>
      </c>
      <c r="AD671" s="596" t="s">
        <v>395</v>
      </c>
      <c r="AE671" s="595">
        <v>276</v>
      </c>
      <c r="AF671" s="597">
        <f t="shared" si="44"/>
        <v>6.8765017523924055E-3</v>
      </c>
      <c r="AG671" s="597">
        <f t="shared" si="45"/>
        <v>0</v>
      </c>
    </row>
    <row r="672" spans="13:33" x14ac:dyDescent="0.35">
      <c r="M672" s="555">
        <v>42586</v>
      </c>
      <c r="N672" s="543" t="s">
        <v>449</v>
      </c>
      <c r="O672" s="543">
        <v>39446.699999999997</v>
      </c>
      <c r="P672" s="73" t="s">
        <v>431</v>
      </c>
      <c r="Q672" s="158">
        <v>34.090000000000003</v>
      </c>
      <c r="R672" s="563">
        <f t="shared" si="42"/>
        <v>-4.2674935429739547E-3</v>
      </c>
      <c r="S672" s="563">
        <f t="shared" si="43"/>
        <v>-6.1224489795916881E-3</v>
      </c>
      <c r="AA672" s="594">
        <v>42584</v>
      </c>
      <c r="AB672" s="595" t="s">
        <v>449</v>
      </c>
      <c r="AC672" s="595">
        <v>39786.93</v>
      </c>
      <c r="AD672" s="596" t="s">
        <v>395</v>
      </c>
      <c r="AE672" s="595">
        <v>285.27</v>
      </c>
      <c r="AF672" s="597">
        <f t="shared" si="44"/>
        <v>-3.444668226439962E-4</v>
      </c>
      <c r="AG672" s="597">
        <f t="shared" si="45"/>
        <v>3.3586956521739042E-2</v>
      </c>
    </row>
    <row r="673" spans="13:33" x14ac:dyDescent="0.35">
      <c r="M673" s="555">
        <v>42587</v>
      </c>
      <c r="N673" s="543" t="s">
        <v>449</v>
      </c>
      <c r="O673" s="543">
        <v>39390.21</v>
      </c>
      <c r="P673" s="73" t="s">
        <v>431</v>
      </c>
      <c r="Q673" s="158">
        <v>33.69</v>
      </c>
      <c r="R673" s="563">
        <f t="shared" si="42"/>
        <v>-1.4320589555019136E-3</v>
      </c>
      <c r="S673" s="563">
        <f t="shared" si="43"/>
        <v>-1.1733646230566275E-2</v>
      </c>
      <c r="AA673" s="594">
        <v>42585</v>
      </c>
      <c r="AB673" s="595" t="s">
        <v>449</v>
      </c>
      <c r="AC673" s="595">
        <v>39615.760000000002</v>
      </c>
      <c r="AD673" s="596" t="s">
        <v>395</v>
      </c>
      <c r="AE673" s="595">
        <v>280.69</v>
      </c>
      <c r="AF673" s="597">
        <f t="shared" si="44"/>
        <v>-4.3021665657541064E-3</v>
      </c>
      <c r="AG673" s="597">
        <f t="shared" si="45"/>
        <v>-1.6054965471307803E-2</v>
      </c>
    </row>
    <row r="674" spans="13:33" x14ac:dyDescent="0.35">
      <c r="M674" s="555">
        <v>42590</v>
      </c>
      <c r="N674" s="543" t="s">
        <v>449</v>
      </c>
      <c r="O674" s="543">
        <v>39476.17</v>
      </c>
      <c r="P674" s="73" t="s">
        <v>431</v>
      </c>
      <c r="Q674" s="158">
        <v>33.75</v>
      </c>
      <c r="R674" s="563">
        <f t="shared" si="42"/>
        <v>2.1822681321068682E-3</v>
      </c>
      <c r="S674" s="563">
        <f t="shared" si="43"/>
        <v>1.7809439002671734E-3</v>
      </c>
      <c r="AA674" s="589">
        <v>42586</v>
      </c>
      <c r="AB674" s="590" t="s">
        <v>449</v>
      </c>
      <c r="AC674" s="590">
        <v>39446.699999999997</v>
      </c>
      <c r="AD674" s="591" t="s">
        <v>395</v>
      </c>
      <c r="AE674" s="590">
        <v>282.83</v>
      </c>
      <c r="AF674" s="592">
        <f t="shared" si="44"/>
        <v>-4.2674935429739547E-3</v>
      </c>
      <c r="AG674" s="592">
        <f t="shared" si="45"/>
        <v>7.6240692579001568E-3</v>
      </c>
    </row>
    <row r="675" spans="13:33" x14ac:dyDescent="0.35">
      <c r="M675" s="555">
        <v>42591</v>
      </c>
      <c r="N675" s="543" t="s">
        <v>449</v>
      </c>
      <c r="O675" s="543">
        <v>39663.71</v>
      </c>
      <c r="P675" s="73" t="s">
        <v>431</v>
      </c>
      <c r="Q675" s="158">
        <v>33.770000000000003</v>
      </c>
      <c r="R675" s="563">
        <f t="shared" si="42"/>
        <v>4.7507141650267037E-3</v>
      </c>
      <c r="S675" s="563">
        <f t="shared" si="43"/>
        <v>5.9259259259270003E-4</v>
      </c>
      <c r="AA675" s="589">
        <v>42587</v>
      </c>
      <c r="AB675" s="590" t="s">
        <v>449</v>
      </c>
      <c r="AC675" s="590">
        <v>39390.21</v>
      </c>
      <c r="AD675" s="591" t="s">
        <v>395</v>
      </c>
      <c r="AE675" s="590">
        <v>278.14</v>
      </c>
      <c r="AF675" s="592">
        <f t="shared" si="44"/>
        <v>-1.4320589555019136E-3</v>
      </c>
      <c r="AG675" s="592">
        <f t="shared" si="45"/>
        <v>-1.6582399321147023E-2</v>
      </c>
    </row>
    <row r="676" spans="13:33" x14ac:dyDescent="0.35">
      <c r="M676" s="555">
        <v>42592</v>
      </c>
      <c r="N676" s="543" t="s">
        <v>449</v>
      </c>
      <c r="O676" s="543">
        <v>39805.879999999997</v>
      </c>
      <c r="P676" s="73" t="s">
        <v>431</v>
      </c>
      <c r="Q676" s="158">
        <v>34.409999999999997</v>
      </c>
      <c r="R676" s="563">
        <f t="shared" si="42"/>
        <v>3.5843848192718131E-3</v>
      </c>
      <c r="S676" s="563">
        <f t="shared" si="43"/>
        <v>1.8951732306780933E-2</v>
      </c>
      <c r="AA676" s="594">
        <v>42590</v>
      </c>
      <c r="AB676" s="595" t="s">
        <v>449</v>
      </c>
      <c r="AC676" s="595">
        <v>39476.17</v>
      </c>
      <c r="AD676" s="596" t="s">
        <v>395</v>
      </c>
      <c r="AE676" s="595">
        <v>279.39</v>
      </c>
      <c r="AF676" s="597">
        <f t="shared" si="44"/>
        <v>2.1822681321068682E-3</v>
      </c>
      <c r="AG676" s="597">
        <f t="shared" si="45"/>
        <v>4.4941396419069246E-3</v>
      </c>
    </row>
    <row r="677" spans="13:33" x14ac:dyDescent="0.35">
      <c r="M677" s="555">
        <v>42593</v>
      </c>
      <c r="N677" s="543" t="s">
        <v>449</v>
      </c>
      <c r="O677" s="543">
        <v>39861.599999999999</v>
      </c>
      <c r="P677" s="73" t="s">
        <v>431</v>
      </c>
      <c r="Q677" s="158">
        <v>33.85</v>
      </c>
      <c r="R677" s="563">
        <f t="shared" si="42"/>
        <v>1.3997931963820598E-3</v>
      </c>
      <c r="S677" s="563">
        <f t="shared" si="43"/>
        <v>-1.6274338854983861E-2</v>
      </c>
      <c r="AA677" s="594">
        <v>42591</v>
      </c>
      <c r="AB677" s="595" t="s">
        <v>449</v>
      </c>
      <c r="AC677" s="595">
        <v>39663.71</v>
      </c>
      <c r="AD677" s="596" t="s">
        <v>395</v>
      </c>
      <c r="AE677" s="595">
        <v>280.27</v>
      </c>
      <c r="AF677" s="597">
        <f t="shared" si="44"/>
        <v>4.7507141650267037E-3</v>
      </c>
      <c r="AG677" s="597">
        <f t="shared" si="45"/>
        <v>3.149719030745457E-3</v>
      </c>
    </row>
    <row r="678" spans="13:33" x14ac:dyDescent="0.35">
      <c r="M678" s="555">
        <v>42594</v>
      </c>
      <c r="N678" s="543" t="s">
        <v>449</v>
      </c>
      <c r="O678" s="543">
        <v>39907.64</v>
      </c>
      <c r="P678" s="73" t="s">
        <v>431</v>
      </c>
      <c r="Q678" s="158">
        <v>33.880000000000003</v>
      </c>
      <c r="R678" s="563">
        <f t="shared" si="42"/>
        <v>1.1549962871535424E-3</v>
      </c>
      <c r="S678" s="563">
        <f t="shared" si="43"/>
        <v>8.862629246677578E-4</v>
      </c>
      <c r="AA678" s="594">
        <v>42592</v>
      </c>
      <c r="AB678" s="595" t="s">
        <v>449</v>
      </c>
      <c r="AC678" s="595">
        <v>39805.879999999997</v>
      </c>
      <c r="AD678" s="596" t="s">
        <v>395</v>
      </c>
      <c r="AE678" s="595">
        <v>280.32</v>
      </c>
      <c r="AF678" s="597">
        <f t="shared" si="44"/>
        <v>3.5843848192718131E-3</v>
      </c>
      <c r="AG678" s="597">
        <f t="shared" si="45"/>
        <v>1.7839940057795545E-4</v>
      </c>
    </row>
    <row r="679" spans="13:33" x14ac:dyDescent="0.35">
      <c r="M679" s="555">
        <v>42597</v>
      </c>
      <c r="N679" s="543" t="s">
        <v>449</v>
      </c>
      <c r="O679" s="543">
        <v>40030.519999999997</v>
      </c>
      <c r="P679" s="73" t="s">
        <v>431</v>
      </c>
      <c r="Q679" s="158">
        <v>33.9</v>
      </c>
      <c r="R679" s="563">
        <f t="shared" si="42"/>
        <v>3.079109664214652E-3</v>
      </c>
      <c r="S679" s="563">
        <f t="shared" si="43"/>
        <v>5.9031877213677753E-4</v>
      </c>
      <c r="AA679" s="594">
        <v>42593</v>
      </c>
      <c r="AB679" s="595" t="s">
        <v>449</v>
      </c>
      <c r="AC679" s="595">
        <v>39861.599999999999</v>
      </c>
      <c r="AD679" s="596" t="s">
        <v>395</v>
      </c>
      <c r="AE679" s="595">
        <v>281.76</v>
      </c>
      <c r="AF679" s="597">
        <f t="shared" si="44"/>
        <v>1.3997931963820598E-3</v>
      </c>
      <c r="AG679" s="597">
        <f t="shared" si="45"/>
        <v>5.1369863013699391E-3</v>
      </c>
    </row>
    <row r="680" spans="13:33" x14ac:dyDescent="0.35">
      <c r="M680" s="555">
        <v>42598</v>
      </c>
      <c r="N680" s="543" t="s">
        <v>449</v>
      </c>
      <c r="O680" s="543">
        <v>40050.17</v>
      </c>
      <c r="P680" s="73" t="s">
        <v>431</v>
      </c>
      <c r="Q680" s="158">
        <v>34.14</v>
      </c>
      <c r="R680" s="563">
        <f t="shared" si="42"/>
        <v>4.9087546202253307E-4</v>
      </c>
      <c r="S680" s="563">
        <f t="shared" si="43"/>
        <v>7.0796460176991705E-3</v>
      </c>
      <c r="AA680" s="594">
        <v>42594</v>
      </c>
      <c r="AB680" s="595" t="s">
        <v>449</v>
      </c>
      <c r="AC680" s="595">
        <v>39907.64</v>
      </c>
      <c r="AD680" s="596" t="s">
        <v>395</v>
      </c>
      <c r="AE680" s="595">
        <v>280.18</v>
      </c>
      <c r="AF680" s="597">
        <f t="shared" si="44"/>
        <v>1.1549962871535424E-3</v>
      </c>
      <c r="AG680" s="597">
        <f t="shared" si="45"/>
        <v>-5.6076093128903937E-3</v>
      </c>
    </row>
    <row r="681" spans="13:33" x14ac:dyDescent="0.35">
      <c r="M681" s="555">
        <v>42599</v>
      </c>
      <c r="N681" s="543" t="s">
        <v>449</v>
      </c>
      <c r="O681" s="543">
        <v>40057.519999999997</v>
      </c>
      <c r="P681" s="73" t="s">
        <v>431</v>
      </c>
      <c r="Q681" s="158">
        <v>34.340000000000003</v>
      </c>
      <c r="R681" s="563">
        <f t="shared" si="42"/>
        <v>1.8351982026532099E-4</v>
      </c>
      <c r="S681" s="563">
        <f t="shared" si="43"/>
        <v>5.858230814294263E-3</v>
      </c>
      <c r="AA681" s="594">
        <v>42597</v>
      </c>
      <c r="AB681" s="595" t="s">
        <v>449</v>
      </c>
      <c r="AC681" s="595">
        <v>40030.519999999997</v>
      </c>
      <c r="AD681" s="596" t="s">
        <v>395</v>
      </c>
      <c r="AE681" s="595">
        <v>288.89</v>
      </c>
      <c r="AF681" s="597">
        <f t="shared" si="44"/>
        <v>3.079109664214652E-3</v>
      </c>
      <c r="AG681" s="597">
        <f t="shared" si="45"/>
        <v>3.1087158255407088E-2</v>
      </c>
    </row>
    <row r="682" spans="13:33" x14ac:dyDescent="0.35">
      <c r="M682" s="555">
        <v>42600</v>
      </c>
      <c r="N682" s="543" t="s">
        <v>449</v>
      </c>
      <c r="O682" s="543">
        <v>39771.199999999997</v>
      </c>
      <c r="P682" s="73" t="s">
        <v>431</v>
      </c>
      <c r="Q682" s="158">
        <v>34.049999999999997</v>
      </c>
      <c r="R682" s="563">
        <f t="shared" si="42"/>
        <v>-7.1477215763732227E-3</v>
      </c>
      <c r="S682" s="563">
        <f t="shared" si="43"/>
        <v>-8.4449621432732824E-3</v>
      </c>
      <c r="AA682" s="594">
        <v>42598</v>
      </c>
      <c r="AB682" s="595" t="s">
        <v>449</v>
      </c>
      <c r="AC682" s="595">
        <v>40050.17</v>
      </c>
      <c r="AD682" s="596" t="s">
        <v>395</v>
      </c>
      <c r="AE682" s="595">
        <v>299.81</v>
      </c>
      <c r="AF682" s="597">
        <f t="shared" si="44"/>
        <v>4.9087546202253307E-4</v>
      </c>
      <c r="AG682" s="597">
        <f t="shared" si="45"/>
        <v>3.7799854615943929E-2</v>
      </c>
    </row>
    <row r="683" spans="13:33" x14ac:dyDescent="0.35">
      <c r="M683" s="555">
        <v>42601</v>
      </c>
      <c r="N683" s="543" t="s">
        <v>449</v>
      </c>
      <c r="O683" s="543">
        <v>39499.08</v>
      </c>
      <c r="P683" s="73" t="s">
        <v>431</v>
      </c>
      <c r="Q683" s="158">
        <v>33.99</v>
      </c>
      <c r="R683" s="563">
        <f t="shared" si="42"/>
        <v>-6.8421370237758961E-3</v>
      </c>
      <c r="S683" s="563">
        <f t="shared" si="43"/>
        <v>-1.7621145374447922E-3</v>
      </c>
      <c r="AA683" s="594">
        <v>42599</v>
      </c>
      <c r="AB683" s="595" t="s">
        <v>449</v>
      </c>
      <c r="AC683" s="595">
        <v>40057.519999999997</v>
      </c>
      <c r="AD683" s="596" t="s">
        <v>395</v>
      </c>
      <c r="AE683" s="595">
        <v>295.83</v>
      </c>
      <c r="AF683" s="597">
        <f t="shared" si="44"/>
        <v>1.8351982026532099E-4</v>
      </c>
      <c r="AG683" s="597">
        <f t="shared" si="45"/>
        <v>-1.3275074213668692E-2</v>
      </c>
    </row>
    <row r="684" spans="13:33" x14ac:dyDescent="0.35">
      <c r="M684" s="555">
        <v>42604</v>
      </c>
      <c r="N684" s="543" t="s">
        <v>449</v>
      </c>
      <c r="O684" s="543">
        <v>39457.949999999997</v>
      </c>
      <c r="P684" s="73" t="s">
        <v>431</v>
      </c>
      <c r="Q684" s="158">
        <v>33.58</v>
      </c>
      <c r="R684" s="563">
        <f t="shared" si="42"/>
        <v>-1.0412900756170407E-3</v>
      </c>
      <c r="S684" s="563">
        <f t="shared" si="43"/>
        <v>-1.2062371285672335E-2</v>
      </c>
      <c r="AA684" s="594">
        <v>42600</v>
      </c>
      <c r="AB684" s="595" t="s">
        <v>449</v>
      </c>
      <c r="AC684" s="595">
        <v>39771.199999999997</v>
      </c>
      <c r="AD684" s="596" t="s">
        <v>395</v>
      </c>
      <c r="AE684" s="595">
        <v>286.67</v>
      </c>
      <c r="AF684" s="597">
        <f t="shared" si="44"/>
        <v>-7.1477215763732227E-3</v>
      </c>
      <c r="AG684" s="597">
        <f t="shared" si="45"/>
        <v>-3.0963729168779208E-2</v>
      </c>
    </row>
    <row r="685" spans="13:33" x14ac:dyDescent="0.35">
      <c r="M685" s="555">
        <v>42605</v>
      </c>
      <c r="N685" s="543" t="s">
        <v>449</v>
      </c>
      <c r="O685" s="543">
        <v>39400.19</v>
      </c>
      <c r="P685" s="73" t="s">
        <v>431</v>
      </c>
      <c r="Q685" s="158">
        <v>31.9</v>
      </c>
      <c r="R685" s="563">
        <f t="shared" si="42"/>
        <v>-1.4638368186891126E-3</v>
      </c>
      <c r="S685" s="563">
        <f t="shared" si="43"/>
        <v>-5.0029779630732518E-2</v>
      </c>
      <c r="AA685" s="594">
        <v>42601</v>
      </c>
      <c r="AB685" s="595" t="s">
        <v>449</v>
      </c>
      <c r="AC685" s="595">
        <v>39499.08</v>
      </c>
      <c r="AD685" s="596" t="s">
        <v>395</v>
      </c>
      <c r="AE685" s="595">
        <v>283.35000000000002</v>
      </c>
      <c r="AF685" s="597">
        <f t="shared" si="44"/>
        <v>-6.8421370237758961E-3</v>
      </c>
      <c r="AG685" s="597">
        <f t="shared" si="45"/>
        <v>-1.1581260683015238E-2</v>
      </c>
    </row>
    <row r="686" spans="13:33" x14ac:dyDescent="0.35">
      <c r="M686" s="555">
        <v>42606</v>
      </c>
      <c r="N686" s="543" t="s">
        <v>449</v>
      </c>
      <c r="O686" s="543">
        <v>39506.58</v>
      </c>
      <c r="P686" s="73" t="s">
        <v>431</v>
      </c>
      <c r="Q686" s="158">
        <v>31.37</v>
      </c>
      <c r="R686" s="563">
        <f t="shared" si="42"/>
        <v>2.7002407856409061E-3</v>
      </c>
      <c r="S686" s="563">
        <f t="shared" si="43"/>
        <v>-1.6614420062695867E-2</v>
      </c>
      <c r="AA686" s="589">
        <v>42604</v>
      </c>
      <c r="AB686" s="590" t="s">
        <v>449</v>
      </c>
      <c r="AC686" s="590">
        <v>39457.949999999997</v>
      </c>
      <c r="AD686" s="591" t="s">
        <v>395</v>
      </c>
      <c r="AE686" s="590">
        <v>279.52</v>
      </c>
      <c r="AF686" s="592">
        <f t="shared" si="44"/>
        <v>-1.0412900756170407E-3</v>
      </c>
      <c r="AG686" s="592">
        <f t="shared" si="45"/>
        <v>-1.3516851949885389E-2</v>
      </c>
    </row>
    <row r="687" spans="13:33" x14ac:dyDescent="0.35">
      <c r="M687" s="555">
        <v>42607</v>
      </c>
      <c r="N687" s="543" t="s">
        <v>449</v>
      </c>
      <c r="O687" s="543">
        <v>39792.1</v>
      </c>
      <c r="P687" s="73" t="s">
        <v>431</v>
      </c>
      <c r="Q687" s="158">
        <v>31.66</v>
      </c>
      <c r="R687" s="563">
        <f t="shared" si="42"/>
        <v>7.2271505151799698E-3</v>
      </c>
      <c r="S687" s="563">
        <f t="shared" si="43"/>
        <v>9.2445011157156198E-3</v>
      </c>
      <c r="AA687" s="589">
        <v>42605</v>
      </c>
      <c r="AB687" s="590" t="s">
        <v>449</v>
      </c>
      <c r="AC687" s="590">
        <v>39400.19</v>
      </c>
      <c r="AD687" s="591" t="s">
        <v>395</v>
      </c>
      <c r="AE687" s="590">
        <v>271.95999999999998</v>
      </c>
      <c r="AF687" s="592">
        <f t="shared" si="44"/>
        <v>-1.4638368186891126E-3</v>
      </c>
      <c r="AG687" s="592">
        <f t="shared" si="45"/>
        <v>-2.7046365197481381E-2</v>
      </c>
    </row>
    <row r="688" spans="13:33" x14ac:dyDescent="0.35">
      <c r="M688" s="555">
        <v>42608</v>
      </c>
      <c r="N688" s="543" t="s">
        <v>449</v>
      </c>
      <c r="O688" s="543">
        <v>39926.699999999997</v>
      </c>
      <c r="P688" s="73" t="s">
        <v>431</v>
      </c>
      <c r="Q688" s="158">
        <v>32.07</v>
      </c>
      <c r="R688" s="563">
        <f t="shared" si="42"/>
        <v>3.382580964563342E-3</v>
      </c>
      <c r="S688" s="563">
        <f t="shared" si="43"/>
        <v>1.2950094756790875E-2</v>
      </c>
      <c r="AA688" s="594">
        <v>42606</v>
      </c>
      <c r="AB688" s="595" t="s">
        <v>449</v>
      </c>
      <c r="AC688" s="595">
        <v>39506.58</v>
      </c>
      <c r="AD688" s="596" t="s">
        <v>395</v>
      </c>
      <c r="AE688" s="595">
        <v>285.55</v>
      </c>
      <c r="AF688" s="597">
        <f t="shared" si="44"/>
        <v>2.7002407856409061E-3</v>
      </c>
      <c r="AG688" s="597">
        <f t="shared" si="45"/>
        <v>4.9970583909398458E-2</v>
      </c>
    </row>
    <row r="689" spans="13:33" x14ac:dyDescent="0.35">
      <c r="M689" s="555">
        <v>42611</v>
      </c>
      <c r="N689" s="543" t="s">
        <v>449</v>
      </c>
      <c r="O689" s="543">
        <v>40023.019999999997</v>
      </c>
      <c r="P689" s="73" t="s">
        <v>431</v>
      </c>
      <c r="Q689" s="158">
        <v>32.06</v>
      </c>
      <c r="R689" s="563">
        <f t="shared" si="42"/>
        <v>2.4124207610445314E-3</v>
      </c>
      <c r="S689" s="563">
        <f t="shared" si="43"/>
        <v>-3.1181789834733298E-4</v>
      </c>
      <c r="AA689" s="594">
        <v>42607</v>
      </c>
      <c r="AB689" s="595" t="s">
        <v>449</v>
      </c>
      <c r="AC689" s="595">
        <v>39792.1</v>
      </c>
      <c r="AD689" s="596" t="s">
        <v>395</v>
      </c>
      <c r="AE689" s="595">
        <v>286.64999999999998</v>
      </c>
      <c r="AF689" s="597">
        <f t="shared" si="44"/>
        <v>7.2271505151799698E-3</v>
      </c>
      <c r="AG689" s="597">
        <f t="shared" si="45"/>
        <v>3.8522150236384167E-3</v>
      </c>
    </row>
    <row r="690" spans="13:33" x14ac:dyDescent="0.35">
      <c r="M690" s="555">
        <v>42612</v>
      </c>
      <c r="N690" s="543" t="s">
        <v>449</v>
      </c>
      <c r="O690" s="543">
        <v>39991.79</v>
      </c>
      <c r="P690" s="73" t="s">
        <v>431</v>
      </c>
      <c r="Q690" s="158">
        <v>31.85</v>
      </c>
      <c r="R690" s="563">
        <f t="shared" si="42"/>
        <v>-7.8030093681080714E-4</v>
      </c>
      <c r="S690" s="563">
        <f t="shared" si="43"/>
        <v>-6.5502183406114245E-3</v>
      </c>
      <c r="AA690" s="594">
        <v>42608</v>
      </c>
      <c r="AB690" s="595" t="s">
        <v>449</v>
      </c>
      <c r="AC690" s="595">
        <v>39926.699999999997</v>
      </c>
      <c r="AD690" s="596" t="s">
        <v>395</v>
      </c>
      <c r="AE690" s="595">
        <v>284.45999999999998</v>
      </c>
      <c r="AF690" s="597">
        <f t="shared" si="44"/>
        <v>3.382580964563342E-3</v>
      </c>
      <c r="AG690" s="597">
        <f t="shared" si="45"/>
        <v>-7.6399790685505176E-3</v>
      </c>
    </row>
    <row r="691" spans="13:33" x14ac:dyDescent="0.35">
      <c r="M691" s="555">
        <v>42613</v>
      </c>
      <c r="N691" s="543" t="s">
        <v>449</v>
      </c>
      <c r="O691" s="543">
        <v>39809.58</v>
      </c>
      <c r="P691" s="73" t="s">
        <v>431</v>
      </c>
      <c r="Q691" s="158">
        <v>31.83</v>
      </c>
      <c r="R691" s="563">
        <f t="shared" si="42"/>
        <v>-4.5561851570034007E-3</v>
      </c>
      <c r="S691" s="563">
        <f t="shared" si="43"/>
        <v>-6.2794348508643516E-4</v>
      </c>
      <c r="AA691" s="594">
        <v>42611</v>
      </c>
      <c r="AB691" s="595" t="s">
        <v>449</v>
      </c>
      <c r="AC691" s="595">
        <v>40023.019999999997</v>
      </c>
      <c r="AD691" s="596" t="s">
        <v>395</v>
      </c>
      <c r="AE691" s="595">
        <v>284.76</v>
      </c>
      <c r="AF691" s="597">
        <f t="shared" si="44"/>
        <v>2.4124207610445314E-3</v>
      </c>
      <c r="AG691" s="597">
        <f t="shared" si="45"/>
        <v>1.0546298249314301E-3</v>
      </c>
    </row>
    <row r="692" spans="13:33" x14ac:dyDescent="0.35">
      <c r="M692" s="555">
        <v>42614</v>
      </c>
      <c r="N692" s="543" t="s">
        <v>449</v>
      </c>
      <c r="O692" s="543">
        <v>39738.67</v>
      </c>
      <c r="P692" s="73" t="s">
        <v>431</v>
      </c>
      <c r="Q692" s="158">
        <v>31.53</v>
      </c>
      <c r="R692" s="563">
        <f t="shared" si="42"/>
        <v>-1.78122954324067E-3</v>
      </c>
      <c r="S692" s="563">
        <f t="shared" si="43"/>
        <v>-9.4250706880301127E-3</v>
      </c>
      <c r="AA692" s="594">
        <v>42612</v>
      </c>
      <c r="AB692" s="595" t="s">
        <v>449</v>
      </c>
      <c r="AC692" s="595">
        <v>39991.79</v>
      </c>
      <c r="AD692" s="596" t="s">
        <v>395</v>
      </c>
      <c r="AE692" s="595">
        <v>283.99</v>
      </c>
      <c r="AF692" s="597">
        <f t="shared" si="44"/>
        <v>-7.8030093681080714E-4</v>
      </c>
      <c r="AG692" s="597">
        <f t="shared" si="45"/>
        <v>-2.7040314650933484E-3</v>
      </c>
    </row>
    <row r="693" spans="13:33" x14ac:dyDescent="0.35">
      <c r="M693" s="555">
        <v>42615</v>
      </c>
      <c r="N693" s="543" t="s">
        <v>449</v>
      </c>
      <c r="O693" s="543">
        <v>39464.65</v>
      </c>
      <c r="P693" s="73" t="s">
        <v>431</v>
      </c>
      <c r="Q693" s="158">
        <v>31.35</v>
      </c>
      <c r="R693" s="563">
        <f t="shared" si="42"/>
        <v>-6.8955503543525198E-3</v>
      </c>
      <c r="S693" s="563">
        <f t="shared" si="43"/>
        <v>-5.7088487155090295E-3</v>
      </c>
      <c r="AA693" s="594">
        <v>42613</v>
      </c>
      <c r="AB693" s="595" t="s">
        <v>449</v>
      </c>
      <c r="AC693" s="595">
        <v>39809.58</v>
      </c>
      <c r="AD693" s="596" t="s">
        <v>395</v>
      </c>
      <c r="AE693" s="595">
        <v>281.45</v>
      </c>
      <c r="AF693" s="597">
        <f t="shared" si="44"/>
        <v>-4.5561851570034007E-3</v>
      </c>
      <c r="AG693" s="597">
        <f t="shared" si="45"/>
        <v>-8.9439769005951186E-3</v>
      </c>
    </row>
    <row r="694" spans="13:33" x14ac:dyDescent="0.35">
      <c r="M694" s="555">
        <v>42618</v>
      </c>
      <c r="N694" s="543" t="s">
        <v>449</v>
      </c>
      <c r="O694" s="543">
        <v>39278.11</v>
      </c>
      <c r="P694" s="73" t="s">
        <v>431</v>
      </c>
      <c r="Q694" s="158">
        <v>31.36</v>
      </c>
      <c r="R694" s="563">
        <f t="shared" si="42"/>
        <v>-4.7267617982169607E-3</v>
      </c>
      <c r="S694" s="563">
        <f t="shared" si="43"/>
        <v>3.1897926634760765E-4</v>
      </c>
      <c r="AA694" s="589">
        <v>42614</v>
      </c>
      <c r="AB694" s="590" t="s">
        <v>449</v>
      </c>
      <c r="AC694" s="590">
        <v>39738.67</v>
      </c>
      <c r="AD694" s="591" t="s">
        <v>395</v>
      </c>
      <c r="AE694" s="590">
        <v>284.81</v>
      </c>
      <c r="AF694" s="592">
        <f t="shared" si="44"/>
        <v>-1.78122954324067E-3</v>
      </c>
      <c r="AG694" s="592">
        <f t="shared" si="45"/>
        <v>1.1938177296145103E-2</v>
      </c>
    </row>
    <row r="695" spans="13:33" x14ac:dyDescent="0.35">
      <c r="M695" s="555">
        <v>42619</v>
      </c>
      <c r="N695" s="543" t="s">
        <v>449</v>
      </c>
      <c r="O695" s="543">
        <v>39688.97</v>
      </c>
      <c r="P695" s="73" t="s">
        <v>431</v>
      </c>
      <c r="Q695" s="158">
        <v>31.4</v>
      </c>
      <c r="R695" s="563">
        <f t="shared" si="42"/>
        <v>1.0460279275148476E-2</v>
      </c>
      <c r="S695" s="563">
        <f t="shared" si="43"/>
        <v>1.2755102040815647E-3</v>
      </c>
      <c r="AA695" s="589">
        <v>42615</v>
      </c>
      <c r="AB695" s="590" t="s">
        <v>449</v>
      </c>
      <c r="AC695" s="590">
        <v>39464.65</v>
      </c>
      <c r="AD695" s="591" t="s">
        <v>395</v>
      </c>
      <c r="AE695" s="590">
        <v>284</v>
      </c>
      <c r="AF695" s="592">
        <f t="shared" si="44"/>
        <v>-6.8955503543525198E-3</v>
      </c>
      <c r="AG695" s="592">
        <f t="shared" si="45"/>
        <v>-2.8440012640005286E-3</v>
      </c>
    </row>
    <row r="696" spans="13:33" x14ac:dyDescent="0.35">
      <c r="M696" s="555">
        <v>42620</v>
      </c>
      <c r="N696" s="543" t="s">
        <v>449</v>
      </c>
      <c r="O696" s="543">
        <v>40084.870000000003</v>
      </c>
      <c r="P696" s="73" t="s">
        <v>431</v>
      </c>
      <c r="Q696" s="158">
        <v>31.62</v>
      </c>
      <c r="R696" s="563">
        <f t="shared" si="42"/>
        <v>9.9750636007938098E-3</v>
      </c>
      <c r="S696" s="563">
        <f t="shared" si="43"/>
        <v>7.0063694267517018E-3</v>
      </c>
      <c r="AA696" s="594">
        <v>42618</v>
      </c>
      <c r="AB696" s="595" t="s">
        <v>449</v>
      </c>
      <c r="AC696" s="595">
        <v>39278.11</v>
      </c>
      <c r="AD696" s="596" t="s">
        <v>395</v>
      </c>
      <c r="AE696" s="595">
        <v>280.27999999999997</v>
      </c>
      <c r="AF696" s="597">
        <f t="shared" si="44"/>
        <v>-4.7267617982169607E-3</v>
      </c>
      <c r="AG696" s="597">
        <f t="shared" si="45"/>
        <v>-1.3098591549295824E-2</v>
      </c>
    </row>
    <row r="697" spans="13:33" x14ac:dyDescent="0.35">
      <c r="M697" s="555">
        <v>42621</v>
      </c>
      <c r="N697" s="543" t="s">
        <v>449</v>
      </c>
      <c r="O697" s="543">
        <v>40136.93</v>
      </c>
      <c r="P697" s="73" t="s">
        <v>431</v>
      </c>
      <c r="Q697" s="158">
        <v>31.39</v>
      </c>
      <c r="R697" s="563">
        <f t="shared" si="42"/>
        <v>1.2987443890923878E-3</v>
      </c>
      <c r="S697" s="563">
        <f t="shared" si="43"/>
        <v>-7.2738772928526707E-3</v>
      </c>
      <c r="AA697" s="594">
        <v>42619</v>
      </c>
      <c r="AB697" s="595" t="s">
        <v>449</v>
      </c>
      <c r="AC697" s="595">
        <v>39688.97</v>
      </c>
      <c r="AD697" s="596" t="s">
        <v>395</v>
      </c>
      <c r="AE697" s="595">
        <v>284.89999999999998</v>
      </c>
      <c r="AF697" s="597">
        <f t="shared" si="44"/>
        <v>1.0460279275148476E-2</v>
      </c>
      <c r="AG697" s="597">
        <f t="shared" si="45"/>
        <v>1.6483516483516425E-2</v>
      </c>
    </row>
    <row r="698" spans="13:33" x14ac:dyDescent="0.35">
      <c r="M698" s="555">
        <v>42622</v>
      </c>
      <c r="N698" s="543" t="s">
        <v>449</v>
      </c>
      <c r="O698" s="543">
        <v>40340.230000000003</v>
      </c>
      <c r="P698" s="73" t="s">
        <v>431</v>
      </c>
      <c r="Q698" s="158">
        <v>31.67</v>
      </c>
      <c r="R698" s="563">
        <f t="shared" si="42"/>
        <v>5.0651606886724654E-3</v>
      </c>
      <c r="S698" s="563">
        <f t="shared" si="43"/>
        <v>8.9200382287353275E-3</v>
      </c>
      <c r="AA698" s="594">
        <v>42620</v>
      </c>
      <c r="AB698" s="595" t="s">
        <v>449</v>
      </c>
      <c r="AC698" s="595">
        <v>40084.870000000003</v>
      </c>
      <c r="AD698" s="596" t="s">
        <v>395</v>
      </c>
      <c r="AE698" s="595">
        <v>286.7</v>
      </c>
      <c r="AF698" s="597">
        <f t="shared" si="44"/>
        <v>9.9750636007938098E-3</v>
      </c>
      <c r="AG698" s="597">
        <f t="shared" si="45"/>
        <v>6.3180063180063861E-3</v>
      </c>
    </row>
    <row r="699" spans="13:33" x14ac:dyDescent="0.35">
      <c r="M699" s="555">
        <v>42628</v>
      </c>
      <c r="N699" s="543" t="s">
        <v>449</v>
      </c>
      <c r="O699" s="543">
        <v>40216.35</v>
      </c>
      <c r="P699" s="73" t="s">
        <v>431</v>
      </c>
      <c r="Q699" s="158">
        <v>31.44</v>
      </c>
      <c r="R699" s="563">
        <f t="shared" si="42"/>
        <v>-3.0708798636003287E-3</v>
      </c>
      <c r="S699" s="563">
        <f t="shared" si="43"/>
        <v>-7.2623934322703088E-3</v>
      </c>
      <c r="AA699" s="594">
        <v>42621</v>
      </c>
      <c r="AB699" s="595" t="s">
        <v>449</v>
      </c>
      <c r="AC699" s="595">
        <v>40136.93</v>
      </c>
      <c r="AD699" s="596" t="s">
        <v>395</v>
      </c>
      <c r="AE699" s="595">
        <v>289.94</v>
      </c>
      <c r="AF699" s="597">
        <f t="shared" si="44"/>
        <v>1.2987443890923878E-3</v>
      </c>
      <c r="AG699" s="597">
        <f t="shared" si="45"/>
        <v>1.1301011510289616E-2</v>
      </c>
    </row>
    <row r="700" spans="13:33" x14ac:dyDescent="0.35">
      <c r="M700" s="555">
        <v>42629</v>
      </c>
      <c r="N700" s="543" t="s">
        <v>449</v>
      </c>
      <c r="O700" s="543">
        <v>40363.68</v>
      </c>
      <c r="P700" s="73" t="s">
        <v>431</v>
      </c>
      <c r="Q700" s="158">
        <v>31.53</v>
      </c>
      <c r="R700" s="563">
        <f t="shared" si="42"/>
        <v>3.6634353938138631E-3</v>
      </c>
      <c r="S700" s="563">
        <f t="shared" si="43"/>
        <v>2.8625954198473469E-3</v>
      </c>
      <c r="AA700" s="594">
        <v>42622</v>
      </c>
      <c r="AB700" s="595" t="s">
        <v>449</v>
      </c>
      <c r="AC700" s="595">
        <v>40340.230000000003</v>
      </c>
      <c r="AD700" s="596" t="s">
        <v>395</v>
      </c>
      <c r="AE700" s="595">
        <v>289.18</v>
      </c>
      <c r="AF700" s="597">
        <f t="shared" si="44"/>
        <v>5.0651606886724654E-3</v>
      </c>
      <c r="AG700" s="597">
        <f t="shared" si="45"/>
        <v>-2.6212319790300809E-3</v>
      </c>
    </row>
    <row r="701" spans="13:33" x14ac:dyDescent="0.35">
      <c r="M701" s="555">
        <v>42632</v>
      </c>
      <c r="N701" s="543" t="s">
        <v>449</v>
      </c>
      <c r="O701" s="543">
        <v>40414.720000000001</v>
      </c>
      <c r="P701" s="73" t="s">
        <v>431</v>
      </c>
      <c r="Q701" s="158">
        <v>31.79</v>
      </c>
      <c r="R701" s="563">
        <f t="shared" si="42"/>
        <v>1.2645031374740601E-3</v>
      </c>
      <c r="S701" s="563">
        <f t="shared" si="43"/>
        <v>8.2461148112906724E-3</v>
      </c>
      <c r="AA701" s="594">
        <v>42628</v>
      </c>
      <c r="AB701" s="595" t="s">
        <v>449</v>
      </c>
      <c r="AC701" s="595">
        <v>40216.35</v>
      </c>
      <c r="AD701" s="596" t="s">
        <v>395</v>
      </c>
      <c r="AE701" s="595">
        <v>289.35000000000002</v>
      </c>
      <c r="AF701" s="597">
        <f t="shared" si="44"/>
        <v>-3.0708798636003287E-3</v>
      </c>
      <c r="AG701" s="597">
        <f t="shared" si="45"/>
        <v>5.8786914724406891E-4</v>
      </c>
    </row>
    <row r="702" spans="13:33" x14ac:dyDescent="0.35">
      <c r="M702" s="555">
        <v>42633</v>
      </c>
      <c r="N702" s="543" t="s">
        <v>449</v>
      </c>
      <c r="O702" s="543">
        <v>40340.46</v>
      </c>
      <c r="P702" s="73" t="s">
        <v>431</v>
      </c>
      <c r="Q702" s="158">
        <v>33.340000000000003</v>
      </c>
      <c r="R702" s="563">
        <f t="shared" si="42"/>
        <v>-1.8374493253943136E-3</v>
      </c>
      <c r="S702" s="563">
        <f t="shared" si="43"/>
        <v>4.8757470902799804E-2</v>
      </c>
      <c r="AA702" s="589">
        <v>42629</v>
      </c>
      <c r="AB702" s="590" t="s">
        <v>449</v>
      </c>
      <c r="AC702" s="590">
        <v>40363.68</v>
      </c>
      <c r="AD702" s="591" t="s">
        <v>395</v>
      </c>
      <c r="AE702" s="590">
        <v>295.05</v>
      </c>
      <c r="AF702" s="592">
        <f t="shared" si="44"/>
        <v>3.6634353938138631E-3</v>
      </c>
      <c r="AG702" s="592">
        <f t="shared" si="45"/>
        <v>1.9699326075686807E-2</v>
      </c>
    </row>
    <row r="703" spans="13:33" x14ac:dyDescent="0.35">
      <c r="M703" s="555">
        <v>42634</v>
      </c>
      <c r="N703" s="543" t="s">
        <v>449</v>
      </c>
      <c r="O703" s="543">
        <v>39771.42</v>
      </c>
      <c r="P703" s="73" t="s">
        <v>431</v>
      </c>
      <c r="Q703" s="158">
        <v>32.020000000000003</v>
      </c>
      <c r="R703" s="563">
        <f t="shared" si="42"/>
        <v>-1.4105937314547234E-2</v>
      </c>
      <c r="S703" s="563">
        <f t="shared" si="43"/>
        <v>-3.9592081583683214E-2</v>
      </c>
      <c r="AA703" s="589">
        <v>42632</v>
      </c>
      <c r="AB703" s="590" t="s">
        <v>449</v>
      </c>
      <c r="AC703" s="590">
        <v>40414.720000000001</v>
      </c>
      <c r="AD703" s="591" t="s">
        <v>395</v>
      </c>
      <c r="AE703" s="590">
        <v>299.41000000000003</v>
      </c>
      <c r="AF703" s="592">
        <f t="shared" si="44"/>
        <v>1.2645031374740601E-3</v>
      </c>
      <c r="AG703" s="592">
        <f t="shared" si="45"/>
        <v>1.4777156414167214E-2</v>
      </c>
    </row>
    <row r="704" spans="13:33" x14ac:dyDescent="0.35">
      <c r="M704" s="555">
        <v>42635</v>
      </c>
      <c r="N704" s="543" t="s">
        <v>449</v>
      </c>
      <c r="O704" s="543">
        <v>40135.31</v>
      </c>
      <c r="P704" s="73" t="s">
        <v>431</v>
      </c>
      <c r="Q704" s="158">
        <v>32.18</v>
      </c>
      <c r="R704" s="563">
        <f t="shared" si="42"/>
        <v>9.1495350178596446E-3</v>
      </c>
      <c r="S704" s="563">
        <f t="shared" si="43"/>
        <v>4.9968769519048717E-3</v>
      </c>
      <c r="AA704" s="594">
        <v>42633</v>
      </c>
      <c r="AB704" s="595" t="s">
        <v>449</v>
      </c>
      <c r="AC704" s="595">
        <v>40340.46</v>
      </c>
      <c r="AD704" s="596" t="s">
        <v>395</v>
      </c>
      <c r="AE704" s="595">
        <v>299.27</v>
      </c>
      <c r="AF704" s="597">
        <f t="shared" si="44"/>
        <v>-1.8374493253943136E-3</v>
      </c>
      <c r="AG704" s="597">
        <f t="shared" si="45"/>
        <v>-4.6758625296428047E-4</v>
      </c>
    </row>
    <row r="705" spans="13:33" x14ac:dyDescent="0.35">
      <c r="M705" s="555">
        <v>42636</v>
      </c>
      <c r="N705" s="543" t="s">
        <v>449</v>
      </c>
      <c r="O705" s="543">
        <v>39781.949999999997</v>
      </c>
      <c r="P705" s="73" t="s">
        <v>431</v>
      </c>
      <c r="Q705" s="158">
        <v>31.34</v>
      </c>
      <c r="R705" s="563">
        <f t="shared" si="42"/>
        <v>-8.8042175331397576E-3</v>
      </c>
      <c r="S705" s="563">
        <f t="shared" si="43"/>
        <v>-2.6103169670602888E-2</v>
      </c>
      <c r="AA705" s="594">
        <v>42634</v>
      </c>
      <c r="AB705" s="595" t="s">
        <v>449</v>
      </c>
      <c r="AC705" s="595">
        <v>39771.42</v>
      </c>
      <c r="AD705" s="596" t="s">
        <v>395</v>
      </c>
      <c r="AE705" s="595">
        <v>293.02</v>
      </c>
      <c r="AF705" s="597">
        <f t="shared" si="44"/>
        <v>-1.4105937314547234E-2</v>
      </c>
      <c r="AG705" s="597">
        <f t="shared" si="45"/>
        <v>-2.0884151435158871E-2</v>
      </c>
    </row>
    <row r="706" spans="13:33" x14ac:dyDescent="0.35">
      <c r="M706" s="555">
        <v>42639</v>
      </c>
      <c r="N706" s="543" t="s">
        <v>449</v>
      </c>
      <c r="O706" s="543">
        <v>40220.76</v>
      </c>
      <c r="P706" s="73" t="s">
        <v>431</v>
      </c>
      <c r="Q706" s="158">
        <v>31.79</v>
      </c>
      <c r="R706" s="563">
        <f t="shared" si="42"/>
        <v>1.1030379355461584E-2</v>
      </c>
      <c r="S706" s="563">
        <f t="shared" si="43"/>
        <v>1.4358647096362365E-2</v>
      </c>
      <c r="AA706" s="594">
        <v>42635</v>
      </c>
      <c r="AB706" s="595" t="s">
        <v>449</v>
      </c>
      <c r="AC706" s="595">
        <v>40135.31</v>
      </c>
      <c r="AD706" s="596" t="s">
        <v>395</v>
      </c>
      <c r="AE706" s="595">
        <v>296.58</v>
      </c>
      <c r="AF706" s="597">
        <f t="shared" si="44"/>
        <v>9.1495350178596446E-3</v>
      </c>
      <c r="AG706" s="597">
        <f t="shared" si="45"/>
        <v>1.2149341341887832E-2</v>
      </c>
    </row>
    <row r="707" spans="13:33" x14ac:dyDescent="0.35">
      <c r="M707" s="555">
        <v>42640</v>
      </c>
      <c r="N707" s="543" t="s">
        <v>449</v>
      </c>
      <c r="O707" s="543">
        <v>40294.379999999997</v>
      </c>
      <c r="P707" s="73" t="s">
        <v>431</v>
      </c>
      <c r="Q707" s="158">
        <v>32.92</v>
      </c>
      <c r="R707" s="563">
        <f t="shared" si="42"/>
        <v>1.8303980332543546E-3</v>
      </c>
      <c r="S707" s="563">
        <f t="shared" si="43"/>
        <v>3.5545769109783132E-2</v>
      </c>
      <c r="AA707" s="594">
        <v>42636</v>
      </c>
      <c r="AB707" s="595" t="s">
        <v>449</v>
      </c>
      <c r="AC707" s="595">
        <v>39781.949999999997</v>
      </c>
      <c r="AD707" s="596" t="s">
        <v>395</v>
      </c>
      <c r="AE707" s="595">
        <v>285.2</v>
      </c>
      <c r="AF707" s="597">
        <f t="shared" si="44"/>
        <v>-8.8042175331397576E-3</v>
      </c>
      <c r="AG707" s="597">
        <f t="shared" si="45"/>
        <v>-3.837075999730255E-2</v>
      </c>
    </row>
    <row r="708" spans="13:33" x14ac:dyDescent="0.35">
      <c r="M708" s="555">
        <v>42641</v>
      </c>
      <c r="N708" s="543" t="s">
        <v>449</v>
      </c>
      <c r="O708" s="543">
        <v>40355.019999999997</v>
      </c>
      <c r="P708" s="73" t="s">
        <v>431</v>
      </c>
      <c r="Q708" s="158">
        <v>32.28</v>
      </c>
      <c r="R708" s="563">
        <f t="shared" si="42"/>
        <v>1.5049245080827056E-3</v>
      </c>
      <c r="S708" s="563">
        <f t="shared" si="43"/>
        <v>-1.9441069258809285E-2</v>
      </c>
      <c r="AA708" s="594">
        <v>42639</v>
      </c>
      <c r="AB708" s="595" t="s">
        <v>449</v>
      </c>
      <c r="AC708" s="595">
        <v>40220.76</v>
      </c>
      <c r="AD708" s="596" t="s">
        <v>395</v>
      </c>
      <c r="AE708" s="595">
        <v>289.75</v>
      </c>
      <c r="AF708" s="597">
        <f t="shared" si="44"/>
        <v>1.1030379355461584E-2</v>
      </c>
      <c r="AG708" s="597">
        <f t="shared" si="45"/>
        <v>1.5953716690042086E-2</v>
      </c>
    </row>
    <row r="709" spans="13:33" x14ac:dyDescent="0.35">
      <c r="M709" s="555">
        <v>42642</v>
      </c>
      <c r="N709" s="543" t="s">
        <v>449</v>
      </c>
      <c r="O709" s="543">
        <v>40295.519999999997</v>
      </c>
      <c r="P709" s="73" t="s">
        <v>431</v>
      </c>
      <c r="Q709" s="158">
        <v>32.25</v>
      </c>
      <c r="R709" s="563">
        <f t="shared" si="42"/>
        <v>-1.4744138399633844E-3</v>
      </c>
      <c r="S709" s="563">
        <f t="shared" si="43"/>
        <v>-9.2936802973986321E-4</v>
      </c>
      <c r="AA709" s="594">
        <v>42640</v>
      </c>
      <c r="AB709" s="595" t="s">
        <v>449</v>
      </c>
      <c r="AC709" s="595">
        <v>40294.379999999997</v>
      </c>
      <c r="AD709" s="596" t="s">
        <v>395</v>
      </c>
      <c r="AE709" s="595">
        <v>286.33999999999997</v>
      </c>
      <c r="AF709" s="597">
        <f t="shared" si="44"/>
        <v>1.8303980332543546E-3</v>
      </c>
      <c r="AG709" s="597">
        <f t="shared" si="45"/>
        <v>-1.1768766177739476E-2</v>
      </c>
    </row>
    <row r="710" spans="13:33" x14ac:dyDescent="0.35">
      <c r="M710" s="555">
        <v>42643</v>
      </c>
      <c r="N710" s="543" t="s">
        <v>449</v>
      </c>
      <c r="O710" s="543">
        <v>40541.81</v>
      </c>
      <c r="P710" s="73" t="s">
        <v>431</v>
      </c>
      <c r="Q710" s="158">
        <v>32.520000000000003</v>
      </c>
      <c r="R710" s="563">
        <f t="shared" si="42"/>
        <v>6.1120938506316058E-3</v>
      </c>
      <c r="S710" s="563">
        <f t="shared" si="43"/>
        <v>8.3720930232558111E-3</v>
      </c>
      <c r="AA710" s="594">
        <v>42641</v>
      </c>
      <c r="AB710" s="595" t="s">
        <v>449</v>
      </c>
      <c r="AC710" s="595">
        <v>40355.019999999997</v>
      </c>
      <c r="AD710" s="596" t="s">
        <v>395</v>
      </c>
      <c r="AE710" s="595">
        <v>285</v>
      </c>
      <c r="AF710" s="597">
        <f t="shared" si="44"/>
        <v>1.5049245080827056E-3</v>
      </c>
      <c r="AG710" s="597">
        <f t="shared" si="45"/>
        <v>-4.6797513445553385E-3</v>
      </c>
    </row>
    <row r="711" spans="13:33" x14ac:dyDescent="0.35">
      <c r="M711" s="555">
        <v>42646</v>
      </c>
      <c r="N711" s="543" t="s">
        <v>449</v>
      </c>
      <c r="O711" s="543">
        <v>40986.31</v>
      </c>
      <c r="P711" s="73" t="s">
        <v>431</v>
      </c>
      <c r="Q711" s="158">
        <v>33.159999999999997</v>
      </c>
      <c r="R711" s="563">
        <f t="shared" si="42"/>
        <v>1.0963990014259295E-2</v>
      </c>
      <c r="S711" s="563">
        <f t="shared" si="43"/>
        <v>1.9680196801967753E-2</v>
      </c>
      <c r="AA711" s="594">
        <v>42642</v>
      </c>
      <c r="AB711" s="595" t="s">
        <v>449</v>
      </c>
      <c r="AC711" s="595">
        <v>40295.519999999997</v>
      </c>
      <c r="AD711" s="596" t="s">
        <v>395</v>
      </c>
      <c r="AE711" s="595">
        <v>283</v>
      </c>
      <c r="AF711" s="597">
        <f t="shared" si="44"/>
        <v>-1.4744138399633844E-3</v>
      </c>
      <c r="AG711" s="597">
        <f t="shared" si="45"/>
        <v>-7.0175438596491446E-3</v>
      </c>
    </row>
    <row r="712" spans="13:33" x14ac:dyDescent="0.35">
      <c r="M712" s="555">
        <v>42647</v>
      </c>
      <c r="N712" s="543" t="s">
        <v>449</v>
      </c>
      <c r="O712" s="543">
        <v>41123.97</v>
      </c>
      <c r="P712" s="73" t="s">
        <v>431</v>
      </c>
      <c r="Q712" s="158">
        <v>32.78</v>
      </c>
      <c r="R712" s="563">
        <f t="shared" si="42"/>
        <v>3.3586824478710753E-3</v>
      </c>
      <c r="S712" s="563">
        <f t="shared" si="43"/>
        <v>-1.1459589867309883E-2</v>
      </c>
      <c r="AA712" s="594">
        <v>42643</v>
      </c>
      <c r="AB712" s="595" t="s">
        <v>449</v>
      </c>
      <c r="AC712" s="595">
        <v>40541.81</v>
      </c>
      <c r="AD712" s="596" t="s">
        <v>395</v>
      </c>
      <c r="AE712" s="595">
        <v>287</v>
      </c>
      <c r="AF712" s="597">
        <f t="shared" si="44"/>
        <v>6.1120938506316058E-3</v>
      </c>
      <c r="AG712" s="597">
        <f t="shared" si="45"/>
        <v>1.4134275618374659E-2</v>
      </c>
    </row>
    <row r="713" spans="13:33" x14ac:dyDescent="0.35">
      <c r="M713" s="555">
        <v>42648</v>
      </c>
      <c r="N713" s="543" t="s">
        <v>449</v>
      </c>
      <c r="O713" s="543">
        <v>41253.46</v>
      </c>
      <c r="P713" s="73" t="s">
        <v>431</v>
      </c>
      <c r="Q713" s="158">
        <v>33.31</v>
      </c>
      <c r="R713" s="563">
        <f t="shared" si="42"/>
        <v>3.1487718719762636E-3</v>
      </c>
      <c r="S713" s="563">
        <f t="shared" si="43"/>
        <v>1.6168395363026278E-2</v>
      </c>
      <c r="AA713" s="594">
        <v>42646</v>
      </c>
      <c r="AB713" s="595" t="s">
        <v>449</v>
      </c>
      <c r="AC713" s="595">
        <v>40986.31</v>
      </c>
      <c r="AD713" s="596" t="s">
        <v>395</v>
      </c>
      <c r="AE713" s="595">
        <v>301.35000000000002</v>
      </c>
      <c r="AF713" s="597">
        <f t="shared" si="44"/>
        <v>1.0963990014259295E-2</v>
      </c>
      <c r="AG713" s="597">
        <f t="shared" si="45"/>
        <v>5.0000000000000044E-2</v>
      </c>
    </row>
    <row r="714" spans="13:33" x14ac:dyDescent="0.35">
      <c r="M714" s="555">
        <v>42649</v>
      </c>
      <c r="N714" s="543" t="s">
        <v>449</v>
      </c>
      <c r="O714" s="543">
        <v>41252.17</v>
      </c>
      <c r="P714" s="73" t="s">
        <v>431</v>
      </c>
      <c r="Q714" s="158">
        <v>32.880000000000003</v>
      </c>
      <c r="R714" s="563">
        <f t="shared" si="42"/>
        <v>-3.1270104374314656E-5</v>
      </c>
      <c r="S714" s="563">
        <f t="shared" si="43"/>
        <v>-1.2909036325427836E-2</v>
      </c>
      <c r="AA714" s="594">
        <v>42647</v>
      </c>
      <c r="AB714" s="595" t="s">
        <v>449</v>
      </c>
      <c r="AC714" s="595">
        <v>41123.97</v>
      </c>
      <c r="AD714" s="596" t="s">
        <v>395</v>
      </c>
      <c r="AE714" s="595">
        <v>308.14999999999998</v>
      </c>
      <c r="AF714" s="597">
        <f t="shared" si="44"/>
        <v>3.3586824478710753E-3</v>
      </c>
      <c r="AG714" s="597">
        <f t="shared" si="45"/>
        <v>2.2565123610419624E-2</v>
      </c>
    </row>
    <row r="715" spans="13:33" x14ac:dyDescent="0.35">
      <c r="M715" s="555">
        <v>42650</v>
      </c>
      <c r="N715" s="543" t="s">
        <v>449</v>
      </c>
      <c r="O715" s="543">
        <v>41200.480000000003</v>
      </c>
      <c r="P715" s="73" t="s">
        <v>431</v>
      </c>
      <c r="Q715" s="158">
        <v>32.840000000000003</v>
      </c>
      <c r="R715" s="563">
        <f t="shared" si="42"/>
        <v>-1.2530249923821124E-3</v>
      </c>
      <c r="S715" s="563">
        <f t="shared" si="43"/>
        <v>-1.2165450121653931E-3</v>
      </c>
      <c r="AA715" s="594">
        <v>42648</v>
      </c>
      <c r="AB715" s="595" t="s">
        <v>449</v>
      </c>
      <c r="AC715" s="595">
        <v>41253.46</v>
      </c>
      <c r="AD715" s="596" t="s">
        <v>395</v>
      </c>
      <c r="AE715" s="595">
        <v>305.43</v>
      </c>
      <c r="AF715" s="597">
        <f t="shared" si="44"/>
        <v>3.1487718719762636E-3</v>
      </c>
      <c r="AG715" s="597">
        <f t="shared" si="45"/>
        <v>-8.8268700308290482E-3</v>
      </c>
    </row>
    <row r="716" spans="13:33" x14ac:dyDescent="0.35">
      <c r="M716" s="555">
        <v>42653</v>
      </c>
      <c r="N716" s="543" t="s">
        <v>449</v>
      </c>
      <c r="O716" s="543">
        <v>41403.97</v>
      </c>
      <c r="P716" s="73" t="s">
        <v>431</v>
      </c>
      <c r="Q716" s="158">
        <v>32.83</v>
      </c>
      <c r="R716" s="563">
        <f t="shared" si="42"/>
        <v>4.9390201279206902E-3</v>
      </c>
      <c r="S716" s="563">
        <f t="shared" si="43"/>
        <v>-3.0450669914749984E-4</v>
      </c>
      <c r="AA716" s="594">
        <v>42649</v>
      </c>
      <c r="AB716" s="595" t="s">
        <v>449</v>
      </c>
      <c r="AC716" s="595">
        <v>41252.17</v>
      </c>
      <c r="AD716" s="596" t="s">
        <v>395</v>
      </c>
      <c r="AE716" s="595">
        <v>300.76</v>
      </c>
      <c r="AF716" s="597">
        <f t="shared" si="44"/>
        <v>-3.1270104374314656E-5</v>
      </c>
      <c r="AG716" s="597">
        <f t="shared" si="45"/>
        <v>-1.5289919130406338E-2</v>
      </c>
    </row>
    <row r="717" spans="13:33" x14ac:dyDescent="0.35">
      <c r="M717" s="555">
        <v>42656</v>
      </c>
      <c r="N717" s="543" t="s">
        <v>449</v>
      </c>
      <c r="O717" s="543">
        <v>41412.04</v>
      </c>
      <c r="P717" s="73" t="s">
        <v>431</v>
      </c>
      <c r="Q717" s="158">
        <v>32.42</v>
      </c>
      <c r="R717" s="563">
        <f t="shared" si="42"/>
        <v>1.9490884569761668E-4</v>
      </c>
      <c r="S717" s="563">
        <f t="shared" si="43"/>
        <v>-1.2488577520560318E-2</v>
      </c>
      <c r="AA717" s="594">
        <v>42650</v>
      </c>
      <c r="AB717" s="595" t="s">
        <v>449</v>
      </c>
      <c r="AC717" s="595">
        <v>41200.480000000003</v>
      </c>
      <c r="AD717" s="596" t="s">
        <v>395</v>
      </c>
      <c r="AE717" s="595">
        <v>299.86</v>
      </c>
      <c r="AF717" s="597">
        <f t="shared" si="44"/>
        <v>-1.2530249923821124E-3</v>
      </c>
      <c r="AG717" s="597">
        <f t="shared" si="45"/>
        <v>-2.9924192046814069E-3</v>
      </c>
    </row>
    <row r="718" spans="13:33" x14ac:dyDescent="0.35">
      <c r="M718" s="555">
        <v>42657</v>
      </c>
      <c r="N718" s="543" t="s">
        <v>449</v>
      </c>
      <c r="O718" s="543">
        <v>41464.31</v>
      </c>
      <c r="P718" s="73" t="s">
        <v>431</v>
      </c>
      <c r="Q718" s="158">
        <v>32.409999999999997</v>
      </c>
      <c r="R718" s="563">
        <f t="shared" si="42"/>
        <v>1.2621933138283747E-3</v>
      </c>
      <c r="S718" s="563">
        <f t="shared" si="43"/>
        <v>-3.0845157310321891E-4</v>
      </c>
      <c r="AA718" s="594">
        <v>42653</v>
      </c>
      <c r="AB718" s="595" t="s">
        <v>449</v>
      </c>
      <c r="AC718" s="595">
        <v>41403.97</v>
      </c>
      <c r="AD718" s="596" t="s">
        <v>395</v>
      </c>
      <c r="AE718" s="595">
        <v>303.81</v>
      </c>
      <c r="AF718" s="597">
        <f t="shared" si="44"/>
        <v>4.9390201279206902E-3</v>
      </c>
      <c r="AG718" s="597">
        <f t="shared" si="45"/>
        <v>1.3172813979857256E-2</v>
      </c>
    </row>
    <row r="719" spans="13:33" x14ac:dyDescent="0.35">
      <c r="M719" s="555">
        <v>42660</v>
      </c>
      <c r="N719" s="543" t="s">
        <v>449</v>
      </c>
      <c r="O719" s="543">
        <v>41282.720000000001</v>
      </c>
      <c r="P719" s="73" t="s">
        <v>431</v>
      </c>
      <c r="Q719" s="158">
        <v>32.67</v>
      </c>
      <c r="R719" s="563">
        <f t="shared" si="42"/>
        <v>-4.379428959507492E-3</v>
      </c>
      <c r="S719" s="563">
        <f t="shared" si="43"/>
        <v>8.0222153656279716E-3</v>
      </c>
      <c r="AA719" s="594">
        <v>42656</v>
      </c>
      <c r="AB719" s="595" t="s">
        <v>449</v>
      </c>
      <c r="AC719" s="595">
        <v>41412.04</v>
      </c>
      <c r="AD719" s="596" t="s">
        <v>395</v>
      </c>
      <c r="AE719" s="595">
        <v>319</v>
      </c>
      <c r="AF719" s="597">
        <f t="shared" si="44"/>
        <v>1.9490884569761668E-4</v>
      </c>
      <c r="AG719" s="597">
        <f t="shared" si="45"/>
        <v>4.9998354234554565E-2</v>
      </c>
    </row>
    <row r="720" spans="13:33" x14ac:dyDescent="0.35">
      <c r="M720" s="555">
        <v>42661</v>
      </c>
      <c r="N720" s="543" t="s">
        <v>449</v>
      </c>
      <c r="O720" s="543">
        <v>40954.22</v>
      </c>
      <c r="P720" s="73" t="s">
        <v>431</v>
      </c>
      <c r="Q720" s="158">
        <v>32.25</v>
      </c>
      <c r="R720" s="563">
        <f t="shared" si="42"/>
        <v>-7.9573245173767404E-3</v>
      </c>
      <c r="S720" s="563">
        <f t="shared" si="43"/>
        <v>-1.2855831037649312E-2</v>
      </c>
      <c r="AA720" s="594">
        <v>42657</v>
      </c>
      <c r="AB720" s="595" t="s">
        <v>449</v>
      </c>
      <c r="AC720" s="595">
        <v>41464.31</v>
      </c>
      <c r="AD720" s="596" t="s">
        <v>395</v>
      </c>
      <c r="AE720" s="595">
        <v>320</v>
      </c>
      <c r="AF720" s="597">
        <f t="shared" si="44"/>
        <v>1.2621933138283747E-3</v>
      </c>
      <c r="AG720" s="597">
        <f t="shared" si="45"/>
        <v>3.1347962382444194E-3</v>
      </c>
    </row>
    <row r="721" spans="13:33" x14ac:dyDescent="0.35">
      <c r="M721" s="555">
        <v>42662</v>
      </c>
      <c r="N721" s="543" t="s">
        <v>449</v>
      </c>
      <c r="O721" s="543">
        <v>40924.14</v>
      </c>
      <c r="P721" s="73" t="s">
        <v>431</v>
      </c>
      <c r="Q721" s="158">
        <v>32.44</v>
      </c>
      <c r="R721" s="563">
        <f t="shared" si="42"/>
        <v>-7.3447864469156077E-4</v>
      </c>
      <c r="S721" s="563">
        <f t="shared" si="43"/>
        <v>5.891472868216896E-3</v>
      </c>
      <c r="AA721" s="594">
        <v>42660</v>
      </c>
      <c r="AB721" s="595" t="s">
        <v>449</v>
      </c>
      <c r="AC721" s="595">
        <v>41282.720000000001</v>
      </c>
      <c r="AD721" s="596" t="s">
        <v>395</v>
      </c>
      <c r="AE721" s="595">
        <v>316.20999999999998</v>
      </c>
      <c r="AF721" s="597">
        <f t="shared" si="44"/>
        <v>-4.379428959507492E-3</v>
      </c>
      <c r="AG721" s="597">
        <f t="shared" si="45"/>
        <v>-1.1843750000000042E-2</v>
      </c>
    </row>
    <row r="722" spans="13:33" x14ac:dyDescent="0.35">
      <c r="M722" s="555">
        <v>42663</v>
      </c>
      <c r="N722" s="543" t="s">
        <v>449</v>
      </c>
      <c r="O722" s="543">
        <v>41545.949999999997</v>
      </c>
      <c r="P722" s="73" t="s">
        <v>431</v>
      </c>
      <c r="Q722" s="158">
        <v>32.57</v>
      </c>
      <c r="R722" s="563">
        <f t="shared" si="42"/>
        <v>1.5194210556410015E-2</v>
      </c>
      <c r="S722" s="563">
        <f t="shared" si="43"/>
        <v>4.0073982737363067E-3</v>
      </c>
      <c r="AA722" s="594">
        <v>42661</v>
      </c>
      <c r="AB722" s="595" t="s">
        <v>449</v>
      </c>
      <c r="AC722" s="595">
        <v>40954.22</v>
      </c>
      <c r="AD722" s="596" t="s">
        <v>395</v>
      </c>
      <c r="AE722" s="595">
        <v>309.5</v>
      </c>
      <c r="AF722" s="597">
        <f t="shared" si="44"/>
        <v>-7.9573245173767404E-3</v>
      </c>
      <c r="AG722" s="597">
        <f t="shared" si="45"/>
        <v>-2.1220075266436766E-2</v>
      </c>
    </row>
    <row r="723" spans="13:33" x14ac:dyDescent="0.35">
      <c r="M723" s="555">
        <v>42664</v>
      </c>
      <c r="N723" s="543" t="s">
        <v>449</v>
      </c>
      <c r="O723" s="543">
        <v>41291.43</v>
      </c>
      <c r="P723" s="73" t="s">
        <v>431</v>
      </c>
      <c r="Q723" s="158">
        <v>32.229999999999997</v>
      </c>
      <c r="R723" s="563">
        <f t="shared" si="42"/>
        <v>-6.1262289103991563E-3</v>
      </c>
      <c r="S723" s="563">
        <f t="shared" si="43"/>
        <v>-1.0439054344488885E-2</v>
      </c>
      <c r="AA723" s="594">
        <v>42662</v>
      </c>
      <c r="AB723" s="595" t="s">
        <v>449</v>
      </c>
      <c r="AC723" s="595">
        <v>40924.14</v>
      </c>
      <c r="AD723" s="596" t="s">
        <v>395</v>
      </c>
      <c r="AE723" s="595">
        <v>314.83999999999997</v>
      </c>
      <c r="AF723" s="597">
        <f t="shared" si="44"/>
        <v>-7.3447864469156077E-4</v>
      </c>
      <c r="AG723" s="597">
        <f t="shared" si="45"/>
        <v>1.7253634894991876E-2</v>
      </c>
    </row>
    <row r="724" spans="13:33" x14ac:dyDescent="0.35">
      <c r="M724" s="555">
        <v>42667</v>
      </c>
      <c r="N724" s="543" t="s">
        <v>449</v>
      </c>
      <c r="O724" s="543">
        <v>40852.03</v>
      </c>
      <c r="P724" s="73" t="s">
        <v>431</v>
      </c>
      <c r="Q724" s="158">
        <v>31.87</v>
      </c>
      <c r="R724" s="563">
        <f t="shared" si="42"/>
        <v>-1.0641433343432372E-2</v>
      </c>
      <c r="S724" s="563">
        <f t="shared" si="43"/>
        <v>-1.1169717654359146E-2</v>
      </c>
      <c r="AA724" s="594">
        <v>42663</v>
      </c>
      <c r="AB724" s="595" t="s">
        <v>449</v>
      </c>
      <c r="AC724" s="595">
        <v>41545.949999999997</v>
      </c>
      <c r="AD724" s="596" t="s">
        <v>395</v>
      </c>
      <c r="AE724" s="595">
        <v>309.37</v>
      </c>
      <c r="AF724" s="597">
        <f t="shared" si="44"/>
        <v>1.5194210556410015E-2</v>
      </c>
      <c r="AG724" s="597">
        <f t="shared" si="45"/>
        <v>-1.7373904205310486E-2</v>
      </c>
    </row>
    <row r="725" spans="13:33" x14ac:dyDescent="0.35">
      <c r="M725" s="555">
        <v>42668</v>
      </c>
      <c r="N725" s="543" t="s">
        <v>449</v>
      </c>
      <c r="O725" s="543">
        <v>40764.76</v>
      </c>
      <c r="P725" s="73" t="s">
        <v>431</v>
      </c>
      <c r="Q725" s="158">
        <v>31.16</v>
      </c>
      <c r="R725" s="563">
        <f t="shared" si="42"/>
        <v>-2.1362463505484319E-3</v>
      </c>
      <c r="S725" s="563">
        <f t="shared" si="43"/>
        <v>-2.2278004392845996E-2</v>
      </c>
      <c r="AA725" s="594">
        <v>42664</v>
      </c>
      <c r="AB725" s="595" t="s">
        <v>449</v>
      </c>
      <c r="AC725" s="595">
        <v>41291.43</v>
      </c>
      <c r="AD725" s="596" t="s">
        <v>395</v>
      </c>
      <c r="AE725" s="595">
        <v>304.8</v>
      </c>
      <c r="AF725" s="597">
        <f t="shared" si="44"/>
        <v>-6.1262289103991563E-3</v>
      </c>
      <c r="AG725" s="597">
        <f t="shared" si="45"/>
        <v>-1.4771955910398482E-2</v>
      </c>
    </row>
    <row r="726" spans="13:33" x14ac:dyDescent="0.35">
      <c r="M726" s="555">
        <v>42669</v>
      </c>
      <c r="N726" s="543" t="s">
        <v>449</v>
      </c>
      <c r="O726" s="543">
        <v>40526.81</v>
      </c>
      <c r="P726" s="73" t="s">
        <v>431</v>
      </c>
      <c r="Q726" s="158">
        <v>30.99</v>
      </c>
      <c r="R726" s="563">
        <f t="shared" si="42"/>
        <v>-5.8371495379834215E-3</v>
      </c>
      <c r="S726" s="563">
        <f t="shared" si="43"/>
        <v>-5.4557124518613831E-3</v>
      </c>
      <c r="AA726" s="594">
        <v>42667</v>
      </c>
      <c r="AB726" s="595" t="s">
        <v>449</v>
      </c>
      <c r="AC726" s="595">
        <v>40852.03</v>
      </c>
      <c r="AD726" s="596" t="s">
        <v>395</v>
      </c>
      <c r="AE726" s="595">
        <v>300.02</v>
      </c>
      <c r="AF726" s="597">
        <f t="shared" si="44"/>
        <v>-1.0641433343432372E-2</v>
      </c>
      <c r="AG726" s="597">
        <f t="shared" si="45"/>
        <v>-1.5682414698162783E-2</v>
      </c>
    </row>
    <row r="727" spans="13:33" x14ac:dyDescent="0.35">
      <c r="M727" s="555">
        <v>42670</v>
      </c>
      <c r="N727" s="543" t="s">
        <v>449</v>
      </c>
      <c r="O727" s="543">
        <v>39987.31</v>
      </c>
      <c r="P727" s="73" t="s">
        <v>431</v>
      </c>
      <c r="Q727" s="158">
        <v>29.48</v>
      </c>
      <c r="R727" s="563">
        <f t="shared" si="42"/>
        <v>-1.3312175322952924E-2</v>
      </c>
      <c r="S727" s="563">
        <f t="shared" si="43"/>
        <v>-4.872539528880282E-2</v>
      </c>
      <c r="AA727" s="594">
        <v>42668</v>
      </c>
      <c r="AB727" s="595" t="s">
        <v>449</v>
      </c>
      <c r="AC727" s="595">
        <v>40764.76</v>
      </c>
      <c r="AD727" s="596" t="s">
        <v>395</v>
      </c>
      <c r="AE727" s="595">
        <v>297</v>
      </c>
      <c r="AF727" s="597">
        <f t="shared" si="44"/>
        <v>-2.1362463505484319E-3</v>
      </c>
      <c r="AG727" s="597">
        <f t="shared" si="45"/>
        <v>-1.0065995600293198E-2</v>
      </c>
    </row>
    <row r="728" spans="13:33" x14ac:dyDescent="0.35">
      <c r="M728" s="555">
        <v>42671</v>
      </c>
      <c r="N728" s="543" t="s">
        <v>449</v>
      </c>
      <c r="O728" s="543">
        <v>39872.879999999997</v>
      </c>
      <c r="P728" s="73" t="s">
        <v>431</v>
      </c>
      <c r="Q728" s="158">
        <v>29.22</v>
      </c>
      <c r="R728" s="563">
        <f t="shared" si="42"/>
        <v>-2.8616578609563792E-3</v>
      </c>
      <c r="S728" s="563">
        <f t="shared" si="43"/>
        <v>-8.8195386702849543E-3</v>
      </c>
      <c r="AA728" s="594">
        <v>42669</v>
      </c>
      <c r="AB728" s="595" t="s">
        <v>449</v>
      </c>
      <c r="AC728" s="595">
        <v>40526.81</v>
      </c>
      <c r="AD728" s="596" t="s">
        <v>395</v>
      </c>
      <c r="AE728" s="595">
        <v>298</v>
      </c>
      <c r="AF728" s="597">
        <f t="shared" si="44"/>
        <v>-5.8371495379834215E-3</v>
      </c>
      <c r="AG728" s="597">
        <f t="shared" si="45"/>
        <v>3.3670033670034627E-3</v>
      </c>
    </row>
    <row r="729" spans="13:33" x14ac:dyDescent="0.35">
      <c r="M729" s="555">
        <v>42674</v>
      </c>
      <c r="N729" s="543" t="s">
        <v>449</v>
      </c>
      <c r="O729" s="543">
        <v>39893.839999999997</v>
      </c>
      <c r="P729" s="73" t="s">
        <v>431</v>
      </c>
      <c r="Q729" s="158">
        <v>29.21</v>
      </c>
      <c r="R729" s="563">
        <f t="shared" si="42"/>
        <v>5.2567058110675191E-4</v>
      </c>
      <c r="S729" s="563">
        <f t="shared" si="43"/>
        <v>-3.4223134839139746E-4</v>
      </c>
      <c r="AA729" s="594">
        <v>42670</v>
      </c>
      <c r="AB729" s="595" t="s">
        <v>449</v>
      </c>
      <c r="AC729" s="595">
        <v>39987.31</v>
      </c>
      <c r="AD729" s="596" t="s">
        <v>395</v>
      </c>
      <c r="AE729" s="595">
        <v>302.77</v>
      </c>
      <c r="AF729" s="597">
        <f t="shared" si="44"/>
        <v>-1.3312175322952924E-2</v>
      </c>
      <c r="AG729" s="597">
        <f t="shared" si="45"/>
        <v>1.6006711409395802E-2</v>
      </c>
    </row>
    <row r="730" spans="13:33" x14ac:dyDescent="0.35">
      <c r="M730" s="555">
        <v>42675</v>
      </c>
      <c r="N730" s="543" t="s">
        <v>449</v>
      </c>
      <c r="O730" s="543">
        <v>41299.870000000003</v>
      </c>
      <c r="P730" s="73" t="s">
        <v>431</v>
      </c>
      <c r="Q730" s="158">
        <v>30.67</v>
      </c>
      <c r="R730" s="563">
        <f t="shared" ref="R730:R793" si="46">(O730/O729)-1</f>
        <v>3.5244288341257812E-2</v>
      </c>
      <c r="S730" s="563">
        <f t="shared" ref="S730:S793" si="47">(Q730/Q729)-1</f>
        <v>4.9982882574460819E-2</v>
      </c>
      <c r="AA730" s="594">
        <v>42671</v>
      </c>
      <c r="AB730" s="595" t="s">
        <v>449</v>
      </c>
      <c r="AC730" s="595">
        <v>39872.879999999997</v>
      </c>
      <c r="AD730" s="596" t="s">
        <v>395</v>
      </c>
      <c r="AE730" s="595">
        <v>298.17</v>
      </c>
      <c r="AF730" s="597">
        <f t="shared" si="44"/>
        <v>-2.8616578609563792E-3</v>
      </c>
      <c r="AG730" s="597">
        <f t="shared" si="45"/>
        <v>-1.5193050830663468E-2</v>
      </c>
    </row>
    <row r="731" spans="13:33" x14ac:dyDescent="0.35">
      <c r="M731" s="555">
        <v>42676</v>
      </c>
      <c r="N731" s="543" t="s">
        <v>449</v>
      </c>
      <c r="O731" s="543">
        <v>41742.75</v>
      </c>
      <c r="P731" s="73" t="s">
        <v>431</v>
      </c>
      <c r="Q731" s="158">
        <v>31.34</v>
      </c>
      <c r="R731" s="563">
        <f t="shared" si="46"/>
        <v>1.0723520437231349E-2</v>
      </c>
      <c r="S731" s="563">
        <f t="shared" si="47"/>
        <v>2.1845451581349762E-2</v>
      </c>
      <c r="AA731" s="594">
        <v>42674</v>
      </c>
      <c r="AB731" s="595" t="s">
        <v>449</v>
      </c>
      <c r="AC731" s="595">
        <v>39893.839999999997</v>
      </c>
      <c r="AD731" s="596" t="s">
        <v>395</v>
      </c>
      <c r="AE731" s="595">
        <v>299.85000000000002</v>
      </c>
      <c r="AF731" s="597">
        <f t="shared" si="44"/>
        <v>5.2567058110675191E-4</v>
      </c>
      <c r="AG731" s="597">
        <f t="shared" si="45"/>
        <v>5.634369654894833E-3</v>
      </c>
    </row>
    <row r="732" spans="13:33" x14ac:dyDescent="0.35">
      <c r="M732" s="555">
        <v>42677</v>
      </c>
      <c r="N732" s="543" t="s">
        <v>449</v>
      </c>
      <c r="O732" s="543">
        <v>41974.46</v>
      </c>
      <c r="P732" s="73" t="s">
        <v>431</v>
      </c>
      <c r="Q732" s="158">
        <v>31.27</v>
      </c>
      <c r="R732" s="563">
        <f t="shared" si="46"/>
        <v>5.5509040492061068E-3</v>
      </c>
      <c r="S732" s="563">
        <f t="shared" si="47"/>
        <v>-2.2335673261008049E-3</v>
      </c>
      <c r="AA732" s="594">
        <v>42675</v>
      </c>
      <c r="AB732" s="595" t="s">
        <v>449</v>
      </c>
      <c r="AC732" s="595">
        <v>41299.870000000003</v>
      </c>
      <c r="AD732" s="596" t="s">
        <v>395</v>
      </c>
      <c r="AE732" s="595">
        <v>302.74</v>
      </c>
      <c r="AF732" s="597">
        <f t="shared" ref="AF732:AF795" si="48">(AC732/AC731)-1</f>
        <v>3.5244288341257812E-2</v>
      </c>
      <c r="AG732" s="597">
        <f t="shared" ref="AG732:AG795" si="49">(AE732/AE731)-1</f>
        <v>9.6381524095381366E-3</v>
      </c>
    </row>
    <row r="733" spans="13:33" x14ac:dyDescent="0.35">
      <c r="M733" s="555">
        <v>42678</v>
      </c>
      <c r="N733" s="543" t="s">
        <v>449</v>
      </c>
      <c r="O733" s="543">
        <v>41841.56</v>
      </c>
      <c r="P733" s="73" t="s">
        <v>431</v>
      </c>
      <c r="Q733" s="158">
        <v>30.71</v>
      </c>
      <c r="R733" s="563">
        <f t="shared" si="46"/>
        <v>-3.1662110721615289E-3</v>
      </c>
      <c r="S733" s="563">
        <f t="shared" si="47"/>
        <v>-1.7908538535337359E-2</v>
      </c>
      <c r="AA733" s="594">
        <v>42676</v>
      </c>
      <c r="AB733" s="595" t="s">
        <v>449</v>
      </c>
      <c r="AC733" s="595">
        <v>41742.75</v>
      </c>
      <c r="AD733" s="596" t="s">
        <v>395</v>
      </c>
      <c r="AE733" s="595">
        <v>312.02</v>
      </c>
      <c r="AF733" s="597">
        <f t="shared" si="48"/>
        <v>1.0723520437231349E-2</v>
      </c>
      <c r="AG733" s="597">
        <f t="shared" si="49"/>
        <v>3.0653365924555587E-2</v>
      </c>
    </row>
    <row r="734" spans="13:33" x14ac:dyDescent="0.35">
      <c r="M734" s="555">
        <v>42681</v>
      </c>
      <c r="N734" s="543" t="s">
        <v>449</v>
      </c>
      <c r="O734" s="543">
        <v>42133.54</v>
      </c>
      <c r="P734" s="73" t="s">
        <v>431</v>
      </c>
      <c r="Q734" s="158">
        <v>31.24</v>
      </c>
      <c r="R734" s="563">
        <f t="shared" si="46"/>
        <v>6.9782293012019547E-3</v>
      </c>
      <c r="S734" s="563">
        <f t="shared" si="47"/>
        <v>1.7258222077499052E-2</v>
      </c>
      <c r="AA734" s="594">
        <v>42677</v>
      </c>
      <c r="AB734" s="595" t="s">
        <v>449</v>
      </c>
      <c r="AC734" s="595">
        <v>41974.46</v>
      </c>
      <c r="AD734" s="596" t="s">
        <v>395</v>
      </c>
      <c r="AE734" s="595">
        <v>314.63</v>
      </c>
      <c r="AF734" s="597">
        <f t="shared" si="48"/>
        <v>5.5509040492061068E-3</v>
      </c>
      <c r="AG734" s="597">
        <f t="shared" si="49"/>
        <v>8.3648484071534579E-3</v>
      </c>
    </row>
    <row r="735" spans="13:33" x14ac:dyDescent="0.35">
      <c r="M735" s="555">
        <v>42682</v>
      </c>
      <c r="N735" s="543" t="s">
        <v>449</v>
      </c>
      <c r="O735" s="543">
        <v>42113.91</v>
      </c>
      <c r="P735" s="73" t="s">
        <v>431</v>
      </c>
      <c r="Q735" s="158">
        <v>31.04</v>
      </c>
      <c r="R735" s="563">
        <f t="shared" si="46"/>
        <v>-4.6589961346699127E-4</v>
      </c>
      <c r="S735" s="563">
        <f t="shared" si="47"/>
        <v>-6.4020486555698142E-3</v>
      </c>
      <c r="AA735" s="594">
        <v>42678</v>
      </c>
      <c r="AB735" s="595" t="s">
        <v>449</v>
      </c>
      <c r="AC735" s="595">
        <v>41841.56</v>
      </c>
      <c r="AD735" s="596" t="s">
        <v>395</v>
      </c>
      <c r="AE735" s="595">
        <v>330.36</v>
      </c>
      <c r="AF735" s="597">
        <f t="shared" si="48"/>
        <v>-3.1662110721615289E-3</v>
      </c>
      <c r="AG735" s="597">
        <f t="shared" si="49"/>
        <v>4.9995232495311903E-2</v>
      </c>
    </row>
    <row r="736" spans="13:33" x14ac:dyDescent="0.35">
      <c r="M736" s="555">
        <v>42683</v>
      </c>
      <c r="N736" s="543" t="s">
        <v>449</v>
      </c>
      <c r="O736" s="543">
        <v>42203.63</v>
      </c>
      <c r="P736" s="73" t="s">
        <v>431</v>
      </c>
      <c r="Q736" s="158">
        <v>30.96</v>
      </c>
      <c r="R736" s="563">
        <f t="shared" si="46"/>
        <v>2.1304124931642576E-3</v>
      </c>
      <c r="S736" s="563">
        <f t="shared" si="47"/>
        <v>-2.5773195876288568E-3</v>
      </c>
      <c r="AA736" s="594">
        <v>42681</v>
      </c>
      <c r="AB736" s="595" t="s">
        <v>449</v>
      </c>
      <c r="AC736" s="595">
        <v>42133.54</v>
      </c>
      <c r="AD736" s="596" t="s">
        <v>395</v>
      </c>
      <c r="AE736" s="595">
        <v>345.7</v>
      </c>
      <c r="AF736" s="597">
        <f t="shared" si="48"/>
        <v>6.9782293012019547E-3</v>
      </c>
      <c r="AG736" s="597">
        <f t="shared" si="49"/>
        <v>4.643419300157392E-2</v>
      </c>
    </row>
    <row r="737" spans="13:33" x14ac:dyDescent="0.35">
      <c r="M737" s="555">
        <v>42684</v>
      </c>
      <c r="N737" s="543" t="s">
        <v>449</v>
      </c>
      <c r="O737" s="543">
        <v>42703.99</v>
      </c>
      <c r="P737" s="73" t="s">
        <v>431</v>
      </c>
      <c r="Q737" s="158">
        <v>31.12</v>
      </c>
      <c r="R737" s="563">
        <f t="shared" si="46"/>
        <v>1.1855852209869067E-2</v>
      </c>
      <c r="S737" s="563">
        <f t="shared" si="47"/>
        <v>5.1679586563306845E-3</v>
      </c>
      <c r="AA737" s="594">
        <v>42682</v>
      </c>
      <c r="AB737" s="595" t="s">
        <v>449</v>
      </c>
      <c r="AC737" s="595">
        <v>42113.91</v>
      </c>
      <c r="AD737" s="596" t="s">
        <v>395</v>
      </c>
      <c r="AE737" s="595">
        <v>362.19</v>
      </c>
      <c r="AF737" s="597">
        <f t="shared" si="48"/>
        <v>-4.6589961346699127E-4</v>
      </c>
      <c r="AG737" s="597">
        <f t="shared" si="49"/>
        <v>4.7700318194966673E-2</v>
      </c>
    </row>
    <row r="738" spans="13:33" x14ac:dyDescent="0.35">
      <c r="M738" s="555">
        <v>42685</v>
      </c>
      <c r="N738" s="543" t="s">
        <v>449</v>
      </c>
      <c r="O738" s="543">
        <v>42849.120000000003</v>
      </c>
      <c r="P738" s="73" t="s">
        <v>431</v>
      </c>
      <c r="Q738" s="158">
        <v>30.92</v>
      </c>
      <c r="R738" s="563">
        <f t="shared" si="46"/>
        <v>3.3985114739865097E-3</v>
      </c>
      <c r="S738" s="563">
        <f t="shared" si="47"/>
        <v>-6.4267352185090054E-3</v>
      </c>
      <c r="AA738" s="594">
        <v>42683</v>
      </c>
      <c r="AB738" s="595" t="s">
        <v>449</v>
      </c>
      <c r="AC738" s="595">
        <v>42203.63</v>
      </c>
      <c r="AD738" s="596" t="s">
        <v>395</v>
      </c>
      <c r="AE738" s="595">
        <v>362.13</v>
      </c>
      <c r="AF738" s="597">
        <f t="shared" si="48"/>
        <v>2.1304124931642576E-3</v>
      </c>
      <c r="AG738" s="597">
        <f t="shared" si="49"/>
        <v>-1.656589083077753E-4</v>
      </c>
    </row>
    <row r="739" spans="13:33" x14ac:dyDescent="0.35">
      <c r="M739" s="555">
        <v>42688</v>
      </c>
      <c r="N739" s="543" t="s">
        <v>449</v>
      </c>
      <c r="O739" s="543">
        <v>42525.93</v>
      </c>
      <c r="P739" s="73" t="s">
        <v>431</v>
      </c>
      <c r="Q739" s="158">
        <v>30.8</v>
      </c>
      <c r="R739" s="563">
        <f t="shared" si="46"/>
        <v>-7.5425119582386291E-3</v>
      </c>
      <c r="S739" s="563">
        <f t="shared" si="47"/>
        <v>-3.8809831824062613E-3</v>
      </c>
      <c r="AA739" s="594">
        <v>42684</v>
      </c>
      <c r="AB739" s="595" t="s">
        <v>449</v>
      </c>
      <c r="AC739" s="595">
        <v>42703.99</v>
      </c>
      <c r="AD739" s="596" t="s">
        <v>395</v>
      </c>
      <c r="AE739" s="595">
        <v>370.73</v>
      </c>
      <c r="AF739" s="597">
        <f t="shared" si="48"/>
        <v>1.1855852209869067E-2</v>
      </c>
      <c r="AG739" s="597">
        <f t="shared" si="49"/>
        <v>2.3748377654433606E-2</v>
      </c>
    </row>
    <row r="740" spans="13:33" x14ac:dyDescent="0.35">
      <c r="M740" s="555">
        <v>42689</v>
      </c>
      <c r="N740" s="543" t="s">
        <v>449</v>
      </c>
      <c r="O740" s="543">
        <v>42292.67</v>
      </c>
      <c r="P740" s="73" t="s">
        <v>431</v>
      </c>
      <c r="Q740" s="158">
        <v>30.67</v>
      </c>
      <c r="R740" s="563">
        <f t="shared" si="46"/>
        <v>-5.4851240172760773E-3</v>
      </c>
      <c r="S740" s="563">
        <f t="shared" si="47"/>
        <v>-4.2207792207792361E-3</v>
      </c>
      <c r="AA740" s="594">
        <v>42685</v>
      </c>
      <c r="AB740" s="595" t="s">
        <v>449</v>
      </c>
      <c r="AC740" s="595">
        <v>42849.120000000003</v>
      </c>
      <c r="AD740" s="596" t="s">
        <v>395</v>
      </c>
      <c r="AE740" s="595">
        <v>387.4</v>
      </c>
      <c r="AF740" s="597">
        <f t="shared" si="48"/>
        <v>3.3985114739865097E-3</v>
      </c>
      <c r="AG740" s="597">
        <f t="shared" si="49"/>
        <v>4.4965338656164811E-2</v>
      </c>
    </row>
    <row r="741" spans="13:33" x14ac:dyDescent="0.35">
      <c r="M741" s="555">
        <v>42690</v>
      </c>
      <c r="N741" s="543" t="s">
        <v>449</v>
      </c>
      <c r="O741" s="543">
        <v>42404.47</v>
      </c>
      <c r="P741" s="73" t="s">
        <v>431</v>
      </c>
      <c r="Q741" s="158">
        <v>30.75</v>
      </c>
      <c r="R741" s="563">
        <f t="shared" si="46"/>
        <v>2.6434840836486728E-3</v>
      </c>
      <c r="S741" s="563">
        <f t="shared" si="47"/>
        <v>2.6084121291163331E-3</v>
      </c>
      <c r="AA741" s="594">
        <v>42688</v>
      </c>
      <c r="AB741" s="595" t="s">
        <v>449</v>
      </c>
      <c r="AC741" s="595">
        <v>42525.93</v>
      </c>
      <c r="AD741" s="596" t="s">
        <v>395</v>
      </c>
      <c r="AE741" s="595">
        <v>380.79</v>
      </c>
      <c r="AF741" s="597">
        <f t="shared" si="48"/>
        <v>-7.5425119582386291E-3</v>
      </c>
      <c r="AG741" s="597">
        <f t="shared" si="49"/>
        <v>-1.7062467733608533E-2</v>
      </c>
    </row>
    <row r="742" spans="13:33" x14ac:dyDescent="0.35">
      <c r="M742" s="555">
        <v>42691</v>
      </c>
      <c r="N742" s="543" t="s">
        <v>449</v>
      </c>
      <c r="O742" s="543">
        <v>42411.8</v>
      </c>
      <c r="P742" s="73" t="s">
        <v>431</v>
      </c>
      <c r="Q742" s="158">
        <v>30.52</v>
      </c>
      <c r="R742" s="563">
        <f t="shared" si="46"/>
        <v>1.7285913489795135E-4</v>
      </c>
      <c r="S742" s="563">
        <f t="shared" si="47"/>
        <v>-7.4796747967479371E-3</v>
      </c>
      <c r="AA742" s="594">
        <v>42689</v>
      </c>
      <c r="AB742" s="595" t="s">
        <v>449</v>
      </c>
      <c r="AC742" s="595">
        <v>42292.67</v>
      </c>
      <c r="AD742" s="596" t="s">
        <v>395</v>
      </c>
      <c r="AE742" s="595">
        <v>376.47</v>
      </c>
      <c r="AF742" s="597">
        <f t="shared" si="48"/>
        <v>-5.4851240172760773E-3</v>
      </c>
      <c r="AG742" s="597">
        <f t="shared" si="49"/>
        <v>-1.1344835736232572E-2</v>
      </c>
    </row>
    <row r="743" spans="13:33" x14ac:dyDescent="0.35">
      <c r="M743" s="555">
        <v>42692</v>
      </c>
      <c r="N743" s="543" t="s">
        <v>449</v>
      </c>
      <c r="O743" s="543">
        <v>42324.94</v>
      </c>
      <c r="P743" s="73" t="s">
        <v>431</v>
      </c>
      <c r="Q743" s="158">
        <v>30.5</v>
      </c>
      <c r="R743" s="563">
        <f t="shared" si="46"/>
        <v>-2.0480149392386737E-3</v>
      </c>
      <c r="S743" s="563">
        <f t="shared" si="47"/>
        <v>-6.5530799475754797E-4</v>
      </c>
      <c r="AA743" s="594">
        <v>42690</v>
      </c>
      <c r="AB743" s="595" t="s">
        <v>449</v>
      </c>
      <c r="AC743" s="595">
        <v>42404.47</v>
      </c>
      <c r="AD743" s="596" t="s">
        <v>395</v>
      </c>
      <c r="AE743" s="595">
        <v>329.77</v>
      </c>
      <c r="AF743" s="597">
        <f t="shared" si="48"/>
        <v>2.6434840836486728E-3</v>
      </c>
      <c r="AG743" s="597">
        <f t="shared" si="49"/>
        <v>-0.1240470688235451</v>
      </c>
    </row>
    <row r="744" spans="13:33" x14ac:dyDescent="0.35">
      <c r="M744" s="555">
        <v>42695</v>
      </c>
      <c r="N744" s="543" t="s">
        <v>449</v>
      </c>
      <c r="O744" s="543">
        <v>42439.040000000001</v>
      </c>
      <c r="P744" s="73" t="s">
        <v>431</v>
      </c>
      <c r="Q744" s="158">
        <v>30.78</v>
      </c>
      <c r="R744" s="563">
        <f t="shared" si="46"/>
        <v>2.6958100826603992E-3</v>
      </c>
      <c r="S744" s="563">
        <f t="shared" si="47"/>
        <v>9.1803278688524781E-3</v>
      </c>
      <c r="AA744" s="594">
        <v>42691</v>
      </c>
      <c r="AB744" s="595" t="s">
        <v>449</v>
      </c>
      <c r="AC744" s="595">
        <v>42411.8</v>
      </c>
      <c r="AD744" s="596" t="s">
        <v>395</v>
      </c>
      <c r="AE744" s="595">
        <v>325.99</v>
      </c>
      <c r="AF744" s="597">
        <f t="shared" si="48"/>
        <v>1.7285913489795135E-4</v>
      </c>
      <c r="AG744" s="597">
        <f t="shared" si="49"/>
        <v>-1.1462534493738019E-2</v>
      </c>
    </row>
    <row r="745" spans="13:33" x14ac:dyDescent="0.35">
      <c r="M745" s="555">
        <v>42696</v>
      </c>
      <c r="N745" s="543" t="s">
        <v>449</v>
      </c>
      <c r="O745" s="543">
        <v>42631.58</v>
      </c>
      <c r="P745" s="73" t="s">
        <v>431</v>
      </c>
      <c r="Q745" s="158">
        <v>32.32</v>
      </c>
      <c r="R745" s="563">
        <f t="shared" si="46"/>
        <v>4.5368604002353763E-3</v>
      </c>
      <c r="S745" s="563">
        <f t="shared" si="47"/>
        <v>5.0032488628979799E-2</v>
      </c>
      <c r="AA745" s="594">
        <v>42692</v>
      </c>
      <c r="AB745" s="595" t="s">
        <v>449</v>
      </c>
      <c r="AC745" s="595">
        <v>42324.94</v>
      </c>
      <c r="AD745" s="596" t="s">
        <v>395</v>
      </c>
      <c r="AE745" s="595">
        <v>324.18</v>
      </c>
      <c r="AF745" s="597">
        <f t="shared" si="48"/>
        <v>-2.0480149392386737E-3</v>
      </c>
      <c r="AG745" s="597">
        <f t="shared" si="49"/>
        <v>-5.55231755575325E-3</v>
      </c>
    </row>
    <row r="746" spans="13:33" x14ac:dyDescent="0.35">
      <c r="M746" s="555">
        <v>42697</v>
      </c>
      <c r="N746" s="543" t="s">
        <v>449</v>
      </c>
      <c r="O746" s="543">
        <v>42901.02</v>
      </c>
      <c r="P746" s="73" t="s">
        <v>431</v>
      </c>
      <c r="Q746" s="158">
        <v>32.11</v>
      </c>
      <c r="R746" s="563">
        <f t="shared" si="46"/>
        <v>6.3201973748099327E-3</v>
      </c>
      <c r="S746" s="563">
        <f t="shared" si="47"/>
        <v>-6.4975247524752255E-3</v>
      </c>
      <c r="AA746" s="594">
        <v>42695</v>
      </c>
      <c r="AB746" s="595" t="s">
        <v>449</v>
      </c>
      <c r="AC746" s="595">
        <v>42439.040000000001</v>
      </c>
      <c r="AD746" s="596" t="s">
        <v>395</v>
      </c>
      <c r="AE746" s="595">
        <v>330.12</v>
      </c>
      <c r="AF746" s="597">
        <f t="shared" si="48"/>
        <v>2.6958100826603992E-3</v>
      </c>
      <c r="AG746" s="597">
        <f t="shared" si="49"/>
        <v>1.8323153803442516E-2</v>
      </c>
    </row>
    <row r="747" spans="13:33" x14ac:dyDescent="0.35">
      <c r="M747" s="555">
        <v>42698</v>
      </c>
      <c r="N747" s="543" t="s">
        <v>449</v>
      </c>
      <c r="O747" s="543">
        <v>42949.73</v>
      </c>
      <c r="P747" s="73" t="s">
        <v>431</v>
      </c>
      <c r="Q747" s="158">
        <v>31.48</v>
      </c>
      <c r="R747" s="563">
        <f t="shared" si="46"/>
        <v>1.1354042398061814E-3</v>
      </c>
      <c r="S747" s="563">
        <f t="shared" si="47"/>
        <v>-1.9620056057302993E-2</v>
      </c>
      <c r="AA747" s="594">
        <v>42696</v>
      </c>
      <c r="AB747" s="595" t="s">
        <v>449</v>
      </c>
      <c r="AC747" s="595">
        <v>42631.58</v>
      </c>
      <c r="AD747" s="596" t="s">
        <v>395</v>
      </c>
      <c r="AE747" s="595">
        <v>327.66000000000003</v>
      </c>
      <c r="AF747" s="597">
        <f t="shared" si="48"/>
        <v>4.5368604002353763E-3</v>
      </c>
      <c r="AG747" s="597">
        <f t="shared" si="49"/>
        <v>-7.4518356961104093E-3</v>
      </c>
    </row>
    <row r="748" spans="13:33" x14ac:dyDescent="0.35">
      <c r="M748" s="555">
        <v>42699</v>
      </c>
      <c r="N748" s="543" t="s">
        <v>449</v>
      </c>
      <c r="O748" s="543">
        <v>42999.66</v>
      </c>
      <c r="P748" s="73" t="s">
        <v>431</v>
      </c>
      <c r="Q748" s="158">
        <v>31.51</v>
      </c>
      <c r="R748" s="563">
        <f t="shared" si="46"/>
        <v>1.1625218598581011E-3</v>
      </c>
      <c r="S748" s="563">
        <f t="shared" si="47"/>
        <v>9.5298602287163803E-4</v>
      </c>
      <c r="AA748" s="594">
        <v>42697</v>
      </c>
      <c r="AB748" s="595" t="s">
        <v>449</v>
      </c>
      <c r="AC748" s="595">
        <v>42901.02</v>
      </c>
      <c r="AD748" s="596" t="s">
        <v>395</v>
      </c>
      <c r="AE748" s="595">
        <v>328.04</v>
      </c>
      <c r="AF748" s="597">
        <f t="shared" si="48"/>
        <v>6.3201973748099327E-3</v>
      </c>
      <c r="AG748" s="597">
        <f t="shared" si="49"/>
        <v>1.1597387535859927E-3</v>
      </c>
    </row>
    <row r="749" spans="13:33" x14ac:dyDescent="0.35">
      <c r="M749" s="555">
        <v>42702</v>
      </c>
      <c r="N749" s="543" t="s">
        <v>449</v>
      </c>
      <c r="O749" s="543">
        <v>43060.71</v>
      </c>
      <c r="P749" s="73" t="s">
        <v>431</v>
      </c>
      <c r="Q749" s="158">
        <v>31.86</v>
      </c>
      <c r="R749" s="563">
        <f t="shared" si="46"/>
        <v>1.4197786680172353E-3</v>
      </c>
      <c r="S749" s="563">
        <f t="shared" si="47"/>
        <v>1.1107584893684574E-2</v>
      </c>
      <c r="AA749" s="594">
        <v>42698</v>
      </c>
      <c r="AB749" s="595" t="s">
        <v>449</v>
      </c>
      <c r="AC749" s="595">
        <v>42949.73</v>
      </c>
      <c r="AD749" s="596" t="s">
        <v>395</v>
      </c>
      <c r="AE749" s="595">
        <v>325</v>
      </c>
      <c r="AF749" s="597">
        <f t="shared" si="48"/>
        <v>1.1354042398061814E-3</v>
      </c>
      <c r="AG749" s="597">
        <f t="shared" si="49"/>
        <v>-9.2671625411535619E-3</v>
      </c>
    </row>
    <row r="750" spans="13:33" x14ac:dyDescent="0.35">
      <c r="M750" s="555">
        <v>42703</v>
      </c>
      <c r="N750" s="543" t="s">
        <v>449</v>
      </c>
      <c r="O750" s="543">
        <v>42811.27</v>
      </c>
      <c r="P750" s="73" t="s">
        <v>431</v>
      </c>
      <c r="Q750" s="158">
        <v>31.53</v>
      </c>
      <c r="R750" s="563">
        <f t="shared" si="46"/>
        <v>-5.7927516754833208E-3</v>
      </c>
      <c r="S750" s="563">
        <f t="shared" si="47"/>
        <v>-1.0357815442561202E-2</v>
      </c>
      <c r="AA750" s="589">
        <v>42699</v>
      </c>
      <c r="AB750" s="590" t="s">
        <v>449</v>
      </c>
      <c r="AC750" s="590">
        <v>42999.66</v>
      </c>
      <c r="AD750" s="591" t="s">
        <v>395</v>
      </c>
      <c r="AE750" s="590">
        <v>324.85000000000002</v>
      </c>
      <c r="AF750" s="592">
        <f t="shared" si="48"/>
        <v>1.1625218598581011E-3</v>
      </c>
      <c r="AG750" s="592">
        <f t="shared" si="49"/>
        <v>-4.6153846153840217E-4</v>
      </c>
    </row>
    <row r="751" spans="13:33" x14ac:dyDescent="0.35">
      <c r="M751" s="555">
        <v>42704</v>
      </c>
      <c r="N751" s="543" t="s">
        <v>449</v>
      </c>
      <c r="O751" s="543">
        <v>42622.37</v>
      </c>
      <c r="P751" s="73" t="s">
        <v>431</v>
      </c>
      <c r="Q751" s="158">
        <v>31.35</v>
      </c>
      <c r="R751" s="563">
        <f t="shared" si="46"/>
        <v>-4.4123895413519243E-3</v>
      </c>
      <c r="S751" s="563">
        <f t="shared" si="47"/>
        <v>-5.7088487155090295E-3</v>
      </c>
      <c r="AA751" s="589">
        <v>42702</v>
      </c>
      <c r="AB751" s="590" t="s">
        <v>449</v>
      </c>
      <c r="AC751" s="590">
        <v>43060.71</v>
      </c>
      <c r="AD751" s="591" t="s">
        <v>395</v>
      </c>
      <c r="AE751" s="590">
        <v>324.25</v>
      </c>
      <c r="AF751" s="592">
        <f t="shared" si="48"/>
        <v>1.4197786680172353E-3</v>
      </c>
      <c r="AG751" s="592">
        <f t="shared" si="49"/>
        <v>-1.8470063106049706E-3</v>
      </c>
    </row>
    <row r="752" spans="13:33" x14ac:dyDescent="0.35">
      <c r="M752" s="555">
        <v>42705</v>
      </c>
      <c r="N752" s="543" t="s">
        <v>449</v>
      </c>
      <c r="O752" s="543">
        <v>42907.360000000001</v>
      </c>
      <c r="P752" s="73" t="s">
        <v>431</v>
      </c>
      <c r="Q752" s="158">
        <v>31.57</v>
      </c>
      <c r="R752" s="563">
        <f t="shared" si="46"/>
        <v>6.686394961143538E-3</v>
      </c>
      <c r="S752" s="563">
        <f t="shared" si="47"/>
        <v>7.0175438596491446E-3</v>
      </c>
      <c r="AA752" s="589">
        <v>42703</v>
      </c>
      <c r="AB752" s="590" t="s">
        <v>449</v>
      </c>
      <c r="AC752" s="590">
        <v>42811.27</v>
      </c>
      <c r="AD752" s="591" t="s">
        <v>395</v>
      </c>
      <c r="AE752" s="590">
        <v>318.18</v>
      </c>
      <c r="AF752" s="592">
        <f t="shared" si="48"/>
        <v>-5.7927516754833208E-3</v>
      </c>
      <c r="AG752" s="592">
        <f t="shared" si="49"/>
        <v>-1.8720123361603669E-2</v>
      </c>
    </row>
    <row r="753" spans="13:33" x14ac:dyDescent="0.35">
      <c r="M753" s="555">
        <v>42706</v>
      </c>
      <c r="N753" s="543" t="s">
        <v>449</v>
      </c>
      <c r="O753" s="543">
        <v>43270.9</v>
      </c>
      <c r="P753" s="73" t="s">
        <v>431</v>
      </c>
      <c r="Q753" s="158">
        <v>31.72</v>
      </c>
      <c r="R753" s="563">
        <f t="shared" si="46"/>
        <v>8.4726722874584048E-3</v>
      </c>
      <c r="S753" s="563">
        <f t="shared" si="47"/>
        <v>4.7513462147608099E-3</v>
      </c>
      <c r="AA753" s="589">
        <v>42704</v>
      </c>
      <c r="AB753" s="590" t="s">
        <v>449</v>
      </c>
      <c r="AC753" s="590">
        <v>42622.37</v>
      </c>
      <c r="AD753" s="591" t="s">
        <v>395</v>
      </c>
      <c r="AE753" s="590">
        <v>319.39</v>
      </c>
      <c r="AF753" s="592">
        <f t="shared" si="48"/>
        <v>-4.4123895413519243E-3</v>
      </c>
      <c r="AG753" s="592">
        <f t="shared" si="49"/>
        <v>3.8028788735935404E-3</v>
      </c>
    </row>
    <row r="754" spans="13:33" x14ac:dyDescent="0.35">
      <c r="M754" s="555">
        <v>42709</v>
      </c>
      <c r="N754" s="543" t="s">
        <v>449</v>
      </c>
      <c r="O754" s="543">
        <v>43739.97</v>
      </c>
      <c r="P754" s="73" t="s">
        <v>431</v>
      </c>
      <c r="Q754" s="158">
        <v>32.15</v>
      </c>
      <c r="R754" s="563">
        <f t="shared" si="46"/>
        <v>1.0840310693791988E-2</v>
      </c>
      <c r="S754" s="563">
        <f t="shared" si="47"/>
        <v>1.3556116015132291E-2</v>
      </c>
      <c r="AA754" s="594">
        <v>42705</v>
      </c>
      <c r="AB754" s="595" t="s">
        <v>449</v>
      </c>
      <c r="AC754" s="595">
        <v>42907.360000000001</v>
      </c>
      <c r="AD754" s="596" t="s">
        <v>395</v>
      </c>
      <c r="AE754" s="595">
        <v>317</v>
      </c>
      <c r="AF754" s="597">
        <f t="shared" si="48"/>
        <v>6.686394961143538E-3</v>
      </c>
      <c r="AG754" s="597">
        <f t="shared" si="49"/>
        <v>-7.4830144963836664E-3</v>
      </c>
    </row>
    <row r="755" spans="13:33" x14ac:dyDescent="0.35">
      <c r="M755" s="555">
        <v>42710</v>
      </c>
      <c r="N755" s="543" t="s">
        <v>449</v>
      </c>
      <c r="O755" s="543">
        <v>44199.4</v>
      </c>
      <c r="P755" s="73" t="s">
        <v>431</v>
      </c>
      <c r="Q755" s="158">
        <v>31.84</v>
      </c>
      <c r="R755" s="563">
        <f t="shared" si="46"/>
        <v>1.0503665183126509E-2</v>
      </c>
      <c r="S755" s="563">
        <f t="shared" si="47"/>
        <v>-9.6423017107308828E-3</v>
      </c>
      <c r="AA755" s="594">
        <v>42706</v>
      </c>
      <c r="AB755" s="595" t="s">
        <v>449</v>
      </c>
      <c r="AC755" s="595">
        <v>43270.9</v>
      </c>
      <c r="AD755" s="596" t="s">
        <v>395</v>
      </c>
      <c r="AE755" s="595">
        <v>322.73</v>
      </c>
      <c r="AF755" s="597">
        <f t="shared" si="48"/>
        <v>8.4726722874584048E-3</v>
      </c>
      <c r="AG755" s="597">
        <f t="shared" si="49"/>
        <v>1.8075709779179938E-2</v>
      </c>
    </row>
    <row r="756" spans="13:33" x14ac:dyDescent="0.35">
      <c r="M756" s="555">
        <v>42711</v>
      </c>
      <c r="N756" s="543" t="s">
        <v>449</v>
      </c>
      <c r="O756" s="543">
        <v>44494.99</v>
      </c>
      <c r="P756" s="73" t="s">
        <v>431</v>
      </c>
      <c r="Q756" s="158">
        <v>31.42</v>
      </c>
      <c r="R756" s="563">
        <f t="shared" si="46"/>
        <v>6.6876473436290329E-3</v>
      </c>
      <c r="S756" s="563">
        <f t="shared" si="47"/>
        <v>-1.3190954773869334E-2</v>
      </c>
      <c r="AA756" s="594">
        <v>42709</v>
      </c>
      <c r="AB756" s="595" t="s">
        <v>449</v>
      </c>
      <c r="AC756" s="595">
        <v>43739.97</v>
      </c>
      <c r="AD756" s="596" t="s">
        <v>395</v>
      </c>
      <c r="AE756" s="595">
        <v>323.85000000000002</v>
      </c>
      <c r="AF756" s="597">
        <f t="shared" si="48"/>
        <v>1.0840310693791988E-2</v>
      </c>
      <c r="AG756" s="597">
        <f t="shared" si="49"/>
        <v>3.470393207944733E-3</v>
      </c>
    </row>
    <row r="757" spans="13:33" x14ac:dyDescent="0.35">
      <c r="M757" s="555">
        <v>42712</v>
      </c>
      <c r="N757" s="543" t="s">
        <v>449</v>
      </c>
      <c r="O757" s="543">
        <v>44741.98</v>
      </c>
      <c r="P757" s="73" t="s">
        <v>431</v>
      </c>
      <c r="Q757" s="158">
        <v>31.32</v>
      </c>
      <c r="R757" s="563">
        <f t="shared" si="46"/>
        <v>5.5509620296578799E-3</v>
      </c>
      <c r="S757" s="563">
        <f t="shared" si="47"/>
        <v>-3.1826861871420142E-3</v>
      </c>
      <c r="AA757" s="594">
        <v>42710</v>
      </c>
      <c r="AB757" s="595" t="s">
        <v>449</v>
      </c>
      <c r="AC757" s="595">
        <v>44199.4</v>
      </c>
      <c r="AD757" s="596" t="s">
        <v>395</v>
      </c>
      <c r="AE757" s="595">
        <v>321.77</v>
      </c>
      <c r="AF757" s="597">
        <f t="shared" si="48"/>
        <v>1.0503665183126509E-2</v>
      </c>
      <c r="AG757" s="597">
        <f t="shared" si="49"/>
        <v>-6.4227265709434489E-3</v>
      </c>
    </row>
    <row r="758" spans="13:33" x14ac:dyDescent="0.35">
      <c r="M758" s="555">
        <v>42713</v>
      </c>
      <c r="N758" s="543" t="s">
        <v>449</v>
      </c>
      <c r="O758" s="543">
        <v>45387.23</v>
      </c>
      <c r="P758" s="73" t="s">
        <v>431</v>
      </c>
      <c r="Q758" s="158">
        <v>31.42</v>
      </c>
      <c r="R758" s="563">
        <f t="shared" si="46"/>
        <v>1.4421579018183861E-2</v>
      </c>
      <c r="S758" s="563">
        <f t="shared" si="47"/>
        <v>3.1928480204341803E-3</v>
      </c>
      <c r="AA758" s="594">
        <v>42711</v>
      </c>
      <c r="AB758" s="595" t="s">
        <v>449</v>
      </c>
      <c r="AC758" s="595">
        <v>44494.99</v>
      </c>
      <c r="AD758" s="596" t="s">
        <v>395</v>
      </c>
      <c r="AE758" s="595">
        <v>319.79000000000002</v>
      </c>
      <c r="AF758" s="597">
        <f t="shared" si="48"/>
        <v>6.6876473436290329E-3</v>
      </c>
      <c r="AG758" s="597">
        <f t="shared" si="49"/>
        <v>-6.1534636541628052E-3</v>
      </c>
    </row>
    <row r="759" spans="13:33" x14ac:dyDescent="0.35">
      <c r="M759" s="555">
        <v>42717</v>
      </c>
      <c r="N759" s="543" t="s">
        <v>449</v>
      </c>
      <c r="O759" s="543">
        <v>45857.89</v>
      </c>
      <c r="P759" s="73" t="s">
        <v>431</v>
      </c>
      <c r="Q759" s="158">
        <v>31.84</v>
      </c>
      <c r="R759" s="563">
        <f t="shared" si="46"/>
        <v>1.0369877165889996E-2</v>
      </c>
      <c r="S759" s="563">
        <f t="shared" si="47"/>
        <v>1.3367281985996016E-2</v>
      </c>
      <c r="AA759" s="589">
        <v>42712</v>
      </c>
      <c r="AB759" s="590" t="s">
        <v>449</v>
      </c>
      <c r="AC759" s="590">
        <v>44741.98</v>
      </c>
      <c r="AD759" s="591" t="s">
        <v>395</v>
      </c>
      <c r="AE759" s="590">
        <v>317.39999999999998</v>
      </c>
      <c r="AF759" s="592">
        <f t="shared" si="48"/>
        <v>5.5509620296578799E-3</v>
      </c>
      <c r="AG759" s="592">
        <f t="shared" si="49"/>
        <v>-7.4736545858220538E-3</v>
      </c>
    </row>
    <row r="760" spans="13:33" x14ac:dyDescent="0.35">
      <c r="M760" s="555">
        <v>42718</v>
      </c>
      <c r="N760" s="543" t="s">
        <v>449</v>
      </c>
      <c r="O760" s="543">
        <v>46185.27</v>
      </c>
      <c r="P760" s="73" t="s">
        <v>431</v>
      </c>
      <c r="Q760" s="158">
        <v>32.340000000000003</v>
      </c>
      <c r="R760" s="563">
        <f t="shared" si="46"/>
        <v>7.1390114111224978E-3</v>
      </c>
      <c r="S760" s="563">
        <f t="shared" si="47"/>
        <v>1.5703517587939864E-2</v>
      </c>
      <c r="AA760" s="589">
        <v>42713</v>
      </c>
      <c r="AB760" s="590" t="s">
        <v>449</v>
      </c>
      <c r="AC760" s="590">
        <v>45387.23</v>
      </c>
      <c r="AD760" s="591" t="s">
        <v>395</v>
      </c>
      <c r="AE760" s="590">
        <v>319.97000000000003</v>
      </c>
      <c r="AF760" s="592">
        <f t="shared" si="48"/>
        <v>1.4421579018183861E-2</v>
      </c>
      <c r="AG760" s="592">
        <f t="shared" si="49"/>
        <v>8.097038437303139E-3</v>
      </c>
    </row>
    <row r="761" spans="13:33" x14ac:dyDescent="0.35">
      <c r="M761" s="555">
        <v>42719</v>
      </c>
      <c r="N761" s="543" t="s">
        <v>449</v>
      </c>
      <c r="O761" s="543">
        <v>46358.35</v>
      </c>
      <c r="P761" s="73" t="s">
        <v>431</v>
      </c>
      <c r="Q761" s="158">
        <v>31.87</v>
      </c>
      <c r="R761" s="563">
        <f t="shared" si="46"/>
        <v>3.747515170962501E-3</v>
      </c>
      <c r="S761" s="563">
        <f t="shared" si="47"/>
        <v>-1.4533085961657477E-2</v>
      </c>
      <c r="AA761" s="594">
        <v>42717</v>
      </c>
      <c r="AB761" s="595" t="s">
        <v>449</v>
      </c>
      <c r="AC761" s="595">
        <v>45857.89</v>
      </c>
      <c r="AD761" s="596" t="s">
        <v>395</v>
      </c>
      <c r="AE761" s="595">
        <v>317</v>
      </c>
      <c r="AF761" s="597">
        <f t="shared" si="48"/>
        <v>1.0369877165889996E-2</v>
      </c>
      <c r="AG761" s="597">
        <f t="shared" si="49"/>
        <v>-9.2821201987687285E-3</v>
      </c>
    </row>
    <row r="762" spans="13:33" x14ac:dyDescent="0.35">
      <c r="M762" s="555">
        <v>42720</v>
      </c>
      <c r="N762" s="543" t="s">
        <v>449</v>
      </c>
      <c r="O762" s="543">
        <v>46584.53</v>
      </c>
      <c r="P762" s="73" t="s">
        <v>431</v>
      </c>
      <c r="Q762" s="158">
        <v>32.229999999999997</v>
      </c>
      <c r="R762" s="563">
        <f t="shared" si="46"/>
        <v>4.87894845265191E-3</v>
      </c>
      <c r="S762" s="563">
        <f t="shared" si="47"/>
        <v>1.1295889551302007E-2</v>
      </c>
      <c r="AA762" s="594">
        <v>42718</v>
      </c>
      <c r="AB762" s="595" t="s">
        <v>449</v>
      </c>
      <c r="AC762" s="595">
        <v>46185.27</v>
      </c>
      <c r="AD762" s="596" t="s">
        <v>395</v>
      </c>
      <c r="AE762" s="595">
        <v>314.72000000000003</v>
      </c>
      <c r="AF762" s="597">
        <f t="shared" si="48"/>
        <v>7.1390114111224978E-3</v>
      </c>
      <c r="AG762" s="597">
        <f t="shared" si="49"/>
        <v>-7.1924290220819476E-3</v>
      </c>
    </row>
    <row r="763" spans="13:33" x14ac:dyDescent="0.35">
      <c r="M763" s="555">
        <v>42723</v>
      </c>
      <c r="N763" s="543" t="s">
        <v>449</v>
      </c>
      <c r="O763" s="543">
        <v>46938.59</v>
      </c>
      <c r="P763" s="73" t="s">
        <v>431</v>
      </c>
      <c r="Q763" s="158">
        <v>32.49</v>
      </c>
      <c r="R763" s="563">
        <f t="shared" si="46"/>
        <v>7.6003772067678721E-3</v>
      </c>
      <c r="S763" s="563">
        <f t="shared" si="47"/>
        <v>8.0670183059263767E-3</v>
      </c>
      <c r="AA763" s="594">
        <v>42719</v>
      </c>
      <c r="AB763" s="595" t="s">
        <v>449</v>
      </c>
      <c r="AC763" s="595">
        <v>46358.35</v>
      </c>
      <c r="AD763" s="596" t="s">
        <v>395</v>
      </c>
      <c r="AE763" s="595">
        <v>315.36</v>
      </c>
      <c r="AF763" s="597">
        <f t="shared" si="48"/>
        <v>3.747515170962501E-3</v>
      </c>
      <c r="AG763" s="597">
        <f t="shared" si="49"/>
        <v>2.0335536349771477E-3</v>
      </c>
    </row>
    <row r="764" spans="13:33" x14ac:dyDescent="0.35">
      <c r="M764" s="555">
        <v>42724</v>
      </c>
      <c r="N764" s="543" t="s">
        <v>449</v>
      </c>
      <c r="O764" s="543">
        <v>47210.06</v>
      </c>
      <c r="P764" s="73" t="s">
        <v>431</v>
      </c>
      <c r="Q764" s="158">
        <v>32.35</v>
      </c>
      <c r="R764" s="563">
        <f t="shared" si="46"/>
        <v>5.7835141618016728E-3</v>
      </c>
      <c r="S764" s="563">
        <f t="shared" si="47"/>
        <v>-4.3090181594337418E-3</v>
      </c>
      <c r="AA764" s="589">
        <v>42720</v>
      </c>
      <c r="AB764" s="590" t="s">
        <v>449</v>
      </c>
      <c r="AC764" s="590">
        <v>46584.53</v>
      </c>
      <c r="AD764" s="591" t="s">
        <v>395</v>
      </c>
      <c r="AE764" s="590">
        <v>316.5</v>
      </c>
      <c r="AF764" s="592">
        <f t="shared" si="48"/>
        <v>4.87894845265191E-3</v>
      </c>
      <c r="AG764" s="592">
        <f t="shared" si="49"/>
        <v>3.6149162861491835E-3</v>
      </c>
    </row>
    <row r="765" spans="13:33" x14ac:dyDescent="0.35">
      <c r="M765" s="555">
        <v>42725</v>
      </c>
      <c r="N765" s="543" t="s">
        <v>449</v>
      </c>
      <c r="O765" s="543">
        <v>46993.31</v>
      </c>
      <c r="P765" s="73" t="s">
        <v>431</v>
      </c>
      <c r="Q765" s="158">
        <v>33.869999999999997</v>
      </c>
      <c r="R765" s="563">
        <f t="shared" si="46"/>
        <v>-4.5911824725493044E-3</v>
      </c>
      <c r="S765" s="563">
        <f t="shared" si="47"/>
        <v>4.6986089644513118E-2</v>
      </c>
      <c r="AA765" s="589">
        <v>42723</v>
      </c>
      <c r="AB765" s="590" t="s">
        <v>449</v>
      </c>
      <c r="AC765" s="590">
        <v>46938.59</v>
      </c>
      <c r="AD765" s="591" t="s">
        <v>395</v>
      </c>
      <c r="AE765" s="590">
        <v>321.01</v>
      </c>
      <c r="AF765" s="592">
        <f t="shared" si="48"/>
        <v>7.6003772067678721E-3</v>
      </c>
      <c r="AG765" s="592">
        <f t="shared" si="49"/>
        <v>1.4249605055292269E-2</v>
      </c>
    </row>
    <row r="766" spans="13:33" x14ac:dyDescent="0.35">
      <c r="M766" s="555">
        <v>42726</v>
      </c>
      <c r="N766" s="543" t="s">
        <v>449</v>
      </c>
      <c r="O766" s="543">
        <v>46699.78</v>
      </c>
      <c r="P766" s="73" t="s">
        <v>431</v>
      </c>
      <c r="Q766" s="158">
        <v>32.369999999999997</v>
      </c>
      <c r="R766" s="563">
        <f t="shared" si="46"/>
        <v>-6.2462082368744953E-3</v>
      </c>
      <c r="S766" s="563">
        <f t="shared" si="47"/>
        <v>-4.4286979627989331E-2</v>
      </c>
      <c r="AA766" s="594">
        <v>42724</v>
      </c>
      <c r="AB766" s="595" t="s">
        <v>449</v>
      </c>
      <c r="AC766" s="595">
        <v>47210.06</v>
      </c>
      <c r="AD766" s="596" t="s">
        <v>395</v>
      </c>
      <c r="AE766" s="595">
        <v>322</v>
      </c>
      <c r="AF766" s="597">
        <f t="shared" si="48"/>
        <v>5.7835141618016728E-3</v>
      </c>
      <c r="AG766" s="597">
        <f t="shared" si="49"/>
        <v>3.0840160742655609E-3</v>
      </c>
    </row>
    <row r="767" spans="13:33" x14ac:dyDescent="0.35">
      <c r="M767" s="555">
        <v>42727</v>
      </c>
      <c r="N767" s="543" t="s">
        <v>449</v>
      </c>
      <c r="O767" s="543">
        <v>46633.99</v>
      </c>
      <c r="P767" s="73" t="s">
        <v>431</v>
      </c>
      <c r="Q767" s="158">
        <v>32.49</v>
      </c>
      <c r="R767" s="563">
        <f t="shared" si="46"/>
        <v>-1.4087860799344432E-3</v>
      </c>
      <c r="S767" s="563">
        <f t="shared" si="47"/>
        <v>3.7071362372569361E-3</v>
      </c>
      <c r="AA767" s="594">
        <v>42725</v>
      </c>
      <c r="AB767" s="595" t="s">
        <v>449</v>
      </c>
      <c r="AC767" s="595">
        <v>46993.31</v>
      </c>
      <c r="AD767" s="596" t="s">
        <v>395</v>
      </c>
      <c r="AE767" s="595">
        <v>318.07</v>
      </c>
      <c r="AF767" s="597">
        <f t="shared" si="48"/>
        <v>-4.5911824725493044E-3</v>
      </c>
      <c r="AG767" s="597">
        <f t="shared" si="49"/>
        <v>-1.2204968944099392E-2</v>
      </c>
    </row>
    <row r="768" spans="13:33" x14ac:dyDescent="0.35">
      <c r="M768" s="555">
        <v>42730</v>
      </c>
      <c r="N768" s="543" t="s">
        <v>449</v>
      </c>
      <c r="O768" s="543">
        <v>46689.73</v>
      </c>
      <c r="P768" s="73" t="s">
        <v>431</v>
      </c>
      <c r="Q768" s="158">
        <v>32.31</v>
      </c>
      <c r="R768" s="563">
        <f t="shared" si="46"/>
        <v>1.1952655134164214E-3</v>
      </c>
      <c r="S768" s="563">
        <f t="shared" si="47"/>
        <v>-5.5401662049860967E-3</v>
      </c>
      <c r="AA768" s="594">
        <v>42726</v>
      </c>
      <c r="AB768" s="595" t="s">
        <v>449</v>
      </c>
      <c r="AC768" s="595">
        <v>46699.78</v>
      </c>
      <c r="AD768" s="596" t="s">
        <v>395</v>
      </c>
      <c r="AE768" s="595">
        <v>316.86</v>
      </c>
      <c r="AF768" s="597">
        <f t="shared" si="48"/>
        <v>-6.2462082368744953E-3</v>
      </c>
      <c r="AG768" s="597">
        <f t="shared" si="49"/>
        <v>-3.8041940453358292E-3</v>
      </c>
    </row>
    <row r="769" spans="13:33" x14ac:dyDescent="0.35">
      <c r="M769" s="555">
        <v>42731</v>
      </c>
      <c r="N769" s="543" t="s">
        <v>449</v>
      </c>
      <c r="O769" s="543">
        <v>46920.47</v>
      </c>
      <c r="P769" s="73" t="s">
        <v>431</v>
      </c>
      <c r="Q769" s="158">
        <v>32.19</v>
      </c>
      <c r="R769" s="563">
        <f t="shared" si="46"/>
        <v>4.9419861712629576E-3</v>
      </c>
      <c r="S769" s="563">
        <f t="shared" si="47"/>
        <v>-3.7140204271124411E-3</v>
      </c>
      <c r="AA769" s="594">
        <v>42727</v>
      </c>
      <c r="AB769" s="595" t="s">
        <v>449</v>
      </c>
      <c r="AC769" s="595">
        <v>46633.99</v>
      </c>
      <c r="AD769" s="596" t="s">
        <v>395</v>
      </c>
      <c r="AE769" s="595">
        <v>319.25</v>
      </c>
      <c r="AF769" s="597">
        <f t="shared" si="48"/>
        <v>-1.4087860799344432E-3</v>
      </c>
      <c r="AG769" s="597">
        <f t="shared" si="49"/>
        <v>7.5427633655240633E-3</v>
      </c>
    </row>
    <row r="770" spans="13:33" x14ac:dyDescent="0.35">
      <c r="M770" s="555">
        <v>42732</v>
      </c>
      <c r="N770" s="543" t="s">
        <v>449</v>
      </c>
      <c r="O770" s="543">
        <v>47424.63</v>
      </c>
      <c r="P770" s="73" t="s">
        <v>431</v>
      </c>
      <c r="Q770" s="158">
        <v>31.84</v>
      </c>
      <c r="R770" s="563">
        <f t="shared" si="46"/>
        <v>1.0744990406106325E-2</v>
      </c>
      <c r="S770" s="563">
        <f t="shared" si="47"/>
        <v>-1.0872941907424605E-2</v>
      </c>
      <c r="AA770" s="594">
        <v>42730</v>
      </c>
      <c r="AB770" s="595" t="s">
        <v>449</v>
      </c>
      <c r="AC770" s="595">
        <v>46689.73</v>
      </c>
      <c r="AD770" s="596" t="s">
        <v>395</v>
      </c>
      <c r="AE770" s="595">
        <v>318.61</v>
      </c>
      <c r="AF770" s="597">
        <f t="shared" si="48"/>
        <v>1.1952655134164214E-3</v>
      </c>
      <c r="AG770" s="597">
        <f t="shared" si="49"/>
        <v>-2.0046985121378036E-3</v>
      </c>
    </row>
    <row r="771" spans="13:33" x14ac:dyDescent="0.35">
      <c r="M771" s="555">
        <v>42733</v>
      </c>
      <c r="N771" s="543" t="s">
        <v>449</v>
      </c>
      <c r="O771" s="543">
        <v>47666.66</v>
      </c>
      <c r="P771" s="73" t="s">
        <v>431</v>
      </c>
      <c r="Q771" s="158">
        <v>31.77</v>
      </c>
      <c r="R771" s="563">
        <f t="shared" si="46"/>
        <v>5.1034662790201413E-3</v>
      </c>
      <c r="S771" s="563">
        <f t="shared" si="47"/>
        <v>-2.1984924623115187E-3</v>
      </c>
      <c r="AA771" s="594">
        <v>42731</v>
      </c>
      <c r="AB771" s="595" t="s">
        <v>449</v>
      </c>
      <c r="AC771" s="595">
        <v>46920.47</v>
      </c>
      <c r="AD771" s="596" t="s">
        <v>395</v>
      </c>
      <c r="AE771" s="595">
        <v>320</v>
      </c>
      <c r="AF771" s="597">
        <f t="shared" si="48"/>
        <v>4.9419861712629576E-3</v>
      </c>
      <c r="AG771" s="597">
        <f t="shared" si="49"/>
        <v>4.3627004802109237E-3</v>
      </c>
    </row>
    <row r="772" spans="13:33" x14ac:dyDescent="0.35">
      <c r="M772" s="555">
        <v>42734</v>
      </c>
      <c r="N772" s="543" t="s">
        <v>449</v>
      </c>
      <c r="O772" s="543">
        <v>47806.97</v>
      </c>
      <c r="P772" s="73" t="s">
        <v>431</v>
      </c>
      <c r="Q772" s="158">
        <v>31.76</v>
      </c>
      <c r="R772" s="563">
        <f t="shared" si="46"/>
        <v>2.9435668452539865E-3</v>
      </c>
      <c r="S772" s="563">
        <f t="shared" si="47"/>
        <v>-3.1476235442229328E-4</v>
      </c>
      <c r="AA772" s="594">
        <v>42732</v>
      </c>
      <c r="AB772" s="595" t="s">
        <v>449</v>
      </c>
      <c r="AC772" s="595">
        <v>47424.63</v>
      </c>
      <c r="AD772" s="596" t="s">
        <v>395</v>
      </c>
      <c r="AE772" s="595">
        <v>318.05</v>
      </c>
      <c r="AF772" s="597">
        <f t="shared" si="48"/>
        <v>1.0744990406106325E-2</v>
      </c>
      <c r="AG772" s="597">
        <f t="shared" si="49"/>
        <v>-6.0937500000000089E-3</v>
      </c>
    </row>
    <row r="773" spans="13:33" x14ac:dyDescent="0.35">
      <c r="M773" s="555">
        <v>42737</v>
      </c>
      <c r="N773" s="543" t="s">
        <v>449</v>
      </c>
      <c r="O773" s="543">
        <v>48240.28</v>
      </c>
      <c r="P773" s="73" t="s">
        <v>431</v>
      </c>
      <c r="Q773" s="158">
        <v>31.82</v>
      </c>
      <c r="R773" s="563">
        <f t="shared" si="46"/>
        <v>9.0637411239407051E-3</v>
      </c>
      <c r="S773" s="563">
        <f t="shared" si="47"/>
        <v>1.8891687657429657E-3</v>
      </c>
      <c r="AA773" s="594">
        <v>42733</v>
      </c>
      <c r="AB773" s="595" t="s">
        <v>449</v>
      </c>
      <c r="AC773" s="595">
        <v>47666.66</v>
      </c>
      <c r="AD773" s="596" t="s">
        <v>395</v>
      </c>
      <c r="AE773" s="595">
        <v>318.66000000000003</v>
      </c>
      <c r="AF773" s="597">
        <f t="shared" si="48"/>
        <v>5.1034662790201413E-3</v>
      </c>
      <c r="AG773" s="597">
        <f t="shared" si="49"/>
        <v>1.9179374312214836E-3</v>
      </c>
    </row>
    <row r="774" spans="13:33" x14ac:dyDescent="0.35">
      <c r="M774" s="555">
        <v>42738</v>
      </c>
      <c r="N774" s="543" t="s">
        <v>449</v>
      </c>
      <c r="O774" s="543">
        <v>48827.55</v>
      </c>
      <c r="P774" s="73" t="s">
        <v>431</v>
      </c>
      <c r="Q774" s="158">
        <v>32.049999999999997</v>
      </c>
      <c r="R774" s="563">
        <f t="shared" si="46"/>
        <v>1.2173851395555824E-2</v>
      </c>
      <c r="S774" s="563">
        <f t="shared" si="47"/>
        <v>7.2281583909490355E-3</v>
      </c>
      <c r="AA774" s="594">
        <v>42734</v>
      </c>
      <c r="AB774" s="595" t="s">
        <v>449</v>
      </c>
      <c r="AC774" s="595">
        <v>47806.97</v>
      </c>
      <c r="AD774" s="596" t="s">
        <v>395</v>
      </c>
      <c r="AE774" s="595">
        <v>317.99</v>
      </c>
      <c r="AF774" s="597">
        <f t="shared" si="48"/>
        <v>2.9435668452539865E-3</v>
      </c>
      <c r="AG774" s="597">
        <f t="shared" si="49"/>
        <v>-2.1025544467457857E-3</v>
      </c>
    </row>
    <row r="775" spans="13:33" x14ac:dyDescent="0.35">
      <c r="M775" s="555">
        <v>42739</v>
      </c>
      <c r="N775" s="543" t="s">
        <v>449</v>
      </c>
      <c r="O775" s="543">
        <v>48704.99</v>
      </c>
      <c r="P775" s="73" t="s">
        <v>431</v>
      </c>
      <c r="Q775" s="158">
        <v>32.15</v>
      </c>
      <c r="R775" s="563">
        <f t="shared" si="46"/>
        <v>-2.5100583584473091E-3</v>
      </c>
      <c r="S775" s="563">
        <f t="shared" si="47"/>
        <v>3.1201248049923525E-3</v>
      </c>
      <c r="AA775" s="594">
        <v>42737</v>
      </c>
      <c r="AB775" s="595" t="s">
        <v>449</v>
      </c>
      <c r="AC775" s="595">
        <v>48240.28</v>
      </c>
      <c r="AD775" s="596" t="s">
        <v>395</v>
      </c>
      <c r="AE775" s="595">
        <v>322.69</v>
      </c>
      <c r="AF775" s="597">
        <f t="shared" si="48"/>
        <v>9.0637411239407051E-3</v>
      </c>
      <c r="AG775" s="597">
        <f t="shared" si="49"/>
        <v>1.4780339004371257E-2</v>
      </c>
    </row>
    <row r="776" spans="13:33" x14ac:dyDescent="0.35">
      <c r="M776" s="555">
        <v>42740</v>
      </c>
      <c r="N776" s="543" t="s">
        <v>449</v>
      </c>
      <c r="O776" s="543">
        <v>48713.63</v>
      </c>
      <c r="P776" s="73" t="s">
        <v>431</v>
      </c>
      <c r="Q776" s="158">
        <v>32.340000000000003</v>
      </c>
      <c r="R776" s="563">
        <f t="shared" si="46"/>
        <v>1.7739455443877006E-4</v>
      </c>
      <c r="S776" s="563">
        <f t="shared" si="47"/>
        <v>5.9097978227062864E-3</v>
      </c>
      <c r="AA776" s="594">
        <v>42738</v>
      </c>
      <c r="AB776" s="595" t="s">
        <v>449</v>
      </c>
      <c r="AC776" s="595">
        <v>48827.55</v>
      </c>
      <c r="AD776" s="596" t="s">
        <v>395</v>
      </c>
      <c r="AE776" s="595">
        <v>324.23</v>
      </c>
      <c r="AF776" s="597">
        <f t="shared" si="48"/>
        <v>1.2173851395555824E-2</v>
      </c>
      <c r="AG776" s="597">
        <f t="shared" si="49"/>
        <v>4.7723821624470197E-3</v>
      </c>
    </row>
    <row r="777" spans="13:33" x14ac:dyDescent="0.35">
      <c r="M777" s="555">
        <v>42741</v>
      </c>
      <c r="N777" s="543" t="s">
        <v>449</v>
      </c>
      <c r="O777" s="543">
        <v>49038.23</v>
      </c>
      <c r="P777" s="73" t="s">
        <v>431</v>
      </c>
      <c r="Q777" s="158">
        <v>32.25</v>
      </c>
      <c r="R777" s="563">
        <f t="shared" si="46"/>
        <v>6.6634328010457544E-3</v>
      </c>
      <c r="S777" s="563">
        <f t="shared" si="47"/>
        <v>-2.7829313543600298E-3</v>
      </c>
      <c r="AA777" s="594">
        <v>42739</v>
      </c>
      <c r="AB777" s="595" t="s">
        <v>449</v>
      </c>
      <c r="AC777" s="595">
        <v>48704.99</v>
      </c>
      <c r="AD777" s="596" t="s">
        <v>395</v>
      </c>
      <c r="AE777" s="595">
        <v>327.93</v>
      </c>
      <c r="AF777" s="597">
        <f t="shared" si="48"/>
        <v>-2.5100583584473091E-3</v>
      </c>
      <c r="AG777" s="597">
        <f t="shared" si="49"/>
        <v>1.1411652222187874E-2</v>
      </c>
    </row>
    <row r="778" spans="13:33" x14ac:dyDescent="0.35">
      <c r="M778" s="555">
        <v>42744</v>
      </c>
      <c r="N778" s="543" t="s">
        <v>449</v>
      </c>
      <c r="O778" s="543">
        <v>49039.41</v>
      </c>
      <c r="P778" s="73" t="s">
        <v>431</v>
      </c>
      <c r="Q778" s="158">
        <v>32.369999999999997</v>
      </c>
      <c r="R778" s="563">
        <f t="shared" si="46"/>
        <v>2.4062858712481372E-5</v>
      </c>
      <c r="S778" s="563">
        <f t="shared" si="47"/>
        <v>3.7209302325580396E-3</v>
      </c>
      <c r="AA778" s="594">
        <v>42740</v>
      </c>
      <c r="AB778" s="595" t="s">
        <v>449</v>
      </c>
      <c r="AC778" s="595">
        <v>48713.63</v>
      </c>
      <c r="AD778" s="596" t="s">
        <v>395</v>
      </c>
      <c r="AE778" s="595">
        <v>330.19</v>
      </c>
      <c r="AF778" s="597">
        <f t="shared" si="48"/>
        <v>1.7739455443877006E-4</v>
      </c>
      <c r="AG778" s="597">
        <f t="shared" si="49"/>
        <v>6.8917146952092168E-3</v>
      </c>
    </row>
    <row r="779" spans="13:33" x14ac:dyDescent="0.35">
      <c r="M779" s="555">
        <v>42745</v>
      </c>
      <c r="N779" s="543" t="s">
        <v>449</v>
      </c>
      <c r="O779" s="543">
        <v>48865.79</v>
      </c>
      <c r="P779" s="73" t="s">
        <v>431</v>
      </c>
      <c r="Q779" s="158">
        <v>32.409999999999997</v>
      </c>
      <c r="R779" s="563">
        <f t="shared" si="46"/>
        <v>-3.5404177986644303E-3</v>
      </c>
      <c r="S779" s="563">
        <f t="shared" si="47"/>
        <v>1.2357120790855713E-3</v>
      </c>
      <c r="AA779" s="594">
        <v>42741</v>
      </c>
      <c r="AB779" s="595" t="s">
        <v>449</v>
      </c>
      <c r="AC779" s="595">
        <v>49038.23</v>
      </c>
      <c r="AD779" s="596" t="s">
        <v>395</v>
      </c>
      <c r="AE779" s="595">
        <v>328.79</v>
      </c>
      <c r="AF779" s="597">
        <f t="shared" si="48"/>
        <v>6.6634328010457544E-3</v>
      </c>
      <c r="AG779" s="597">
        <f t="shared" si="49"/>
        <v>-4.2399830400677851E-3</v>
      </c>
    </row>
    <row r="780" spans="13:33" x14ac:dyDescent="0.35">
      <c r="M780" s="555">
        <v>42746</v>
      </c>
      <c r="N780" s="543" t="s">
        <v>449</v>
      </c>
      <c r="O780" s="543">
        <v>49371.6</v>
      </c>
      <c r="P780" s="73" t="s">
        <v>431</v>
      </c>
      <c r="Q780" s="158">
        <v>32.409999999999997</v>
      </c>
      <c r="R780" s="563">
        <f t="shared" si="46"/>
        <v>1.0351004250621854E-2</v>
      </c>
      <c r="S780" s="563">
        <f t="shared" si="47"/>
        <v>0</v>
      </c>
      <c r="AA780" s="594">
        <v>42744</v>
      </c>
      <c r="AB780" s="595" t="s">
        <v>449</v>
      </c>
      <c r="AC780" s="595">
        <v>49039.41</v>
      </c>
      <c r="AD780" s="596" t="s">
        <v>395</v>
      </c>
      <c r="AE780" s="595">
        <v>329.05</v>
      </c>
      <c r="AF780" s="597">
        <f t="shared" si="48"/>
        <v>2.4062858712481372E-5</v>
      </c>
      <c r="AG780" s="597">
        <f t="shared" si="49"/>
        <v>7.9077830834273222E-4</v>
      </c>
    </row>
    <row r="781" spans="13:33" x14ac:dyDescent="0.35">
      <c r="M781" s="555">
        <v>42747</v>
      </c>
      <c r="N781" s="543" t="s">
        <v>449</v>
      </c>
      <c r="O781" s="543">
        <v>49517.02</v>
      </c>
      <c r="P781" s="73" t="s">
        <v>431</v>
      </c>
      <c r="Q781" s="158">
        <v>32.22</v>
      </c>
      <c r="R781" s="563">
        <f t="shared" si="46"/>
        <v>2.9454180135948249E-3</v>
      </c>
      <c r="S781" s="563">
        <f t="shared" si="47"/>
        <v>-5.8623881518049537E-3</v>
      </c>
      <c r="AA781" s="594">
        <v>42745</v>
      </c>
      <c r="AB781" s="595" t="s">
        <v>449</v>
      </c>
      <c r="AC781" s="595">
        <v>48865.79</v>
      </c>
      <c r="AD781" s="596" t="s">
        <v>395</v>
      </c>
      <c r="AE781" s="595">
        <v>332.27</v>
      </c>
      <c r="AF781" s="597">
        <f t="shared" si="48"/>
        <v>-3.5404177986644303E-3</v>
      </c>
      <c r="AG781" s="597">
        <f t="shared" si="49"/>
        <v>9.785746846983745E-3</v>
      </c>
    </row>
    <row r="782" spans="13:33" x14ac:dyDescent="0.35">
      <c r="M782" s="555">
        <v>42748</v>
      </c>
      <c r="N782" s="543" t="s">
        <v>449</v>
      </c>
      <c r="O782" s="543">
        <v>49210.5</v>
      </c>
      <c r="P782" s="73" t="s">
        <v>431</v>
      </c>
      <c r="Q782" s="158">
        <v>33.07</v>
      </c>
      <c r="R782" s="563">
        <f t="shared" si="46"/>
        <v>-6.1901948057455636E-3</v>
      </c>
      <c r="S782" s="563">
        <f t="shared" si="47"/>
        <v>2.6381129733085151E-2</v>
      </c>
      <c r="AA782" s="594">
        <v>42746</v>
      </c>
      <c r="AB782" s="595" t="s">
        <v>449</v>
      </c>
      <c r="AC782" s="595">
        <v>49371.6</v>
      </c>
      <c r="AD782" s="596" t="s">
        <v>395</v>
      </c>
      <c r="AE782" s="595">
        <v>331.78</v>
      </c>
      <c r="AF782" s="597">
        <f t="shared" si="48"/>
        <v>1.0351004250621854E-2</v>
      </c>
      <c r="AG782" s="597">
        <f t="shared" si="49"/>
        <v>-1.4747043067385723E-3</v>
      </c>
    </row>
    <row r="783" spans="13:33" x14ac:dyDescent="0.35">
      <c r="M783" s="555">
        <v>42751</v>
      </c>
      <c r="N783" s="543" t="s">
        <v>449</v>
      </c>
      <c r="O783" s="543">
        <v>48888.54</v>
      </c>
      <c r="P783" s="73" t="s">
        <v>431</v>
      </c>
      <c r="Q783" s="158">
        <v>33.72</v>
      </c>
      <c r="R783" s="563">
        <f t="shared" si="46"/>
        <v>-6.5425061724632139E-3</v>
      </c>
      <c r="S783" s="563">
        <f t="shared" si="47"/>
        <v>1.9655276685818013E-2</v>
      </c>
      <c r="AA783" s="594">
        <v>42747</v>
      </c>
      <c r="AB783" s="595" t="s">
        <v>449</v>
      </c>
      <c r="AC783" s="595">
        <v>49517.02</v>
      </c>
      <c r="AD783" s="596" t="s">
        <v>395</v>
      </c>
      <c r="AE783" s="595">
        <v>329.41</v>
      </c>
      <c r="AF783" s="597">
        <f t="shared" si="48"/>
        <v>2.9454180135948249E-3</v>
      </c>
      <c r="AG783" s="597">
        <f t="shared" si="49"/>
        <v>-7.1432877207786571E-3</v>
      </c>
    </row>
    <row r="784" spans="13:33" x14ac:dyDescent="0.35">
      <c r="M784" s="555">
        <v>42752</v>
      </c>
      <c r="N784" s="543" t="s">
        <v>449</v>
      </c>
      <c r="O784" s="543">
        <v>48678.65</v>
      </c>
      <c r="P784" s="73" t="s">
        <v>431</v>
      </c>
      <c r="Q784" s="158">
        <v>33.659999999999997</v>
      </c>
      <c r="R784" s="563">
        <f t="shared" si="46"/>
        <v>-4.2932351835419658E-3</v>
      </c>
      <c r="S784" s="563">
        <f t="shared" si="47"/>
        <v>-1.779359430605032E-3</v>
      </c>
      <c r="AA784" s="594">
        <v>42748</v>
      </c>
      <c r="AB784" s="595" t="s">
        <v>449</v>
      </c>
      <c r="AC784" s="595">
        <v>49210.5</v>
      </c>
      <c r="AD784" s="596" t="s">
        <v>395</v>
      </c>
      <c r="AE784" s="595">
        <v>336.51</v>
      </c>
      <c r="AF784" s="597">
        <f t="shared" si="48"/>
        <v>-6.1901948057455636E-3</v>
      </c>
      <c r="AG784" s="597">
        <f t="shared" si="49"/>
        <v>2.1553686894751012E-2</v>
      </c>
    </row>
    <row r="785" spans="13:33" x14ac:dyDescent="0.35">
      <c r="M785" s="555">
        <v>42753</v>
      </c>
      <c r="N785" s="543" t="s">
        <v>449</v>
      </c>
      <c r="O785" s="543">
        <v>48642.21</v>
      </c>
      <c r="P785" s="73" t="s">
        <v>431</v>
      </c>
      <c r="Q785" s="158">
        <v>33.049999999999997</v>
      </c>
      <c r="R785" s="563">
        <f t="shared" si="46"/>
        <v>-7.485827975920456E-4</v>
      </c>
      <c r="S785" s="563">
        <f t="shared" si="47"/>
        <v>-1.8122400475341638E-2</v>
      </c>
      <c r="AA785" s="594">
        <v>42751</v>
      </c>
      <c r="AB785" s="595" t="s">
        <v>449</v>
      </c>
      <c r="AC785" s="595">
        <v>48888.54</v>
      </c>
      <c r="AD785" s="596" t="s">
        <v>395</v>
      </c>
      <c r="AE785" s="595">
        <v>343.01</v>
      </c>
      <c r="AF785" s="597">
        <f t="shared" si="48"/>
        <v>-6.5425061724632139E-3</v>
      </c>
      <c r="AG785" s="597">
        <f t="shared" si="49"/>
        <v>1.9315919289174088E-2</v>
      </c>
    </row>
    <row r="786" spans="13:33" x14ac:dyDescent="0.35">
      <c r="M786" s="555">
        <v>42754</v>
      </c>
      <c r="N786" s="543" t="s">
        <v>449</v>
      </c>
      <c r="O786" s="543">
        <v>49013.82</v>
      </c>
      <c r="P786" s="73" t="s">
        <v>431</v>
      </c>
      <c r="Q786" s="158">
        <v>33</v>
      </c>
      <c r="R786" s="563">
        <f t="shared" si="46"/>
        <v>7.6396611091478217E-3</v>
      </c>
      <c r="S786" s="563">
        <f t="shared" si="47"/>
        <v>-1.5128593040846239E-3</v>
      </c>
      <c r="AA786" s="594">
        <v>42752</v>
      </c>
      <c r="AB786" s="595" t="s">
        <v>449</v>
      </c>
      <c r="AC786" s="595">
        <v>48678.65</v>
      </c>
      <c r="AD786" s="596" t="s">
        <v>395</v>
      </c>
      <c r="AE786" s="595">
        <v>340.13</v>
      </c>
      <c r="AF786" s="597">
        <f t="shared" si="48"/>
        <v>-4.2932351835419658E-3</v>
      </c>
      <c r="AG786" s="597">
        <f t="shared" si="49"/>
        <v>-8.3962566689017581E-3</v>
      </c>
    </row>
    <row r="787" spans="13:33" x14ac:dyDescent="0.35">
      <c r="M787" s="555">
        <v>42755</v>
      </c>
      <c r="N787" s="543" t="s">
        <v>449</v>
      </c>
      <c r="O787" s="543">
        <v>49364.83</v>
      </c>
      <c r="P787" s="73" t="s">
        <v>431</v>
      </c>
      <c r="Q787" s="158">
        <v>32.880000000000003</v>
      </c>
      <c r="R787" s="563">
        <f t="shared" si="46"/>
        <v>7.1614495666731948E-3</v>
      </c>
      <c r="S787" s="563">
        <f t="shared" si="47"/>
        <v>-3.6363636363635488E-3</v>
      </c>
      <c r="AA787" s="594">
        <v>42753</v>
      </c>
      <c r="AB787" s="595" t="s">
        <v>449</v>
      </c>
      <c r="AC787" s="595">
        <v>48642.21</v>
      </c>
      <c r="AD787" s="596" t="s">
        <v>395</v>
      </c>
      <c r="AE787" s="595">
        <v>341.12</v>
      </c>
      <c r="AF787" s="597">
        <f t="shared" si="48"/>
        <v>-7.485827975920456E-4</v>
      </c>
      <c r="AG787" s="597">
        <f t="shared" si="49"/>
        <v>2.9106518096022604E-3</v>
      </c>
    </row>
    <row r="788" spans="13:33" x14ac:dyDescent="0.35">
      <c r="M788" s="555">
        <v>42758</v>
      </c>
      <c r="N788" s="543" t="s">
        <v>449</v>
      </c>
      <c r="O788" s="543">
        <v>49876.18</v>
      </c>
      <c r="P788" s="73" t="s">
        <v>431</v>
      </c>
      <c r="Q788" s="158">
        <v>32.97</v>
      </c>
      <c r="R788" s="563">
        <f t="shared" si="46"/>
        <v>1.0358589303356203E-2</v>
      </c>
      <c r="S788" s="563">
        <f t="shared" si="47"/>
        <v>2.7372262773721623E-3</v>
      </c>
      <c r="AA788" s="594">
        <v>42754</v>
      </c>
      <c r="AB788" s="595" t="s">
        <v>449</v>
      </c>
      <c r="AC788" s="595">
        <v>49013.82</v>
      </c>
      <c r="AD788" s="596" t="s">
        <v>395</v>
      </c>
      <c r="AE788" s="595">
        <v>344.18</v>
      </c>
      <c r="AF788" s="597">
        <f t="shared" si="48"/>
        <v>7.6396611091478217E-3</v>
      </c>
      <c r="AG788" s="597">
        <f t="shared" si="49"/>
        <v>8.9704502814258458E-3</v>
      </c>
    </row>
    <row r="789" spans="13:33" x14ac:dyDescent="0.35">
      <c r="M789" s="555">
        <v>42759</v>
      </c>
      <c r="N789" s="543" t="s">
        <v>449</v>
      </c>
      <c r="O789" s="543">
        <v>49968.92</v>
      </c>
      <c r="P789" s="73" t="s">
        <v>431</v>
      </c>
      <c r="Q789" s="158">
        <v>32.86</v>
      </c>
      <c r="R789" s="563">
        <f t="shared" si="46"/>
        <v>1.8594046296247502E-3</v>
      </c>
      <c r="S789" s="563">
        <f t="shared" si="47"/>
        <v>-3.3363663936911703E-3</v>
      </c>
      <c r="AA789" s="594">
        <v>42755</v>
      </c>
      <c r="AB789" s="595" t="s">
        <v>449</v>
      </c>
      <c r="AC789" s="595">
        <v>49364.83</v>
      </c>
      <c r="AD789" s="596" t="s">
        <v>395</v>
      </c>
      <c r="AE789" s="595">
        <v>352.31</v>
      </c>
      <c r="AF789" s="597">
        <f t="shared" si="48"/>
        <v>7.1614495666731948E-3</v>
      </c>
      <c r="AG789" s="597">
        <f t="shared" si="49"/>
        <v>2.3621360915799805E-2</v>
      </c>
    </row>
    <row r="790" spans="13:33" x14ac:dyDescent="0.35">
      <c r="M790" s="555">
        <v>42760</v>
      </c>
      <c r="N790" s="543" t="s">
        <v>449</v>
      </c>
      <c r="O790" s="543">
        <v>49756.77</v>
      </c>
      <c r="P790" s="73" t="s">
        <v>431</v>
      </c>
      <c r="Q790" s="158">
        <v>32.97</v>
      </c>
      <c r="R790" s="563">
        <f t="shared" si="46"/>
        <v>-4.2456390892579021E-3</v>
      </c>
      <c r="S790" s="563">
        <f t="shared" si="47"/>
        <v>3.3475349969567247E-3</v>
      </c>
      <c r="AA790" s="594">
        <v>42758</v>
      </c>
      <c r="AB790" s="595" t="s">
        <v>449</v>
      </c>
      <c r="AC790" s="595">
        <v>49876.18</v>
      </c>
      <c r="AD790" s="596" t="s">
        <v>395</v>
      </c>
      <c r="AE790" s="595">
        <v>347.57</v>
      </c>
      <c r="AF790" s="597">
        <f t="shared" si="48"/>
        <v>1.0358589303356203E-2</v>
      </c>
      <c r="AG790" s="597">
        <f t="shared" si="49"/>
        <v>-1.3454060344582963E-2</v>
      </c>
    </row>
    <row r="791" spans="13:33" x14ac:dyDescent="0.35">
      <c r="M791" s="555">
        <v>42761</v>
      </c>
      <c r="N791" s="543" t="s">
        <v>449</v>
      </c>
      <c r="O791" s="543">
        <v>50192.36</v>
      </c>
      <c r="P791" s="73" t="s">
        <v>431</v>
      </c>
      <c r="Q791" s="158">
        <v>32.840000000000003</v>
      </c>
      <c r="R791" s="563">
        <f t="shared" si="46"/>
        <v>8.754386589000962E-3</v>
      </c>
      <c r="S791" s="563">
        <f t="shared" si="47"/>
        <v>-3.9429784652713629E-3</v>
      </c>
      <c r="AA791" s="594">
        <v>42759</v>
      </c>
      <c r="AB791" s="595" t="s">
        <v>449</v>
      </c>
      <c r="AC791" s="595">
        <v>49968.92</v>
      </c>
      <c r="AD791" s="596" t="s">
        <v>395</v>
      </c>
      <c r="AE791" s="595">
        <v>345.57</v>
      </c>
      <c r="AF791" s="597">
        <f t="shared" si="48"/>
        <v>1.8594046296247502E-3</v>
      </c>
      <c r="AG791" s="597">
        <f t="shared" si="49"/>
        <v>-5.754236556664849E-3</v>
      </c>
    </row>
    <row r="792" spans="13:33" x14ac:dyDescent="0.35">
      <c r="M792" s="555">
        <v>42762</v>
      </c>
      <c r="N792" s="543" t="s">
        <v>449</v>
      </c>
      <c r="O792" s="543">
        <v>49963.77</v>
      </c>
      <c r="P792" s="73" t="s">
        <v>431</v>
      </c>
      <c r="Q792" s="158">
        <v>31.89</v>
      </c>
      <c r="R792" s="563">
        <f t="shared" si="46"/>
        <v>-4.5542787786827521E-3</v>
      </c>
      <c r="S792" s="563">
        <f t="shared" si="47"/>
        <v>-2.8928136419001271E-2</v>
      </c>
      <c r="AA792" s="594">
        <v>42760</v>
      </c>
      <c r="AB792" s="595" t="s">
        <v>449</v>
      </c>
      <c r="AC792" s="595">
        <v>49756.77</v>
      </c>
      <c r="AD792" s="596" t="s">
        <v>395</v>
      </c>
      <c r="AE792" s="595">
        <v>339.09</v>
      </c>
      <c r="AF792" s="597">
        <f t="shared" si="48"/>
        <v>-4.2456390892579021E-3</v>
      </c>
      <c r="AG792" s="597">
        <f t="shared" si="49"/>
        <v>-1.8751627745464017E-2</v>
      </c>
    </row>
    <row r="793" spans="13:33" x14ac:dyDescent="0.35">
      <c r="M793" s="555">
        <v>42765</v>
      </c>
      <c r="N793" s="543" t="s">
        <v>449</v>
      </c>
      <c r="O793" s="543">
        <v>48972.24</v>
      </c>
      <c r="P793" s="73" t="s">
        <v>431</v>
      </c>
      <c r="Q793" s="158">
        <v>31.3</v>
      </c>
      <c r="R793" s="563">
        <f t="shared" si="46"/>
        <v>-1.9844979672270502E-2</v>
      </c>
      <c r="S793" s="563">
        <f t="shared" si="47"/>
        <v>-1.8501097522734433E-2</v>
      </c>
      <c r="AA793" s="594">
        <v>42761</v>
      </c>
      <c r="AB793" s="595" t="s">
        <v>449</v>
      </c>
      <c r="AC793" s="595">
        <v>50192.36</v>
      </c>
      <c r="AD793" s="596" t="s">
        <v>395</v>
      </c>
      <c r="AE793" s="595">
        <v>340.79</v>
      </c>
      <c r="AF793" s="597">
        <f t="shared" si="48"/>
        <v>8.754386589000962E-3</v>
      </c>
      <c r="AG793" s="597">
        <f t="shared" si="49"/>
        <v>5.0134182665371174E-3</v>
      </c>
    </row>
    <row r="794" spans="13:33" x14ac:dyDescent="0.35">
      <c r="M794" s="555">
        <v>42766</v>
      </c>
      <c r="N794" s="543" t="s">
        <v>449</v>
      </c>
      <c r="O794" s="543">
        <v>48757.67</v>
      </c>
      <c r="P794" s="73" t="s">
        <v>431</v>
      </c>
      <c r="Q794" s="158">
        <v>31.14</v>
      </c>
      <c r="R794" s="563">
        <f t="shared" ref="R794:R857" si="50">(O794/O793)-1</f>
        <v>-4.3814618240864966E-3</v>
      </c>
      <c r="S794" s="563">
        <f t="shared" ref="S794:S857" si="51">(Q794/Q793)-1</f>
        <v>-5.1118210862619584E-3</v>
      </c>
      <c r="AA794" s="594">
        <v>42762</v>
      </c>
      <c r="AB794" s="595" t="s">
        <v>449</v>
      </c>
      <c r="AC794" s="595">
        <v>49963.77</v>
      </c>
      <c r="AD794" s="596" t="s">
        <v>395</v>
      </c>
      <c r="AE794" s="595">
        <v>341.62</v>
      </c>
      <c r="AF794" s="597">
        <f t="shared" si="48"/>
        <v>-4.5542787786827521E-3</v>
      </c>
      <c r="AG794" s="597">
        <f t="shared" si="49"/>
        <v>2.4355174741041985E-3</v>
      </c>
    </row>
    <row r="795" spans="13:33" x14ac:dyDescent="0.35">
      <c r="M795" s="555">
        <v>42767</v>
      </c>
      <c r="N795" s="543" t="s">
        <v>449</v>
      </c>
      <c r="O795" s="543">
        <v>49455.86</v>
      </c>
      <c r="P795" s="73" t="s">
        <v>431</v>
      </c>
      <c r="Q795" s="158">
        <v>31.8</v>
      </c>
      <c r="R795" s="563">
        <f t="shared" si="50"/>
        <v>1.4319593204515257E-2</v>
      </c>
      <c r="S795" s="563">
        <f t="shared" si="51"/>
        <v>2.1194605009633882E-2</v>
      </c>
      <c r="AA795" s="594">
        <v>42765</v>
      </c>
      <c r="AB795" s="595" t="s">
        <v>449</v>
      </c>
      <c r="AC795" s="595">
        <v>48972.24</v>
      </c>
      <c r="AD795" s="596" t="s">
        <v>395</v>
      </c>
      <c r="AE795" s="595">
        <v>335.02</v>
      </c>
      <c r="AF795" s="597">
        <f t="shared" si="48"/>
        <v>-1.9844979672270502E-2</v>
      </c>
      <c r="AG795" s="597">
        <f t="shared" si="49"/>
        <v>-1.931971196065807E-2</v>
      </c>
    </row>
    <row r="796" spans="13:33" x14ac:dyDescent="0.35">
      <c r="M796" s="555">
        <v>42768</v>
      </c>
      <c r="N796" s="543" t="s">
        <v>449</v>
      </c>
      <c r="O796" s="543">
        <v>49665.97</v>
      </c>
      <c r="P796" s="73" t="s">
        <v>431</v>
      </c>
      <c r="Q796" s="158">
        <v>31.67</v>
      </c>
      <c r="R796" s="563">
        <f t="shared" si="50"/>
        <v>4.248434866970241E-3</v>
      </c>
      <c r="S796" s="563">
        <f t="shared" si="51"/>
        <v>-4.0880503144653524E-3</v>
      </c>
      <c r="AA796" s="594">
        <v>42766</v>
      </c>
      <c r="AB796" s="595" t="s">
        <v>449</v>
      </c>
      <c r="AC796" s="595">
        <v>48757.67</v>
      </c>
      <c r="AD796" s="596" t="s">
        <v>395</v>
      </c>
      <c r="AE796" s="595">
        <v>330.31</v>
      </c>
      <c r="AF796" s="597">
        <f t="shared" ref="AF796:AF859" si="52">(AC796/AC795)-1</f>
        <v>-4.3814618240864966E-3</v>
      </c>
      <c r="AG796" s="597">
        <f t="shared" ref="AG796:AG859" si="53">(AE796/AE795)-1</f>
        <v>-1.4058862157483087E-2</v>
      </c>
    </row>
    <row r="797" spans="13:33" x14ac:dyDescent="0.35">
      <c r="M797" s="555">
        <v>42769</v>
      </c>
      <c r="N797" s="543" t="s">
        <v>449</v>
      </c>
      <c r="O797" s="543">
        <v>49555.83</v>
      </c>
      <c r="P797" s="73" t="s">
        <v>431</v>
      </c>
      <c r="Q797" s="158">
        <v>31.21</v>
      </c>
      <c r="R797" s="563">
        <f t="shared" si="50"/>
        <v>-2.2176149987607197E-3</v>
      </c>
      <c r="S797" s="563">
        <f t="shared" si="51"/>
        <v>-1.4524786864540618E-2</v>
      </c>
      <c r="AA797" s="594">
        <v>42767</v>
      </c>
      <c r="AB797" s="595" t="s">
        <v>449</v>
      </c>
      <c r="AC797" s="595">
        <v>49455.86</v>
      </c>
      <c r="AD797" s="596" t="s">
        <v>395</v>
      </c>
      <c r="AE797" s="595">
        <v>333.54</v>
      </c>
      <c r="AF797" s="597">
        <f t="shared" si="52"/>
        <v>1.4319593204515257E-2</v>
      </c>
      <c r="AG797" s="597">
        <f t="shared" si="53"/>
        <v>9.7786927431806614E-3</v>
      </c>
    </row>
    <row r="798" spans="13:33" x14ac:dyDescent="0.35">
      <c r="M798" s="555">
        <v>42772</v>
      </c>
      <c r="N798" s="543" t="s">
        <v>449</v>
      </c>
      <c r="O798" s="543">
        <v>49630.04</v>
      </c>
      <c r="P798" s="73" t="s">
        <v>431</v>
      </c>
      <c r="Q798" s="158">
        <v>31.34</v>
      </c>
      <c r="R798" s="563">
        <f t="shared" si="50"/>
        <v>1.49750291741646E-3</v>
      </c>
      <c r="S798" s="563">
        <f t="shared" si="51"/>
        <v>4.165331624479407E-3</v>
      </c>
      <c r="AA798" s="594">
        <v>42768</v>
      </c>
      <c r="AB798" s="595" t="s">
        <v>449</v>
      </c>
      <c r="AC798" s="595">
        <v>49665.97</v>
      </c>
      <c r="AD798" s="596" t="s">
        <v>395</v>
      </c>
      <c r="AE798" s="595">
        <v>333.21</v>
      </c>
      <c r="AF798" s="597">
        <f t="shared" si="52"/>
        <v>4.248434866970241E-3</v>
      </c>
      <c r="AG798" s="597">
        <f t="shared" si="53"/>
        <v>-9.8938658032032833E-4</v>
      </c>
    </row>
    <row r="799" spans="13:33" x14ac:dyDescent="0.35">
      <c r="M799" s="555">
        <v>42773</v>
      </c>
      <c r="N799" s="543" t="s">
        <v>449</v>
      </c>
      <c r="O799" s="543">
        <v>49859.39</v>
      </c>
      <c r="P799" s="73" t="s">
        <v>431</v>
      </c>
      <c r="Q799" s="158">
        <v>31.48</v>
      </c>
      <c r="R799" s="563">
        <f t="shared" si="50"/>
        <v>4.6211931322239774E-3</v>
      </c>
      <c r="S799" s="563">
        <f t="shared" si="51"/>
        <v>4.4671346522016098E-3</v>
      </c>
      <c r="AA799" s="594">
        <v>42769</v>
      </c>
      <c r="AB799" s="595" t="s">
        <v>449</v>
      </c>
      <c r="AC799" s="595">
        <v>49555.83</v>
      </c>
      <c r="AD799" s="596" t="s">
        <v>395</v>
      </c>
      <c r="AE799" s="595">
        <v>322.79000000000002</v>
      </c>
      <c r="AF799" s="597">
        <f t="shared" si="52"/>
        <v>-2.2176149987607197E-3</v>
      </c>
      <c r="AG799" s="597">
        <f t="shared" si="53"/>
        <v>-3.1271570481077871E-2</v>
      </c>
    </row>
    <row r="800" spans="13:33" x14ac:dyDescent="0.35">
      <c r="M800" s="555">
        <v>42774</v>
      </c>
      <c r="N800" s="543" t="s">
        <v>449</v>
      </c>
      <c r="O800" s="543">
        <v>49874.96</v>
      </c>
      <c r="P800" s="73" t="s">
        <v>431</v>
      </c>
      <c r="Q800" s="158">
        <v>31.89</v>
      </c>
      <c r="R800" s="563">
        <f t="shared" si="50"/>
        <v>3.1227818872237023E-4</v>
      </c>
      <c r="S800" s="563">
        <f t="shared" si="51"/>
        <v>1.3024142312579423E-2</v>
      </c>
      <c r="AA800" s="594">
        <v>42772</v>
      </c>
      <c r="AB800" s="595" t="s">
        <v>449</v>
      </c>
      <c r="AC800" s="595">
        <v>49630.04</v>
      </c>
      <c r="AD800" s="596" t="s">
        <v>395</v>
      </c>
      <c r="AE800" s="595">
        <v>328</v>
      </c>
      <c r="AF800" s="597">
        <f t="shared" si="52"/>
        <v>1.49750291741646E-3</v>
      </c>
      <c r="AG800" s="597">
        <f t="shared" si="53"/>
        <v>1.6140524799405087E-2</v>
      </c>
    </row>
    <row r="801" spans="13:33" x14ac:dyDescent="0.35">
      <c r="M801" s="555">
        <v>42775</v>
      </c>
      <c r="N801" s="543" t="s">
        <v>449</v>
      </c>
      <c r="O801" s="543">
        <v>49908.15</v>
      </c>
      <c r="P801" s="73" t="s">
        <v>431</v>
      </c>
      <c r="Q801" s="158">
        <v>33.049999999999997</v>
      </c>
      <c r="R801" s="563">
        <f t="shared" si="50"/>
        <v>6.6546419285362646E-4</v>
      </c>
      <c r="S801" s="563">
        <f t="shared" si="51"/>
        <v>3.6375039197240389E-2</v>
      </c>
      <c r="AA801" s="594">
        <v>42773</v>
      </c>
      <c r="AB801" s="595" t="s">
        <v>449</v>
      </c>
      <c r="AC801" s="595">
        <v>49859.39</v>
      </c>
      <c r="AD801" s="596" t="s">
        <v>395</v>
      </c>
      <c r="AE801" s="595">
        <v>337.03</v>
      </c>
      <c r="AF801" s="597">
        <f t="shared" si="52"/>
        <v>4.6211931322239774E-3</v>
      </c>
      <c r="AG801" s="597">
        <f t="shared" si="53"/>
        <v>2.7530487804877879E-2</v>
      </c>
    </row>
    <row r="802" spans="13:33" x14ac:dyDescent="0.35">
      <c r="M802" s="555">
        <v>42776</v>
      </c>
      <c r="N802" s="543" t="s">
        <v>449</v>
      </c>
      <c r="O802" s="543">
        <v>49925.08</v>
      </c>
      <c r="P802" s="73" t="s">
        <v>431</v>
      </c>
      <c r="Q802" s="158">
        <v>32.03</v>
      </c>
      <c r="R802" s="563">
        <f t="shared" si="50"/>
        <v>3.39223152932E-4</v>
      </c>
      <c r="S802" s="563">
        <f t="shared" si="51"/>
        <v>-3.0862329803328148E-2</v>
      </c>
      <c r="AA802" s="594">
        <v>42774</v>
      </c>
      <c r="AB802" s="595" t="s">
        <v>449</v>
      </c>
      <c r="AC802" s="595">
        <v>49874.96</v>
      </c>
      <c r="AD802" s="596" t="s">
        <v>395</v>
      </c>
      <c r="AE802" s="595">
        <v>334.55</v>
      </c>
      <c r="AF802" s="597">
        <f t="shared" si="52"/>
        <v>3.1227818872237023E-4</v>
      </c>
      <c r="AG802" s="597">
        <f t="shared" si="53"/>
        <v>-7.358395395068551E-3</v>
      </c>
    </row>
    <row r="803" spans="13:33" x14ac:dyDescent="0.35">
      <c r="M803" s="555">
        <v>42779</v>
      </c>
      <c r="N803" s="543" t="s">
        <v>449</v>
      </c>
      <c r="O803" s="543">
        <v>49965.63</v>
      </c>
      <c r="P803" s="73" t="s">
        <v>431</v>
      </c>
      <c r="Q803" s="158">
        <v>31.68</v>
      </c>
      <c r="R803" s="563">
        <f t="shared" si="50"/>
        <v>8.1221702599165724E-4</v>
      </c>
      <c r="S803" s="563">
        <f t="shared" si="51"/>
        <v>-1.0927255697783411E-2</v>
      </c>
      <c r="AA803" s="594">
        <v>42775</v>
      </c>
      <c r="AB803" s="595" t="s">
        <v>449</v>
      </c>
      <c r="AC803" s="595">
        <v>49908.15</v>
      </c>
      <c r="AD803" s="596" t="s">
        <v>395</v>
      </c>
      <c r="AE803" s="595">
        <v>331.9</v>
      </c>
      <c r="AF803" s="597">
        <f t="shared" si="52"/>
        <v>6.6546419285362646E-4</v>
      </c>
      <c r="AG803" s="597">
        <f t="shared" si="53"/>
        <v>-7.9210880286954E-3</v>
      </c>
    </row>
    <row r="804" spans="13:33" x14ac:dyDescent="0.35">
      <c r="M804" s="555">
        <v>42780</v>
      </c>
      <c r="N804" s="543" t="s">
        <v>449</v>
      </c>
      <c r="O804" s="543">
        <v>49767.91</v>
      </c>
      <c r="P804" s="73" t="s">
        <v>431</v>
      </c>
      <c r="Q804" s="158">
        <v>31.29</v>
      </c>
      <c r="R804" s="563">
        <f t="shared" si="50"/>
        <v>-3.9571201243733256E-3</v>
      </c>
      <c r="S804" s="563">
        <f t="shared" si="51"/>
        <v>-1.2310606060606077E-2</v>
      </c>
      <c r="AA804" s="594">
        <v>42776</v>
      </c>
      <c r="AB804" s="595" t="s">
        <v>449</v>
      </c>
      <c r="AC804" s="595">
        <v>49925.08</v>
      </c>
      <c r="AD804" s="596" t="s">
        <v>395</v>
      </c>
      <c r="AE804" s="595">
        <v>327.05</v>
      </c>
      <c r="AF804" s="597">
        <f t="shared" si="52"/>
        <v>3.39223152932E-4</v>
      </c>
      <c r="AG804" s="597">
        <f t="shared" si="53"/>
        <v>-1.4612835191322615E-2</v>
      </c>
    </row>
    <row r="805" spans="13:33" x14ac:dyDescent="0.35">
      <c r="M805" s="555">
        <v>42781</v>
      </c>
      <c r="N805" s="543" t="s">
        <v>449</v>
      </c>
      <c r="O805" s="543">
        <v>49214.15</v>
      </c>
      <c r="P805" s="73" t="s">
        <v>431</v>
      </c>
      <c r="Q805" s="158">
        <v>30.86</v>
      </c>
      <c r="R805" s="563">
        <f t="shared" si="50"/>
        <v>-1.1126848605858664E-2</v>
      </c>
      <c r="S805" s="563">
        <f t="shared" si="51"/>
        <v>-1.3742409715564063E-2</v>
      </c>
      <c r="AA805" s="594">
        <v>42779</v>
      </c>
      <c r="AB805" s="595" t="s">
        <v>449</v>
      </c>
      <c r="AC805" s="595">
        <v>49965.63</v>
      </c>
      <c r="AD805" s="596" t="s">
        <v>395</v>
      </c>
      <c r="AE805" s="595">
        <v>329.85</v>
      </c>
      <c r="AF805" s="597">
        <f t="shared" si="52"/>
        <v>8.1221702599165724E-4</v>
      </c>
      <c r="AG805" s="597">
        <f t="shared" si="53"/>
        <v>8.5613820516741157E-3</v>
      </c>
    </row>
    <row r="806" spans="13:33" x14ac:dyDescent="0.35">
      <c r="M806" s="555">
        <v>42782</v>
      </c>
      <c r="N806" s="543" t="s">
        <v>449</v>
      </c>
      <c r="O806" s="543">
        <v>49588.3</v>
      </c>
      <c r="P806" s="73" t="s">
        <v>431</v>
      </c>
      <c r="Q806" s="158">
        <v>31.11</v>
      </c>
      <c r="R806" s="563">
        <f t="shared" si="50"/>
        <v>7.6024883087486561E-3</v>
      </c>
      <c r="S806" s="563">
        <f t="shared" si="51"/>
        <v>8.1011017498380244E-3</v>
      </c>
      <c r="AA806" s="594">
        <v>42780</v>
      </c>
      <c r="AB806" s="595" t="s">
        <v>449</v>
      </c>
      <c r="AC806" s="595">
        <v>49767.91</v>
      </c>
      <c r="AD806" s="596" t="s">
        <v>395</v>
      </c>
      <c r="AE806" s="595">
        <v>329</v>
      </c>
      <c r="AF806" s="597">
        <f t="shared" si="52"/>
        <v>-3.9571201243733256E-3</v>
      </c>
      <c r="AG806" s="597">
        <f t="shared" si="53"/>
        <v>-2.5769289070790569E-3</v>
      </c>
    </row>
    <row r="807" spans="13:33" x14ac:dyDescent="0.35">
      <c r="M807" s="555">
        <v>42783</v>
      </c>
      <c r="N807" s="543" t="s">
        <v>449</v>
      </c>
      <c r="O807" s="543">
        <v>49375.71</v>
      </c>
      <c r="P807" s="73" t="s">
        <v>431</v>
      </c>
      <c r="Q807" s="158">
        <v>30.73</v>
      </c>
      <c r="R807" s="563">
        <f t="shared" si="50"/>
        <v>-4.2870999812456567E-3</v>
      </c>
      <c r="S807" s="563">
        <f t="shared" si="51"/>
        <v>-1.2214721954355467E-2</v>
      </c>
      <c r="AA807" s="594">
        <v>42781</v>
      </c>
      <c r="AB807" s="595" t="s">
        <v>449</v>
      </c>
      <c r="AC807" s="595">
        <v>49214.15</v>
      </c>
      <c r="AD807" s="596" t="s">
        <v>395</v>
      </c>
      <c r="AE807" s="595">
        <v>323.26</v>
      </c>
      <c r="AF807" s="597">
        <f t="shared" si="52"/>
        <v>-1.1126848605858664E-2</v>
      </c>
      <c r="AG807" s="597">
        <f t="shared" si="53"/>
        <v>-1.744680851063829E-2</v>
      </c>
    </row>
    <row r="808" spans="13:33" x14ac:dyDescent="0.35">
      <c r="M808" s="555">
        <v>42786</v>
      </c>
      <c r="N808" s="543" t="s">
        <v>449</v>
      </c>
      <c r="O808" s="543">
        <v>48929.120000000003</v>
      </c>
      <c r="P808" s="73" t="s">
        <v>431</v>
      </c>
      <c r="Q808" s="158">
        <v>30.64</v>
      </c>
      <c r="R808" s="563">
        <f t="shared" si="50"/>
        <v>-9.0447306985559361E-3</v>
      </c>
      <c r="S808" s="563">
        <f t="shared" si="51"/>
        <v>-2.9287341360234587E-3</v>
      </c>
      <c r="AA808" s="594">
        <v>42782</v>
      </c>
      <c r="AB808" s="595" t="s">
        <v>449</v>
      </c>
      <c r="AC808" s="595">
        <v>49588.3</v>
      </c>
      <c r="AD808" s="596" t="s">
        <v>395</v>
      </c>
      <c r="AE808" s="595">
        <v>314.66000000000003</v>
      </c>
      <c r="AF808" s="597">
        <f t="shared" si="52"/>
        <v>7.6024883087486561E-3</v>
      </c>
      <c r="AG808" s="597">
        <f t="shared" si="53"/>
        <v>-2.6603972034894396E-2</v>
      </c>
    </row>
    <row r="809" spans="13:33" x14ac:dyDescent="0.35">
      <c r="M809" s="555">
        <v>42787</v>
      </c>
      <c r="N809" s="543" t="s">
        <v>449</v>
      </c>
      <c r="O809" s="543">
        <v>49015.09</v>
      </c>
      <c r="P809" s="73" t="s">
        <v>431</v>
      </c>
      <c r="Q809" s="158">
        <v>30.59</v>
      </c>
      <c r="R809" s="563">
        <f t="shared" si="50"/>
        <v>1.75703139561878E-3</v>
      </c>
      <c r="S809" s="563">
        <f t="shared" si="51"/>
        <v>-1.6318537859008053E-3</v>
      </c>
      <c r="AA809" s="594">
        <v>42783</v>
      </c>
      <c r="AB809" s="595" t="s">
        <v>449</v>
      </c>
      <c r="AC809" s="595">
        <v>49375.71</v>
      </c>
      <c r="AD809" s="596" t="s">
        <v>395</v>
      </c>
      <c r="AE809" s="595">
        <v>312.38</v>
      </c>
      <c r="AF809" s="597">
        <f t="shared" si="52"/>
        <v>-4.2870999812456567E-3</v>
      </c>
      <c r="AG809" s="597">
        <f t="shared" si="53"/>
        <v>-7.2459162270388511E-3</v>
      </c>
    </row>
    <row r="810" spans="13:33" x14ac:dyDescent="0.35">
      <c r="M810" s="555">
        <v>42788</v>
      </c>
      <c r="N810" s="543" t="s">
        <v>449</v>
      </c>
      <c r="O810" s="543">
        <v>48981.65</v>
      </c>
      <c r="P810" s="73" t="s">
        <v>431</v>
      </c>
      <c r="Q810" s="158">
        <v>30.19</v>
      </c>
      <c r="R810" s="563">
        <f t="shared" si="50"/>
        <v>-6.8223887786378334E-4</v>
      </c>
      <c r="S810" s="563">
        <f t="shared" si="51"/>
        <v>-1.3076168682575995E-2</v>
      </c>
      <c r="AA810" s="594">
        <v>42786</v>
      </c>
      <c r="AB810" s="595" t="s">
        <v>449</v>
      </c>
      <c r="AC810" s="595">
        <v>48929.120000000003</v>
      </c>
      <c r="AD810" s="596" t="s">
        <v>395</v>
      </c>
      <c r="AE810" s="595">
        <v>310.08</v>
      </c>
      <c r="AF810" s="597">
        <f t="shared" si="52"/>
        <v>-9.0447306985559361E-3</v>
      </c>
      <c r="AG810" s="597">
        <f t="shared" si="53"/>
        <v>-7.3628273256931553E-3</v>
      </c>
    </row>
    <row r="811" spans="13:33" x14ac:dyDescent="0.35">
      <c r="M811" s="555">
        <v>42789</v>
      </c>
      <c r="N811" s="543" t="s">
        <v>449</v>
      </c>
      <c r="O811" s="543">
        <v>49062.26</v>
      </c>
      <c r="P811" s="73" t="s">
        <v>431</v>
      </c>
      <c r="Q811" s="158">
        <v>30.03</v>
      </c>
      <c r="R811" s="563">
        <f t="shared" si="50"/>
        <v>1.645718345543612E-3</v>
      </c>
      <c r="S811" s="563">
        <f t="shared" si="51"/>
        <v>-5.2997681351441006E-3</v>
      </c>
      <c r="AA811" s="594">
        <v>42787</v>
      </c>
      <c r="AB811" s="595" t="s">
        <v>449</v>
      </c>
      <c r="AC811" s="595">
        <v>49015.09</v>
      </c>
      <c r="AD811" s="596" t="s">
        <v>395</v>
      </c>
      <c r="AE811" s="595">
        <v>294.58</v>
      </c>
      <c r="AF811" s="597">
        <f t="shared" si="52"/>
        <v>1.75703139561878E-3</v>
      </c>
      <c r="AG811" s="597">
        <f t="shared" si="53"/>
        <v>-4.9987100103199178E-2</v>
      </c>
    </row>
    <row r="812" spans="13:33" x14ac:dyDescent="0.35">
      <c r="M812" s="555">
        <v>42790</v>
      </c>
      <c r="N812" s="543" t="s">
        <v>449</v>
      </c>
      <c r="O812" s="543">
        <v>49007.99</v>
      </c>
      <c r="P812" s="73" t="s">
        <v>431</v>
      </c>
      <c r="Q812" s="158">
        <v>30.19</v>
      </c>
      <c r="R812" s="563">
        <f t="shared" si="50"/>
        <v>-1.10614553834254E-3</v>
      </c>
      <c r="S812" s="563">
        <f t="shared" si="51"/>
        <v>5.3280053280053696E-3</v>
      </c>
      <c r="AA812" s="594">
        <v>42788</v>
      </c>
      <c r="AB812" s="595" t="s">
        <v>449</v>
      </c>
      <c r="AC812" s="595">
        <v>48981.65</v>
      </c>
      <c r="AD812" s="596" t="s">
        <v>395</v>
      </c>
      <c r="AE812" s="595">
        <v>279.86</v>
      </c>
      <c r="AF812" s="597">
        <f t="shared" si="52"/>
        <v>-6.8223887786378334E-4</v>
      </c>
      <c r="AG812" s="597">
        <f t="shared" si="53"/>
        <v>-4.9969448027700314E-2</v>
      </c>
    </row>
    <row r="813" spans="13:33" x14ac:dyDescent="0.35">
      <c r="M813" s="555">
        <v>42793</v>
      </c>
      <c r="N813" s="543" t="s">
        <v>449</v>
      </c>
      <c r="O813" s="543">
        <v>48520.75</v>
      </c>
      <c r="P813" s="73" t="s">
        <v>431</v>
      </c>
      <c r="Q813" s="158">
        <v>30.9</v>
      </c>
      <c r="R813" s="563">
        <f t="shared" si="50"/>
        <v>-9.9420523061647392E-3</v>
      </c>
      <c r="S813" s="563">
        <f t="shared" si="51"/>
        <v>2.3517721099701738E-2</v>
      </c>
      <c r="AA813" s="594">
        <v>42789</v>
      </c>
      <c r="AB813" s="595" t="s">
        <v>449</v>
      </c>
      <c r="AC813" s="595">
        <v>49062.26</v>
      </c>
      <c r="AD813" s="596" t="s">
        <v>395</v>
      </c>
      <c r="AE813" s="595">
        <v>265.87</v>
      </c>
      <c r="AF813" s="597">
        <f t="shared" si="52"/>
        <v>1.645718345543612E-3</v>
      </c>
      <c r="AG813" s="597">
        <f t="shared" si="53"/>
        <v>-4.9989280354462928E-2</v>
      </c>
    </row>
    <row r="814" spans="13:33" x14ac:dyDescent="0.35">
      <c r="M814" s="555">
        <v>42794</v>
      </c>
      <c r="N814" s="543" t="s">
        <v>449</v>
      </c>
      <c r="O814" s="543">
        <v>48534.23</v>
      </c>
      <c r="P814" s="73" t="s">
        <v>431</v>
      </c>
      <c r="Q814" s="158">
        <v>31</v>
      </c>
      <c r="R814" s="563">
        <f t="shared" si="50"/>
        <v>2.7781928350245622E-4</v>
      </c>
      <c r="S814" s="563">
        <f t="shared" si="51"/>
        <v>3.2362459546926292E-3</v>
      </c>
      <c r="AA814" s="594">
        <v>42790</v>
      </c>
      <c r="AB814" s="595" t="s">
        <v>449</v>
      </c>
      <c r="AC814" s="595">
        <v>49007.99</v>
      </c>
      <c r="AD814" s="596" t="s">
        <v>395</v>
      </c>
      <c r="AE814" s="595">
        <v>252.58</v>
      </c>
      <c r="AF814" s="597">
        <f t="shared" si="52"/>
        <v>-1.10614553834254E-3</v>
      </c>
      <c r="AG814" s="597">
        <f t="shared" si="53"/>
        <v>-4.9986835671568808E-2</v>
      </c>
    </row>
    <row r="815" spans="13:33" x14ac:dyDescent="0.35">
      <c r="M815" s="555">
        <v>42795</v>
      </c>
      <c r="N815" s="543" t="s">
        <v>449</v>
      </c>
      <c r="O815" s="543">
        <v>48992.160000000003</v>
      </c>
      <c r="P815" s="73" t="s">
        <v>431</v>
      </c>
      <c r="Q815" s="158">
        <v>32.54</v>
      </c>
      <c r="R815" s="563">
        <f t="shared" si="50"/>
        <v>9.4351965612722299E-3</v>
      </c>
      <c r="S815" s="563">
        <f t="shared" si="51"/>
        <v>4.9677419354838603E-2</v>
      </c>
      <c r="AA815" s="594">
        <v>42793</v>
      </c>
      <c r="AB815" s="595" t="s">
        <v>449</v>
      </c>
      <c r="AC815" s="595">
        <v>48520.75</v>
      </c>
      <c r="AD815" s="596" t="s">
        <v>395</v>
      </c>
      <c r="AE815" s="595">
        <v>239.97</v>
      </c>
      <c r="AF815" s="597">
        <f t="shared" si="52"/>
        <v>-9.9420523061647392E-3</v>
      </c>
      <c r="AG815" s="597">
        <f t="shared" si="53"/>
        <v>-4.9924776308496344E-2</v>
      </c>
    </row>
    <row r="816" spans="13:33" x14ac:dyDescent="0.35">
      <c r="M816" s="555">
        <v>42796</v>
      </c>
      <c r="N816" s="543" t="s">
        <v>449</v>
      </c>
      <c r="O816" s="543">
        <v>49696.08</v>
      </c>
      <c r="P816" s="73" t="s">
        <v>431</v>
      </c>
      <c r="Q816" s="158">
        <v>34.17</v>
      </c>
      <c r="R816" s="563">
        <f t="shared" si="50"/>
        <v>1.4368013167820992E-2</v>
      </c>
      <c r="S816" s="563">
        <f t="shared" si="51"/>
        <v>5.0092194222495445E-2</v>
      </c>
      <c r="AA816" s="594">
        <v>42794</v>
      </c>
      <c r="AB816" s="595" t="s">
        <v>449</v>
      </c>
      <c r="AC816" s="595">
        <v>48534.23</v>
      </c>
      <c r="AD816" s="596" t="s">
        <v>395</v>
      </c>
      <c r="AE816" s="595">
        <v>229.06</v>
      </c>
      <c r="AF816" s="597">
        <f t="shared" si="52"/>
        <v>2.7781928350245622E-4</v>
      </c>
      <c r="AG816" s="597">
        <f t="shared" si="53"/>
        <v>-4.5464016335375224E-2</v>
      </c>
    </row>
    <row r="817" spans="13:33" x14ac:dyDescent="0.35">
      <c r="M817" s="555">
        <v>42797</v>
      </c>
      <c r="N817" s="543" t="s">
        <v>449</v>
      </c>
      <c r="O817" s="543">
        <v>49623.81</v>
      </c>
      <c r="P817" s="73" t="s">
        <v>431</v>
      </c>
      <c r="Q817" s="158">
        <v>35.869999999999997</v>
      </c>
      <c r="R817" s="563">
        <f t="shared" si="50"/>
        <v>-1.4542394490673072E-3</v>
      </c>
      <c r="S817" s="563">
        <f t="shared" si="51"/>
        <v>4.9751243781094301E-2</v>
      </c>
      <c r="AA817" s="594">
        <v>42795</v>
      </c>
      <c r="AB817" s="595" t="s">
        <v>449</v>
      </c>
      <c r="AC817" s="595">
        <v>48992.160000000003</v>
      </c>
      <c r="AD817" s="596" t="s">
        <v>395</v>
      </c>
      <c r="AE817" s="595">
        <v>230.62</v>
      </c>
      <c r="AF817" s="597">
        <f t="shared" si="52"/>
        <v>9.4351965612722299E-3</v>
      </c>
      <c r="AG817" s="597">
        <f t="shared" si="53"/>
        <v>6.8104426787740646E-3</v>
      </c>
    </row>
    <row r="818" spans="13:33" x14ac:dyDescent="0.35">
      <c r="M818" s="555">
        <v>42800</v>
      </c>
      <c r="N818" s="543" t="s">
        <v>449</v>
      </c>
      <c r="O818" s="543">
        <v>49434.89</v>
      </c>
      <c r="P818" s="73" t="s">
        <v>431</v>
      </c>
      <c r="Q818" s="158">
        <v>37.659999999999997</v>
      </c>
      <c r="R818" s="563">
        <f t="shared" si="50"/>
        <v>-3.8070434333840053E-3</v>
      </c>
      <c r="S818" s="563">
        <f t="shared" si="51"/>
        <v>4.9902425425146335E-2</v>
      </c>
      <c r="AA818" s="594">
        <v>42796</v>
      </c>
      <c r="AB818" s="595" t="s">
        <v>449</v>
      </c>
      <c r="AC818" s="595">
        <v>49696.08</v>
      </c>
      <c r="AD818" s="596" t="s">
        <v>395</v>
      </c>
      <c r="AE818" s="595">
        <v>239.25</v>
      </c>
      <c r="AF818" s="597">
        <f t="shared" si="52"/>
        <v>1.4368013167820992E-2</v>
      </c>
      <c r="AG818" s="597">
        <f t="shared" si="53"/>
        <v>3.7420865493018818E-2</v>
      </c>
    </row>
    <row r="819" spans="13:33" x14ac:dyDescent="0.35">
      <c r="M819" s="555">
        <v>42801</v>
      </c>
      <c r="N819" s="543" t="s">
        <v>449</v>
      </c>
      <c r="O819" s="543">
        <v>49452.71</v>
      </c>
      <c r="P819" s="73" t="s">
        <v>431</v>
      </c>
      <c r="Q819" s="158">
        <v>39.54</v>
      </c>
      <c r="R819" s="563">
        <f t="shared" si="50"/>
        <v>3.6047415094886404E-4</v>
      </c>
      <c r="S819" s="563">
        <f t="shared" si="51"/>
        <v>4.9920339883165132E-2</v>
      </c>
      <c r="AA819" s="594">
        <v>42797</v>
      </c>
      <c r="AB819" s="595" t="s">
        <v>449</v>
      </c>
      <c r="AC819" s="595">
        <v>49623.81</v>
      </c>
      <c r="AD819" s="596" t="s">
        <v>395</v>
      </c>
      <c r="AE819" s="595">
        <v>240.86</v>
      </c>
      <c r="AF819" s="597">
        <f t="shared" si="52"/>
        <v>-1.4542394490673072E-3</v>
      </c>
      <c r="AG819" s="597">
        <f t="shared" si="53"/>
        <v>6.7293625914315314E-3</v>
      </c>
    </row>
    <row r="820" spans="13:33" x14ac:dyDescent="0.35">
      <c r="M820" s="555">
        <v>42802</v>
      </c>
      <c r="N820" s="543" t="s">
        <v>449</v>
      </c>
      <c r="O820" s="543">
        <v>49754.720000000001</v>
      </c>
      <c r="P820" s="73" t="s">
        <v>431</v>
      </c>
      <c r="Q820" s="158">
        <v>41.51</v>
      </c>
      <c r="R820" s="563">
        <f t="shared" si="50"/>
        <v>6.1070465096857429E-3</v>
      </c>
      <c r="S820" s="563">
        <f t="shared" si="51"/>
        <v>4.9822964087000488E-2</v>
      </c>
      <c r="AA820" s="594">
        <v>42800</v>
      </c>
      <c r="AB820" s="595" t="s">
        <v>449</v>
      </c>
      <c r="AC820" s="595">
        <v>49434.89</v>
      </c>
      <c r="AD820" s="596" t="s">
        <v>395</v>
      </c>
      <c r="AE820" s="595">
        <v>235.02</v>
      </c>
      <c r="AF820" s="597">
        <f t="shared" si="52"/>
        <v>-3.8070434333840053E-3</v>
      </c>
      <c r="AG820" s="597">
        <f t="shared" si="53"/>
        <v>-2.4246450220044902E-2</v>
      </c>
    </row>
    <row r="821" spans="13:33" x14ac:dyDescent="0.35">
      <c r="M821" s="555">
        <v>42803</v>
      </c>
      <c r="N821" s="543" t="s">
        <v>449</v>
      </c>
      <c r="O821" s="543">
        <v>49392.44</v>
      </c>
      <c r="P821" s="73" t="s">
        <v>431</v>
      </c>
      <c r="Q821" s="158">
        <v>43.59</v>
      </c>
      <c r="R821" s="563">
        <f t="shared" si="50"/>
        <v>-7.2813192396620208E-3</v>
      </c>
      <c r="S821" s="563">
        <f t="shared" si="51"/>
        <v>5.0108407612623695E-2</v>
      </c>
      <c r="AA821" s="594">
        <v>42801</v>
      </c>
      <c r="AB821" s="595" t="s">
        <v>449</v>
      </c>
      <c r="AC821" s="595">
        <v>49452.71</v>
      </c>
      <c r="AD821" s="596" t="s">
        <v>395</v>
      </c>
      <c r="AE821" s="595">
        <v>230</v>
      </c>
      <c r="AF821" s="597">
        <f t="shared" si="52"/>
        <v>3.6047415094886404E-4</v>
      </c>
      <c r="AG821" s="597">
        <f t="shared" si="53"/>
        <v>-2.1359884265168994E-2</v>
      </c>
    </row>
    <row r="822" spans="13:33" x14ac:dyDescent="0.35">
      <c r="M822" s="555">
        <v>42804</v>
      </c>
      <c r="N822" s="543" t="s">
        <v>449</v>
      </c>
      <c r="O822" s="543">
        <v>49191.75</v>
      </c>
      <c r="P822" s="73" t="s">
        <v>431</v>
      </c>
      <c r="Q822" s="158">
        <v>45.76</v>
      </c>
      <c r="R822" s="563">
        <f t="shared" si="50"/>
        <v>-4.0631724207186304E-3</v>
      </c>
      <c r="S822" s="563">
        <f t="shared" si="51"/>
        <v>4.9782060105528769E-2</v>
      </c>
      <c r="AA822" s="594">
        <v>42802</v>
      </c>
      <c r="AB822" s="595" t="s">
        <v>449</v>
      </c>
      <c r="AC822" s="595">
        <v>49754.720000000001</v>
      </c>
      <c r="AD822" s="596" t="s">
        <v>395</v>
      </c>
      <c r="AE822" s="595">
        <v>236.35</v>
      </c>
      <c r="AF822" s="597">
        <f t="shared" si="52"/>
        <v>6.1070465096857429E-3</v>
      </c>
      <c r="AG822" s="597">
        <f t="shared" si="53"/>
        <v>2.7608695652173942E-2</v>
      </c>
    </row>
    <row r="823" spans="13:33" x14ac:dyDescent="0.35">
      <c r="M823" s="555">
        <v>42807</v>
      </c>
      <c r="N823" s="543" t="s">
        <v>449</v>
      </c>
      <c r="O823" s="543">
        <v>48655.72</v>
      </c>
      <c r="P823" s="73" t="s">
        <v>431</v>
      </c>
      <c r="Q823" s="158">
        <v>43.48</v>
      </c>
      <c r="R823" s="563">
        <f t="shared" si="50"/>
        <v>-1.0896745897431948E-2</v>
      </c>
      <c r="S823" s="563">
        <f t="shared" si="51"/>
        <v>-4.98251748251749E-2</v>
      </c>
      <c r="AA823" s="594">
        <v>42803</v>
      </c>
      <c r="AB823" s="595" t="s">
        <v>449</v>
      </c>
      <c r="AC823" s="595">
        <v>49392.44</v>
      </c>
      <c r="AD823" s="596" t="s">
        <v>395</v>
      </c>
      <c r="AE823" s="595">
        <v>235.76</v>
      </c>
      <c r="AF823" s="597">
        <f t="shared" si="52"/>
        <v>-7.2813192396620208E-3</v>
      </c>
      <c r="AG823" s="597">
        <f t="shared" si="53"/>
        <v>-2.4962978633382704E-3</v>
      </c>
    </row>
    <row r="824" spans="13:33" x14ac:dyDescent="0.35">
      <c r="M824" s="555">
        <v>42808</v>
      </c>
      <c r="N824" s="543" t="s">
        <v>449</v>
      </c>
      <c r="O824" s="543">
        <v>48539.06</v>
      </c>
      <c r="P824" s="73" t="s">
        <v>431</v>
      </c>
      <c r="Q824" s="158">
        <v>43.08</v>
      </c>
      <c r="R824" s="563">
        <f t="shared" si="50"/>
        <v>-2.3976625975322685E-3</v>
      </c>
      <c r="S824" s="563">
        <f t="shared" si="51"/>
        <v>-9.1996320147194055E-3</v>
      </c>
      <c r="AA824" s="594">
        <v>42804</v>
      </c>
      <c r="AB824" s="595" t="s">
        <v>449</v>
      </c>
      <c r="AC824" s="595">
        <v>49191.75</v>
      </c>
      <c r="AD824" s="596" t="s">
        <v>395</v>
      </c>
      <c r="AE824" s="595">
        <v>238.06</v>
      </c>
      <c r="AF824" s="597">
        <f t="shared" si="52"/>
        <v>-4.0631724207186304E-3</v>
      </c>
      <c r="AG824" s="597">
        <f t="shared" si="53"/>
        <v>9.7556837461825197E-3</v>
      </c>
    </row>
    <row r="825" spans="13:33" x14ac:dyDescent="0.35">
      <c r="M825" s="555">
        <v>42809</v>
      </c>
      <c r="N825" s="543" t="s">
        <v>449</v>
      </c>
      <c r="O825" s="543">
        <v>48305.83</v>
      </c>
      <c r="P825" s="73" t="s">
        <v>431</v>
      </c>
      <c r="Q825" s="158">
        <v>42.28</v>
      </c>
      <c r="R825" s="563">
        <f t="shared" si="50"/>
        <v>-4.8049962236598187E-3</v>
      </c>
      <c r="S825" s="563">
        <f t="shared" si="51"/>
        <v>-1.857010213556165E-2</v>
      </c>
      <c r="AA825" s="594">
        <v>42807</v>
      </c>
      <c r="AB825" s="595" t="s">
        <v>449</v>
      </c>
      <c r="AC825" s="595">
        <v>48655.72</v>
      </c>
      <c r="AD825" s="596" t="s">
        <v>395</v>
      </c>
      <c r="AE825" s="595">
        <v>238.51</v>
      </c>
      <c r="AF825" s="597">
        <f t="shared" si="52"/>
        <v>-1.0896745897431948E-2</v>
      </c>
      <c r="AG825" s="597">
        <f t="shared" si="53"/>
        <v>1.8902797614046563E-3</v>
      </c>
    </row>
    <row r="826" spans="13:33" x14ac:dyDescent="0.35">
      <c r="M826" s="555">
        <v>42810</v>
      </c>
      <c r="N826" s="543" t="s">
        <v>449</v>
      </c>
      <c r="O826" s="543">
        <v>48289.66</v>
      </c>
      <c r="P826" s="73" t="s">
        <v>431</v>
      </c>
      <c r="Q826" s="158">
        <v>43.3</v>
      </c>
      <c r="R826" s="563">
        <f t="shared" si="50"/>
        <v>-3.3474220399476451E-4</v>
      </c>
      <c r="S826" s="563">
        <f t="shared" si="51"/>
        <v>2.4124881740775761E-2</v>
      </c>
      <c r="AA826" s="594">
        <v>42808</v>
      </c>
      <c r="AB826" s="595" t="s">
        <v>449</v>
      </c>
      <c r="AC826" s="595">
        <v>48539.06</v>
      </c>
      <c r="AD826" s="596" t="s">
        <v>395</v>
      </c>
      <c r="AE826" s="595">
        <v>236</v>
      </c>
      <c r="AF826" s="597">
        <f t="shared" si="52"/>
        <v>-2.3976625975322685E-3</v>
      </c>
      <c r="AG826" s="597">
        <f t="shared" si="53"/>
        <v>-1.0523667770743317E-2</v>
      </c>
    </row>
    <row r="827" spans="13:33" x14ac:dyDescent="0.35">
      <c r="M827" s="555">
        <v>42811</v>
      </c>
      <c r="N827" s="543" t="s">
        <v>449</v>
      </c>
      <c r="O827" s="543">
        <v>48409.35</v>
      </c>
      <c r="P827" s="73" t="s">
        <v>431</v>
      </c>
      <c r="Q827" s="158">
        <v>43.51</v>
      </c>
      <c r="R827" s="563">
        <f t="shared" si="50"/>
        <v>2.4785844423007575E-3</v>
      </c>
      <c r="S827" s="563">
        <f t="shared" si="51"/>
        <v>4.8498845265589896E-3</v>
      </c>
      <c r="AA827" s="594">
        <v>42809</v>
      </c>
      <c r="AB827" s="595" t="s">
        <v>449</v>
      </c>
      <c r="AC827" s="595">
        <v>48305.83</v>
      </c>
      <c r="AD827" s="596" t="s">
        <v>395</v>
      </c>
      <c r="AE827" s="595">
        <v>232.41</v>
      </c>
      <c r="AF827" s="597">
        <f t="shared" si="52"/>
        <v>-4.8049962236598187E-3</v>
      </c>
      <c r="AG827" s="597">
        <f t="shared" si="53"/>
        <v>-1.5211864406779685E-2</v>
      </c>
    </row>
    <row r="828" spans="13:33" x14ac:dyDescent="0.35">
      <c r="M828" s="555">
        <v>42814</v>
      </c>
      <c r="N828" s="543" t="s">
        <v>449</v>
      </c>
      <c r="O828" s="543">
        <v>48697.65</v>
      </c>
      <c r="P828" s="73" t="s">
        <v>431</v>
      </c>
      <c r="Q828" s="158">
        <v>45.65</v>
      </c>
      <c r="R828" s="563">
        <f t="shared" si="50"/>
        <v>5.9554610834477995E-3</v>
      </c>
      <c r="S828" s="563">
        <f t="shared" si="51"/>
        <v>4.9184095610204537E-2</v>
      </c>
      <c r="AA828" s="594">
        <v>42810</v>
      </c>
      <c r="AB828" s="595" t="s">
        <v>449</v>
      </c>
      <c r="AC828" s="595">
        <v>48289.66</v>
      </c>
      <c r="AD828" s="596" t="s">
        <v>395</v>
      </c>
      <c r="AE828" s="595">
        <v>235</v>
      </c>
      <c r="AF828" s="597">
        <f t="shared" si="52"/>
        <v>-3.3474220399476451E-4</v>
      </c>
      <c r="AG828" s="597">
        <f t="shared" si="53"/>
        <v>1.1144098790929924E-2</v>
      </c>
    </row>
    <row r="829" spans="13:33" x14ac:dyDescent="0.35">
      <c r="M829" s="555">
        <v>42815</v>
      </c>
      <c r="N829" s="543" t="s">
        <v>449</v>
      </c>
      <c r="O829" s="543">
        <v>49020.21</v>
      </c>
      <c r="P829" s="73" t="s">
        <v>431</v>
      </c>
      <c r="Q829" s="158">
        <v>47.1</v>
      </c>
      <c r="R829" s="563">
        <f t="shared" si="50"/>
        <v>6.6237282497203509E-3</v>
      </c>
      <c r="S829" s="563">
        <f t="shared" si="51"/>
        <v>3.1763417305586072E-2</v>
      </c>
      <c r="AA829" s="594">
        <v>42811</v>
      </c>
      <c r="AB829" s="595" t="s">
        <v>449</v>
      </c>
      <c r="AC829" s="595">
        <v>48409.35</v>
      </c>
      <c r="AD829" s="596" t="s">
        <v>395</v>
      </c>
      <c r="AE829" s="595">
        <v>245.78</v>
      </c>
      <c r="AF829" s="597">
        <f t="shared" si="52"/>
        <v>2.4785844423007575E-3</v>
      </c>
      <c r="AG829" s="597">
        <f t="shared" si="53"/>
        <v>4.5872340425531899E-2</v>
      </c>
    </row>
    <row r="830" spans="13:33" x14ac:dyDescent="0.35">
      <c r="M830" s="555">
        <v>42816</v>
      </c>
      <c r="N830" s="543" t="s">
        <v>449</v>
      </c>
      <c r="O830" s="543">
        <v>49016.79</v>
      </c>
      <c r="P830" s="73" t="s">
        <v>431</v>
      </c>
      <c r="Q830" s="158">
        <v>49.45</v>
      </c>
      <c r="R830" s="563">
        <f t="shared" si="50"/>
        <v>-6.976714298034814E-5</v>
      </c>
      <c r="S830" s="563">
        <f t="shared" si="51"/>
        <v>4.9893842887473561E-2</v>
      </c>
      <c r="AA830" s="594">
        <v>42814</v>
      </c>
      <c r="AB830" s="595" t="s">
        <v>449</v>
      </c>
      <c r="AC830" s="595">
        <v>48697.65</v>
      </c>
      <c r="AD830" s="596" t="s">
        <v>395</v>
      </c>
      <c r="AE830" s="595">
        <v>254.36</v>
      </c>
      <c r="AF830" s="597">
        <f t="shared" si="52"/>
        <v>5.9554610834477995E-3</v>
      </c>
      <c r="AG830" s="597">
        <f t="shared" si="53"/>
        <v>3.4909268451460695E-2</v>
      </c>
    </row>
    <row r="831" spans="13:33" x14ac:dyDescent="0.35">
      <c r="M831" s="555">
        <v>42818</v>
      </c>
      <c r="N831" s="543" t="s">
        <v>449</v>
      </c>
      <c r="O831" s="543">
        <v>48971.05</v>
      </c>
      <c r="P831" s="73" t="s">
        <v>431</v>
      </c>
      <c r="Q831" s="158">
        <v>51.86</v>
      </c>
      <c r="R831" s="563">
        <f t="shared" si="50"/>
        <v>-9.3314964117396926E-4</v>
      </c>
      <c r="S831" s="563">
        <f t="shared" si="51"/>
        <v>4.8736097067745066E-2</v>
      </c>
      <c r="AA831" s="594">
        <v>42815</v>
      </c>
      <c r="AB831" s="595" t="s">
        <v>449</v>
      </c>
      <c r="AC831" s="595">
        <v>49020.21</v>
      </c>
      <c r="AD831" s="596" t="s">
        <v>395</v>
      </c>
      <c r="AE831" s="595">
        <v>262.73</v>
      </c>
      <c r="AF831" s="597">
        <f t="shared" si="52"/>
        <v>6.6237282497203509E-3</v>
      </c>
      <c r="AG831" s="597">
        <f t="shared" si="53"/>
        <v>3.2906117314043026E-2</v>
      </c>
    </row>
    <row r="832" spans="13:33" x14ac:dyDescent="0.35">
      <c r="M832" s="555">
        <v>42821</v>
      </c>
      <c r="N832" s="543" t="s">
        <v>449</v>
      </c>
      <c r="O832" s="543">
        <v>48680.160000000003</v>
      </c>
      <c r="P832" s="73" t="s">
        <v>431</v>
      </c>
      <c r="Q832" s="158">
        <v>53.64</v>
      </c>
      <c r="R832" s="563">
        <f t="shared" si="50"/>
        <v>-5.9400400849073387E-3</v>
      </c>
      <c r="S832" s="563">
        <f t="shared" si="51"/>
        <v>3.4323177786347969E-2</v>
      </c>
      <c r="AA832" s="594">
        <v>42816</v>
      </c>
      <c r="AB832" s="595" t="s">
        <v>449</v>
      </c>
      <c r="AC832" s="595">
        <v>49016.79</v>
      </c>
      <c r="AD832" s="596" t="s">
        <v>395</v>
      </c>
      <c r="AE832" s="595">
        <v>261.51</v>
      </c>
      <c r="AF832" s="597">
        <f t="shared" si="52"/>
        <v>-6.976714298034814E-5</v>
      </c>
      <c r="AG832" s="597">
        <f t="shared" si="53"/>
        <v>-4.6435504129715977E-3</v>
      </c>
    </row>
    <row r="833" spans="13:33" x14ac:dyDescent="0.35">
      <c r="M833" s="555">
        <v>42822</v>
      </c>
      <c r="N833" s="543" t="s">
        <v>449</v>
      </c>
      <c r="O833" s="543">
        <v>48523.41</v>
      </c>
      <c r="P833" s="73" t="s">
        <v>431</v>
      </c>
      <c r="Q833" s="158">
        <v>56.32</v>
      </c>
      <c r="R833" s="563">
        <f t="shared" si="50"/>
        <v>-3.2199976335328673E-3</v>
      </c>
      <c r="S833" s="563">
        <f t="shared" si="51"/>
        <v>4.9962714392244534E-2</v>
      </c>
      <c r="AA833" s="594">
        <v>42818</v>
      </c>
      <c r="AB833" s="595" t="s">
        <v>449</v>
      </c>
      <c r="AC833" s="595">
        <v>48971.05</v>
      </c>
      <c r="AD833" s="596" t="s">
        <v>395</v>
      </c>
      <c r="AE833" s="595">
        <v>260.95</v>
      </c>
      <c r="AF833" s="597">
        <f t="shared" si="52"/>
        <v>-9.3314964117396926E-4</v>
      </c>
      <c r="AG833" s="597">
        <f t="shared" si="53"/>
        <v>-2.1414095063286842E-3</v>
      </c>
    </row>
    <row r="834" spans="13:33" x14ac:dyDescent="0.35">
      <c r="M834" s="555">
        <v>42823</v>
      </c>
      <c r="N834" s="543" t="s">
        <v>449</v>
      </c>
      <c r="O834" s="543">
        <v>48375.63</v>
      </c>
      <c r="P834" s="73" t="s">
        <v>431</v>
      </c>
      <c r="Q834" s="158">
        <v>57.56</v>
      </c>
      <c r="R834" s="563">
        <f t="shared" si="50"/>
        <v>-3.0455402866370607E-3</v>
      </c>
      <c r="S834" s="563">
        <f t="shared" si="51"/>
        <v>2.2017045454545414E-2</v>
      </c>
      <c r="AA834" s="594">
        <v>42821</v>
      </c>
      <c r="AB834" s="595" t="s">
        <v>449</v>
      </c>
      <c r="AC834" s="595">
        <v>48680.160000000003</v>
      </c>
      <c r="AD834" s="596" t="s">
        <v>395</v>
      </c>
      <c r="AE834" s="595">
        <v>259.89999999999998</v>
      </c>
      <c r="AF834" s="597">
        <f t="shared" si="52"/>
        <v>-5.9400400849073387E-3</v>
      </c>
      <c r="AG834" s="597">
        <f t="shared" si="53"/>
        <v>-4.023759340869959E-3</v>
      </c>
    </row>
    <row r="835" spans="13:33" x14ac:dyDescent="0.35">
      <c r="M835" s="555">
        <v>42824</v>
      </c>
      <c r="N835" s="543" t="s">
        <v>449</v>
      </c>
      <c r="O835" s="543">
        <v>47949.33</v>
      </c>
      <c r="P835" s="73" t="s">
        <v>431</v>
      </c>
      <c r="Q835" s="158">
        <v>59.29</v>
      </c>
      <c r="R835" s="563">
        <f t="shared" si="50"/>
        <v>-8.8122883360898241E-3</v>
      </c>
      <c r="S835" s="563">
        <f t="shared" si="51"/>
        <v>3.0055594162612831E-2</v>
      </c>
      <c r="AA835" s="594">
        <v>42822</v>
      </c>
      <c r="AB835" s="595" t="s">
        <v>449</v>
      </c>
      <c r="AC835" s="595">
        <v>48523.41</v>
      </c>
      <c r="AD835" s="596" t="s">
        <v>395</v>
      </c>
      <c r="AE835" s="595">
        <v>258.75</v>
      </c>
      <c r="AF835" s="597">
        <f t="shared" si="52"/>
        <v>-3.2199976335328673E-3</v>
      </c>
      <c r="AG835" s="597">
        <f t="shared" si="53"/>
        <v>-4.4247787610618428E-3</v>
      </c>
    </row>
    <row r="836" spans="13:33" x14ac:dyDescent="0.35">
      <c r="M836" s="555">
        <v>42825</v>
      </c>
      <c r="N836" s="543" t="s">
        <v>449</v>
      </c>
      <c r="O836" s="543">
        <v>48155.93</v>
      </c>
      <c r="P836" s="73" t="s">
        <v>431</v>
      </c>
      <c r="Q836" s="158">
        <v>58.01</v>
      </c>
      <c r="R836" s="563">
        <f t="shared" si="50"/>
        <v>4.3087150539955488E-3</v>
      </c>
      <c r="S836" s="563">
        <f t="shared" si="51"/>
        <v>-2.1588800809580033E-2</v>
      </c>
      <c r="AA836" s="594">
        <v>42823</v>
      </c>
      <c r="AB836" s="595" t="s">
        <v>449</v>
      </c>
      <c r="AC836" s="595">
        <v>48375.63</v>
      </c>
      <c r="AD836" s="596" t="s">
        <v>395</v>
      </c>
      <c r="AE836" s="595">
        <v>271.68</v>
      </c>
      <c r="AF836" s="597">
        <f t="shared" si="52"/>
        <v>-3.0455402866370607E-3</v>
      </c>
      <c r="AG836" s="597">
        <f t="shared" si="53"/>
        <v>4.9971014492753651E-2</v>
      </c>
    </row>
    <row r="837" spans="13:33" x14ac:dyDescent="0.35">
      <c r="M837" s="555">
        <v>42828</v>
      </c>
      <c r="N837" s="543" t="s">
        <v>449</v>
      </c>
      <c r="O837" s="543">
        <v>48227.75</v>
      </c>
      <c r="P837" s="73" t="s">
        <v>431</v>
      </c>
      <c r="Q837" s="158">
        <v>55.15</v>
      </c>
      <c r="R837" s="563">
        <f t="shared" si="50"/>
        <v>1.4914051083636526E-3</v>
      </c>
      <c r="S837" s="563">
        <f t="shared" si="51"/>
        <v>-4.9301844509567316E-2</v>
      </c>
      <c r="AA837" s="594">
        <v>42824</v>
      </c>
      <c r="AB837" s="595" t="s">
        <v>449</v>
      </c>
      <c r="AC837" s="595">
        <v>47949.33</v>
      </c>
      <c r="AD837" s="596" t="s">
        <v>395</v>
      </c>
      <c r="AE837" s="595">
        <v>285.26</v>
      </c>
      <c r="AF837" s="597">
        <f t="shared" si="52"/>
        <v>-8.8122883360898241E-3</v>
      </c>
      <c r="AG837" s="597">
        <f t="shared" si="53"/>
        <v>4.9985276796230771E-2</v>
      </c>
    </row>
    <row r="838" spans="13:33" x14ac:dyDescent="0.35">
      <c r="M838" s="526">
        <v>42830</v>
      </c>
      <c r="N838" s="524" t="s">
        <v>449</v>
      </c>
      <c r="O838" s="524">
        <v>47577.31</v>
      </c>
      <c r="P838" s="73" t="s">
        <v>431</v>
      </c>
      <c r="Q838">
        <v>54.34</v>
      </c>
      <c r="R838" s="563">
        <f t="shared" si="50"/>
        <v>-1.3486841082157142E-2</v>
      </c>
      <c r="S838" s="563">
        <f t="shared" si="51"/>
        <v>-1.468721668177686E-2</v>
      </c>
      <c r="AA838" s="594">
        <v>42825</v>
      </c>
      <c r="AB838" s="595" t="s">
        <v>449</v>
      </c>
      <c r="AC838" s="595">
        <v>48155.93</v>
      </c>
      <c r="AD838" s="596" t="s">
        <v>395</v>
      </c>
      <c r="AE838" s="595">
        <v>285.75</v>
      </c>
      <c r="AF838" s="597">
        <f t="shared" si="52"/>
        <v>4.3087150539955488E-3</v>
      </c>
      <c r="AG838" s="597">
        <f t="shared" si="53"/>
        <v>1.7177311925962169E-3</v>
      </c>
    </row>
    <row r="839" spans="13:33" x14ac:dyDescent="0.35">
      <c r="M839" s="555">
        <v>42831</v>
      </c>
      <c r="N839" s="543" t="s">
        <v>449</v>
      </c>
      <c r="O839" s="543">
        <v>47356.6</v>
      </c>
      <c r="P839" s="73" t="s">
        <v>431</v>
      </c>
      <c r="Q839" s="158">
        <v>52.95</v>
      </c>
      <c r="R839" s="563">
        <f t="shared" si="50"/>
        <v>-4.6389760160883142E-3</v>
      </c>
      <c r="S839" s="563">
        <f t="shared" si="51"/>
        <v>-2.5579683474420301E-2</v>
      </c>
      <c r="AA839" s="594">
        <v>42828</v>
      </c>
      <c r="AB839" s="595" t="s">
        <v>449</v>
      </c>
      <c r="AC839" s="595">
        <v>48227.75</v>
      </c>
      <c r="AD839" s="596" t="s">
        <v>395</v>
      </c>
      <c r="AE839" s="595">
        <v>274.51</v>
      </c>
      <c r="AF839" s="597">
        <f t="shared" si="52"/>
        <v>1.4914051083636526E-3</v>
      </c>
      <c r="AG839" s="597">
        <f t="shared" si="53"/>
        <v>-3.9335083114610758E-2</v>
      </c>
    </row>
    <row r="840" spans="13:33" x14ac:dyDescent="0.35">
      <c r="M840" s="555">
        <v>42832</v>
      </c>
      <c r="N840" s="543" t="s">
        <v>449</v>
      </c>
      <c r="O840" s="543">
        <v>47889.37</v>
      </c>
      <c r="P840" s="73" t="s">
        <v>431</v>
      </c>
      <c r="Q840" s="158">
        <v>53.22</v>
      </c>
      <c r="R840" s="563">
        <f t="shared" si="50"/>
        <v>1.125017421014185E-2</v>
      </c>
      <c r="S840" s="563">
        <f t="shared" si="51"/>
        <v>5.0991501416430829E-3</v>
      </c>
      <c r="AA840" s="594">
        <v>42830</v>
      </c>
      <c r="AB840" s="595" t="s">
        <v>449</v>
      </c>
      <c r="AC840" s="595">
        <v>47577.31</v>
      </c>
      <c r="AD840" s="596" t="s">
        <v>395</v>
      </c>
      <c r="AE840" s="595">
        <v>288.19</v>
      </c>
      <c r="AF840" s="597">
        <f t="shared" si="52"/>
        <v>-1.3486841082157142E-2</v>
      </c>
      <c r="AG840" s="597">
        <f t="shared" si="53"/>
        <v>4.983425011839282E-2</v>
      </c>
    </row>
    <row r="841" spans="13:33" x14ac:dyDescent="0.35">
      <c r="M841" s="555">
        <v>42835</v>
      </c>
      <c r="N841" s="543" t="s">
        <v>449</v>
      </c>
      <c r="O841" s="543">
        <v>47942.95</v>
      </c>
      <c r="P841" s="73" t="s">
        <v>431</v>
      </c>
      <c r="Q841" s="158">
        <v>52.67</v>
      </c>
      <c r="R841" s="563">
        <f t="shared" si="50"/>
        <v>1.118828666988092E-3</v>
      </c>
      <c r="S841" s="563">
        <f t="shared" si="51"/>
        <v>-1.03344607290492E-2</v>
      </c>
      <c r="AA841" s="594">
        <v>42831</v>
      </c>
      <c r="AB841" s="595" t="s">
        <v>449</v>
      </c>
      <c r="AC841" s="595">
        <v>47356.6</v>
      </c>
      <c r="AD841" s="596" t="s">
        <v>395</v>
      </c>
      <c r="AE841" s="595">
        <v>284.3</v>
      </c>
      <c r="AF841" s="597">
        <f t="shared" si="52"/>
        <v>-4.6389760160883142E-3</v>
      </c>
      <c r="AG841" s="597">
        <f t="shared" si="53"/>
        <v>-1.3498039487837787E-2</v>
      </c>
    </row>
    <row r="842" spans="13:33" x14ac:dyDescent="0.35">
      <c r="M842" s="526">
        <v>42837</v>
      </c>
      <c r="N842" s="524" t="s">
        <v>449</v>
      </c>
      <c r="O842" s="524">
        <v>48457.26</v>
      </c>
      <c r="P842" s="73" t="s">
        <v>431</v>
      </c>
      <c r="Q842">
        <v>53.94</v>
      </c>
      <c r="R842" s="563">
        <f t="shared" si="50"/>
        <v>1.0727541797073581E-2</v>
      </c>
      <c r="S842" s="563">
        <f t="shared" si="51"/>
        <v>2.4112397949496822E-2</v>
      </c>
      <c r="AA842" s="594">
        <v>42832</v>
      </c>
      <c r="AB842" s="595" t="s">
        <v>449</v>
      </c>
      <c r="AC842" s="595">
        <v>47889.37</v>
      </c>
      <c r="AD842" s="596" t="s">
        <v>395</v>
      </c>
      <c r="AE842" s="595">
        <v>285</v>
      </c>
      <c r="AF842" s="597">
        <f t="shared" si="52"/>
        <v>1.125017421014185E-2</v>
      </c>
      <c r="AG842" s="597">
        <f t="shared" si="53"/>
        <v>2.4621878297572675E-3</v>
      </c>
    </row>
    <row r="843" spans="13:33" x14ac:dyDescent="0.35">
      <c r="M843" s="555">
        <v>42838</v>
      </c>
      <c r="N843" s="543" t="s">
        <v>449</v>
      </c>
      <c r="O843" s="543">
        <v>47950.58</v>
      </c>
      <c r="P843" s="73" t="s">
        <v>431</v>
      </c>
      <c r="Q843" s="158">
        <v>53.12</v>
      </c>
      <c r="R843" s="563">
        <f t="shared" si="50"/>
        <v>-1.0456224722569907E-2</v>
      </c>
      <c r="S843" s="563">
        <f t="shared" si="51"/>
        <v>-1.520207638116422E-2</v>
      </c>
      <c r="AA843" s="594">
        <v>42835</v>
      </c>
      <c r="AB843" s="595" t="s">
        <v>449</v>
      </c>
      <c r="AC843" s="595">
        <v>47942.95</v>
      </c>
      <c r="AD843" s="596" t="s">
        <v>395</v>
      </c>
      <c r="AE843" s="595">
        <v>285</v>
      </c>
      <c r="AF843" s="597">
        <f t="shared" si="52"/>
        <v>1.118828666988092E-3</v>
      </c>
      <c r="AG843" s="597">
        <f t="shared" si="53"/>
        <v>0</v>
      </c>
    </row>
    <row r="844" spans="13:33" x14ac:dyDescent="0.35">
      <c r="M844" s="555">
        <v>42839</v>
      </c>
      <c r="N844" s="543" t="s">
        <v>449</v>
      </c>
      <c r="O844" s="543">
        <v>47577.06</v>
      </c>
      <c r="P844" s="73" t="s">
        <v>431</v>
      </c>
      <c r="Q844" s="158">
        <v>51.84</v>
      </c>
      <c r="R844" s="563">
        <f t="shared" si="50"/>
        <v>-7.7896867983662244E-3</v>
      </c>
      <c r="S844" s="563">
        <f t="shared" si="51"/>
        <v>-2.409638554216853E-2</v>
      </c>
      <c r="AA844" s="594">
        <v>42837</v>
      </c>
      <c r="AB844" s="595" t="s">
        <v>449</v>
      </c>
      <c r="AC844" s="595">
        <v>48457.26</v>
      </c>
      <c r="AD844" s="596" t="s">
        <v>395</v>
      </c>
      <c r="AE844" s="595">
        <v>285</v>
      </c>
      <c r="AF844" s="597">
        <f t="shared" si="52"/>
        <v>1.0727541797073581E-2</v>
      </c>
      <c r="AG844" s="597">
        <f t="shared" si="53"/>
        <v>0</v>
      </c>
    </row>
    <row r="845" spans="13:33" x14ac:dyDescent="0.35">
      <c r="M845" s="555">
        <v>42842</v>
      </c>
      <c r="N845" s="543" t="s">
        <v>449</v>
      </c>
      <c r="O845" s="543">
        <v>47125.120000000003</v>
      </c>
      <c r="P845" s="73" t="s">
        <v>431</v>
      </c>
      <c r="Q845" s="158">
        <v>50.01</v>
      </c>
      <c r="R845" s="563">
        <f t="shared" si="50"/>
        <v>-9.4991157503215851E-3</v>
      </c>
      <c r="S845" s="563">
        <f t="shared" si="51"/>
        <v>-3.5300925925926041E-2</v>
      </c>
      <c r="AA845" s="594">
        <v>42838</v>
      </c>
      <c r="AB845" s="595" t="s">
        <v>449</v>
      </c>
      <c r="AC845" s="595">
        <v>47950.58</v>
      </c>
      <c r="AD845" s="596" t="s">
        <v>395</v>
      </c>
      <c r="AE845" s="595">
        <v>277.39</v>
      </c>
      <c r="AF845" s="597">
        <f t="shared" si="52"/>
        <v>-1.0456224722569907E-2</v>
      </c>
      <c r="AG845" s="597">
        <f t="shared" si="53"/>
        <v>-2.6701754385965004E-2</v>
      </c>
    </row>
    <row r="846" spans="13:33" x14ac:dyDescent="0.35">
      <c r="M846" s="555">
        <v>42843</v>
      </c>
      <c r="N846" s="543" t="s">
        <v>449</v>
      </c>
      <c r="O846" s="543">
        <v>46874.37</v>
      </c>
      <c r="P846" s="73" t="s">
        <v>431</v>
      </c>
      <c r="Q846" s="158">
        <v>48.21</v>
      </c>
      <c r="R846" s="563">
        <f t="shared" si="50"/>
        <v>-5.3209413578151343E-3</v>
      </c>
      <c r="S846" s="563">
        <f t="shared" si="51"/>
        <v>-3.5992801439711952E-2</v>
      </c>
      <c r="AA846" s="594">
        <v>42839</v>
      </c>
      <c r="AB846" s="595" t="s">
        <v>449</v>
      </c>
      <c r="AC846" s="595">
        <v>47577.06</v>
      </c>
      <c r="AD846" s="596" t="s">
        <v>395</v>
      </c>
      <c r="AE846" s="595">
        <v>272.33</v>
      </c>
      <c r="AF846" s="597">
        <f t="shared" si="52"/>
        <v>-7.7896867983662244E-3</v>
      </c>
      <c r="AG846" s="597">
        <f t="shared" si="53"/>
        <v>-1.8241465085259034E-2</v>
      </c>
    </row>
    <row r="847" spans="13:33" x14ac:dyDescent="0.35">
      <c r="M847" s="555">
        <v>42844</v>
      </c>
      <c r="N847" s="543" t="s">
        <v>449</v>
      </c>
      <c r="O847" s="543">
        <v>47603.48</v>
      </c>
      <c r="P847" s="73" t="s">
        <v>431</v>
      </c>
      <c r="Q847" s="158">
        <v>46.85</v>
      </c>
      <c r="R847" s="563">
        <f t="shared" si="50"/>
        <v>1.5554555719895502E-2</v>
      </c>
      <c r="S847" s="563">
        <f t="shared" si="51"/>
        <v>-2.8209914955403481E-2</v>
      </c>
      <c r="AA847" s="594">
        <v>42842</v>
      </c>
      <c r="AB847" s="595" t="s">
        <v>449</v>
      </c>
      <c r="AC847" s="595">
        <v>47125.120000000003</v>
      </c>
      <c r="AD847" s="596" t="s">
        <v>395</v>
      </c>
      <c r="AE847" s="595">
        <v>262.18</v>
      </c>
      <c r="AF847" s="597">
        <f t="shared" si="52"/>
        <v>-9.4991157503215851E-3</v>
      </c>
      <c r="AG847" s="597">
        <f t="shared" si="53"/>
        <v>-3.7270958028861934E-2</v>
      </c>
    </row>
    <row r="848" spans="13:33" x14ac:dyDescent="0.35">
      <c r="M848" s="555">
        <v>42845</v>
      </c>
      <c r="N848" s="543" t="s">
        <v>449</v>
      </c>
      <c r="O848" s="543">
        <v>48743.56</v>
      </c>
      <c r="P848" s="73" t="s">
        <v>431</v>
      </c>
      <c r="Q848" s="158">
        <v>49.02</v>
      </c>
      <c r="R848" s="563">
        <f t="shared" si="50"/>
        <v>2.3949509573669703E-2</v>
      </c>
      <c r="S848" s="563">
        <f t="shared" si="51"/>
        <v>4.631803628601916E-2</v>
      </c>
      <c r="AA848" s="594">
        <v>42843</v>
      </c>
      <c r="AB848" s="595" t="s">
        <v>449</v>
      </c>
      <c r="AC848" s="595">
        <v>46874.37</v>
      </c>
      <c r="AD848" s="596" t="s">
        <v>395</v>
      </c>
      <c r="AE848" s="595">
        <v>262.37</v>
      </c>
      <c r="AF848" s="597">
        <f t="shared" si="52"/>
        <v>-5.3209413578151343E-3</v>
      </c>
      <c r="AG848" s="597">
        <f t="shared" si="53"/>
        <v>7.2469295903587749E-4</v>
      </c>
    </row>
    <row r="849" spans="13:33" x14ac:dyDescent="0.35">
      <c r="M849" s="555">
        <v>42846</v>
      </c>
      <c r="N849" s="543" t="s">
        <v>449</v>
      </c>
      <c r="O849" s="543">
        <v>49708.65</v>
      </c>
      <c r="P849" s="73" t="s">
        <v>431</v>
      </c>
      <c r="Q849" s="158">
        <v>51.47</v>
      </c>
      <c r="R849" s="563">
        <f t="shared" si="50"/>
        <v>1.9799333491439697E-2</v>
      </c>
      <c r="S849" s="563">
        <f t="shared" si="51"/>
        <v>4.997960016319869E-2</v>
      </c>
      <c r="AA849" s="594">
        <v>42844</v>
      </c>
      <c r="AB849" s="595" t="s">
        <v>449</v>
      </c>
      <c r="AC849" s="595">
        <v>47603.48</v>
      </c>
      <c r="AD849" s="596" t="s">
        <v>395</v>
      </c>
      <c r="AE849" s="595">
        <v>274.8</v>
      </c>
      <c r="AF849" s="597">
        <f t="shared" si="52"/>
        <v>1.5554555719895502E-2</v>
      </c>
      <c r="AG849" s="597">
        <f t="shared" si="53"/>
        <v>4.7375843274764629E-2</v>
      </c>
    </row>
    <row r="850" spans="13:33" x14ac:dyDescent="0.35">
      <c r="M850" s="555">
        <v>42849</v>
      </c>
      <c r="N850" s="543" t="s">
        <v>449</v>
      </c>
      <c r="O850" s="543">
        <v>50111.67</v>
      </c>
      <c r="P850" s="73" t="s">
        <v>431</v>
      </c>
      <c r="Q850" s="158">
        <v>52.79</v>
      </c>
      <c r="R850" s="563">
        <f t="shared" si="50"/>
        <v>8.1076432371427476E-3</v>
      </c>
      <c r="S850" s="563">
        <f t="shared" si="51"/>
        <v>2.5646007382941427E-2</v>
      </c>
      <c r="AA850" s="594">
        <v>42845</v>
      </c>
      <c r="AB850" s="595" t="s">
        <v>449</v>
      </c>
      <c r="AC850" s="595">
        <v>48743.56</v>
      </c>
      <c r="AD850" s="596" t="s">
        <v>395</v>
      </c>
      <c r="AE850" s="595">
        <v>287.51</v>
      </c>
      <c r="AF850" s="597">
        <f t="shared" si="52"/>
        <v>2.3949509573669703E-2</v>
      </c>
      <c r="AG850" s="597">
        <f t="shared" si="53"/>
        <v>4.6251819505094494E-2</v>
      </c>
    </row>
    <row r="851" spans="13:33" x14ac:dyDescent="0.35">
      <c r="M851" s="555">
        <v>42850</v>
      </c>
      <c r="N851" s="543" t="s">
        <v>449</v>
      </c>
      <c r="O851" s="543">
        <v>49785.17</v>
      </c>
      <c r="P851" s="73" t="s">
        <v>431</v>
      </c>
      <c r="Q851" s="158">
        <v>51.69</v>
      </c>
      <c r="R851" s="563">
        <f t="shared" si="50"/>
        <v>-6.5154483975489175E-3</v>
      </c>
      <c r="S851" s="563">
        <f t="shared" si="51"/>
        <v>-2.083727978783867E-2</v>
      </c>
      <c r="AA851" s="594">
        <v>42846</v>
      </c>
      <c r="AB851" s="595" t="s">
        <v>449</v>
      </c>
      <c r="AC851" s="595">
        <v>49708.65</v>
      </c>
      <c r="AD851" s="596" t="s">
        <v>395</v>
      </c>
      <c r="AE851" s="595">
        <v>301.44</v>
      </c>
      <c r="AF851" s="597">
        <f t="shared" si="52"/>
        <v>1.9799333491439697E-2</v>
      </c>
      <c r="AG851" s="597">
        <f t="shared" si="53"/>
        <v>4.8450488678654757E-2</v>
      </c>
    </row>
    <row r="852" spans="13:33" x14ac:dyDescent="0.35">
      <c r="M852" s="555">
        <v>42851</v>
      </c>
      <c r="N852" s="543" t="s">
        <v>449</v>
      </c>
      <c r="O852" s="543">
        <v>49827.51</v>
      </c>
      <c r="P852" s="73" t="s">
        <v>431</v>
      </c>
      <c r="Q852" s="158">
        <v>51.79</v>
      </c>
      <c r="R852" s="563">
        <f t="shared" si="50"/>
        <v>8.504540609182154E-4</v>
      </c>
      <c r="S852" s="563">
        <f t="shared" si="51"/>
        <v>1.9346101760495671E-3</v>
      </c>
      <c r="AA852" s="594">
        <v>42849</v>
      </c>
      <c r="AB852" s="595" t="s">
        <v>449</v>
      </c>
      <c r="AC852" s="595">
        <v>50111.67</v>
      </c>
      <c r="AD852" s="596" t="s">
        <v>395</v>
      </c>
      <c r="AE852" s="595">
        <v>305.45</v>
      </c>
      <c r="AF852" s="597">
        <f t="shared" si="52"/>
        <v>8.1076432371427476E-3</v>
      </c>
      <c r="AG852" s="597">
        <f t="shared" si="53"/>
        <v>1.330281316348203E-2</v>
      </c>
    </row>
    <row r="853" spans="13:33" x14ac:dyDescent="0.35">
      <c r="M853" s="555">
        <v>42852</v>
      </c>
      <c r="N853" s="543" t="s">
        <v>449</v>
      </c>
      <c r="O853" s="543">
        <v>49481.7</v>
      </c>
      <c r="P853" s="73" t="s">
        <v>431</v>
      </c>
      <c r="Q853" s="158">
        <v>51.4</v>
      </c>
      <c r="R853" s="563">
        <f t="shared" si="50"/>
        <v>-6.9401421022243781E-3</v>
      </c>
      <c r="S853" s="563">
        <f t="shared" si="51"/>
        <v>-7.5304112763081577E-3</v>
      </c>
      <c r="AA853" s="594">
        <v>42850</v>
      </c>
      <c r="AB853" s="595" t="s">
        <v>449</v>
      </c>
      <c r="AC853" s="595">
        <v>49785.17</v>
      </c>
      <c r="AD853" s="596" t="s">
        <v>395</v>
      </c>
      <c r="AE853" s="595">
        <v>319.52</v>
      </c>
      <c r="AF853" s="597">
        <f t="shared" si="52"/>
        <v>-6.5154483975489175E-3</v>
      </c>
      <c r="AG853" s="597">
        <f t="shared" si="53"/>
        <v>4.6063185464069401E-2</v>
      </c>
    </row>
    <row r="854" spans="13:33" x14ac:dyDescent="0.35">
      <c r="M854" s="555">
        <v>42853</v>
      </c>
      <c r="N854" s="543" t="s">
        <v>449</v>
      </c>
      <c r="O854" s="543">
        <v>49300.9</v>
      </c>
      <c r="P854" s="73" t="s">
        <v>431</v>
      </c>
      <c r="Q854" s="158">
        <v>51.18</v>
      </c>
      <c r="R854" s="563">
        <f t="shared" si="50"/>
        <v>-3.6538760794393443E-3</v>
      </c>
      <c r="S854" s="563">
        <f t="shared" si="51"/>
        <v>-4.2801556420233311E-3</v>
      </c>
      <c r="AA854" s="594">
        <v>42851</v>
      </c>
      <c r="AB854" s="595" t="s">
        <v>449</v>
      </c>
      <c r="AC854" s="595">
        <v>49827.51</v>
      </c>
      <c r="AD854" s="596" t="s">
        <v>395</v>
      </c>
      <c r="AE854" s="595">
        <v>313.13</v>
      </c>
      <c r="AF854" s="597">
        <f t="shared" si="52"/>
        <v>8.504540609182154E-4</v>
      </c>
      <c r="AG854" s="597">
        <f t="shared" si="53"/>
        <v>-1.9998748122183274E-2</v>
      </c>
    </row>
    <row r="855" spans="13:33" x14ac:dyDescent="0.35">
      <c r="M855" s="555">
        <v>42857</v>
      </c>
      <c r="N855" s="543" t="s">
        <v>449</v>
      </c>
      <c r="O855" s="543">
        <v>48689.42</v>
      </c>
      <c r="P855" s="73" t="s">
        <v>431</v>
      </c>
      <c r="Q855" s="158">
        <v>49.07</v>
      </c>
      <c r="R855" s="563">
        <f t="shared" si="50"/>
        <v>-1.2403019011823391E-2</v>
      </c>
      <c r="S855" s="563">
        <f t="shared" si="51"/>
        <v>-4.1227041813208243E-2</v>
      </c>
      <c r="AA855" s="594">
        <v>42852</v>
      </c>
      <c r="AB855" s="595" t="s">
        <v>449</v>
      </c>
      <c r="AC855" s="595">
        <v>49481.7</v>
      </c>
      <c r="AD855" s="596" t="s">
        <v>395</v>
      </c>
      <c r="AE855" s="595">
        <v>309.5</v>
      </c>
      <c r="AF855" s="597">
        <f t="shared" si="52"/>
        <v>-6.9401421022243781E-3</v>
      </c>
      <c r="AG855" s="597">
        <f t="shared" si="53"/>
        <v>-1.1592629259412957E-2</v>
      </c>
    </row>
    <row r="856" spans="13:33" x14ac:dyDescent="0.35">
      <c r="M856" s="526">
        <v>42859</v>
      </c>
      <c r="N856" s="524" t="s">
        <v>449</v>
      </c>
      <c r="O856" s="524">
        <v>49283.64</v>
      </c>
      <c r="P856" s="73" t="s">
        <v>431</v>
      </c>
      <c r="Q856">
        <v>49.15</v>
      </c>
      <c r="R856" s="563">
        <f t="shared" si="50"/>
        <v>1.2204294074564803E-2</v>
      </c>
      <c r="S856" s="563">
        <f t="shared" si="51"/>
        <v>1.6303240269002206E-3</v>
      </c>
      <c r="AA856" s="594">
        <v>42853</v>
      </c>
      <c r="AB856" s="595" t="s">
        <v>449</v>
      </c>
      <c r="AC856" s="595">
        <v>49300.9</v>
      </c>
      <c r="AD856" s="596" t="s">
        <v>395</v>
      </c>
      <c r="AE856" s="595">
        <v>302.94</v>
      </c>
      <c r="AF856" s="597">
        <f t="shared" si="52"/>
        <v>-3.6538760794393443E-3</v>
      </c>
      <c r="AG856" s="597">
        <f t="shared" si="53"/>
        <v>-2.1195476575121219E-2</v>
      </c>
    </row>
    <row r="857" spans="13:33" x14ac:dyDescent="0.35">
      <c r="M857" s="555">
        <v>42860</v>
      </c>
      <c r="N857" s="543" t="s">
        <v>449</v>
      </c>
      <c r="O857" s="543">
        <v>49851.13</v>
      </c>
      <c r="P857" s="73" t="s">
        <v>431</v>
      </c>
      <c r="Q857" s="158">
        <v>49.37</v>
      </c>
      <c r="R857" s="563">
        <f t="shared" si="50"/>
        <v>1.1514774476885092E-2</v>
      </c>
      <c r="S857" s="563">
        <f t="shared" si="51"/>
        <v>4.4760935910477251E-3</v>
      </c>
      <c r="AA857" s="594">
        <v>42857</v>
      </c>
      <c r="AB857" s="595" t="s">
        <v>449</v>
      </c>
      <c r="AC857" s="595">
        <v>48689.42</v>
      </c>
      <c r="AD857" s="596" t="s">
        <v>395</v>
      </c>
      <c r="AE857" s="595">
        <v>295.44</v>
      </c>
      <c r="AF857" s="597">
        <f t="shared" si="52"/>
        <v>-1.2403019011823391E-2</v>
      </c>
      <c r="AG857" s="597">
        <f t="shared" si="53"/>
        <v>-2.4757377698554128E-2</v>
      </c>
    </row>
    <row r="858" spans="13:33" x14ac:dyDescent="0.35">
      <c r="M858" s="555">
        <v>42863</v>
      </c>
      <c r="N858" s="543" t="s">
        <v>449</v>
      </c>
      <c r="O858" s="543">
        <v>50935.91</v>
      </c>
      <c r="P858" s="73" t="s">
        <v>431</v>
      </c>
      <c r="Q858" s="158">
        <v>49.61</v>
      </c>
      <c r="R858" s="563">
        <f t="shared" ref="R858:R921" si="54">(O858/O857)-1</f>
        <v>2.1760389383350009E-2</v>
      </c>
      <c r="S858" s="563">
        <f t="shared" ref="S858:S921" si="55">(Q858/Q857)-1</f>
        <v>4.8612517723314319E-3</v>
      </c>
      <c r="AA858" s="594">
        <v>42859</v>
      </c>
      <c r="AB858" s="595" t="s">
        <v>449</v>
      </c>
      <c r="AC858" s="595">
        <v>49283.64</v>
      </c>
      <c r="AD858" s="596" t="s">
        <v>395</v>
      </c>
      <c r="AE858" s="595">
        <v>290</v>
      </c>
      <c r="AF858" s="597">
        <f t="shared" si="52"/>
        <v>1.2204294074564803E-2</v>
      </c>
      <c r="AG858" s="597">
        <f t="shared" si="53"/>
        <v>-1.8413214189006211E-2</v>
      </c>
    </row>
    <row r="859" spans="13:33" x14ac:dyDescent="0.35">
      <c r="M859" s="555">
        <v>42864</v>
      </c>
      <c r="N859" s="543" t="s">
        <v>449</v>
      </c>
      <c r="O859" s="543">
        <v>51073.14</v>
      </c>
      <c r="P859" s="73" t="s">
        <v>431</v>
      </c>
      <c r="Q859" s="158">
        <v>52.08</v>
      </c>
      <c r="R859" s="563">
        <f t="shared" si="54"/>
        <v>2.6941699873428426E-3</v>
      </c>
      <c r="S859" s="563">
        <f t="shared" si="55"/>
        <v>4.9788349123160547E-2</v>
      </c>
      <c r="AA859" s="594">
        <v>42860</v>
      </c>
      <c r="AB859" s="595" t="s">
        <v>449</v>
      </c>
      <c r="AC859" s="595">
        <v>49851.13</v>
      </c>
      <c r="AD859" s="596" t="s">
        <v>395</v>
      </c>
      <c r="AE859" s="595">
        <v>294.81</v>
      </c>
      <c r="AF859" s="597">
        <f t="shared" si="52"/>
        <v>1.1514774476885092E-2</v>
      </c>
      <c r="AG859" s="597">
        <f t="shared" si="53"/>
        <v>1.6586206896551658E-2</v>
      </c>
    </row>
    <row r="860" spans="13:33" x14ac:dyDescent="0.35">
      <c r="M860" s="555">
        <v>42865</v>
      </c>
      <c r="N860" s="543" t="s">
        <v>449</v>
      </c>
      <c r="O860" s="543">
        <v>51103.53</v>
      </c>
      <c r="P860" s="73" t="s">
        <v>431</v>
      </c>
      <c r="Q860" s="158">
        <v>54.68</v>
      </c>
      <c r="R860" s="563">
        <f t="shared" si="54"/>
        <v>5.9502901133545727E-4</v>
      </c>
      <c r="S860" s="563">
        <f t="shared" si="55"/>
        <v>4.9923195084485394E-2</v>
      </c>
      <c r="AA860" s="594">
        <v>42863</v>
      </c>
      <c r="AB860" s="595" t="s">
        <v>449</v>
      </c>
      <c r="AC860" s="595">
        <v>50935.91</v>
      </c>
      <c r="AD860" s="596" t="s">
        <v>395</v>
      </c>
      <c r="AE860" s="595">
        <v>298.60000000000002</v>
      </c>
      <c r="AF860" s="597">
        <f t="shared" ref="AF860:AF923" si="56">(AC860/AC859)-1</f>
        <v>2.1760389383350009E-2</v>
      </c>
      <c r="AG860" s="597">
        <f t="shared" ref="AG860:AG923" si="57">(AE860/AE859)-1</f>
        <v>1.2855737593704397E-2</v>
      </c>
    </row>
    <row r="861" spans="13:33" x14ac:dyDescent="0.35">
      <c r="M861" s="555">
        <v>42866</v>
      </c>
      <c r="N861" s="543" t="s">
        <v>449</v>
      </c>
      <c r="O861" s="543">
        <v>51426.01</v>
      </c>
      <c r="P861" s="73" t="s">
        <v>431</v>
      </c>
      <c r="Q861" s="158">
        <v>57.07</v>
      </c>
      <c r="R861" s="563">
        <f t="shared" si="54"/>
        <v>6.3103272905022934E-3</v>
      </c>
      <c r="S861" s="563">
        <f t="shared" si="55"/>
        <v>4.3708851499634216E-2</v>
      </c>
      <c r="AA861" s="594">
        <v>42864</v>
      </c>
      <c r="AB861" s="595" t="s">
        <v>449</v>
      </c>
      <c r="AC861" s="595">
        <v>51073.14</v>
      </c>
      <c r="AD861" s="596" t="s">
        <v>395</v>
      </c>
      <c r="AE861" s="595">
        <v>293.01</v>
      </c>
      <c r="AF861" s="597">
        <f t="shared" si="56"/>
        <v>2.6941699873428426E-3</v>
      </c>
      <c r="AG861" s="597">
        <f t="shared" si="57"/>
        <v>-1.872069658405906E-2</v>
      </c>
    </row>
    <row r="862" spans="13:33" x14ac:dyDescent="0.35">
      <c r="M862" s="555">
        <v>42867</v>
      </c>
      <c r="N862" s="543" t="s">
        <v>449</v>
      </c>
      <c r="O862" s="543">
        <v>51750.91</v>
      </c>
      <c r="P862" s="73" t="s">
        <v>431</v>
      </c>
      <c r="Q862" s="158">
        <v>58.2</v>
      </c>
      <c r="R862" s="563">
        <f t="shared" si="54"/>
        <v>6.3178146622691056E-3</v>
      </c>
      <c r="S862" s="563">
        <f t="shared" si="55"/>
        <v>1.9800245312773912E-2</v>
      </c>
      <c r="AA862" s="594">
        <v>42865</v>
      </c>
      <c r="AB862" s="595" t="s">
        <v>449</v>
      </c>
      <c r="AC862" s="595">
        <v>51103.53</v>
      </c>
      <c r="AD862" s="596" t="s">
        <v>395</v>
      </c>
      <c r="AE862" s="595">
        <v>300</v>
      </c>
      <c r="AF862" s="597">
        <f t="shared" si="56"/>
        <v>5.9502901133545727E-4</v>
      </c>
      <c r="AG862" s="597">
        <f t="shared" si="57"/>
        <v>2.3855841097573549E-2</v>
      </c>
    </row>
    <row r="863" spans="13:33" x14ac:dyDescent="0.35">
      <c r="M863" s="555">
        <v>42870</v>
      </c>
      <c r="N863" s="543" t="s">
        <v>449</v>
      </c>
      <c r="O863" s="543">
        <v>52387.87</v>
      </c>
      <c r="P863" s="73" t="s">
        <v>431</v>
      </c>
      <c r="Q863" s="158">
        <v>58.38</v>
      </c>
      <c r="R863" s="563">
        <f t="shared" si="54"/>
        <v>1.2308189363240185E-2</v>
      </c>
      <c r="S863" s="563">
        <f t="shared" si="55"/>
        <v>3.0927835051546282E-3</v>
      </c>
      <c r="AA863" s="594">
        <v>42866</v>
      </c>
      <c r="AB863" s="595" t="s">
        <v>449</v>
      </c>
      <c r="AC863" s="595">
        <v>51426.01</v>
      </c>
      <c r="AD863" s="596" t="s">
        <v>395</v>
      </c>
      <c r="AE863" s="595">
        <v>313.82</v>
      </c>
      <c r="AF863" s="597">
        <f t="shared" si="56"/>
        <v>6.3103272905022934E-3</v>
      </c>
      <c r="AG863" s="597">
        <f t="shared" si="57"/>
        <v>4.60666666666667E-2</v>
      </c>
    </row>
    <row r="864" spans="13:33" x14ac:dyDescent="0.35">
      <c r="M864" s="555">
        <v>42871</v>
      </c>
      <c r="N864" s="543" t="s">
        <v>449</v>
      </c>
      <c r="O864" s="543">
        <v>51813.19</v>
      </c>
      <c r="P864" s="73" t="s">
        <v>431</v>
      </c>
      <c r="Q864" s="158">
        <v>56.21</v>
      </c>
      <c r="R864" s="563">
        <f t="shared" si="54"/>
        <v>-1.0969714935919361E-2</v>
      </c>
      <c r="S864" s="563">
        <f t="shared" si="55"/>
        <v>-3.7170263788968816E-2</v>
      </c>
      <c r="AA864" s="594">
        <v>42867</v>
      </c>
      <c r="AB864" s="595" t="s">
        <v>449</v>
      </c>
      <c r="AC864" s="595">
        <v>51750.91</v>
      </c>
      <c r="AD864" s="596" t="s">
        <v>395</v>
      </c>
      <c r="AE864" s="595">
        <v>312.82</v>
      </c>
      <c r="AF864" s="597">
        <f t="shared" si="56"/>
        <v>6.3178146622691056E-3</v>
      </c>
      <c r="AG864" s="597">
        <f t="shared" si="57"/>
        <v>-3.186540054808451E-3</v>
      </c>
    </row>
    <row r="865" spans="13:33" x14ac:dyDescent="0.35">
      <c r="M865" s="555">
        <v>42872</v>
      </c>
      <c r="N865" s="543" t="s">
        <v>449</v>
      </c>
      <c r="O865" s="543">
        <v>51511.41</v>
      </c>
      <c r="P865" s="73" t="s">
        <v>431</v>
      </c>
      <c r="Q865" s="158">
        <v>54.53</v>
      </c>
      <c r="R865" s="563">
        <f t="shared" si="54"/>
        <v>-5.8243856438872088E-3</v>
      </c>
      <c r="S865" s="563">
        <f t="shared" si="55"/>
        <v>-2.9887920298879211E-2</v>
      </c>
      <c r="AA865" s="594">
        <v>42870</v>
      </c>
      <c r="AB865" s="595" t="s">
        <v>449</v>
      </c>
      <c r="AC865" s="595">
        <v>52387.87</v>
      </c>
      <c r="AD865" s="596" t="s">
        <v>395</v>
      </c>
      <c r="AE865" s="595">
        <v>307.20999999999998</v>
      </c>
      <c r="AF865" s="597">
        <f t="shared" si="56"/>
        <v>1.2308189363240185E-2</v>
      </c>
      <c r="AG865" s="597">
        <f t="shared" si="57"/>
        <v>-1.7933635956780325E-2</v>
      </c>
    </row>
    <row r="866" spans="13:33" x14ac:dyDescent="0.35">
      <c r="M866" s="555">
        <v>42873</v>
      </c>
      <c r="N866" s="543" t="s">
        <v>449</v>
      </c>
      <c r="O866" s="543">
        <v>50956.6</v>
      </c>
      <c r="P866" s="73" t="s">
        <v>431</v>
      </c>
      <c r="Q866" s="158">
        <v>51.91</v>
      </c>
      <c r="R866" s="563">
        <f t="shared" si="54"/>
        <v>-1.0770623440515492E-2</v>
      </c>
      <c r="S866" s="563">
        <f t="shared" si="55"/>
        <v>-4.8046946634879961E-2</v>
      </c>
      <c r="AA866" s="594">
        <v>42871</v>
      </c>
      <c r="AB866" s="595" t="s">
        <v>449</v>
      </c>
      <c r="AC866" s="595">
        <v>51813.19</v>
      </c>
      <c r="AD866" s="596" t="s">
        <v>395</v>
      </c>
      <c r="AE866" s="595">
        <v>307</v>
      </c>
      <c r="AF866" s="597">
        <f t="shared" si="56"/>
        <v>-1.0969714935919361E-2</v>
      </c>
      <c r="AG866" s="597">
        <f t="shared" si="57"/>
        <v>-6.8357149832354303E-4</v>
      </c>
    </row>
    <row r="867" spans="13:33" x14ac:dyDescent="0.35">
      <c r="M867" s="555">
        <v>42874</v>
      </c>
      <c r="N867" s="543" t="s">
        <v>449</v>
      </c>
      <c r="O867" s="543">
        <v>50742.03</v>
      </c>
      <c r="P867" s="73" t="s">
        <v>431</v>
      </c>
      <c r="Q867" s="158">
        <v>50.08</v>
      </c>
      <c r="R867" s="563">
        <f t="shared" si="54"/>
        <v>-4.2108382427399338E-3</v>
      </c>
      <c r="S867" s="563">
        <f t="shared" si="55"/>
        <v>-3.5253323059140751E-2</v>
      </c>
      <c r="AA867" s="594">
        <v>42872</v>
      </c>
      <c r="AB867" s="595" t="s">
        <v>449</v>
      </c>
      <c r="AC867" s="595">
        <v>51511.41</v>
      </c>
      <c r="AD867" s="596" t="s">
        <v>395</v>
      </c>
      <c r="AE867" s="595">
        <v>303</v>
      </c>
      <c r="AF867" s="597">
        <f t="shared" si="56"/>
        <v>-5.8243856438872088E-3</v>
      </c>
      <c r="AG867" s="597">
        <f t="shared" si="57"/>
        <v>-1.3029315960912058E-2</v>
      </c>
    </row>
    <row r="868" spans="13:33" x14ac:dyDescent="0.35">
      <c r="M868" s="555">
        <v>42877</v>
      </c>
      <c r="N868" s="543" t="s">
        <v>449</v>
      </c>
      <c r="O868" s="543">
        <v>51373.51</v>
      </c>
      <c r="P868" s="73" t="s">
        <v>431</v>
      </c>
      <c r="Q868" s="158">
        <v>51.03</v>
      </c>
      <c r="R868" s="563">
        <f t="shared" si="54"/>
        <v>1.2444910067650028E-2</v>
      </c>
      <c r="S868" s="563">
        <f t="shared" si="55"/>
        <v>1.8969648562300323E-2</v>
      </c>
      <c r="AA868" s="594">
        <v>42873</v>
      </c>
      <c r="AB868" s="595" t="s">
        <v>449</v>
      </c>
      <c r="AC868" s="595">
        <v>50956.6</v>
      </c>
      <c r="AD868" s="596" t="s">
        <v>395</v>
      </c>
      <c r="AE868" s="595">
        <v>302</v>
      </c>
      <c r="AF868" s="597">
        <f t="shared" si="56"/>
        <v>-1.0770623440515492E-2</v>
      </c>
      <c r="AG868" s="597">
        <f t="shared" si="57"/>
        <v>-3.3003300330033403E-3</v>
      </c>
    </row>
    <row r="869" spans="13:33" x14ac:dyDescent="0.35">
      <c r="M869" s="555">
        <v>42878</v>
      </c>
      <c r="N869" s="543" t="s">
        <v>449</v>
      </c>
      <c r="O869" s="543">
        <v>52146.97</v>
      </c>
      <c r="P869" s="73" t="s">
        <v>431</v>
      </c>
      <c r="Q869" s="158">
        <v>50.5</v>
      </c>
      <c r="R869" s="563">
        <f t="shared" si="54"/>
        <v>1.5055619131338238E-2</v>
      </c>
      <c r="S869" s="563">
        <f t="shared" si="55"/>
        <v>-1.0386047423084466E-2</v>
      </c>
      <c r="AA869" s="594">
        <v>42874</v>
      </c>
      <c r="AB869" s="595" t="s">
        <v>449</v>
      </c>
      <c r="AC869" s="595">
        <v>50742.03</v>
      </c>
      <c r="AD869" s="596" t="s">
        <v>395</v>
      </c>
      <c r="AE869" s="595">
        <v>295</v>
      </c>
      <c r="AF869" s="597">
        <f t="shared" si="56"/>
        <v>-4.2108382427399338E-3</v>
      </c>
      <c r="AG869" s="597">
        <f t="shared" si="57"/>
        <v>-2.3178807947019875E-2</v>
      </c>
    </row>
    <row r="870" spans="13:33" x14ac:dyDescent="0.35">
      <c r="M870" s="555">
        <v>42879</v>
      </c>
      <c r="N870" s="543" t="s">
        <v>449</v>
      </c>
      <c r="O870" s="543">
        <v>52876.46</v>
      </c>
      <c r="P870" s="73" t="s">
        <v>431</v>
      </c>
      <c r="Q870" s="158">
        <v>50.3</v>
      </c>
      <c r="R870" s="563">
        <f t="shared" si="54"/>
        <v>1.3989115762622406E-2</v>
      </c>
      <c r="S870" s="563">
        <f t="shared" si="55"/>
        <v>-3.9603960396039639E-3</v>
      </c>
      <c r="AA870" s="594">
        <v>42877</v>
      </c>
      <c r="AB870" s="595" t="s">
        <v>449</v>
      </c>
      <c r="AC870" s="595">
        <v>51373.51</v>
      </c>
      <c r="AD870" s="596" t="s">
        <v>395</v>
      </c>
      <c r="AE870" s="595">
        <v>293</v>
      </c>
      <c r="AF870" s="597">
        <f t="shared" si="56"/>
        <v>1.2444910067650028E-2</v>
      </c>
      <c r="AG870" s="597">
        <f t="shared" si="57"/>
        <v>-6.7796610169491567E-3</v>
      </c>
    </row>
    <row r="871" spans="13:33" x14ac:dyDescent="0.35">
      <c r="M871" s="555">
        <v>42880</v>
      </c>
      <c r="N871" s="543" t="s">
        <v>449</v>
      </c>
      <c r="O871" s="543">
        <v>52869.01</v>
      </c>
      <c r="P871" s="73" t="s">
        <v>431</v>
      </c>
      <c r="Q871" s="158">
        <v>49.66</v>
      </c>
      <c r="R871" s="563">
        <f t="shared" si="54"/>
        <v>-1.4089445473464135E-4</v>
      </c>
      <c r="S871" s="563">
        <f t="shared" si="55"/>
        <v>-1.2723658051689846E-2</v>
      </c>
      <c r="AA871" s="594">
        <v>42878</v>
      </c>
      <c r="AB871" s="595" t="s">
        <v>449</v>
      </c>
      <c r="AC871" s="595">
        <v>52146.97</v>
      </c>
      <c r="AD871" s="596" t="s">
        <v>395</v>
      </c>
      <c r="AE871" s="595">
        <v>295</v>
      </c>
      <c r="AF871" s="597">
        <f t="shared" si="56"/>
        <v>1.5055619131338238E-2</v>
      </c>
      <c r="AG871" s="597">
        <f t="shared" si="57"/>
        <v>6.8259385665530026E-3</v>
      </c>
    </row>
    <row r="872" spans="13:33" x14ac:dyDescent="0.35">
      <c r="M872" s="555">
        <v>42881</v>
      </c>
      <c r="N872" s="543" t="s">
        <v>449</v>
      </c>
      <c r="O872" s="543">
        <v>52636.87</v>
      </c>
      <c r="P872" s="73" t="s">
        <v>431</v>
      </c>
      <c r="Q872" s="158">
        <v>50.36</v>
      </c>
      <c r="R872" s="563">
        <f t="shared" si="54"/>
        <v>-4.3908520322207822E-3</v>
      </c>
      <c r="S872" s="563">
        <f t="shared" si="55"/>
        <v>1.4095851792186975E-2</v>
      </c>
      <c r="AA872" s="594">
        <v>42879</v>
      </c>
      <c r="AB872" s="595" t="s">
        <v>449</v>
      </c>
      <c r="AC872" s="595">
        <v>52876.46</v>
      </c>
      <c r="AD872" s="596" t="s">
        <v>395</v>
      </c>
      <c r="AE872" s="595">
        <v>291.2</v>
      </c>
      <c r="AF872" s="597">
        <f t="shared" si="56"/>
        <v>1.3989115762622406E-2</v>
      </c>
      <c r="AG872" s="597">
        <f t="shared" si="57"/>
        <v>-1.2881355932203409E-2</v>
      </c>
    </row>
    <row r="873" spans="13:33" x14ac:dyDescent="0.35">
      <c r="M873" s="555">
        <v>42884</v>
      </c>
      <c r="N873" s="543" t="s">
        <v>449</v>
      </c>
      <c r="O873" s="543">
        <v>52138.9</v>
      </c>
      <c r="P873" s="73" t="s">
        <v>431</v>
      </c>
      <c r="Q873" s="158">
        <v>48.99</v>
      </c>
      <c r="R873" s="563">
        <f t="shared" si="54"/>
        <v>-9.4604789380523524E-3</v>
      </c>
      <c r="S873" s="563">
        <f t="shared" si="55"/>
        <v>-2.7204130262112769E-2</v>
      </c>
      <c r="AA873" s="594">
        <v>42880</v>
      </c>
      <c r="AB873" s="595" t="s">
        <v>449</v>
      </c>
      <c r="AC873" s="595">
        <v>52869.01</v>
      </c>
      <c r="AD873" s="596" t="s">
        <v>395</v>
      </c>
      <c r="AE873" s="595">
        <v>295</v>
      </c>
      <c r="AF873" s="597">
        <f t="shared" si="56"/>
        <v>-1.4089445473464135E-4</v>
      </c>
      <c r="AG873" s="597">
        <f t="shared" si="57"/>
        <v>1.3049450549450503E-2</v>
      </c>
    </row>
    <row r="874" spans="13:33" x14ac:dyDescent="0.35">
      <c r="M874" s="555">
        <v>42885</v>
      </c>
      <c r="N874" s="543" t="s">
        <v>449</v>
      </c>
      <c r="O874" s="543">
        <v>51453.16</v>
      </c>
      <c r="P874" s="73" t="s">
        <v>431</v>
      </c>
      <c r="Q874" s="158">
        <v>47.74</v>
      </c>
      <c r="R874" s="563">
        <f t="shared" si="54"/>
        <v>-1.3152176206249089E-2</v>
      </c>
      <c r="S874" s="563">
        <f t="shared" si="55"/>
        <v>-2.5515411308430269E-2</v>
      </c>
      <c r="AA874" s="594">
        <v>42881</v>
      </c>
      <c r="AB874" s="595" t="s">
        <v>449</v>
      </c>
      <c r="AC874" s="595">
        <v>52636.87</v>
      </c>
      <c r="AD874" s="596" t="s">
        <v>395</v>
      </c>
      <c r="AE874" s="595">
        <v>291.5</v>
      </c>
      <c r="AF874" s="597">
        <f t="shared" si="56"/>
        <v>-4.3908520322207822E-3</v>
      </c>
      <c r="AG874" s="597">
        <f t="shared" si="57"/>
        <v>-1.1864406779661052E-2</v>
      </c>
    </row>
    <row r="875" spans="13:33" x14ac:dyDescent="0.35">
      <c r="M875" s="555">
        <v>42886</v>
      </c>
      <c r="N875" s="543" t="s">
        <v>449</v>
      </c>
      <c r="O875" s="543">
        <v>50591.57</v>
      </c>
      <c r="P875" s="73" t="s">
        <v>431</v>
      </c>
      <c r="Q875" s="158">
        <v>48.3</v>
      </c>
      <c r="R875" s="563">
        <f t="shared" si="54"/>
        <v>-1.6745132854814049E-2</v>
      </c>
      <c r="S875" s="563">
        <f t="shared" si="55"/>
        <v>1.1730205278592365E-2</v>
      </c>
      <c r="AA875" s="594">
        <v>42884</v>
      </c>
      <c r="AB875" s="595" t="s">
        <v>449</v>
      </c>
      <c r="AC875" s="595">
        <v>52138.9</v>
      </c>
      <c r="AD875" s="596" t="s">
        <v>395</v>
      </c>
      <c r="AE875" s="595">
        <v>289.94</v>
      </c>
      <c r="AF875" s="597">
        <f t="shared" si="56"/>
        <v>-9.4604789380523524E-3</v>
      </c>
      <c r="AG875" s="597">
        <f t="shared" si="57"/>
        <v>-5.3516295025729521E-3</v>
      </c>
    </row>
    <row r="876" spans="13:33" x14ac:dyDescent="0.35">
      <c r="M876" s="555">
        <v>42887</v>
      </c>
      <c r="N876" s="543" t="s">
        <v>449</v>
      </c>
      <c r="O876" s="543">
        <v>48780.81</v>
      </c>
      <c r="P876" s="73" t="s">
        <v>431</v>
      </c>
      <c r="Q876" s="158">
        <v>46.13</v>
      </c>
      <c r="R876" s="563">
        <f t="shared" si="54"/>
        <v>-3.5791733682113525E-2</v>
      </c>
      <c r="S876" s="563">
        <f t="shared" si="55"/>
        <v>-4.4927536231883947E-2</v>
      </c>
      <c r="AA876" s="594">
        <v>42885</v>
      </c>
      <c r="AB876" s="595" t="s">
        <v>449</v>
      </c>
      <c r="AC876" s="595">
        <v>51453.16</v>
      </c>
      <c r="AD876" s="596" t="s">
        <v>395</v>
      </c>
      <c r="AE876" s="595">
        <v>277.89999999999998</v>
      </c>
      <c r="AF876" s="597">
        <f t="shared" si="56"/>
        <v>-1.3152176206249089E-2</v>
      </c>
      <c r="AG876" s="597">
        <f t="shared" si="57"/>
        <v>-4.1525832930951356E-2</v>
      </c>
    </row>
    <row r="877" spans="13:33" x14ac:dyDescent="0.35">
      <c r="M877" s="526">
        <v>42891</v>
      </c>
      <c r="N877" s="524" t="s">
        <v>449</v>
      </c>
      <c r="O877" s="524">
        <v>50120.92</v>
      </c>
      <c r="P877" s="73" t="s">
        <v>431</v>
      </c>
      <c r="Q877">
        <v>47.87</v>
      </c>
      <c r="R877" s="563">
        <f t="shared" si="54"/>
        <v>2.7472073546954245E-2</v>
      </c>
      <c r="S877" s="563">
        <f t="shared" si="55"/>
        <v>3.7719488402341073E-2</v>
      </c>
      <c r="AA877" s="594">
        <v>42886</v>
      </c>
      <c r="AB877" s="595" t="s">
        <v>449</v>
      </c>
      <c r="AC877" s="595">
        <v>50591.57</v>
      </c>
      <c r="AD877" s="596" t="s">
        <v>395</v>
      </c>
      <c r="AE877" s="595">
        <v>274.98</v>
      </c>
      <c r="AF877" s="597">
        <f t="shared" si="56"/>
        <v>-1.6745132854814049E-2</v>
      </c>
      <c r="AG877" s="597">
        <f t="shared" si="57"/>
        <v>-1.0507376754227971E-2</v>
      </c>
    </row>
    <row r="878" spans="13:33" x14ac:dyDescent="0.35">
      <c r="M878" s="555">
        <v>42892</v>
      </c>
      <c r="N878" s="543" t="s">
        <v>449</v>
      </c>
      <c r="O878" s="543">
        <v>50144.63</v>
      </c>
      <c r="P878" s="73" t="s">
        <v>431</v>
      </c>
      <c r="Q878" s="158">
        <v>48.27</v>
      </c>
      <c r="R878" s="563">
        <f t="shared" si="54"/>
        <v>4.7305596146274276E-4</v>
      </c>
      <c r="S878" s="563">
        <f t="shared" si="55"/>
        <v>8.3559640693546822E-3</v>
      </c>
      <c r="AA878" s="594">
        <v>42887</v>
      </c>
      <c r="AB878" s="595" t="s">
        <v>449</v>
      </c>
      <c r="AC878" s="595">
        <v>48780.81</v>
      </c>
      <c r="AD878" s="596" t="s">
        <v>395</v>
      </c>
      <c r="AE878" s="595">
        <v>268.77999999999997</v>
      </c>
      <c r="AF878" s="597">
        <f t="shared" si="56"/>
        <v>-3.5791733682113525E-2</v>
      </c>
      <c r="AG878" s="597">
        <f t="shared" si="57"/>
        <v>-2.2547094334133599E-2</v>
      </c>
    </row>
    <row r="879" spans="13:33" x14ac:dyDescent="0.35">
      <c r="M879" s="555">
        <v>42893</v>
      </c>
      <c r="N879" s="543" t="s">
        <v>449</v>
      </c>
      <c r="O879" s="543">
        <v>50162.81</v>
      </c>
      <c r="P879" s="73" t="s">
        <v>431</v>
      </c>
      <c r="Q879" s="158">
        <v>47.98</v>
      </c>
      <c r="R879" s="563">
        <f t="shared" si="54"/>
        <v>3.6255128415541016E-4</v>
      </c>
      <c r="S879" s="563">
        <f t="shared" si="55"/>
        <v>-6.0078723845039539E-3</v>
      </c>
      <c r="AA879" s="594">
        <v>42891</v>
      </c>
      <c r="AB879" s="595" t="s">
        <v>449</v>
      </c>
      <c r="AC879" s="595">
        <v>50120.92</v>
      </c>
      <c r="AD879" s="596" t="s">
        <v>395</v>
      </c>
      <c r="AE879" s="595">
        <v>279.12</v>
      </c>
      <c r="AF879" s="597">
        <f t="shared" si="56"/>
        <v>2.7472073546954245E-2</v>
      </c>
      <c r="AG879" s="597">
        <f t="shared" si="57"/>
        <v>3.8470124265198358E-2</v>
      </c>
    </row>
    <row r="880" spans="13:33" x14ac:dyDescent="0.35">
      <c r="M880" s="555">
        <v>42894</v>
      </c>
      <c r="N880" s="543" t="s">
        <v>449</v>
      </c>
      <c r="O880" s="543">
        <v>49958.33</v>
      </c>
      <c r="P880" s="73" t="s">
        <v>431</v>
      </c>
      <c r="Q880" s="158">
        <v>47.64</v>
      </c>
      <c r="R880" s="563">
        <f t="shared" si="54"/>
        <v>-4.0763266651129282E-3</v>
      </c>
      <c r="S880" s="563">
        <f t="shared" si="55"/>
        <v>-7.0862859524801758E-3</v>
      </c>
      <c r="AA880" s="594">
        <v>42892</v>
      </c>
      <c r="AB880" s="595" t="s">
        <v>449</v>
      </c>
      <c r="AC880" s="595">
        <v>50144.63</v>
      </c>
      <c r="AD880" s="596" t="s">
        <v>395</v>
      </c>
      <c r="AE880" s="595">
        <v>271</v>
      </c>
      <c r="AF880" s="597">
        <f t="shared" si="56"/>
        <v>4.7305596146274276E-4</v>
      </c>
      <c r="AG880" s="597">
        <f t="shared" si="57"/>
        <v>-2.9091430209228997E-2</v>
      </c>
    </row>
    <row r="881" spans="13:33" x14ac:dyDescent="0.35">
      <c r="M881" s="526">
        <v>42898</v>
      </c>
      <c r="N881" s="524" t="s">
        <v>449</v>
      </c>
      <c r="O881" s="524">
        <v>47671.8</v>
      </c>
      <c r="P881" s="73" t="s">
        <v>431</v>
      </c>
      <c r="Q881">
        <v>44.23</v>
      </c>
      <c r="R881" s="563">
        <f t="shared" si="54"/>
        <v>-4.5768743670975387E-2</v>
      </c>
      <c r="S881" s="563">
        <f t="shared" si="55"/>
        <v>-7.1578505457598696E-2</v>
      </c>
      <c r="AA881" s="594">
        <v>42893</v>
      </c>
      <c r="AB881" s="595" t="s">
        <v>449</v>
      </c>
      <c r="AC881" s="595">
        <v>50162.81</v>
      </c>
      <c r="AD881" s="596" t="s">
        <v>395</v>
      </c>
      <c r="AE881" s="595">
        <v>274.5</v>
      </c>
      <c r="AF881" s="597">
        <f t="shared" si="56"/>
        <v>3.6255128415541016E-4</v>
      </c>
      <c r="AG881" s="597">
        <f t="shared" si="57"/>
        <v>1.2915129151291449E-2</v>
      </c>
    </row>
    <row r="882" spans="13:33" x14ac:dyDescent="0.35">
      <c r="M882" s="555">
        <v>42899</v>
      </c>
      <c r="N882" s="543" t="s">
        <v>449</v>
      </c>
      <c r="O882" s="543">
        <v>48071.040000000001</v>
      </c>
      <c r="P882" s="73" t="s">
        <v>431</v>
      </c>
      <c r="Q882" s="158">
        <v>44.08</v>
      </c>
      <c r="R882" s="563">
        <f t="shared" si="54"/>
        <v>8.374762438170924E-3</v>
      </c>
      <c r="S882" s="563">
        <f t="shared" si="55"/>
        <v>-3.3913633280578948E-3</v>
      </c>
      <c r="AA882" s="594">
        <v>42894</v>
      </c>
      <c r="AB882" s="595" t="s">
        <v>449</v>
      </c>
      <c r="AC882" s="595">
        <v>49958.33</v>
      </c>
      <c r="AD882" s="596" t="s">
        <v>395</v>
      </c>
      <c r="AE882" s="595">
        <v>279</v>
      </c>
      <c r="AF882" s="597">
        <f t="shared" si="56"/>
        <v>-4.0763266651129282E-3</v>
      </c>
      <c r="AG882" s="597">
        <f t="shared" si="57"/>
        <v>1.6393442622950838E-2</v>
      </c>
    </row>
    <row r="883" spans="13:33" x14ac:dyDescent="0.35">
      <c r="M883" s="555">
        <v>42900</v>
      </c>
      <c r="N883" s="543" t="s">
        <v>449</v>
      </c>
      <c r="O883" s="543">
        <v>47608.639999999999</v>
      </c>
      <c r="P883" s="73" t="s">
        <v>431</v>
      </c>
      <c r="Q883" s="158">
        <v>42.05</v>
      </c>
      <c r="R883" s="563">
        <f t="shared" si="54"/>
        <v>-9.6190970696702349E-3</v>
      </c>
      <c r="S883" s="563">
        <f t="shared" si="55"/>
        <v>-4.6052631578947345E-2</v>
      </c>
      <c r="AA883" s="594">
        <v>42898</v>
      </c>
      <c r="AB883" s="595" t="s">
        <v>449</v>
      </c>
      <c r="AC883" s="595">
        <v>47671.8</v>
      </c>
      <c r="AD883" s="596" t="s">
        <v>395</v>
      </c>
      <c r="AE883" s="595">
        <v>267.5</v>
      </c>
      <c r="AF883" s="597">
        <f t="shared" si="56"/>
        <v>-4.5768743670975387E-2</v>
      </c>
      <c r="AG883" s="597">
        <f t="shared" si="57"/>
        <v>-4.1218637992831542E-2</v>
      </c>
    </row>
    <row r="884" spans="13:33" x14ac:dyDescent="0.35">
      <c r="M884" s="555">
        <v>42901</v>
      </c>
      <c r="N884" s="543" t="s">
        <v>449</v>
      </c>
      <c r="O884" s="543">
        <v>47442.73</v>
      </c>
      <c r="P884" s="73" t="s">
        <v>431</v>
      </c>
      <c r="Q884" s="158">
        <v>42.44</v>
      </c>
      <c r="R884" s="563">
        <f t="shared" si="54"/>
        <v>-3.4848716535484936E-3</v>
      </c>
      <c r="S884" s="563">
        <f t="shared" si="55"/>
        <v>9.2746730083235196E-3</v>
      </c>
      <c r="AA884" s="594">
        <v>42899</v>
      </c>
      <c r="AB884" s="595" t="s">
        <v>449</v>
      </c>
      <c r="AC884" s="595">
        <v>48071.040000000001</v>
      </c>
      <c r="AD884" s="596" t="s">
        <v>395</v>
      </c>
      <c r="AE884" s="595">
        <v>270</v>
      </c>
      <c r="AF884" s="597">
        <f t="shared" si="56"/>
        <v>8.374762438170924E-3</v>
      </c>
      <c r="AG884" s="597">
        <f t="shared" si="57"/>
        <v>9.3457943925232545E-3</v>
      </c>
    </row>
    <row r="885" spans="13:33" x14ac:dyDescent="0.35">
      <c r="M885" s="555">
        <v>42902</v>
      </c>
      <c r="N885" s="543" t="s">
        <v>449</v>
      </c>
      <c r="O885" s="543">
        <v>46858.559999999998</v>
      </c>
      <c r="P885" s="73" t="s">
        <v>431</v>
      </c>
      <c r="Q885" s="158">
        <v>41.66</v>
      </c>
      <c r="R885" s="563">
        <f t="shared" si="54"/>
        <v>-1.2313161573965226E-2</v>
      </c>
      <c r="S885" s="563">
        <f t="shared" si="55"/>
        <v>-1.8378887841658864E-2</v>
      </c>
      <c r="AA885" s="594">
        <v>42900</v>
      </c>
      <c r="AB885" s="595" t="s">
        <v>449</v>
      </c>
      <c r="AC885" s="595">
        <v>47608.639999999999</v>
      </c>
      <c r="AD885" s="596" t="s">
        <v>395</v>
      </c>
      <c r="AE885" s="595">
        <v>258.31</v>
      </c>
      <c r="AF885" s="597">
        <f t="shared" si="56"/>
        <v>-9.6190970696702349E-3</v>
      </c>
      <c r="AG885" s="597">
        <f t="shared" si="57"/>
        <v>-4.3296296296296277E-2</v>
      </c>
    </row>
    <row r="886" spans="13:33" x14ac:dyDescent="0.35">
      <c r="M886" s="555">
        <v>42905</v>
      </c>
      <c r="N886" s="543" t="s">
        <v>449</v>
      </c>
      <c r="O886" s="543">
        <v>46593.34</v>
      </c>
      <c r="P886" s="73" t="s">
        <v>431</v>
      </c>
      <c r="Q886" s="158">
        <v>41.38</v>
      </c>
      <c r="R886" s="563">
        <f t="shared" si="54"/>
        <v>-5.6600117459862931E-3</v>
      </c>
      <c r="S886" s="563">
        <f t="shared" si="55"/>
        <v>-6.7210753720593486E-3</v>
      </c>
      <c r="AA886" s="594">
        <v>42901</v>
      </c>
      <c r="AB886" s="595" t="s">
        <v>449</v>
      </c>
      <c r="AC886" s="595">
        <v>47442.73</v>
      </c>
      <c r="AD886" s="596" t="s">
        <v>395</v>
      </c>
      <c r="AE886" s="595">
        <v>260</v>
      </c>
      <c r="AF886" s="597">
        <f t="shared" si="56"/>
        <v>-3.4848716535484936E-3</v>
      </c>
      <c r="AG886" s="597">
        <f t="shared" si="57"/>
        <v>6.542526421741357E-3</v>
      </c>
    </row>
    <row r="887" spans="13:33" x14ac:dyDescent="0.35">
      <c r="M887" s="555">
        <v>42906</v>
      </c>
      <c r="N887" s="543" t="s">
        <v>449</v>
      </c>
      <c r="O887" s="543">
        <v>44914.44</v>
      </c>
      <c r="P887" s="73" t="s">
        <v>431</v>
      </c>
      <c r="Q887" s="158">
        <v>39.31</v>
      </c>
      <c r="R887" s="563">
        <f t="shared" si="54"/>
        <v>-3.6033046783080946E-2</v>
      </c>
      <c r="S887" s="563">
        <f t="shared" si="55"/>
        <v>-5.0024166263895609E-2</v>
      </c>
      <c r="AA887" s="594">
        <v>42902</v>
      </c>
      <c r="AB887" s="595" t="s">
        <v>449</v>
      </c>
      <c r="AC887" s="595">
        <v>46858.559999999998</v>
      </c>
      <c r="AD887" s="596" t="s">
        <v>395</v>
      </c>
      <c r="AE887" s="595">
        <v>259.06</v>
      </c>
      <c r="AF887" s="597">
        <f t="shared" si="56"/>
        <v>-1.2313161573965226E-2</v>
      </c>
      <c r="AG887" s="597">
        <f t="shared" si="57"/>
        <v>-3.6153846153845759E-3</v>
      </c>
    </row>
    <row r="888" spans="13:33" x14ac:dyDescent="0.35">
      <c r="M888" s="555">
        <v>42907</v>
      </c>
      <c r="N888" s="543" t="s">
        <v>449</v>
      </c>
      <c r="O888" s="543">
        <v>45474.46</v>
      </c>
      <c r="P888" s="73" t="s">
        <v>431</v>
      </c>
      <c r="Q888" s="158">
        <v>38.049999999999997</v>
      </c>
      <c r="R888" s="563">
        <f t="shared" si="54"/>
        <v>1.2468595845790187E-2</v>
      </c>
      <c r="S888" s="563">
        <f t="shared" si="55"/>
        <v>-3.2052912744848783E-2</v>
      </c>
      <c r="AA888" s="594">
        <v>42905</v>
      </c>
      <c r="AB888" s="595" t="s">
        <v>449</v>
      </c>
      <c r="AC888" s="595">
        <v>46593.34</v>
      </c>
      <c r="AD888" s="596" t="s">
        <v>395</v>
      </c>
      <c r="AE888" s="595">
        <v>253.05</v>
      </c>
      <c r="AF888" s="597">
        <f t="shared" si="56"/>
        <v>-5.6600117459862931E-3</v>
      </c>
      <c r="AG888" s="597">
        <f t="shared" si="57"/>
        <v>-2.3199258858951577E-2</v>
      </c>
    </row>
    <row r="889" spans="13:33" x14ac:dyDescent="0.35">
      <c r="M889" s="555">
        <v>42908</v>
      </c>
      <c r="N889" s="543" t="s">
        <v>449</v>
      </c>
      <c r="O889" s="543">
        <v>46332.31</v>
      </c>
      <c r="P889" s="73" t="s">
        <v>431</v>
      </c>
      <c r="Q889" s="158">
        <v>38.54</v>
      </c>
      <c r="R889" s="563">
        <f t="shared" si="54"/>
        <v>1.8864435113687961E-2</v>
      </c>
      <c r="S889" s="563">
        <f t="shared" si="55"/>
        <v>1.2877792378449548E-2</v>
      </c>
      <c r="AA889" s="594">
        <v>42906</v>
      </c>
      <c r="AB889" s="595" t="s">
        <v>449</v>
      </c>
      <c r="AC889" s="595">
        <v>44914.44</v>
      </c>
      <c r="AD889" s="596" t="s">
        <v>395</v>
      </c>
      <c r="AE889" s="595">
        <v>261.94</v>
      </c>
      <c r="AF889" s="597">
        <f t="shared" si="56"/>
        <v>-3.6033046783080946E-2</v>
      </c>
      <c r="AG889" s="597">
        <f t="shared" si="57"/>
        <v>3.5131396957122973E-2</v>
      </c>
    </row>
    <row r="890" spans="13:33" x14ac:dyDescent="0.35">
      <c r="M890" s="555">
        <v>42915</v>
      </c>
      <c r="N890" s="543" t="s">
        <v>449</v>
      </c>
      <c r="O890" s="543">
        <v>46711.85</v>
      </c>
      <c r="P890" s="73" t="s">
        <v>431</v>
      </c>
      <c r="Q890" s="158">
        <v>36.93</v>
      </c>
      <c r="R890" s="563">
        <f t="shared" si="54"/>
        <v>8.1916917157811575E-3</v>
      </c>
      <c r="S890" s="563">
        <f t="shared" si="55"/>
        <v>-4.1774779449922139E-2</v>
      </c>
      <c r="AA890" s="594">
        <v>42907</v>
      </c>
      <c r="AB890" s="595" t="s">
        <v>449</v>
      </c>
      <c r="AC890" s="595">
        <v>45474.46</v>
      </c>
      <c r="AD890" s="596" t="s">
        <v>395</v>
      </c>
      <c r="AE890" s="595">
        <v>267.79000000000002</v>
      </c>
      <c r="AF890" s="597">
        <f t="shared" si="56"/>
        <v>1.2468595845790187E-2</v>
      </c>
      <c r="AG890" s="597">
        <f t="shared" si="57"/>
        <v>2.2333358784454527E-2</v>
      </c>
    </row>
    <row r="891" spans="13:33" x14ac:dyDescent="0.35">
      <c r="M891" s="555">
        <v>42916</v>
      </c>
      <c r="N891" s="543" t="s">
        <v>449</v>
      </c>
      <c r="O891" s="543">
        <v>46565.29</v>
      </c>
      <c r="P891" s="73" t="s">
        <v>431</v>
      </c>
      <c r="Q891" s="158">
        <v>38.770000000000003</v>
      </c>
      <c r="R891" s="563">
        <f t="shared" si="54"/>
        <v>-3.1375336236949547E-3</v>
      </c>
      <c r="S891" s="563">
        <f t="shared" si="55"/>
        <v>4.9823991334958073E-2</v>
      </c>
      <c r="AA891" s="594">
        <v>42908</v>
      </c>
      <c r="AB891" s="595" t="s">
        <v>449</v>
      </c>
      <c r="AC891" s="595">
        <v>46332.31</v>
      </c>
      <c r="AD891" s="596" t="s">
        <v>395</v>
      </c>
      <c r="AE891" s="595">
        <v>261.82</v>
      </c>
      <c r="AF891" s="597">
        <f t="shared" si="56"/>
        <v>1.8864435113687961E-2</v>
      </c>
      <c r="AG891" s="597">
        <f t="shared" si="57"/>
        <v>-2.2293588259457153E-2</v>
      </c>
    </row>
    <row r="892" spans="13:33" x14ac:dyDescent="0.35">
      <c r="M892" s="555">
        <v>42919</v>
      </c>
      <c r="N892" s="543" t="s">
        <v>449</v>
      </c>
      <c r="O892" s="543">
        <v>44665.41</v>
      </c>
      <c r="P892" s="73" t="s">
        <v>431</v>
      </c>
      <c r="Q892" s="158">
        <v>36.85</v>
      </c>
      <c r="R892" s="563">
        <f t="shared" si="54"/>
        <v>-4.0800347211410015E-2</v>
      </c>
      <c r="S892" s="563">
        <f t="shared" si="55"/>
        <v>-4.9522826928037222E-2</v>
      </c>
      <c r="AA892" s="594">
        <v>42915</v>
      </c>
      <c r="AB892" s="595" t="s">
        <v>449</v>
      </c>
      <c r="AC892" s="595">
        <v>46711.85</v>
      </c>
      <c r="AD892" s="596" t="s">
        <v>395</v>
      </c>
      <c r="AE892" s="595">
        <v>250.69</v>
      </c>
      <c r="AF892" s="597">
        <f t="shared" si="56"/>
        <v>8.1916917157811575E-3</v>
      </c>
      <c r="AG892" s="597">
        <f t="shared" si="57"/>
        <v>-4.2510121457489891E-2</v>
      </c>
    </row>
    <row r="893" spans="13:33" x14ac:dyDescent="0.35">
      <c r="M893" s="555">
        <v>42920</v>
      </c>
      <c r="N893" s="543" t="s">
        <v>449</v>
      </c>
      <c r="O893" s="543">
        <v>45394.06</v>
      </c>
      <c r="P893" s="73" t="s">
        <v>431</v>
      </c>
      <c r="Q893" s="158">
        <v>37.090000000000003</v>
      </c>
      <c r="R893" s="563">
        <f t="shared" si="54"/>
        <v>1.631351867138342E-2</v>
      </c>
      <c r="S893" s="563">
        <f t="shared" si="55"/>
        <v>6.5128900949797952E-3</v>
      </c>
      <c r="AA893" s="594">
        <v>42916</v>
      </c>
      <c r="AB893" s="595" t="s">
        <v>449</v>
      </c>
      <c r="AC893" s="595">
        <v>46565.29</v>
      </c>
      <c r="AD893" s="596" t="s">
        <v>395</v>
      </c>
      <c r="AE893" s="595">
        <v>250.3</v>
      </c>
      <c r="AF893" s="597">
        <f t="shared" si="56"/>
        <v>-3.1375336236949547E-3</v>
      </c>
      <c r="AG893" s="597">
        <f t="shared" si="57"/>
        <v>-1.555706250747857E-3</v>
      </c>
    </row>
    <row r="894" spans="13:33" x14ac:dyDescent="0.35">
      <c r="M894" s="526">
        <v>42922</v>
      </c>
      <c r="N894" s="524" t="s">
        <v>449</v>
      </c>
      <c r="O894" s="524">
        <v>44823.11</v>
      </c>
      <c r="P894" s="73" t="s">
        <v>431</v>
      </c>
      <c r="Q894">
        <v>34.54</v>
      </c>
      <c r="R894" s="563">
        <f t="shared" si="54"/>
        <v>-1.2577636809749881E-2</v>
      </c>
      <c r="S894" s="563">
        <f t="shared" si="55"/>
        <v>-6.8751685090320924E-2</v>
      </c>
      <c r="AA894" s="594">
        <v>42919</v>
      </c>
      <c r="AB894" s="595" t="s">
        <v>449</v>
      </c>
      <c r="AC894" s="595">
        <v>44665.41</v>
      </c>
      <c r="AD894" s="596" t="s">
        <v>395</v>
      </c>
      <c r="AE894" s="595">
        <v>250.2</v>
      </c>
      <c r="AF894" s="597">
        <f t="shared" si="56"/>
        <v>-4.0800347211410015E-2</v>
      </c>
      <c r="AG894" s="597">
        <f t="shared" si="57"/>
        <v>-3.9952057530967533E-4</v>
      </c>
    </row>
    <row r="895" spans="13:33" x14ac:dyDescent="0.35">
      <c r="M895" s="555">
        <v>42923</v>
      </c>
      <c r="N895" s="543" t="s">
        <v>449</v>
      </c>
      <c r="O895" s="543">
        <v>45222.15</v>
      </c>
      <c r="P895" s="73" t="s">
        <v>431</v>
      </c>
      <c r="Q895" s="158">
        <v>35.92</v>
      </c>
      <c r="R895" s="563">
        <f t="shared" si="54"/>
        <v>8.9025504923687659E-3</v>
      </c>
      <c r="S895" s="563">
        <f t="shared" si="55"/>
        <v>3.9953676896352208E-2</v>
      </c>
      <c r="AA895" s="594">
        <v>42920</v>
      </c>
      <c r="AB895" s="595" t="s">
        <v>449</v>
      </c>
      <c r="AC895" s="595">
        <v>45394.06</v>
      </c>
      <c r="AD895" s="596" t="s">
        <v>395</v>
      </c>
      <c r="AE895" s="595">
        <v>250</v>
      </c>
      <c r="AF895" s="597">
        <f t="shared" si="56"/>
        <v>1.631351867138342E-2</v>
      </c>
      <c r="AG895" s="597">
        <f t="shared" si="57"/>
        <v>-7.9936051159068544E-4</v>
      </c>
    </row>
    <row r="896" spans="13:33" x14ac:dyDescent="0.35">
      <c r="M896" s="555">
        <v>42926</v>
      </c>
      <c r="N896" s="543" t="s">
        <v>449</v>
      </c>
      <c r="O896" s="543">
        <v>46273.81</v>
      </c>
      <c r="P896" s="73" t="s">
        <v>431</v>
      </c>
      <c r="Q896" s="158">
        <v>37.590000000000003</v>
      </c>
      <c r="R896" s="563">
        <f t="shared" si="54"/>
        <v>2.3255417975483139E-2</v>
      </c>
      <c r="S896" s="563">
        <f t="shared" si="55"/>
        <v>4.6492204899777345E-2</v>
      </c>
      <c r="AA896" s="594">
        <v>42922</v>
      </c>
      <c r="AB896" s="595" t="s">
        <v>449</v>
      </c>
      <c r="AC896" s="595">
        <v>44823.11</v>
      </c>
      <c r="AD896" s="596" t="s">
        <v>395</v>
      </c>
      <c r="AE896" s="595">
        <v>254.3</v>
      </c>
      <c r="AF896" s="597">
        <f t="shared" si="56"/>
        <v>-1.2577636809749881E-2</v>
      </c>
      <c r="AG896" s="597">
        <f t="shared" si="57"/>
        <v>1.7200000000000104E-2</v>
      </c>
    </row>
    <row r="897" spans="13:33" x14ac:dyDescent="0.35">
      <c r="M897" s="555">
        <v>42927</v>
      </c>
      <c r="N897" s="543" t="s">
        <v>449</v>
      </c>
      <c r="O897" s="543">
        <v>44120.58</v>
      </c>
      <c r="P897" s="73" t="s">
        <v>431</v>
      </c>
      <c r="Q897" s="158">
        <v>35.71</v>
      </c>
      <c r="R897" s="563">
        <f t="shared" si="54"/>
        <v>-4.6532368957732162E-2</v>
      </c>
      <c r="S897" s="563">
        <f t="shared" si="55"/>
        <v>-5.0013301409949529E-2</v>
      </c>
      <c r="AA897" s="594">
        <v>42923</v>
      </c>
      <c r="AB897" s="595" t="s">
        <v>449</v>
      </c>
      <c r="AC897" s="595">
        <v>45222.15</v>
      </c>
      <c r="AD897" s="596" t="s">
        <v>395</v>
      </c>
      <c r="AE897" s="595">
        <v>244.26</v>
      </c>
      <c r="AF897" s="597">
        <f t="shared" si="56"/>
        <v>8.9025504923687659E-3</v>
      </c>
      <c r="AG897" s="597">
        <f t="shared" si="57"/>
        <v>-3.9480928037750718E-2</v>
      </c>
    </row>
    <row r="898" spans="13:33" x14ac:dyDescent="0.35">
      <c r="M898" s="555">
        <v>42928</v>
      </c>
      <c r="N898" s="543" t="s">
        <v>449</v>
      </c>
      <c r="O898" s="543">
        <v>43792.19</v>
      </c>
      <c r="P898" s="73" t="s">
        <v>431</v>
      </c>
      <c r="Q898" s="158">
        <v>35.96</v>
      </c>
      <c r="R898" s="563">
        <f t="shared" si="54"/>
        <v>-7.443011855238546E-3</v>
      </c>
      <c r="S898" s="563">
        <f t="shared" si="55"/>
        <v>7.0008401008121446E-3</v>
      </c>
      <c r="AA898" s="594">
        <v>42926</v>
      </c>
      <c r="AB898" s="595" t="s">
        <v>449</v>
      </c>
      <c r="AC898" s="595">
        <v>46273.81</v>
      </c>
      <c r="AD898" s="596" t="s">
        <v>395</v>
      </c>
      <c r="AE898" s="595">
        <v>251.15</v>
      </c>
      <c r="AF898" s="597">
        <f t="shared" si="56"/>
        <v>2.3255417975483139E-2</v>
      </c>
      <c r="AG898" s="597">
        <f t="shared" si="57"/>
        <v>2.8207647588635032E-2</v>
      </c>
    </row>
    <row r="899" spans="13:33" x14ac:dyDescent="0.35">
      <c r="M899" s="555">
        <v>42929</v>
      </c>
      <c r="N899" s="543" t="s">
        <v>449</v>
      </c>
      <c r="O899" s="543">
        <v>43783.55</v>
      </c>
      <c r="P899" s="73" t="s">
        <v>431</v>
      </c>
      <c r="Q899" s="158">
        <v>35.86</v>
      </c>
      <c r="R899" s="563">
        <f t="shared" si="54"/>
        <v>-1.9729545382407565E-4</v>
      </c>
      <c r="S899" s="563">
        <f t="shared" si="55"/>
        <v>-2.7808676307008451E-3</v>
      </c>
      <c r="AA899" s="594">
        <v>42927</v>
      </c>
      <c r="AB899" s="595" t="s">
        <v>449</v>
      </c>
      <c r="AC899" s="595">
        <v>44120.58</v>
      </c>
      <c r="AD899" s="596" t="s">
        <v>395</v>
      </c>
      <c r="AE899" s="595">
        <v>247.42</v>
      </c>
      <c r="AF899" s="597">
        <f t="shared" si="56"/>
        <v>-4.6532368957732162E-2</v>
      </c>
      <c r="AG899" s="597">
        <f t="shared" si="57"/>
        <v>-1.4851682261596721E-2</v>
      </c>
    </row>
    <row r="900" spans="13:33" x14ac:dyDescent="0.35">
      <c r="M900" s="555">
        <v>42930</v>
      </c>
      <c r="N900" s="543" t="s">
        <v>449</v>
      </c>
      <c r="O900" s="543">
        <v>44337.440000000002</v>
      </c>
      <c r="P900" s="73" t="s">
        <v>431</v>
      </c>
      <c r="Q900" s="158">
        <v>36.03</v>
      </c>
      <c r="R900" s="563">
        <f t="shared" si="54"/>
        <v>1.2650641622253156E-2</v>
      </c>
      <c r="S900" s="563">
        <f t="shared" si="55"/>
        <v>4.7406581148912164E-3</v>
      </c>
      <c r="AA900" s="594">
        <v>42928</v>
      </c>
      <c r="AB900" s="595" t="s">
        <v>449</v>
      </c>
      <c r="AC900" s="595">
        <v>43792.19</v>
      </c>
      <c r="AD900" s="596" t="s">
        <v>395</v>
      </c>
      <c r="AE900" s="595">
        <v>252.99</v>
      </c>
      <c r="AF900" s="597">
        <f t="shared" si="56"/>
        <v>-7.443011855238546E-3</v>
      </c>
      <c r="AG900" s="597">
        <f t="shared" si="57"/>
        <v>2.2512327216878347E-2</v>
      </c>
    </row>
    <row r="901" spans="13:33" x14ac:dyDescent="0.35">
      <c r="M901" s="555">
        <v>42933</v>
      </c>
      <c r="N901" s="543" t="s">
        <v>449</v>
      </c>
      <c r="O901" s="543">
        <v>44523.21</v>
      </c>
      <c r="P901" s="73" t="s">
        <v>431</v>
      </c>
      <c r="Q901" s="158">
        <v>36.18</v>
      </c>
      <c r="R901" s="563">
        <f t="shared" si="54"/>
        <v>4.189912633656645E-3</v>
      </c>
      <c r="S901" s="563">
        <f t="shared" si="55"/>
        <v>4.1631973355535923E-3</v>
      </c>
      <c r="AA901" s="594">
        <v>42929</v>
      </c>
      <c r="AB901" s="595" t="s">
        <v>449</v>
      </c>
      <c r="AC901" s="595">
        <v>43783.55</v>
      </c>
      <c r="AD901" s="596" t="s">
        <v>395</v>
      </c>
      <c r="AE901" s="595">
        <v>248.75</v>
      </c>
      <c r="AF901" s="597">
        <f t="shared" si="56"/>
        <v>-1.9729545382407565E-4</v>
      </c>
      <c r="AG901" s="597">
        <f t="shared" si="57"/>
        <v>-1.6759555713664609E-2</v>
      </c>
    </row>
    <row r="902" spans="13:33" x14ac:dyDescent="0.35">
      <c r="M902" s="555">
        <v>42934</v>
      </c>
      <c r="N902" s="543" t="s">
        <v>449</v>
      </c>
      <c r="O902" s="543">
        <v>45636.36</v>
      </c>
      <c r="P902" s="73" t="s">
        <v>431</v>
      </c>
      <c r="Q902" s="158">
        <v>37.799999999999997</v>
      </c>
      <c r="R902" s="563">
        <f t="shared" si="54"/>
        <v>2.5001566598634728E-2</v>
      </c>
      <c r="S902" s="563">
        <f t="shared" si="55"/>
        <v>4.4776119402984982E-2</v>
      </c>
      <c r="AA902" s="594">
        <v>42930</v>
      </c>
      <c r="AB902" s="595" t="s">
        <v>449</v>
      </c>
      <c r="AC902" s="595">
        <v>44337.440000000002</v>
      </c>
      <c r="AD902" s="596" t="s">
        <v>395</v>
      </c>
      <c r="AE902" s="595">
        <v>255</v>
      </c>
      <c r="AF902" s="597">
        <f t="shared" si="56"/>
        <v>1.2650641622253156E-2</v>
      </c>
      <c r="AG902" s="597">
        <f t="shared" si="57"/>
        <v>2.5125628140703515E-2</v>
      </c>
    </row>
    <row r="903" spans="13:33" x14ac:dyDescent="0.35">
      <c r="M903" s="555">
        <v>42935</v>
      </c>
      <c r="N903" s="543" t="s">
        <v>449</v>
      </c>
      <c r="O903" s="543">
        <v>45418.71</v>
      </c>
      <c r="P903" s="73" t="s">
        <v>431</v>
      </c>
      <c r="Q903" s="158">
        <v>37.36</v>
      </c>
      <c r="R903" s="563">
        <f t="shared" si="54"/>
        <v>-4.7692234875875705E-3</v>
      </c>
      <c r="S903" s="563">
        <f t="shared" si="55"/>
        <v>-1.1640211640211562E-2</v>
      </c>
      <c r="AA903" s="594">
        <v>42933</v>
      </c>
      <c r="AB903" s="595" t="s">
        <v>449</v>
      </c>
      <c r="AC903" s="595">
        <v>44523.21</v>
      </c>
      <c r="AD903" s="596" t="s">
        <v>395</v>
      </c>
      <c r="AE903" s="595">
        <v>250.14</v>
      </c>
      <c r="AF903" s="597">
        <f t="shared" si="56"/>
        <v>4.189912633656645E-3</v>
      </c>
      <c r="AG903" s="597">
        <f t="shared" si="57"/>
        <v>-1.9058823529411795E-2</v>
      </c>
    </row>
    <row r="904" spans="13:33" x14ac:dyDescent="0.35">
      <c r="M904" s="555">
        <v>42936</v>
      </c>
      <c r="N904" s="543" t="s">
        <v>449</v>
      </c>
      <c r="O904" s="543">
        <v>45059.93</v>
      </c>
      <c r="P904" s="73" t="s">
        <v>431</v>
      </c>
      <c r="Q904" s="158">
        <v>36.81</v>
      </c>
      <c r="R904" s="563">
        <f t="shared" si="54"/>
        <v>-7.8993877192901074E-3</v>
      </c>
      <c r="S904" s="563">
        <f t="shared" si="55"/>
        <v>-1.4721627408993521E-2</v>
      </c>
      <c r="AA904" s="594">
        <v>42934</v>
      </c>
      <c r="AB904" s="595" t="s">
        <v>449</v>
      </c>
      <c r="AC904" s="595">
        <v>45636.36</v>
      </c>
      <c r="AD904" s="596" t="s">
        <v>395</v>
      </c>
      <c r="AE904" s="595">
        <v>254</v>
      </c>
      <c r="AF904" s="597">
        <f t="shared" si="56"/>
        <v>2.5001566598634728E-2</v>
      </c>
      <c r="AG904" s="597">
        <f t="shared" si="57"/>
        <v>1.5431358439274012E-2</v>
      </c>
    </row>
    <row r="905" spans="13:33" x14ac:dyDescent="0.35">
      <c r="M905" s="555">
        <v>42937</v>
      </c>
      <c r="N905" s="543" t="s">
        <v>449</v>
      </c>
      <c r="O905" s="543">
        <v>45294.39</v>
      </c>
      <c r="P905" s="73" t="s">
        <v>431</v>
      </c>
      <c r="Q905" s="158">
        <v>37.15</v>
      </c>
      <c r="R905" s="563">
        <f t="shared" si="54"/>
        <v>5.2032925927758544E-3</v>
      </c>
      <c r="S905" s="563">
        <f t="shared" si="55"/>
        <v>9.2366204835641064E-3</v>
      </c>
      <c r="AA905" s="594">
        <v>42935</v>
      </c>
      <c r="AB905" s="595" t="s">
        <v>449</v>
      </c>
      <c r="AC905" s="595">
        <v>45418.71</v>
      </c>
      <c r="AD905" s="596" t="s">
        <v>395</v>
      </c>
      <c r="AE905" s="595">
        <v>250</v>
      </c>
      <c r="AF905" s="597">
        <f t="shared" si="56"/>
        <v>-4.7692234875875705E-3</v>
      </c>
      <c r="AG905" s="597">
        <f t="shared" si="57"/>
        <v>-1.5748031496062964E-2</v>
      </c>
    </row>
    <row r="906" spans="13:33" x14ac:dyDescent="0.35">
      <c r="M906" s="555">
        <v>42940</v>
      </c>
      <c r="N906" s="543" t="s">
        <v>449</v>
      </c>
      <c r="O906" s="543">
        <v>45529.21</v>
      </c>
      <c r="P906" s="73" t="s">
        <v>431</v>
      </c>
      <c r="Q906" s="158">
        <v>37.36</v>
      </c>
      <c r="R906" s="563">
        <f t="shared" si="54"/>
        <v>5.1843064891701207E-3</v>
      </c>
      <c r="S906" s="563">
        <f t="shared" si="55"/>
        <v>5.6527590847914588E-3</v>
      </c>
      <c r="AA906" s="594">
        <v>42936</v>
      </c>
      <c r="AB906" s="595" t="s">
        <v>449</v>
      </c>
      <c r="AC906" s="595">
        <v>45059.93</v>
      </c>
      <c r="AD906" s="596" t="s">
        <v>395</v>
      </c>
      <c r="AE906" s="595">
        <v>250</v>
      </c>
      <c r="AF906" s="597">
        <f t="shared" si="56"/>
        <v>-7.8993877192901074E-3</v>
      </c>
      <c r="AG906" s="597">
        <f t="shared" si="57"/>
        <v>0</v>
      </c>
    </row>
    <row r="907" spans="13:33" x14ac:dyDescent="0.35">
      <c r="M907" s="555">
        <v>42941</v>
      </c>
      <c r="N907" s="543" t="s">
        <v>449</v>
      </c>
      <c r="O907" s="543">
        <v>45917.9</v>
      </c>
      <c r="P907" s="73" t="s">
        <v>431</v>
      </c>
      <c r="Q907" s="158">
        <v>38.01</v>
      </c>
      <c r="R907" s="563">
        <f t="shared" si="54"/>
        <v>8.5371566956686795E-3</v>
      </c>
      <c r="S907" s="563">
        <f t="shared" si="55"/>
        <v>1.7398286937901464E-2</v>
      </c>
      <c r="AA907" s="594">
        <v>42937</v>
      </c>
      <c r="AB907" s="595" t="s">
        <v>449</v>
      </c>
      <c r="AC907" s="595">
        <v>45294.39</v>
      </c>
      <c r="AD907" s="596" t="s">
        <v>395</v>
      </c>
      <c r="AE907" s="595">
        <v>238.86</v>
      </c>
      <c r="AF907" s="597">
        <f t="shared" si="56"/>
        <v>5.2032925927758544E-3</v>
      </c>
      <c r="AG907" s="597">
        <f t="shared" si="57"/>
        <v>-4.4559999999999933E-2</v>
      </c>
    </row>
    <row r="908" spans="13:33" x14ac:dyDescent="0.35">
      <c r="M908" s="555">
        <v>42942</v>
      </c>
      <c r="N908" s="543" t="s">
        <v>449</v>
      </c>
      <c r="O908" s="543">
        <v>45908.39</v>
      </c>
      <c r="P908" s="73" t="s">
        <v>431</v>
      </c>
      <c r="Q908" s="158">
        <v>37.78</v>
      </c>
      <c r="R908" s="563">
        <f t="shared" si="54"/>
        <v>-2.0710877457374988E-4</v>
      </c>
      <c r="S908" s="563">
        <f t="shared" si="55"/>
        <v>-6.0510392002104396E-3</v>
      </c>
      <c r="AA908" s="594">
        <v>42940</v>
      </c>
      <c r="AB908" s="595" t="s">
        <v>449</v>
      </c>
      <c r="AC908" s="595">
        <v>45529.21</v>
      </c>
      <c r="AD908" s="596" t="s">
        <v>395</v>
      </c>
      <c r="AE908" s="595">
        <v>238.86</v>
      </c>
      <c r="AF908" s="597">
        <f t="shared" si="56"/>
        <v>5.1843064891701207E-3</v>
      </c>
      <c r="AG908" s="597">
        <f t="shared" si="57"/>
        <v>0</v>
      </c>
    </row>
    <row r="909" spans="13:33" x14ac:dyDescent="0.35">
      <c r="M909" s="555">
        <v>42943</v>
      </c>
      <c r="N909" s="543" t="s">
        <v>449</v>
      </c>
      <c r="O909" s="543">
        <v>45905.760000000002</v>
      </c>
      <c r="P909" s="73" t="s">
        <v>431</v>
      </c>
      <c r="Q909" s="158">
        <v>37.46</v>
      </c>
      <c r="R909" s="563">
        <f t="shared" si="54"/>
        <v>-5.7288003347477634E-5</v>
      </c>
      <c r="S909" s="563">
        <f t="shared" si="55"/>
        <v>-8.4700899947062203E-3</v>
      </c>
      <c r="AA909" s="594">
        <v>42941</v>
      </c>
      <c r="AB909" s="595" t="s">
        <v>449</v>
      </c>
      <c r="AC909" s="595">
        <v>45917.9</v>
      </c>
      <c r="AD909" s="596" t="s">
        <v>395</v>
      </c>
      <c r="AE909" s="595">
        <v>250.8</v>
      </c>
      <c r="AF909" s="597">
        <f t="shared" si="56"/>
        <v>8.5371566956686795E-3</v>
      </c>
      <c r="AG909" s="597">
        <f t="shared" si="57"/>
        <v>4.9987440341622724E-2</v>
      </c>
    </row>
    <row r="910" spans="13:33" x14ac:dyDescent="0.35">
      <c r="M910" s="555">
        <v>42944</v>
      </c>
      <c r="N910" s="543" t="s">
        <v>449</v>
      </c>
      <c r="O910" s="543">
        <v>45912.03</v>
      </c>
      <c r="P910" s="73" t="s">
        <v>431</v>
      </c>
      <c r="Q910" s="158">
        <v>37.729999999999997</v>
      </c>
      <c r="R910" s="563">
        <f t="shared" si="54"/>
        <v>1.3658416721562538E-4</v>
      </c>
      <c r="S910" s="563">
        <f t="shared" si="55"/>
        <v>7.2076882007474641E-3</v>
      </c>
      <c r="AA910" s="594">
        <v>42942</v>
      </c>
      <c r="AB910" s="595" t="s">
        <v>449</v>
      </c>
      <c r="AC910" s="595">
        <v>45908.39</v>
      </c>
      <c r="AD910" s="596" t="s">
        <v>395</v>
      </c>
      <c r="AE910" s="595">
        <v>258.33</v>
      </c>
      <c r="AF910" s="597">
        <f t="shared" si="56"/>
        <v>-2.0710877457374988E-4</v>
      </c>
      <c r="AG910" s="597">
        <f t="shared" si="57"/>
        <v>3.0023923444975953E-2</v>
      </c>
    </row>
    <row r="911" spans="13:33" x14ac:dyDescent="0.35">
      <c r="M911" s="555">
        <v>42947</v>
      </c>
      <c r="N911" s="543" t="s">
        <v>449</v>
      </c>
      <c r="O911" s="543">
        <v>46010.45</v>
      </c>
      <c r="P911" s="73" t="s">
        <v>431</v>
      </c>
      <c r="Q911" s="158">
        <v>38.51</v>
      </c>
      <c r="R911" s="563">
        <f t="shared" si="54"/>
        <v>2.1436647432055977E-3</v>
      </c>
      <c r="S911" s="563">
        <f t="shared" si="55"/>
        <v>2.0673204346673746E-2</v>
      </c>
      <c r="AA911" s="594">
        <v>42943</v>
      </c>
      <c r="AB911" s="595" t="s">
        <v>449</v>
      </c>
      <c r="AC911" s="595">
        <v>45905.760000000002</v>
      </c>
      <c r="AD911" s="596" t="s">
        <v>395</v>
      </c>
      <c r="AE911" s="595">
        <v>254</v>
      </c>
      <c r="AF911" s="597">
        <f t="shared" si="56"/>
        <v>-5.7288003347477634E-5</v>
      </c>
      <c r="AG911" s="597">
        <f t="shared" si="57"/>
        <v>-1.676150660008513E-2</v>
      </c>
    </row>
    <row r="912" spans="13:33" x14ac:dyDescent="0.35">
      <c r="M912" s="555">
        <v>42948</v>
      </c>
      <c r="N912" s="543" t="s">
        <v>449</v>
      </c>
      <c r="O912" s="543">
        <v>46533.43</v>
      </c>
      <c r="P912" s="73" t="s">
        <v>431</v>
      </c>
      <c r="Q912" s="158">
        <v>38.56</v>
      </c>
      <c r="R912" s="563">
        <f t="shared" si="54"/>
        <v>1.13665482515386E-2</v>
      </c>
      <c r="S912" s="563">
        <f t="shared" si="55"/>
        <v>1.2983640612829195E-3</v>
      </c>
      <c r="AA912" s="594">
        <v>42944</v>
      </c>
      <c r="AB912" s="595" t="s">
        <v>449</v>
      </c>
      <c r="AC912" s="595">
        <v>45912.03</v>
      </c>
      <c r="AD912" s="596" t="s">
        <v>395</v>
      </c>
      <c r="AE912" s="595">
        <v>260.54000000000002</v>
      </c>
      <c r="AF912" s="597">
        <f t="shared" si="56"/>
        <v>1.3658416721562538E-4</v>
      </c>
      <c r="AG912" s="597">
        <f t="shared" si="57"/>
        <v>2.5748031496062973E-2</v>
      </c>
    </row>
    <row r="913" spans="13:33" x14ac:dyDescent="0.35">
      <c r="M913" s="555">
        <v>42949</v>
      </c>
      <c r="N913" s="543" t="s">
        <v>449</v>
      </c>
      <c r="O913" s="543">
        <v>46949.04</v>
      </c>
      <c r="P913" s="73" t="s">
        <v>431</v>
      </c>
      <c r="Q913" s="158">
        <v>40.49</v>
      </c>
      <c r="R913" s="563">
        <f t="shared" si="54"/>
        <v>8.9314284375769937E-3</v>
      </c>
      <c r="S913" s="563">
        <f t="shared" si="55"/>
        <v>5.0051867219917057E-2</v>
      </c>
      <c r="AA913" s="594">
        <v>42947</v>
      </c>
      <c r="AB913" s="595" t="s">
        <v>449</v>
      </c>
      <c r="AC913" s="595">
        <v>46010.45</v>
      </c>
      <c r="AD913" s="596" t="s">
        <v>395</v>
      </c>
      <c r="AE913" s="595">
        <v>269.18</v>
      </c>
      <c r="AF913" s="597">
        <f t="shared" si="56"/>
        <v>2.1436647432055977E-3</v>
      </c>
      <c r="AG913" s="597">
        <f t="shared" si="57"/>
        <v>3.3161894526752E-2</v>
      </c>
    </row>
    <row r="914" spans="13:33" x14ac:dyDescent="0.35">
      <c r="M914" s="555">
        <v>42950</v>
      </c>
      <c r="N914" s="543" t="s">
        <v>449</v>
      </c>
      <c r="O914" s="543">
        <v>47084.34</v>
      </c>
      <c r="P914" s="73" t="s">
        <v>431</v>
      </c>
      <c r="Q914" s="158">
        <v>42.51</v>
      </c>
      <c r="R914" s="563">
        <f t="shared" si="54"/>
        <v>2.8818480633467924E-3</v>
      </c>
      <c r="S914" s="563">
        <f t="shared" si="55"/>
        <v>4.9888861447270783E-2</v>
      </c>
      <c r="AA914" s="594">
        <v>42948</v>
      </c>
      <c r="AB914" s="595" t="s">
        <v>449</v>
      </c>
      <c r="AC914" s="595">
        <v>46533.43</v>
      </c>
      <c r="AD914" s="596" t="s">
        <v>395</v>
      </c>
      <c r="AE914" s="595">
        <v>274.54000000000002</v>
      </c>
      <c r="AF914" s="597">
        <f t="shared" si="56"/>
        <v>1.13665482515386E-2</v>
      </c>
      <c r="AG914" s="597">
        <f t="shared" si="57"/>
        <v>1.9912326324392549E-2</v>
      </c>
    </row>
    <row r="915" spans="13:33" x14ac:dyDescent="0.35">
      <c r="M915" s="555">
        <v>42951</v>
      </c>
      <c r="N915" s="543" t="s">
        <v>449</v>
      </c>
      <c r="O915" s="543">
        <v>46877.37</v>
      </c>
      <c r="P915" s="73" t="s">
        <v>431</v>
      </c>
      <c r="Q915" s="158">
        <v>41.01</v>
      </c>
      <c r="R915" s="563">
        <f t="shared" si="54"/>
        <v>-4.3957290258288539E-3</v>
      </c>
      <c r="S915" s="563">
        <f t="shared" si="55"/>
        <v>-3.5285815102328866E-2</v>
      </c>
      <c r="AA915" s="594">
        <v>42949</v>
      </c>
      <c r="AB915" s="595" t="s">
        <v>449</v>
      </c>
      <c r="AC915" s="595">
        <v>46949.04</v>
      </c>
      <c r="AD915" s="596" t="s">
        <v>395</v>
      </c>
      <c r="AE915" s="595">
        <v>284.63</v>
      </c>
      <c r="AF915" s="597">
        <f t="shared" si="56"/>
        <v>8.9314284375769937E-3</v>
      </c>
      <c r="AG915" s="597">
        <f t="shared" si="57"/>
        <v>3.6752385808989541E-2</v>
      </c>
    </row>
    <row r="916" spans="13:33" x14ac:dyDescent="0.35">
      <c r="M916" s="555">
        <v>42954</v>
      </c>
      <c r="N916" s="543" t="s">
        <v>449</v>
      </c>
      <c r="O916" s="543">
        <v>46465.66</v>
      </c>
      <c r="P916" s="73" t="s">
        <v>431</v>
      </c>
      <c r="Q916" s="158">
        <v>39.799999999999997</v>
      </c>
      <c r="R916" s="563">
        <f t="shared" si="54"/>
        <v>-8.7827026132225594E-3</v>
      </c>
      <c r="S916" s="563">
        <f t="shared" si="55"/>
        <v>-2.9504998780785163E-2</v>
      </c>
      <c r="AA916" s="594">
        <v>42950</v>
      </c>
      <c r="AB916" s="595" t="s">
        <v>449</v>
      </c>
      <c r="AC916" s="595">
        <v>47084.34</v>
      </c>
      <c r="AD916" s="596" t="s">
        <v>395</v>
      </c>
      <c r="AE916" s="595">
        <v>283.14</v>
      </c>
      <c r="AF916" s="597">
        <f t="shared" si="56"/>
        <v>2.8818480633467924E-3</v>
      </c>
      <c r="AG916" s="597">
        <f t="shared" si="57"/>
        <v>-5.2348663176755572E-3</v>
      </c>
    </row>
    <row r="917" spans="13:33" x14ac:dyDescent="0.35">
      <c r="M917" s="555">
        <v>42955</v>
      </c>
      <c r="N917" s="543" t="s">
        <v>449</v>
      </c>
      <c r="O917" s="543">
        <v>45979.7</v>
      </c>
      <c r="P917" s="73" t="s">
        <v>431</v>
      </c>
      <c r="Q917" s="158">
        <v>39.799999999999997</v>
      </c>
      <c r="R917" s="563">
        <f t="shared" si="54"/>
        <v>-1.0458476216629764E-2</v>
      </c>
      <c r="S917" s="563">
        <f t="shared" si="55"/>
        <v>0</v>
      </c>
      <c r="AA917" s="594">
        <v>42951</v>
      </c>
      <c r="AB917" s="595" t="s">
        <v>449</v>
      </c>
      <c r="AC917" s="595">
        <v>46877.37</v>
      </c>
      <c r="AD917" s="596" t="s">
        <v>395</v>
      </c>
      <c r="AE917" s="595">
        <v>279.39</v>
      </c>
      <c r="AF917" s="597">
        <f t="shared" si="56"/>
        <v>-4.3957290258288539E-3</v>
      </c>
      <c r="AG917" s="597">
        <f t="shared" si="57"/>
        <v>-1.3244331426149558E-2</v>
      </c>
    </row>
    <row r="918" spans="13:33" x14ac:dyDescent="0.35">
      <c r="M918" s="555">
        <v>42956</v>
      </c>
      <c r="N918" s="543" t="s">
        <v>449</v>
      </c>
      <c r="O918" s="543">
        <v>45998.81</v>
      </c>
      <c r="P918" s="73" t="s">
        <v>431</v>
      </c>
      <c r="Q918" s="158">
        <v>41.79</v>
      </c>
      <c r="R918" s="563">
        <f t="shared" si="54"/>
        <v>4.1561819672586431E-4</v>
      </c>
      <c r="S918" s="563">
        <f t="shared" si="55"/>
        <v>5.0000000000000044E-2</v>
      </c>
      <c r="AA918" s="594">
        <v>42954</v>
      </c>
      <c r="AB918" s="595" t="s">
        <v>449</v>
      </c>
      <c r="AC918" s="595">
        <v>46465.66</v>
      </c>
      <c r="AD918" s="596" t="s">
        <v>395</v>
      </c>
      <c r="AE918" s="595">
        <v>269.77</v>
      </c>
      <c r="AF918" s="597">
        <f t="shared" si="56"/>
        <v>-8.7827026132225594E-3</v>
      </c>
      <c r="AG918" s="597">
        <f t="shared" si="57"/>
        <v>-3.4432155767923023E-2</v>
      </c>
    </row>
    <row r="919" spans="13:33" x14ac:dyDescent="0.35">
      <c r="M919" s="555">
        <v>42957</v>
      </c>
      <c r="N919" s="543" t="s">
        <v>449</v>
      </c>
      <c r="O919" s="543">
        <v>45634.02</v>
      </c>
      <c r="P919" s="73" t="s">
        <v>431</v>
      </c>
      <c r="Q919" s="158">
        <v>42.92</v>
      </c>
      <c r="R919" s="563">
        <f t="shared" si="54"/>
        <v>-7.9304225478876722E-3</v>
      </c>
      <c r="S919" s="563">
        <f t="shared" si="55"/>
        <v>2.7039961713328564E-2</v>
      </c>
      <c r="AA919" s="594">
        <v>42955</v>
      </c>
      <c r="AB919" s="595" t="s">
        <v>449</v>
      </c>
      <c r="AC919" s="595">
        <v>45979.7</v>
      </c>
      <c r="AD919" s="596" t="s">
        <v>395</v>
      </c>
      <c r="AE919" s="595">
        <v>270</v>
      </c>
      <c r="AF919" s="597">
        <f t="shared" si="56"/>
        <v>-1.0458476216629764E-2</v>
      </c>
      <c r="AG919" s="597">
        <f t="shared" si="57"/>
        <v>8.5257812210404182E-4</v>
      </c>
    </row>
    <row r="920" spans="13:33" x14ac:dyDescent="0.35">
      <c r="M920" s="555">
        <v>42958</v>
      </c>
      <c r="N920" s="543" t="s">
        <v>449</v>
      </c>
      <c r="O920" s="543">
        <v>45288.49</v>
      </c>
      <c r="P920" s="73" t="s">
        <v>431</v>
      </c>
      <c r="Q920" s="158">
        <v>42.49</v>
      </c>
      <c r="R920" s="563">
        <f t="shared" si="54"/>
        <v>-7.5717633467311529E-3</v>
      </c>
      <c r="S920" s="563">
        <f t="shared" si="55"/>
        <v>-1.0018639328984169E-2</v>
      </c>
      <c r="AA920" s="594">
        <v>42956</v>
      </c>
      <c r="AB920" s="595" t="s">
        <v>449</v>
      </c>
      <c r="AC920" s="595">
        <v>45998.81</v>
      </c>
      <c r="AD920" s="596" t="s">
        <v>395</v>
      </c>
      <c r="AE920" s="595">
        <v>270</v>
      </c>
      <c r="AF920" s="597">
        <f t="shared" si="56"/>
        <v>4.1561819672586431E-4</v>
      </c>
      <c r="AG920" s="597">
        <f t="shared" si="57"/>
        <v>0</v>
      </c>
    </row>
    <row r="921" spans="13:33" x14ac:dyDescent="0.35">
      <c r="M921" s="526">
        <v>42963</v>
      </c>
      <c r="N921" s="524" t="s">
        <v>449</v>
      </c>
      <c r="O921" s="524">
        <v>44186.96</v>
      </c>
      <c r="P921" s="73" t="s">
        <v>431</v>
      </c>
      <c r="Q921">
        <v>40.54</v>
      </c>
      <c r="R921" s="563">
        <f t="shared" si="54"/>
        <v>-2.4322515500075137E-2</v>
      </c>
      <c r="S921" s="563">
        <f t="shared" si="55"/>
        <v>-4.5893151329724713E-2</v>
      </c>
      <c r="AA921" s="594">
        <v>42957</v>
      </c>
      <c r="AB921" s="595" t="s">
        <v>449</v>
      </c>
      <c r="AC921" s="595">
        <v>45634.02</v>
      </c>
      <c r="AD921" s="596" t="s">
        <v>395</v>
      </c>
      <c r="AE921" s="595">
        <v>268.43</v>
      </c>
      <c r="AF921" s="597">
        <f t="shared" si="56"/>
        <v>-7.9304225478876722E-3</v>
      </c>
      <c r="AG921" s="597">
        <f t="shared" si="57"/>
        <v>-5.8148148148148282E-3</v>
      </c>
    </row>
    <row r="922" spans="13:33" x14ac:dyDescent="0.35">
      <c r="M922" s="555">
        <v>42964</v>
      </c>
      <c r="N922" s="543" t="s">
        <v>449</v>
      </c>
      <c r="O922" s="543">
        <v>43136.06</v>
      </c>
      <c r="P922" s="73" t="s">
        <v>431</v>
      </c>
      <c r="Q922" s="158">
        <v>39.5</v>
      </c>
      <c r="R922" s="563">
        <f t="shared" ref="R922:R985" si="58">(O922/O921)-1</f>
        <v>-2.3783034632841926E-2</v>
      </c>
      <c r="S922" s="563">
        <f t="shared" ref="S922:S985" si="59">(Q922/Q921)-1</f>
        <v>-2.5653675382338426E-2</v>
      </c>
      <c r="AA922" s="594">
        <v>42958</v>
      </c>
      <c r="AB922" s="595" t="s">
        <v>449</v>
      </c>
      <c r="AC922" s="595">
        <v>45288.49</v>
      </c>
      <c r="AD922" s="596" t="s">
        <v>395</v>
      </c>
      <c r="AE922" s="595">
        <v>270.01</v>
      </c>
      <c r="AF922" s="597">
        <f t="shared" si="56"/>
        <v>-7.5717633467311529E-3</v>
      </c>
      <c r="AG922" s="597">
        <f t="shared" si="57"/>
        <v>5.8860783071936762E-3</v>
      </c>
    </row>
    <row r="923" spans="13:33" x14ac:dyDescent="0.35">
      <c r="M923" s="555">
        <v>42965</v>
      </c>
      <c r="N923" s="543" t="s">
        <v>449</v>
      </c>
      <c r="O923" s="543">
        <v>43078.38</v>
      </c>
      <c r="P923" s="73" t="s">
        <v>431</v>
      </c>
      <c r="Q923" s="158">
        <v>38.869999999999997</v>
      </c>
      <c r="R923" s="563">
        <f t="shared" si="58"/>
        <v>-1.3371643121786736E-3</v>
      </c>
      <c r="S923" s="563">
        <f t="shared" si="59"/>
        <v>-1.5949367088607613E-2</v>
      </c>
      <c r="AA923" s="594">
        <v>42963</v>
      </c>
      <c r="AB923" s="595" t="s">
        <v>449</v>
      </c>
      <c r="AC923" s="595">
        <v>44186.96</v>
      </c>
      <c r="AD923" s="596" t="s">
        <v>395</v>
      </c>
      <c r="AE923" s="595">
        <v>257.2</v>
      </c>
      <c r="AF923" s="597">
        <f t="shared" si="56"/>
        <v>-2.4322515500075137E-2</v>
      </c>
      <c r="AG923" s="597">
        <f t="shared" si="57"/>
        <v>-4.7442687307877485E-2</v>
      </c>
    </row>
    <row r="924" spans="13:33" x14ac:dyDescent="0.35">
      <c r="M924" s="555">
        <v>42968</v>
      </c>
      <c r="N924" s="543" t="s">
        <v>449</v>
      </c>
      <c r="O924" s="543">
        <v>42153.38</v>
      </c>
      <c r="P924" s="73" t="s">
        <v>431</v>
      </c>
      <c r="Q924" s="158">
        <v>36.950000000000003</v>
      </c>
      <c r="R924" s="563">
        <f t="shared" si="58"/>
        <v>-2.1472488055493288E-2</v>
      </c>
      <c r="S924" s="563">
        <f t="shared" si="59"/>
        <v>-4.9395420632878717E-2</v>
      </c>
      <c r="AA924" s="594">
        <v>42964</v>
      </c>
      <c r="AB924" s="595" t="s">
        <v>449</v>
      </c>
      <c r="AC924" s="595">
        <v>43136.06</v>
      </c>
      <c r="AD924" s="596" t="s">
        <v>395</v>
      </c>
      <c r="AE924" s="595">
        <v>256.66000000000003</v>
      </c>
      <c r="AF924" s="597">
        <f t="shared" ref="AF924:AF987" si="60">(AC924/AC923)-1</f>
        <v>-2.3783034632841926E-2</v>
      </c>
      <c r="AG924" s="597">
        <f t="shared" ref="AG924:AG987" si="61">(AE924/AE923)-1</f>
        <v>-2.0995334370138563E-3</v>
      </c>
    </row>
    <row r="925" spans="13:33" x14ac:dyDescent="0.35">
      <c r="M925" s="555">
        <v>42969</v>
      </c>
      <c r="N925" s="543" t="s">
        <v>449</v>
      </c>
      <c r="O925" s="543">
        <v>41983.16</v>
      </c>
      <c r="P925" s="73" t="s">
        <v>431</v>
      </c>
      <c r="Q925" s="158">
        <v>36.159999999999997</v>
      </c>
      <c r="R925" s="563">
        <f t="shared" si="58"/>
        <v>-4.0381103484463665E-3</v>
      </c>
      <c r="S925" s="563">
        <f t="shared" si="59"/>
        <v>-2.1380243572395319E-2</v>
      </c>
      <c r="AA925" s="594">
        <v>42965</v>
      </c>
      <c r="AB925" s="595" t="s">
        <v>449</v>
      </c>
      <c r="AC925" s="595">
        <v>43078.38</v>
      </c>
      <c r="AD925" s="596" t="s">
        <v>395</v>
      </c>
      <c r="AE925" s="595">
        <v>268.75</v>
      </c>
      <c r="AF925" s="597">
        <f t="shared" si="60"/>
        <v>-1.3371643121786736E-3</v>
      </c>
      <c r="AG925" s="597">
        <f t="shared" si="61"/>
        <v>4.7105119613496393E-2</v>
      </c>
    </row>
    <row r="926" spans="13:33" x14ac:dyDescent="0.35">
      <c r="M926" s="555">
        <v>42970</v>
      </c>
      <c r="N926" s="543" t="s">
        <v>449</v>
      </c>
      <c r="O926" s="543">
        <v>42910.79</v>
      </c>
      <c r="P926" s="73" t="s">
        <v>431</v>
      </c>
      <c r="Q926" s="158">
        <v>37.97</v>
      </c>
      <c r="R926" s="563">
        <f t="shared" si="58"/>
        <v>2.2095287729651636E-2</v>
      </c>
      <c r="S926" s="563">
        <f t="shared" si="59"/>
        <v>5.0055309734513331E-2</v>
      </c>
      <c r="AA926" s="594">
        <v>42968</v>
      </c>
      <c r="AB926" s="595" t="s">
        <v>449</v>
      </c>
      <c r="AC926" s="595">
        <v>42153.38</v>
      </c>
      <c r="AD926" s="596" t="s">
        <v>395</v>
      </c>
      <c r="AE926" s="595">
        <v>255.32</v>
      </c>
      <c r="AF926" s="597">
        <f t="shared" si="60"/>
        <v>-2.1472488055493288E-2</v>
      </c>
      <c r="AG926" s="597">
        <f t="shared" si="61"/>
        <v>-4.9972093023255892E-2</v>
      </c>
    </row>
    <row r="927" spans="13:33" x14ac:dyDescent="0.35">
      <c r="M927" s="555">
        <v>42971</v>
      </c>
      <c r="N927" s="543" t="s">
        <v>449</v>
      </c>
      <c r="O927" s="543">
        <v>42268.62</v>
      </c>
      <c r="P927" s="73" t="s">
        <v>431</v>
      </c>
      <c r="Q927" s="158">
        <v>36.35</v>
      </c>
      <c r="R927" s="563">
        <f t="shared" si="58"/>
        <v>-1.4965233685979684E-2</v>
      </c>
      <c r="S927" s="563">
        <f t="shared" si="59"/>
        <v>-4.2665262048986019E-2</v>
      </c>
      <c r="AA927" s="594">
        <v>42969</v>
      </c>
      <c r="AB927" s="595" t="s">
        <v>449</v>
      </c>
      <c r="AC927" s="595">
        <v>41983.16</v>
      </c>
      <c r="AD927" s="596" t="s">
        <v>395</v>
      </c>
      <c r="AE927" s="595">
        <v>243</v>
      </c>
      <c r="AF927" s="597">
        <f t="shared" si="60"/>
        <v>-4.0381103484463665E-3</v>
      </c>
      <c r="AG927" s="597">
        <f t="shared" si="61"/>
        <v>-4.8253172489424956E-2</v>
      </c>
    </row>
    <row r="928" spans="13:33" x14ac:dyDescent="0.35">
      <c r="M928" s="555">
        <v>42972</v>
      </c>
      <c r="N928" s="543" t="s">
        <v>449</v>
      </c>
      <c r="O928" s="543">
        <v>42641.75</v>
      </c>
      <c r="P928" s="73" t="s">
        <v>431</v>
      </c>
      <c r="Q928" s="158">
        <v>37.46</v>
      </c>
      <c r="R928" s="563">
        <f t="shared" si="58"/>
        <v>8.8275888827218374E-3</v>
      </c>
      <c r="S928" s="563">
        <f t="shared" si="59"/>
        <v>3.053645116918835E-2</v>
      </c>
      <c r="AA928" s="594">
        <v>42970</v>
      </c>
      <c r="AB928" s="595" t="s">
        <v>449</v>
      </c>
      <c r="AC928" s="595">
        <v>42910.79</v>
      </c>
      <c r="AD928" s="596" t="s">
        <v>395</v>
      </c>
      <c r="AE928" s="595">
        <v>240</v>
      </c>
      <c r="AF928" s="597">
        <f t="shared" si="60"/>
        <v>2.2095287729651636E-2</v>
      </c>
      <c r="AG928" s="597">
        <f t="shared" si="61"/>
        <v>-1.2345679012345734E-2</v>
      </c>
    </row>
    <row r="929" spans="13:33" x14ac:dyDescent="0.35">
      <c r="M929" s="555">
        <v>42975</v>
      </c>
      <c r="N929" s="543" t="s">
        <v>449</v>
      </c>
      <c r="O929" s="543">
        <v>41974.22</v>
      </c>
      <c r="P929" s="73" t="s">
        <v>431</v>
      </c>
      <c r="Q929" s="158">
        <v>35.880000000000003</v>
      </c>
      <c r="R929" s="563">
        <f t="shared" si="58"/>
        <v>-1.5654376286151406E-2</v>
      </c>
      <c r="S929" s="563">
        <f t="shared" si="59"/>
        <v>-4.2178323545114749E-2</v>
      </c>
      <c r="AA929" s="594">
        <v>42971</v>
      </c>
      <c r="AB929" s="595" t="s">
        <v>449</v>
      </c>
      <c r="AC929" s="595">
        <v>42268.62</v>
      </c>
      <c r="AD929" s="596" t="s">
        <v>395</v>
      </c>
      <c r="AE929" s="595">
        <v>240</v>
      </c>
      <c r="AF929" s="597">
        <f t="shared" si="60"/>
        <v>-1.4965233685979684E-2</v>
      </c>
      <c r="AG929" s="597">
        <f t="shared" si="61"/>
        <v>0</v>
      </c>
    </row>
    <row r="930" spans="13:33" x14ac:dyDescent="0.35">
      <c r="M930" s="555">
        <v>42976</v>
      </c>
      <c r="N930" s="543" t="s">
        <v>449</v>
      </c>
      <c r="O930" s="543">
        <v>41233.08</v>
      </c>
      <c r="P930" s="73" t="s">
        <v>431</v>
      </c>
      <c r="Q930" s="158">
        <v>35.06</v>
      </c>
      <c r="R930" s="563">
        <f t="shared" si="58"/>
        <v>-1.7657028528463403E-2</v>
      </c>
      <c r="S930" s="563">
        <f t="shared" si="59"/>
        <v>-2.2853957636566391E-2</v>
      </c>
      <c r="AA930" s="594">
        <v>42972</v>
      </c>
      <c r="AB930" s="595" t="s">
        <v>449</v>
      </c>
      <c r="AC930" s="595">
        <v>42641.75</v>
      </c>
      <c r="AD930" s="596" t="s">
        <v>395</v>
      </c>
      <c r="AE930" s="595">
        <v>239.95</v>
      </c>
      <c r="AF930" s="597">
        <f t="shared" si="60"/>
        <v>8.8275888827218374E-3</v>
      </c>
      <c r="AG930" s="597">
        <f t="shared" si="61"/>
        <v>-2.083333333333659E-4</v>
      </c>
    </row>
    <row r="931" spans="13:33" x14ac:dyDescent="0.35">
      <c r="M931" s="555">
        <v>42977</v>
      </c>
      <c r="N931" s="543" t="s">
        <v>449</v>
      </c>
      <c r="O931" s="543">
        <v>41323.65</v>
      </c>
      <c r="P931" s="73" t="s">
        <v>431</v>
      </c>
      <c r="Q931" s="158">
        <v>35.590000000000003</v>
      </c>
      <c r="R931" s="563">
        <f t="shared" si="58"/>
        <v>2.196537343317484E-3</v>
      </c>
      <c r="S931" s="563">
        <f t="shared" si="59"/>
        <v>1.5116942384483689E-2</v>
      </c>
      <c r="AA931" s="594">
        <v>42975</v>
      </c>
      <c r="AB931" s="595" t="s">
        <v>449</v>
      </c>
      <c r="AC931" s="595">
        <v>41974.22</v>
      </c>
      <c r="AD931" s="596" t="s">
        <v>395</v>
      </c>
      <c r="AE931" s="595">
        <v>245.88</v>
      </c>
      <c r="AF931" s="597">
        <f t="shared" si="60"/>
        <v>-1.5654376286151406E-2</v>
      </c>
      <c r="AG931" s="597">
        <f t="shared" si="61"/>
        <v>2.4713481975411566E-2</v>
      </c>
    </row>
    <row r="932" spans="13:33" x14ac:dyDescent="0.35">
      <c r="M932" s="555">
        <v>42978</v>
      </c>
      <c r="N932" s="543" t="s">
        <v>449</v>
      </c>
      <c r="O932" s="543">
        <v>41206.99</v>
      </c>
      <c r="P932" s="73" t="s">
        <v>431</v>
      </c>
      <c r="Q932" s="158">
        <v>35.94</v>
      </c>
      <c r="R932" s="563">
        <f t="shared" si="58"/>
        <v>-2.8230807298000871E-3</v>
      </c>
      <c r="S932" s="563">
        <f t="shared" si="59"/>
        <v>9.8342230963752719E-3</v>
      </c>
      <c r="AA932" s="594">
        <v>42976</v>
      </c>
      <c r="AB932" s="595" t="s">
        <v>449</v>
      </c>
      <c r="AC932" s="595">
        <v>41233.08</v>
      </c>
      <c r="AD932" s="596" t="s">
        <v>395</v>
      </c>
      <c r="AE932" s="595">
        <v>240</v>
      </c>
      <c r="AF932" s="597">
        <f t="shared" si="60"/>
        <v>-1.7657028528463403E-2</v>
      </c>
      <c r="AG932" s="597">
        <f t="shared" si="61"/>
        <v>-2.3914104441190798E-2</v>
      </c>
    </row>
    <row r="933" spans="13:33" x14ac:dyDescent="0.35">
      <c r="M933" s="555">
        <v>42983</v>
      </c>
      <c r="N933" s="543" t="s">
        <v>449</v>
      </c>
      <c r="O933" s="543">
        <v>41779.199999999997</v>
      </c>
      <c r="P933" s="73" t="s">
        <v>431</v>
      </c>
      <c r="Q933" s="158">
        <v>37.119999999999997</v>
      </c>
      <c r="R933" s="563">
        <f t="shared" si="58"/>
        <v>1.3886236291464016E-2</v>
      </c>
      <c r="S933" s="563">
        <f t="shared" si="59"/>
        <v>3.2832498608792449E-2</v>
      </c>
      <c r="AA933" s="594">
        <v>42977</v>
      </c>
      <c r="AB933" s="595" t="s">
        <v>449</v>
      </c>
      <c r="AC933" s="595">
        <v>41323.65</v>
      </c>
      <c r="AD933" s="596" t="s">
        <v>395</v>
      </c>
      <c r="AE933" s="595">
        <v>240.36</v>
      </c>
      <c r="AF933" s="597">
        <f t="shared" si="60"/>
        <v>2.196537343317484E-3</v>
      </c>
      <c r="AG933" s="597">
        <f t="shared" si="61"/>
        <v>1.5000000000000568E-3</v>
      </c>
    </row>
    <row r="934" spans="13:33" x14ac:dyDescent="0.35">
      <c r="M934" s="555">
        <v>42984</v>
      </c>
      <c r="N934" s="543" t="s">
        <v>449</v>
      </c>
      <c r="O934" s="543">
        <v>41389.99</v>
      </c>
      <c r="P934" s="73" t="s">
        <v>431</v>
      </c>
      <c r="Q934" s="158">
        <v>35.94</v>
      </c>
      <c r="R934" s="563">
        <f t="shared" si="58"/>
        <v>-9.315879672181393E-3</v>
      </c>
      <c r="S934" s="563">
        <f t="shared" si="59"/>
        <v>-3.1788793103448287E-2</v>
      </c>
      <c r="AA934" s="594">
        <v>42978</v>
      </c>
      <c r="AB934" s="595" t="s">
        <v>449</v>
      </c>
      <c r="AC934" s="595">
        <v>41206.99</v>
      </c>
      <c r="AD934" s="596" t="s">
        <v>395</v>
      </c>
      <c r="AE934" s="595">
        <v>249.83</v>
      </c>
      <c r="AF934" s="597">
        <f t="shared" si="60"/>
        <v>-2.8230807298000871E-3</v>
      </c>
      <c r="AG934" s="597">
        <f t="shared" si="61"/>
        <v>3.9399234481610979E-2</v>
      </c>
    </row>
    <row r="935" spans="13:33" x14ac:dyDescent="0.35">
      <c r="M935" s="555">
        <v>42985</v>
      </c>
      <c r="N935" s="543" t="s">
        <v>449</v>
      </c>
      <c r="O935" s="543">
        <v>40958.65</v>
      </c>
      <c r="P935" s="73" t="s">
        <v>431</v>
      </c>
      <c r="Q935" s="158">
        <v>37.729999999999997</v>
      </c>
      <c r="R935" s="563">
        <f t="shared" si="58"/>
        <v>-1.0421360333742413E-2</v>
      </c>
      <c r="S935" s="563">
        <f t="shared" si="59"/>
        <v>4.9805230940456191E-2</v>
      </c>
      <c r="AA935" s="594">
        <v>42983</v>
      </c>
      <c r="AB935" s="595" t="s">
        <v>449</v>
      </c>
      <c r="AC935" s="595">
        <v>41779.199999999997</v>
      </c>
      <c r="AD935" s="596" t="s">
        <v>395</v>
      </c>
      <c r="AE935" s="595">
        <v>244.75</v>
      </c>
      <c r="AF935" s="597">
        <f t="shared" si="60"/>
        <v>1.3886236291464016E-2</v>
      </c>
      <c r="AG935" s="597">
        <f t="shared" si="61"/>
        <v>-2.0333827002361637E-2</v>
      </c>
    </row>
    <row r="936" spans="13:33" x14ac:dyDescent="0.35">
      <c r="M936" s="555">
        <v>42986</v>
      </c>
      <c r="N936" s="543" t="s">
        <v>449</v>
      </c>
      <c r="O936" s="543">
        <v>41401.019999999997</v>
      </c>
      <c r="P936" s="73" t="s">
        <v>431</v>
      </c>
      <c r="Q936" s="158">
        <v>39.43</v>
      </c>
      <c r="R936" s="563">
        <f t="shared" si="58"/>
        <v>1.0800404798497976E-2</v>
      </c>
      <c r="S936" s="563">
        <f t="shared" si="59"/>
        <v>4.5056983832494124E-2</v>
      </c>
      <c r="AA936" s="594">
        <v>42984</v>
      </c>
      <c r="AB936" s="595" t="s">
        <v>449</v>
      </c>
      <c r="AC936" s="595">
        <v>41389.99</v>
      </c>
      <c r="AD936" s="596" t="s">
        <v>395</v>
      </c>
      <c r="AE936" s="595">
        <v>240.36</v>
      </c>
      <c r="AF936" s="597">
        <f t="shared" si="60"/>
        <v>-9.315879672181393E-3</v>
      </c>
      <c r="AG936" s="597">
        <f t="shared" si="61"/>
        <v>-1.7936670071501459E-2</v>
      </c>
    </row>
    <row r="937" spans="13:33" x14ac:dyDescent="0.35">
      <c r="M937" s="555">
        <v>42989</v>
      </c>
      <c r="N937" s="543" t="s">
        <v>449</v>
      </c>
      <c r="O937" s="543">
        <v>41126.83</v>
      </c>
      <c r="P937" s="73" t="s">
        <v>431</v>
      </c>
      <c r="Q937" s="158">
        <v>38.159999999999997</v>
      </c>
      <c r="R937" s="563">
        <f t="shared" si="58"/>
        <v>-6.6227836898703485E-3</v>
      </c>
      <c r="S937" s="563">
        <f t="shared" si="59"/>
        <v>-3.2208977935582084E-2</v>
      </c>
      <c r="AA937" s="594">
        <v>42985</v>
      </c>
      <c r="AB937" s="595" t="s">
        <v>449</v>
      </c>
      <c r="AC937" s="595">
        <v>40958.65</v>
      </c>
      <c r="AD937" s="596" t="s">
        <v>395</v>
      </c>
      <c r="AE937" s="595">
        <v>240</v>
      </c>
      <c r="AF937" s="597">
        <f t="shared" si="60"/>
        <v>-1.0421360333742413E-2</v>
      </c>
      <c r="AG937" s="597">
        <f t="shared" si="61"/>
        <v>-1.4977533699451762E-3</v>
      </c>
    </row>
    <row r="938" spans="13:33" x14ac:dyDescent="0.35">
      <c r="M938" s="555">
        <v>42990</v>
      </c>
      <c r="N938" s="543" t="s">
        <v>449</v>
      </c>
      <c r="O938" s="543">
        <v>41279.300000000003</v>
      </c>
      <c r="P938" s="73" t="s">
        <v>431</v>
      </c>
      <c r="Q938" s="158">
        <v>37.85</v>
      </c>
      <c r="R938" s="563">
        <f t="shared" si="58"/>
        <v>3.7073122338873166E-3</v>
      </c>
      <c r="S938" s="563">
        <f t="shared" si="59"/>
        <v>-8.1236897274631348E-3</v>
      </c>
      <c r="AA938" s="594">
        <v>42986</v>
      </c>
      <c r="AB938" s="595" t="s">
        <v>449</v>
      </c>
      <c r="AC938" s="595">
        <v>41401.019999999997</v>
      </c>
      <c r="AD938" s="596" t="s">
        <v>395</v>
      </c>
      <c r="AE938" s="595">
        <v>240</v>
      </c>
      <c r="AF938" s="597">
        <f t="shared" si="60"/>
        <v>1.0800404798497976E-2</v>
      </c>
      <c r="AG938" s="597">
        <f t="shared" si="61"/>
        <v>0</v>
      </c>
    </row>
    <row r="939" spans="13:33" x14ac:dyDescent="0.35">
      <c r="M939" s="526">
        <v>42992</v>
      </c>
      <c r="N939" s="524" t="s">
        <v>449</v>
      </c>
      <c r="O939" s="524">
        <v>42683.57</v>
      </c>
      <c r="P939" s="73" t="s">
        <v>431</v>
      </c>
      <c r="Q939">
        <v>36.82</v>
      </c>
      <c r="R939" s="563">
        <f t="shared" si="58"/>
        <v>3.4018745472912393E-2</v>
      </c>
      <c r="S939" s="563">
        <f t="shared" si="59"/>
        <v>-2.7212681638044911E-2</v>
      </c>
      <c r="AA939" s="594">
        <v>42989</v>
      </c>
      <c r="AB939" s="595" t="s">
        <v>449</v>
      </c>
      <c r="AC939" s="595">
        <v>41126.83</v>
      </c>
      <c r="AD939" s="596" t="s">
        <v>395</v>
      </c>
      <c r="AE939" s="595">
        <v>238</v>
      </c>
      <c r="AF939" s="597">
        <f t="shared" si="60"/>
        <v>-6.6227836898703485E-3</v>
      </c>
      <c r="AG939" s="597">
        <f t="shared" si="61"/>
        <v>-8.3333333333333037E-3</v>
      </c>
    </row>
    <row r="940" spans="13:33" x14ac:dyDescent="0.35">
      <c r="M940" s="555">
        <v>42993</v>
      </c>
      <c r="N940" s="543" t="s">
        <v>449</v>
      </c>
      <c r="O940" s="543">
        <v>42787.19</v>
      </c>
      <c r="P940" s="73" t="s">
        <v>431</v>
      </c>
      <c r="Q940" s="158">
        <v>36.229999999999997</v>
      </c>
      <c r="R940" s="563">
        <f t="shared" si="58"/>
        <v>2.4276319904825705E-3</v>
      </c>
      <c r="S940" s="563">
        <f t="shared" si="59"/>
        <v>-1.6023900054318418E-2</v>
      </c>
      <c r="AA940" s="594">
        <v>42990</v>
      </c>
      <c r="AB940" s="595" t="s">
        <v>449</v>
      </c>
      <c r="AC940" s="595">
        <v>41279.300000000003</v>
      </c>
      <c r="AD940" s="596" t="s">
        <v>395</v>
      </c>
      <c r="AE940" s="595">
        <v>244.63</v>
      </c>
      <c r="AF940" s="597">
        <f t="shared" si="60"/>
        <v>3.7073122338873166E-3</v>
      </c>
      <c r="AG940" s="597">
        <f t="shared" si="61"/>
        <v>2.7857142857142803E-2</v>
      </c>
    </row>
    <row r="941" spans="13:33" x14ac:dyDescent="0.35">
      <c r="M941" s="555">
        <v>42996</v>
      </c>
      <c r="N941" s="543" t="s">
        <v>449</v>
      </c>
      <c r="O941" s="543">
        <v>42841.41</v>
      </c>
      <c r="P941" s="73" t="s">
        <v>431</v>
      </c>
      <c r="Q941" s="158">
        <v>36.29</v>
      </c>
      <c r="R941" s="563">
        <f t="shared" si="58"/>
        <v>1.2672017021917448E-3</v>
      </c>
      <c r="S941" s="563">
        <f t="shared" si="59"/>
        <v>1.6560861164780505E-3</v>
      </c>
      <c r="AA941" s="594">
        <v>42992</v>
      </c>
      <c r="AB941" s="595" t="s">
        <v>449</v>
      </c>
      <c r="AC941" s="595">
        <v>42683.57</v>
      </c>
      <c r="AD941" s="596" t="s">
        <v>395</v>
      </c>
      <c r="AE941" s="595">
        <v>241.13</v>
      </c>
      <c r="AF941" s="597">
        <f t="shared" si="60"/>
        <v>3.4018745472912393E-2</v>
      </c>
      <c r="AG941" s="597">
        <f t="shared" si="61"/>
        <v>-1.4307321260679351E-2</v>
      </c>
    </row>
    <row r="942" spans="13:33" x14ac:dyDescent="0.35">
      <c r="M942" s="555">
        <v>42997</v>
      </c>
      <c r="N942" s="543" t="s">
        <v>449</v>
      </c>
      <c r="O942" s="543">
        <v>43253.26</v>
      </c>
      <c r="P942" s="73" t="s">
        <v>431</v>
      </c>
      <c r="Q942" s="158">
        <v>36.71</v>
      </c>
      <c r="R942" s="563">
        <f t="shared" si="58"/>
        <v>9.6133623986698336E-3</v>
      </c>
      <c r="S942" s="563">
        <f t="shared" si="59"/>
        <v>1.1573436208321963E-2</v>
      </c>
      <c r="AA942" s="594">
        <v>42993</v>
      </c>
      <c r="AB942" s="595" t="s">
        <v>449</v>
      </c>
      <c r="AC942" s="595">
        <v>42787.19</v>
      </c>
      <c r="AD942" s="596" t="s">
        <v>395</v>
      </c>
      <c r="AE942" s="595">
        <v>237.5</v>
      </c>
      <c r="AF942" s="597">
        <f t="shared" si="60"/>
        <v>2.4276319904825705E-3</v>
      </c>
      <c r="AG942" s="597">
        <f t="shared" si="61"/>
        <v>-1.5054120184132991E-2</v>
      </c>
    </row>
    <row r="943" spans="13:33" x14ac:dyDescent="0.35">
      <c r="M943" s="555">
        <v>42998</v>
      </c>
      <c r="N943" s="543" t="s">
        <v>449</v>
      </c>
      <c r="O943" s="543">
        <v>43347.03</v>
      </c>
      <c r="P943" s="73" t="s">
        <v>431</v>
      </c>
      <c r="Q943" s="158">
        <v>36.840000000000003</v>
      </c>
      <c r="R943" s="563">
        <f t="shared" si="58"/>
        <v>2.1679290763285675E-3</v>
      </c>
      <c r="S943" s="563">
        <f t="shared" si="59"/>
        <v>3.5412694088805541E-3</v>
      </c>
      <c r="AA943" s="594">
        <v>42996</v>
      </c>
      <c r="AB943" s="595" t="s">
        <v>449</v>
      </c>
      <c r="AC943" s="595">
        <v>42841.41</v>
      </c>
      <c r="AD943" s="596" t="s">
        <v>395</v>
      </c>
      <c r="AE943" s="595">
        <v>236.94</v>
      </c>
      <c r="AF943" s="597">
        <f t="shared" si="60"/>
        <v>1.2672017021917448E-3</v>
      </c>
      <c r="AG943" s="597">
        <f t="shared" si="61"/>
        <v>-2.3578947368421144E-3</v>
      </c>
    </row>
    <row r="944" spans="13:33" x14ac:dyDescent="0.35">
      <c r="M944" s="555">
        <v>42999</v>
      </c>
      <c r="N944" s="543" t="s">
        <v>449</v>
      </c>
      <c r="O944" s="543">
        <v>42775.040000000001</v>
      </c>
      <c r="P944" s="73" t="s">
        <v>431</v>
      </c>
      <c r="Q944" s="158">
        <v>36.299999999999997</v>
      </c>
      <c r="R944" s="563">
        <f t="shared" si="58"/>
        <v>-1.3195598406626652E-2</v>
      </c>
      <c r="S944" s="563">
        <f t="shared" si="59"/>
        <v>-1.4657980456026176E-2</v>
      </c>
      <c r="AA944" s="594">
        <v>42997</v>
      </c>
      <c r="AB944" s="595" t="s">
        <v>449</v>
      </c>
      <c r="AC944" s="595">
        <v>43253.26</v>
      </c>
      <c r="AD944" s="596" t="s">
        <v>395</v>
      </c>
      <c r="AE944" s="595">
        <v>236.92</v>
      </c>
      <c r="AF944" s="597">
        <f t="shared" si="60"/>
        <v>9.6133623986698336E-3</v>
      </c>
      <c r="AG944" s="597">
        <f t="shared" si="61"/>
        <v>-8.4409555161646388E-5</v>
      </c>
    </row>
    <row r="945" spans="13:33" x14ac:dyDescent="0.35">
      <c r="M945" s="555">
        <v>43000</v>
      </c>
      <c r="N945" s="543" t="s">
        <v>449</v>
      </c>
      <c r="O945" s="543">
        <v>42750.19</v>
      </c>
      <c r="P945" s="73" t="s">
        <v>431</v>
      </c>
      <c r="Q945" s="158">
        <v>35.99</v>
      </c>
      <c r="R945" s="563">
        <f t="shared" si="58"/>
        <v>-5.8094627147042832E-4</v>
      </c>
      <c r="S945" s="563">
        <f t="shared" si="59"/>
        <v>-8.5399449035811204E-3</v>
      </c>
      <c r="AA945" s="594">
        <v>42998</v>
      </c>
      <c r="AB945" s="595" t="s">
        <v>449</v>
      </c>
      <c r="AC945" s="595">
        <v>43347.03</v>
      </c>
      <c r="AD945" s="596" t="s">
        <v>395</v>
      </c>
      <c r="AE945" s="595">
        <v>236.5</v>
      </c>
      <c r="AF945" s="597">
        <f t="shared" si="60"/>
        <v>2.1679290763285675E-3</v>
      </c>
      <c r="AG945" s="597">
        <f t="shared" si="61"/>
        <v>-1.7727502954583141E-3</v>
      </c>
    </row>
    <row r="946" spans="13:33" x14ac:dyDescent="0.35">
      <c r="M946" s="555">
        <v>43003</v>
      </c>
      <c r="N946" s="543" t="s">
        <v>449</v>
      </c>
      <c r="O946" s="543">
        <v>42743.65</v>
      </c>
      <c r="P946" s="73" t="s">
        <v>431</v>
      </c>
      <c r="Q946" s="158">
        <v>35.14</v>
      </c>
      <c r="R946" s="563">
        <f t="shared" si="58"/>
        <v>-1.5298177622136144E-4</v>
      </c>
      <c r="S946" s="563">
        <f t="shared" si="59"/>
        <v>-2.3617671575437704E-2</v>
      </c>
      <c r="AA946" s="594">
        <v>42999</v>
      </c>
      <c r="AB946" s="595" t="s">
        <v>449</v>
      </c>
      <c r="AC946" s="595">
        <v>42775.040000000001</v>
      </c>
      <c r="AD946" s="596" t="s">
        <v>395</v>
      </c>
      <c r="AE946" s="595">
        <v>236.5</v>
      </c>
      <c r="AF946" s="597">
        <f t="shared" si="60"/>
        <v>-1.3195598406626652E-2</v>
      </c>
      <c r="AG946" s="597">
        <f t="shared" si="61"/>
        <v>0</v>
      </c>
    </row>
    <row r="947" spans="13:33" x14ac:dyDescent="0.35">
      <c r="M947" s="555">
        <v>43004</v>
      </c>
      <c r="N947" s="543" t="s">
        <v>449</v>
      </c>
      <c r="O947" s="543">
        <v>42666.23</v>
      </c>
      <c r="P947" s="73" t="s">
        <v>431</v>
      </c>
      <c r="Q947" s="158">
        <v>34.89</v>
      </c>
      <c r="R947" s="563">
        <f t="shared" si="58"/>
        <v>-1.8112631934801282E-3</v>
      </c>
      <c r="S947" s="563">
        <f t="shared" si="59"/>
        <v>-7.114399544678407E-3</v>
      </c>
      <c r="AA947" s="594">
        <v>43000</v>
      </c>
      <c r="AB947" s="595" t="s">
        <v>449</v>
      </c>
      <c r="AC947" s="595">
        <v>42750.19</v>
      </c>
      <c r="AD947" s="596" t="s">
        <v>395</v>
      </c>
      <c r="AE947" s="595">
        <v>239.3</v>
      </c>
      <c r="AF947" s="597">
        <f t="shared" si="60"/>
        <v>-5.8094627147042832E-4</v>
      </c>
      <c r="AG947" s="597">
        <f t="shared" si="61"/>
        <v>1.1839323467230489E-2</v>
      </c>
    </row>
    <row r="948" spans="13:33" x14ac:dyDescent="0.35">
      <c r="M948" s="555">
        <v>43005</v>
      </c>
      <c r="N948" s="543" t="s">
        <v>449</v>
      </c>
      <c r="O948" s="543">
        <v>42290.15</v>
      </c>
      <c r="P948" s="73" t="s">
        <v>431</v>
      </c>
      <c r="Q948" s="158">
        <v>34.409999999999997</v>
      </c>
      <c r="R948" s="563">
        <f t="shared" si="58"/>
        <v>-8.8144652105424104E-3</v>
      </c>
      <c r="S948" s="563">
        <f t="shared" si="59"/>
        <v>-1.3757523645743897E-2</v>
      </c>
      <c r="AA948" s="594">
        <v>43003</v>
      </c>
      <c r="AB948" s="595" t="s">
        <v>449</v>
      </c>
      <c r="AC948" s="595">
        <v>42743.65</v>
      </c>
      <c r="AD948" s="596" t="s">
        <v>395</v>
      </c>
      <c r="AE948" s="595">
        <v>234</v>
      </c>
      <c r="AF948" s="597">
        <f t="shared" si="60"/>
        <v>-1.5298177622136144E-4</v>
      </c>
      <c r="AG948" s="597">
        <f t="shared" si="61"/>
        <v>-2.2147931466778181E-2</v>
      </c>
    </row>
    <row r="949" spans="13:33" x14ac:dyDescent="0.35">
      <c r="M949" s="555">
        <v>43006</v>
      </c>
      <c r="N949" s="543" t="s">
        <v>449</v>
      </c>
      <c r="O949" s="543">
        <v>42362.87</v>
      </c>
      <c r="P949" s="73" t="s">
        <v>431</v>
      </c>
      <c r="Q949" s="158">
        <v>34.85</v>
      </c>
      <c r="R949" s="563">
        <f t="shared" si="58"/>
        <v>1.7195493513264548E-3</v>
      </c>
      <c r="S949" s="563">
        <f t="shared" si="59"/>
        <v>1.2786980528916247E-2</v>
      </c>
      <c r="AA949" s="594">
        <v>43004</v>
      </c>
      <c r="AB949" s="595" t="s">
        <v>449</v>
      </c>
      <c r="AC949" s="595">
        <v>42666.23</v>
      </c>
      <c r="AD949" s="596" t="s">
        <v>395</v>
      </c>
      <c r="AE949" s="595">
        <v>239.17</v>
      </c>
      <c r="AF949" s="597">
        <f t="shared" si="60"/>
        <v>-1.8112631934801282E-3</v>
      </c>
      <c r="AG949" s="597">
        <f t="shared" si="61"/>
        <v>2.2094017094017149E-2</v>
      </c>
    </row>
    <row r="950" spans="13:33" x14ac:dyDescent="0.35">
      <c r="M950" s="555">
        <v>43007</v>
      </c>
      <c r="N950" s="543" t="s">
        <v>449</v>
      </c>
      <c r="O950" s="543">
        <v>42409.27</v>
      </c>
      <c r="P950" s="73" t="s">
        <v>431</v>
      </c>
      <c r="Q950" s="158">
        <v>34.56</v>
      </c>
      <c r="R950" s="563">
        <f t="shared" si="58"/>
        <v>1.0952987840529005E-3</v>
      </c>
      <c r="S950" s="563">
        <f t="shared" si="59"/>
        <v>-8.3213773314203543E-3</v>
      </c>
      <c r="AA950" s="594">
        <v>43005</v>
      </c>
      <c r="AB950" s="595" t="s">
        <v>449</v>
      </c>
      <c r="AC950" s="595">
        <v>42290.15</v>
      </c>
      <c r="AD950" s="596" t="s">
        <v>395</v>
      </c>
      <c r="AE950" s="595">
        <v>232.55</v>
      </c>
      <c r="AF950" s="597">
        <f t="shared" si="60"/>
        <v>-8.8144652105424104E-3</v>
      </c>
      <c r="AG950" s="597">
        <f t="shared" si="61"/>
        <v>-2.7679056737885066E-2</v>
      </c>
    </row>
    <row r="951" spans="13:33" x14ac:dyDescent="0.35">
      <c r="M951" s="555">
        <v>43010</v>
      </c>
      <c r="N951" s="543" t="s">
        <v>449</v>
      </c>
      <c r="O951" s="543">
        <v>42018.9</v>
      </c>
      <c r="P951" s="73" t="s">
        <v>431</v>
      </c>
      <c r="Q951" s="158">
        <v>34.229999999999997</v>
      </c>
      <c r="R951" s="563">
        <f t="shared" si="58"/>
        <v>-9.2048271521767422E-3</v>
      </c>
      <c r="S951" s="563">
        <f t="shared" si="59"/>
        <v>-9.5486111111112715E-3</v>
      </c>
      <c r="AA951" s="594">
        <v>43006</v>
      </c>
      <c r="AB951" s="595" t="s">
        <v>449</v>
      </c>
      <c r="AC951" s="595">
        <v>42362.87</v>
      </c>
      <c r="AD951" s="596" t="s">
        <v>395</v>
      </c>
      <c r="AE951" s="595">
        <v>234.85</v>
      </c>
      <c r="AF951" s="597">
        <f t="shared" si="60"/>
        <v>1.7195493513264548E-3</v>
      </c>
      <c r="AG951" s="597">
        <f t="shared" si="61"/>
        <v>9.890346162115593E-3</v>
      </c>
    </row>
    <row r="952" spans="13:33" x14ac:dyDescent="0.35">
      <c r="M952" s="526">
        <v>43012</v>
      </c>
      <c r="N952" s="524" t="s">
        <v>449</v>
      </c>
      <c r="O952" s="524">
        <v>40461</v>
      </c>
      <c r="P952" s="73" t="s">
        <v>431</v>
      </c>
      <c r="Q952">
        <v>32.18</v>
      </c>
      <c r="R952" s="563">
        <f t="shared" si="58"/>
        <v>-3.7076172865067925E-2</v>
      </c>
      <c r="S952" s="563">
        <f t="shared" si="59"/>
        <v>-5.9888986269354239E-2</v>
      </c>
      <c r="AA952" s="594">
        <v>43007</v>
      </c>
      <c r="AB952" s="595" t="s">
        <v>449</v>
      </c>
      <c r="AC952" s="595">
        <v>42409.27</v>
      </c>
      <c r="AD952" s="596" t="s">
        <v>395</v>
      </c>
      <c r="AE952" s="595">
        <v>240</v>
      </c>
      <c r="AF952" s="597">
        <f t="shared" si="60"/>
        <v>1.0952987840529005E-3</v>
      </c>
      <c r="AG952" s="597">
        <f t="shared" si="61"/>
        <v>2.1928890781349741E-2</v>
      </c>
    </row>
    <row r="953" spans="13:33" x14ac:dyDescent="0.35">
      <c r="M953" s="555">
        <v>43013</v>
      </c>
      <c r="N953" s="543" t="s">
        <v>449</v>
      </c>
      <c r="O953" s="543">
        <v>40468.49</v>
      </c>
      <c r="P953" s="73" t="s">
        <v>431</v>
      </c>
      <c r="Q953" s="158">
        <v>31.26</v>
      </c>
      <c r="R953" s="563">
        <f t="shared" si="58"/>
        <v>1.8511653196906508E-4</v>
      </c>
      <c r="S953" s="563">
        <f t="shared" si="59"/>
        <v>-2.8589185829707819E-2</v>
      </c>
      <c r="AA953" s="589">
        <v>43010</v>
      </c>
      <c r="AB953" s="590" t="s">
        <v>449</v>
      </c>
      <c r="AC953" s="590">
        <v>42018.9</v>
      </c>
      <c r="AD953" s="591" t="s">
        <v>395</v>
      </c>
      <c r="AE953" s="590">
        <v>236.25</v>
      </c>
      <c r="AF953" s="592">
        <f t="shared" si="60"/>
        <v>-9.2048271521767422E-3</v>
      </c>
      <c r="AG953" s="592">
        <f t="shared" si="61"/>
        <v>-1.5625E-2</v>
      </c>
    </row>
    <row r="954" spans="13:33" x14ac:dyDescent="0.35">
      <c r="M954" s="555">
        <v>43014</v>
      </c>
      <c r="N954" s="543" t="s">
        <v>449</v>
      </c>
      <c r="O954" s="543">
        <v>41312.589999999997</v>
      </c>
      <c r="P954" s="73" t="s">
        <v>431</v>
      </c>
      <c r="Q954" s="158">
        <v>32.33</v>
      </c>
      <c r="R954" s="563">
        <f t="shared" si="58"/>
        <v>2.0858203505986994E-2</v>
      </c>
      <c r="S954" s="563">
        <f t="shared" si="59"/>
        <v>3.4229046705054333E-2</v>
      </c>
      <c r="AA954" s="589">
        <v>43012</v>
      </c>
      <c r="AB954" s="590" t="s">
        <v>449</v>
      </c>
      <c r="AC954" s="590">
        <v>40461</v>
      </c>
      <c r="AD954" s="591" t="s">
        <v>395</v>
      </c>
      <c r="AE954" s="590">
        <v>236</v>
      </c>
      <c r="AF954" s="592">
        <f t="shared" si="60"/>
        <v>-3.7076172865067925E-2</v>
      </c>
      <c r="AG954" s="592">
        <f t="shared" si="61"/>
        <v>-1.0582010582010914E-3</v>
      </c>
    </row>
    <row r="955" spans="13:33" x14ac:dyDescent="0.35">
      <c r="M955" s="555">
        <v>43017</v>
      </c>
      <c r="N955" s="543" t="s">
        <v>449</v>
      </c>
      <c r="O955" s="543">
        <v>41099.99</v>
      </c>
      <c r="P955" s="73" t="s">
        <v>431</v>
      </c>
      <c r="Q955" s="158">
        <v>31.68</v>
      </c>
      <c r="R955" s="563">
        <f t="shared" si="58"/>
        <v>-5.1461309978386716E-3</v>
      </c>
      <c r="S955" s="563">
        <f t="shared" si="59"/>
        <v>-2.0105165480977405E-2</v>
      </c>
      <c r="AA955" s="594">
        <v>43013</v>
      </c>
      <c r="AB955" s="595" t="s">
        <v>449</v>
      </c>
      <c r="AC955" s="595">
        <v>40468.49</v>
      </c>
      <c r="AD955" s="596" t="s">
        <v>395</v>
      </c>
      <c r="AE955" s="595">
        <v>239</v>
      </c>
      <c r="AF955" s="597">
        <f t="shared" si="60"/>
        <v>1.8511653196906508E-4</v>
      </c>
      <c r="AG955" s="597">
        <f t="shared" si="61"/>
        <v>1.2711864406779627E-2</v>
      </c>
    </row>
    <row r="956" spans="13:33" x14ac:dyDescent="0.35">
      <c r="M956" s="555">
        <v>43018</v>
      </c>
      <c r="N956" s="543" t="s">
        <v>449</v>
      </c>
      <c r="O956" s="543">
        <v>40610.720000000001</v>
      </c>
      <c r="P956" s="73" t="s">
        <v>431</v>
      </c>
      <c r="Q956" s="158">
        <v>30.95</v>
      </c>
      <c r="R956" s="563">
        <f t="shared" si="58"/>
        <v>-1.1904382458487128E-2</v>
      </c>
      <c r="S956" s="563">
        <f t="shared" si="59"/>
        <v>-2.3042929292929282E-2</v>
      </c>
      <c r="AA956" s="594">
        <v>43014</v>
      </c>
      <c r="AB956" s="595" t="s">
        <v>449</v>
      </c>
      <c r="AC956" s="595">
        <v>41312.589999999997</v>
      </c>
      <c r="AD956" s="596" t="s">
        <v>395</v>
      </c>
      <c r="AE956" s="595">
        <v>236.99</v>
      </c>
      <c r="AF956" s="597">
        <f t="shared" si="60"/>
        <v>2.0858203505986994E-2</v>
      </c>
      <c r="AG956" s="597">
        <f t="shared" si="61"/>
        <v>-8.4100418410041344E-3</v>
      </c>
    </row>
    <row r="957" spans="13:33" x14ac:dyDescent="0.35">
      <c r="M957" s="555">
        <v>43019</v>
      </c>
      <c r="N957" s="543" t="s">
        <v>449</v>
      </c>
      <c r="O957" s="543">
        <v>40503.68</v>
      </c>
      <c r="P957" s="73" t="s">
        <v>431</v>
      </c>
      <c r="Q957" s="158">
        <v>31.02</v>
      </c>
      <c r="R957" s="563">
        <f t="shared" si="58"/>
        <v>-2.6357572581821032E-3</v>
      </c>
      <c r="S957" s="563">
        <f t="shared" si="59"/>
        <v>2.2617124394184174E-3</v>
      </c>
      <c r="AA957" s="594">
        <v>43017</v>
      </c>
      <c r="AB957" s="595" t="s">
        <v>449</v>
      </c>
      <c r="AC957" s="595">
        <v>41099.99</v>
      </c>
      <c r="AD957" s="596" t="s">
        <v>395</v>
      </c>
      <c r="AE957" s="595">
        <v>236.99</v>
      </c>
      <c r="AF957" s="597">
        <f t="shared" si="60"/>
        <v>-5.1461309978386716E-3</v>
      </c>
      <c r="AG957" s="597">
        <f t="shared" si="61"/>
        <v>0</v>
      </c>
    </row>
    <row r="958" spans="13:33" x14ac:dyDescent="0.35">
      <c r="M958" s="555">
        <v>43020</v>
      </c>
      <c r="N958" s="543" t="s">
        <v>449</v>
      </c>
      <c r="O958" s="543">
        <v>40237.53</v>
      </c>
      <c r="P958" s="73" t="s">
        <v>431</v>
      </c>
      <c r="Q958" s="158">
        <v>30.03</v>
      </c>
      <c r="R958" s="563">
        <f t="shared" si="58"/>
        <v>-6.5710078689146245E-3</v>
      </c>
      <c r="S958" s="563">
        <f t="shared" si="59"/>
        <v>-3.1914893617021267E-2</v>
      </c>
      <c r="AA958" s="589">
        <v>43018</v>
      </c>
      <c r="AB958" s="590" t="s">
        <v>449</v>
      </c>
      <c r="AC958" s="590">
        <v>40610.720000000001</v>
      </c>
      <c r="AD958" s="591" t="s">
        <v>395</v>
      </c>
      <c r="AE958" s="590">
        <v>231.58</v>
      </c>
      <c r="AF958" s="592">
        <f t="shared" si="60"/>
        <v>-1.1904382458487128E-2</v>
      </c>
      <c r="AG958" s="592">
        <f t="shared" si="61"/>
        <v>-2.2827967424785878E-2</v>
      </c>
    </row>
    <row r="959" spans="13:33" x14ac:dyDescent="0.35">
      <c r="M959" s="555">
        <v>43021</v>
      </c>
      <c r="N959" s="543" t="s">
        <v>449</v>
      </c>
      <c r="O959" s="543">
        <v>39846.78</v>
      </c>
      <c r="P959" s="73" t="s">
        <v>431</v>
      </c>
      <c r="Q959" s="158">
        <v>28.77</v>
      </c>
      <c r="R959" s="563">
        <f t="shared" si="58"/>
        <v>-9.7110831604225734E-3</v>
      </c>
      <c r="S959" s="563">
        <f t="shared" si="59"/>
        <v>-4.1958041958041981E-2</v>
      </c>
      <c r="AA959" s="589">
        <v>43019</v>
      </c>
      <c r="AB959" s="590" t="s">
        <v>449</v>
      </c>
      <c r="AC959" s="590">
        <v>40503.68</v>
      </c>
      <c r="AD959" s="591" t="s">
        <v>395</v>
      </c>
      <c r="AE959" s="590">
        <v>225</v>
      </c>
      <c r="AF959" s="592">
        <f t="shared" si="60"/>
        <v>-2.6357572581821032E-3</v>
      </c>
      <c r="AG959" s="592">
        <f t="shared" si="61"/>
        <v>-2.8413507211330957E-2</v>
      </c>
    </row>
    <row r="960" spans="13:33" x14ac:dyDescent="0.35">
      <c r="M960" s="555">
        <v>43024</v>
      </c>
      <c r="N960" s="543" t="s">
        <v>449</v>
      </c>
      <c r="O960" s="543">
        <v>40791.39</v>
      </c>
      <c r="P960" s="73" t="s">
        <v>431</v>
      </c>
      <c r="Q960" s="158">
        <v>30.2</v>
      </c>
      <c r="R960" s="563">
        <f t="shared" si="58"/>
        <v>2.3706056047690716E-2</v>
      </c>
      <c r="S960" s="563">
        <f t="shared" si="59"/>
        <v>4.9704553354188441E-2</v>
      </c>
      <c r="AA960" s="594">
        <v>43020</v>
      </c>
      <c r="AB960" s="595" t="s">
        <v>449</v>
      </c>
      <c r="AC960" s="595">
        <v>40237.53</v>
      </c>
      <c r="AD960" s="596" t="s">
        <v>395</v>
      </c>
      <c r="AE960" s="595">
        <v>215.01</v>
      </c>
      <c r="AF960" s="597">
        <f t="shared" si="60"/>
        <v>-6.5710078689146245E-3</v>
      </c>
      <c r="AG960" s="597">
        <f t="shared" si="61"/>
        <v>-4.4399999999999995E-2</v>
      </c>
    </row>
    <row r="961" spans="13:33" x14ac:dyDescent="0.35">
      <c r="M961" s="526">
        <v>43027</v>
      </c>
      <c r="N961" s="524" t="s">
        <v>449</v>
      </c>
      <c r="O961" s="524">
        <v>41558.07</v>
      </c>
      <c r="P961" s="73" t="s">
        <v>431</v>
      </c>
      <c r="Q961">
        <v>31.32</v>
      </c>
      <c r="R961" s="563">
        <f t="shared" si="58"/>
        <v>1.8795142798517128E-2</v>
      </c>
      <c r="S961" s="563">
        <f t="shared" si="59"/>
        <v>3.7086092715231889E-2</v>
      </c>
      <c r="AA961" s="594">
        <v>43021</v>
      </c>
      <c r="AB961" s="595" t="s">
        <v>449</v>
      </c>
      <c r="AC961" s="595">
        <v>39846.78</v>
      </c>
      <c r="AD961" s="596" t="s">
        <v>395</v>
      </c>
      <c r="AE961" s="595">
        <v>210</v>
      </c>
      <c r="AF961" s="597">
        <f t="shared" si="60"/>
        <v>-9.7110831604225734E-3</v>
      </c>
      <c r="AG961" s="597">
        <f t="shared" si="61"/>
        <v>-2.3301241802706762E-2</v>
      </c>
    </row>
    <row r="962" spans="13:33" x14ac:dyDescent="0.35">
      <c r="M962" s="555">
        <v>43028</v>
      </c>
      <c r="N962" s="543" t="s">
        <v>449</v>
      </c>
      <c r="O962" s="543">
        <v>42087.89</v>
      </c>
      <c r="P962" s="73" t="s">
        <v>431</v>
      </c>
      <c r="Q962" s="158">
        <v>31.54</v>
      </c>
      <c r="R962" s="563">
        <f t="shared" si="58"/>
        <v>1.2748907733203252E-2</v>
      </c>
      <c r="S962" s="563">
        <f t="shared" si="59"/>
        <v>7.0242656449552854E-3</v>
      </c>
      <c r="AA962" s="594">
        <v>43024</v>
      </c>
      <c r="AB962" s="595" t="s">
        <v>449</v>
      </c>
      <c r="AC962" s="595">
        <v>40791.39</v>
      </c>
      <c r="AD962" s="596" t="s">
        <v>395</v>
      </c>
      <c r="AE962" s="595">
        <v>220.48</v>
      </c>
      <c r="AF962" s="597">
        <f t="shared" si="60"/>
        <v>2.3706056047690716E-2</v>
      </c>
      <c r="AG962" s="597">
        <f t="shared" si="61"/>
        <v>4.9904761904761896E-2</v>
      </c>
    </row>
    <row r="963" spans="13:33" x14ac:dyDescent="0.35">
      <c r="M963" s="555">
        <v>43031</v>
      </c>
      <c r="N963" s="543" t="s">
        <v>449</v>
      </c>
      <c r="O963" s="543">
        <v>41483.54</v>
      </c>
      <c r="P963" s="73" t="s">
        <v>431</v>
      </c>
      <c r="Q963" s="158">
        <v>30.66</v>
      </c>
      <c r="R963" s="563">
        <f t="shared" si="58"/>
        <v>-1.4359237300800687E-2</v>
      </c>
      <c r="S963" s="563">
        <f t="shared" si="59"/>
        <v>-2.7901077996195234E-2</v>
      </c>
      <c r="AA963" s="594">
        <v>43027</v>
      </c>
      <c r="AB963" s="595" t="s">
        <v>449</v>
      </c>
      <c r="AC963" s="595">
        <v>41558.07</v>
      </c>
      <c r="AD963" s="596" t="s">
        <v>395</v>
      </c>
      <c r="AE963" s="595">
        <v>223.25</v>
      </c>
      <c r="AF963" s="597">
        <f t="shared" si="60"/>
        <v>1.8795142798517128E-2</v>
      </c>
      <c r="AG963" s="597">
        <f t="shared" si="61"/>
        <v>1.2563497822931868E-2</v>
      </c>
    </row>
    <row r="964" spans="13:33" x14ac:dyDescent="0.35">
      <c r="M964" s="555">
        <v>43032</v>
      </c>
      <c r="N964" s="543" t="s">
        <v>449</v>
      </c>
      <c r="O964" s="543">
        <v>41291.68</v>
      </c>
      <c r="P964" s="73" t="s">
        <v>431</v>
      </c>
      <c r="Q964" s="158">
        <v>30.22</v>
      </c>
      <c r="R964" s="563">
        <f t="shared" si="58"/>
        <v>-4.6249669145883576E-3</v>
      </c>
      <c r="S964" s="563">
        <f t="shared" si="59"/>
        <v>-1.4350945857795172E-2</v>
      </c>
      <c r="AA964" s="594">
        <v>43028</v>
      </c>
      <c r="AB964" s="595" t="s">
        <v>449</v>
      </c>
      <c r="AC964" s="595">
        <v>42087.89</v>
      </c>
      <c r="AD964" s="596" t="s">
        <v>395</v>
      </c>
      <c r="AE964" s="595">
        <v>232</v>
      </c>
      <c r="AF964" s="597">
        <f t="shared" si="60"/>
        <v>1.2748907733203252E-2</v>
      </c>
      <c r="AG964" s="597">
        <f t="shared" si="61"/>
        <v>3.919372900335949E-2</v>
      </c>
    </row>
    <row r="965" spans="13:33" x14ac:dyDescent="0.35">
      <c r="M965" s="555">
        <v>43033</v>
      </c>
      <c r="N965" s="543" t="s">
        <v>449</v>
      </c>
      <c r="O965" s="543">
        <v>41595.32</v>
      </c>
      <c r="P965" s="73" t="s">
        <v>431</v>
      </c>
      <c r="Q965" s="158">
        <v>30.53</v>
      </c>
      <c r="R965" s="563">
        <f t="shared" si="58"/>
        <v>7.3535395023889283E-3</v>
      </c>
      <c r="S965" s="563">
        <f t="shared" si="59"/>
        <v>1.0258107213765744E-2</v>
      </c>
      <c r="AA965" s="594">
        <v>43031</v>
      </c>
      <c r="AB965" s="595" t="s">
        <v>449</v>
      </c>
      <c r="AC965" s="595">
        <v>41483.54</v>
      </c>
      <c r="AD965" s="596" t="s">
        <v>395</v>
      </c>
      <c r="AE965" s="595">
        <v>233.49</v>
      </c>
      <c r="AF965" s="597">
        <f t="shared" si="60"/>
        <v>-1.4359237300800687E-2</v>
      </c>
      <c r="AG965" s="597">
        <f t="shared" si="61"/>
        <v>6.4224137931034875E-3</v>
      </c>
    </row>
    <row r="966" spans="13:33" x14ac:dyDescent="0.35">
      <c r="M966" s="555">
        <v>43034</v>
      </c>
      <c r="N966" s="543" t="s">
        <v>449</v>
      </c>
      <c r="O966" s="543">
        <v>41409.49</v>
      </c>
      <c r="P966" s="73" t="s">
        <v>431</v>
      </c>
      <c r="Q966" s="158">
        <v>30.22</v>
      </c>
      <c r="R966" s="563">
        <f t="shared" si="58"/>
        <v>-4.4675699093071897E-3</v>
      </c>
      <c r="S966" s="563">
        <f t="shared" si="59"/>
        <v>-1.0153946937438652E-2</v>
      </c>
      <c r="AA966" s="594">
        <v>43032</v>
      </c>
      <c r="AB966" s="595" t="s">
        <v>449</v>
      </c>
      <c r="AC966" s="595">
        <v>41291.68</v>
      </c>
      <c r="AD966" s="596" t="s">
        <v>395</v>
      </c>
      <c r="AE966" s="595">
        <v>233.49</v>
      </c>
      <c r="AF966" s="597">
        <f t="shared" si="60"/>
        <v>-4.6249669145883576E-3</v>
      </c>
      <c r="AG966" s="597">
        <f t="shared" si="61"/>
        <v>0</v>
      </c>
    </row>
    <row r="967" spans="13:33" x14ac:dyDescent="0.35">
      <c r="M967" s="555">
        <v>43035</v>
      </c>
      <c r="N967" s="543" t="s">
        <v>449</v>
      </c>
      <c r="O967" s="543">
        <v>41105.4</v>
      </c>
      <c r="P967" s="73" t="s">
        <v>431</v>
      </c>
      <c r="Q967" s="158">
        <v>31.73</v>
      </c>
      <c r="R967" s="563">
        <f t="shared" si="58"/>
        <v>-7.3434857565257694E-3</v>
      </c>
      <c r="S967" s="563">
        <f t="shared" si="59"/>
        <v>4.9966909331568443E-2</v>
      </c>
      <c r="AA967" s="594">
        <v>43033</v>
      </c>
      <c r="AB967" s="595" t="s">
        <v>449</v>
      </c>
      <c r="AC967" s="595">
        <v>41595.32</v>
      </c>
      <c r="AD967" s="596" t="s">
        <v>395</v>
      </c>
      <c r="AE967" s="595">
        <v>230.3</v>
      </c>
      <c r="AF967" s="597">
        <f t="shared" si="60"/>
        <v>7.3535395023889283E-3</v>
      </c>
      <c r="AG967" s="597">
        <f t="shared" si="61"/>
        <v>-1.3662255342841267E-2</v>
      </c>
    </row>
    <row r="968" spans="13:33" x14ac:dyDescent="0.35">
      <c r="M968" s="555">
        <v>43038</v>
      </c>
      <c r="N968" s="543" t="s">
        <v>449</v>
      </c>
      <c r="O968" s="543">
        <v>40324.32</v>
      </c>
      <c r="P968" s="73" t="s">
        <v>431</v>
      </c>
      <c r="Q968" s="158">
        <v>30.2</v>
      </c>
      <c r="R968" s="563">
        <f t="shared" si="58"/>
        <v>-1.9001882964282069E-2</v>
      </c>
      <c r="S968" s="563">
        <f t="shared" si="59"/>
        <v>-4.8219350772140013E-2</v>
      </c>
      <c r="AA968" s="594">
        <v>43034</v>
      </c>
      <c r="AB968" s="595" t="s">
        <v>449</v>
      </c>
      <c r="AC968" s="595">
        <v>41409.49</v>
      </c>
      <c r="AD968" s="596" t="s">
        <v>395</v>
      </c>
      <c r="AE968" s="595">
        <v>240</v>
      </c>
      <c r="AF968" s="597">
        <f t="shared" si="60"/>
        <v>-4.4675699093071897E-3</v>
      </c>
      <c r="AG968" s="597">
        <f t="shared" si="61"/>
        <v>4.2118975249674229E-2</v>
      </c>
    </row>
    <row r="969" spans="13:33" x14ac:dyDescent="0.35">
      <c r="M969" s="555">
        <v>43039</v>
      </c>
      <c r="N969" s="543" t="s">
        <v>449</v>
      </c>
      <c r="O969" s="543">
        <v>39617.19</v>
      </c>
      <c r="P969" s="73" t="s">
        <v>431</v>
      </c>
      <c r="Q969" s="158">
        <v>29.5</v>
      </c>
      <c r="R969" s="563">
        <f t="shared" si="58"/>
        <v>-1.7536067564189461E-2</v>
      </c>
      <c r="S969" s="563">
        <f t="shared" si="59"/>
        <v>-2.3178807947019875E-2</v>
      </c>
      <c r="AA969" s="594">
        <v>43035</v>
      </c>
      <c r="AB969" s="595" t="s">
        <v>449</v>
      </c>
      <c r="AC969" s="595">
        <v>41105.4</v>
      </c>
      <c r="AD969" s="596" t="s">
        <v>395</v>
      </c>
      <c r="AE969" s="595">
        <v>234.5</v>
      </c>
      <c r="AF969" s="597">
        <f t="shared" si="60"/>
        <v>-7.3434857565257694E-3</v>
      </c>
      <c r="AG969" s="597">
        <f t="shared" si="61"/>
        <v>-2.2916666666666696E-2</v>
      </c>
    </row>
    <row r="970" spans="13:33" x14ac:dyDescent="0.35">
      <c r="M970" s="555">
        <v>43040</v>
      </c>
      <c r="N970" s="543" t="s">
        <v>449</v>
      </c>
      <c r="O970" s="543">
        <v>40453.64</v>
      </c>
      <c r="P970" s="73" t="s">
        <v>431</v>
      </c>
      <c r="Q970" s="158">
        <v>30.38</v>
      </c>
      <c r="R970" s="563">
        <f t="shared" si="58"/>
        <v>2.1113309651694001E-2</v>
      </c>
      <c r="S970" s="563">
        <f t="shared" si="59"/>
        <v>2.9830508474576245E-2</v>
      </c>
      <c r="AA970" s="594">
        <v>43038</v>
      </c>
      <c r="AB970" s="595" t="s">
        <v>449</v>
      </c>
      <c r="AC970" s="595">
        <v>40324.32</v>
      </c>
      <c r="AD970" s="596" t="s">
        <v>395</v>
      </c>
      <c r="AE970" s="595">
        <v>240.82</v>
      </c>
      <c r="AF970" s="597">
        <f t="shared" si="60"/>
        <v>-1.9001882964282069E-2</v>
      </c>
      <c r="AG970" s="597">
        <f t="shared" si="61"/>
        <v>2.6950959488272863E-2</v>
      </c>
    </row>
    <row r="971" spans="13:33" x14ac:dyDescent="0.35">
      <c r="M971" s="555">
        <v>43041</v>
      </c>
      <c r="N971" s="543" t="s">
        <v>449</v>
      </c>
      <c r="O971" s="543">
        <v>40498.870000000003</v>
      </c>
      <c r="P971" s="73" t="s">
        <v>431</v>
      </c>
      <c r="Q971" s="158">
        <v>30.11</v>
      </c>
      <c r="R971" s="563">
        <f t="shared" si="58"/>
        <v>1.1180699684874007E-3</v>
      </c>
      <c r="S971" s="563">
        <f t="shared" si="59"/>
        <v>-8.8874259381171994E-3</v>
      </c>
      <c r="AA971" s="594">
        <v>43039</v>
      </c>
      <c r="AB971" s="595" t="s">
        <v>449</v>
      </c>
      <c r="AC971" s="595">
        <v>39617.19</v>
      </c>
      <c r="AD971" s="596" t="s">
        <v>395</v>
      </c>
      <c r="AE971" s="595">
        <v>238</v>
      </c>
      <c r="AF971" s="597">
        <f t="shared" si="60"/>
        <v>-1.7536067564189461E-2</v>
      </c>
      <c r="AG971" s="597">
        <f t="shared" si="61"/>
        <v>-1.170999086454616E-2</v>
      </c>
    </row>
    <row r="972" spans="13:33" x14ac:dyDescent="0.35">
      <c r="M972" s="555">
        <v>43042</v>
      </c>
      <c r="N972" s="543" t="s">
        <v>449</v>
      </c>
      <c r="O972" s="543">
        <v>41064</v>
      </c>
      <c r="P972" s="73" t="s">
        <v>431</v>
      </c>
      <c r="Q972" s="158">
        <v>30.57</v>
      </c>
      <c r="R972" s="563">
        <f t="shared" si="58"/>
        <v>1.395421650036166E-2</v>
      </c>
      <c r="S972" s="563">
        <f t="shared" si="59"/>
        <v>1.5277316506144167E-2</v>
      </c>
      <c r="AA972" s="594">
        <v>43040</v>
      </c>
      <c r="AB972" s="595" t="s">
        <v>449</v>
      </c>
      <c r="AC972" s="595">
        <v>40453.64</v>
      </c>
      <c r="AD972" s="596" t="s">
        <v>395</v>
      </c>
      <c r="AE972" s="595">
        <v>239</v>
      </c>
      <c r="AF972" s="597">
        <f t="shared" si="60"/>
        <v>2.1113309651694001E-2</v>
      </c>
      <c r="AG972" s="597">
        <f t="shared" si="61"/>
        <v>4.2016806722688926E-3</v>
      </c>
    </row>
    <row r="973" spans="13:33" x14ac:dyDescent="0.35">
      <c r="M973" s="526">
        <v>43046</v>
      </c>
      <c r="N973" s="524" t="s">
        <v>449</v>
      </c>
      <c r="O973" s="524">
        <v>41049.22</v>
      </c>
      <c r="P973" s="73" t="s">
        <v>431</v>
      </c>
      <c r="Q973">
        <v>31.19</v>
      </c>
      <c r="R973" s="563">
        <f t="shared" si="58"/>
        <v>-3.5992596921874398E-4</v>
      </c>
      <c r="S973" s="563">
        <f t="shared" si="59"/>
        <v>2.0281321557082066E-2</v>
      </c>
      <c r="AA973" s="589">
        <v>43041</v>
      </c>
      <c r="AB973" s="590" t="s">
        <v>449</v>
      </c>
      <c r="AC973" s="590">
        <v>40498.870000000003</v>
      </c>
      <c r="AD973" s="591" t="s">
        <v>395</v>
      </c>
      <c r="AE973" s="590">
        <v>250.76</v>
      </c>
      <c r="AF973" s="592">
        <f t="shared" si="60"/>
        <v>1.1180699684874007E-3</v>
      </c>
      <c r="AG973" s="592">
        <f t="shared" si="61"/>
        <v>4.9205020920502163E-2</v>
      </c>
    </row>
    <row r="974" spans="13:33" x14ac:dyDescent="0.35">
      <c r="M974" s="555">
        <v>43047</v>
      </c>
      <c r="N974" s="543" t="s">
        <v>449</v>
      </c>
      <c r="O974" s="543">
        <v>41259.160000000003</v>
      </c>
      <c r="P974" s="73" t="s">
        <v>431</v>
      </c>
      <c r="Q974" s="158">
        <v>31.23</v>
      </c>
      <c r="R974" s="563">
        <f t="shared" si="58"/>
        <v>5.114348092363219E-3</v>
      </c>
      <c r="S974" s="563">
        <f t="shared" si="59"/>
        <v>1.2824623276690428E-3</v>
      </c>
      <c r="AA974" s="589">
        <v>43042</v>
      </c>
      <c r="AB974" s="590" t="s">
        <v>449</v>
      </c>
      <c r="AC974" s="590">
        <v>41064</v>
      </c>
      <c r="AD974" s="591" t="s">
        <v>395</v>
      </c>
      <c r="AE974" s="590">
        <v>250</v>
      </c>
      <c r="AF974" s="592">
        <f t="shared" si="60"/>
        <v>1.395421650036166E-2</v>
      </c>
      <c r="AG974" s="592">
        <f t="shared" si="61"/>
        <v>-3.0307864093156445E-3</v>
      </c>
    </row>
    <row r="975" spans="13:33" x14ac:dyDescent="0.35">
      <c r="M975" s="555">
        <v>43048</v>
      </c>
      <c r="N975" s="543" t="s">
        <v>449</v>
      </c>
      <c r="O975" s="543">
        <v>41790.160000000003</v>
      </c>
      <c r="P975" s="73" t="s">
        <v>431</v>
      </c>
      <c r="Q975" s="158">
        <v>32.35</v>
      </c>
      <c r="R975" s="563">
        <f t="shared" si="58"/>
        <v>1.2869869381732402E-2</v>
      </c>
      <c r="S975" s="563">
        <f t="shared" si="59"/>
        <v>3.5862952289465344E-2</v>
      </c>
      <c r="AA975" s="594">
        <v>43046</v>
      </c>
      <c r="AB975" s="595" t="s">
        <v>449</v>
      </c>
      <c r="AC975" s="595">
        <v>41049.22</v>
      </c>
      <c r="AD975" s="596" t="s">
        <v>395</v>
      </c>
      <c r="AE975" s="595">
        <v>254.4</v>
      </c>
      <c r="AF975" s="597">
        <f t="shared" si="60"/>
        <v>-3.5992596921874398E-4</v>
      </c>
      <c r="AG975" s="597">
        <f t="shared" si="61"/>
        <v>1.760000000000006E-2</v>
      </c>
    </row>
    <row r="976" spans="13:33" x14ac:dyDescent="0.35">
      <c r="M976" s="555">
        <v>43049</v>
      </c>
      <c r="N976" s="543" t="s">
        <v>449</v>
      </c>
      <c r="O976" s="543">
        <v>41435.699999999997</v>
      </c>
      <c r="P976" s="73" t="s">
        <v>431</v>
      </c>
      <c r="Q976" s="158">
        <v>31.55</v>
      </c>
      <c r="R976" s="563">
        <f t="shared" si="58"/>
        <v>-8.4819010025327657E-3</v>
      </c>
      <c r="S976" s="563">
        <f t="shared" si="59"/>
        <v>-2.4729520865533261E-2</v>
      </c>
      <c r="AA976" s="594">
        <v>43047</v>
      </c>
      <c r="AB976" s="595" t="s">
        <v>449</v>
      </c>
      <c r="AC976" s="595">
        <v>41259.160000000003</v>
      </c>
      <c r="AD976" s="596" t="s">
        <v>395</v>
      </c>
      <c r="AE976" s="595">
        <v>252</v>
      </c>
      <c r="AF976" s="597">
        <f t="shared" si="60"/>
        <v>5.114348092363219E-3</v>
      </c>
      <c r="AG976" s="597">
        <f t="shared" si="61"/>
        <v>-9.4339622641509413E-3</v>
      </c>
    </row>
    <row r="977" spans="13:33" x14ac:dyDescent="0.35">
      <c r="M977" s="526">
        <v>43053</v>
      </c>
      <c r="N977" s="524" t="s">
        <v>449</v>
      </c>
      <c r="O977" s="524">
        <v>40943.78</v>
      </c>
      <c r="P977" s="73" t="s">
        <v>431</v>
      </c>
      <c r="Q977">
        <v>31.26</v>
      </c>
      <c r="R977" s="563">
        <f t="shared" si="58"/>
        <v>-1.1871888250952645E-2</v>
      </c>
      <c r="S977" s="563">
        <f t="shared" si="59"/>
        <v>-9.1917591125197928E-3</v>
      </c>
      <c r="AA977" s="594">
        <v>43048</v>
      </c>
      <c r="AB977" s="595" t="s">
        <v>449</v>
      </c>
      <c r="AC977" s="595">
        <v>41790.160000000003</v>
      </c>
      <c r="AD977" s="596" t="s">
        <v>395</v>
      </c>
      <c r="AE977" s="595">
        <v>254.75</v>
      </c>
      <c r="AF977" s="597">
        <f t="shared" si="60"/>
        <v>1.2869869381732402E-2</v>
      </c>
      <c r="AG977" s="597">
        <f t="shared" si="61"/>
        <v>1.0912698412698374E-2</v>
      </c>
    </row>
    <row r="978" spans="13:33" x14ac:dyDescent="0.35">
      <c r="M978" s="526">
        <v>43059</v>
      </c>
      <c r="N978" s="524" t="s">
        <v>449</v>
      </c>
      <c r="O978" s="524">
        <v>40316.93</v>
      </c>
      <c r="P978" s="73" t="s">
        <v>431</v>
      </c>
      <c r="Q978">
        <v>29.92</v>
      </c>
      <c r="R978" s="563">
        <f t="shared" si="58"/>
        <v>-1.5310017785363228E-2</v>
      </c>
      <c r="S978" s="563">
        <f t="shared" si="59"/>
        <v>-4.2866282789507326E-2</v>
      </c>
      <c r="AA978" s="594">
        <v>43049</v>
      </c>
      <c r="AB978" s="595" t="s">
        <v>449</v>
      </c>
      <c r="AC978" s="595">
        <v>41435.699999999997</v>
      </c>
      <c r="AD978" s="596" t="s">
        <v>395</v>
      </c>
      <c r="AE978" s="595">
        <v>254</v>
      </c>
      <c r="AF978" s="597">
        <f t="shared" si="60"/>
        <v>-8.4819010025327657E-3</v>
      </c>
      <c r="AG978" s="597">
        <f t="shared" si="61"/>
        <v>-2.9440628066732533E-3</v>
      </c>
    </row>
    <row r="979" spans="13:33" x14ac:dyDescent="0.35">
      <c r="M979" s="555">
        <v>43060</v>
      </c>
      <c r="N979" s="543" t="s">
        <v>449</v>
      </c>
      <c r="O979" s="543">
        <v>40548.83</v>
      </c>
      <c r="P979" s="73" t="s">
        <v>431</v>
      </c>
      <c r="Q979" s="158">
        <v>30.21</v>
      </c>
      <c r="R979" s="563">
        <f t="shared" si="58"/>
        <v>5.7519260519092175E-3</v>
      </c>
      <c r="S979" s="563">
        <f t="shared" si="59"/>
        <v>9.6925133689840237E-3</v>
      </c>
      <c r="AA979" s="594">
        <v>43053</v>
      </c>
      <c r="AB979" s="595" t="s">
        <v>449</v>
      </c>
      <c r="AC979" s="595">
        <v>40943.78</v>
      </c>
      <c r="AD979" s="596" t="s">
        <v>395</v>
      </c>
      <c r="AE979" s="595">
        <v>240</v>
      </c>
      <c r="AF979" s="597">
        <f t="shared" si="60"/>
        <v>-1.1871888250952645E-2</v>
      </c>
      <c r="AG979" s="597">
        <f t="shared" si="61"/>
        <v>-5.5118110236220486E-2</v>
      </c>
    </row>
    <row r="980" spans="13:33" x14ac:dyDescent="0.35">
      <c r="M980" s="526">
        <v>43062</v>
      </c>
      <c r="N980" s="524" t="s">
        <v>449</v>
      </c>
      <c r="O980" s="524">
        <v>40266.21</v>
      </c>
      <c r="P980" s="73" t="s">
        <v>431</v>
      </c>
      <c r="Q980">
        <v>29.39</v>
      </c>
      <c r="R980" s="563">
        <f t="shared" si="58"/>
        <v>-6.9698681811535268E-3</v>
      </c>
      <c r="S980" s="563">
        <f t="shared" si="59"/>
        <v>-2.7143330023171153E-2</v>
      </c>
      <c r="AA980" s="594">
        <v>43059</v>
      </c>
      <c r="AB980" s="595" t="s">
        <v>449</v>
      </c>
      <c r="AC980" s="595">
        <v>40316.93</v>
      </c>
      <c r="AD980" s="596" t="s">
        <v>395</v>
      </c>
      <c r="AE980" s="595">
        <v>231.09</v>
      </c>
      <c r="AF980" s="597">
        <f t="shared" si="60"/>
        <v>-1.5310017785363228E-2</v>
      </c>
      <c r="AG980" s="597">
        <f t="shared" si="61"/>
        <v>-3.7124999999999964E-2</v>
      </c>
    </row>
    <row r="981" spans="13:33" x14ac:dyDescent="0.35">
      <c r="M981" s="555">
        <v>43063</v>
      </c>
      <c r="N981" s="543" t="s">
        <v>449</v>
      </c>
      <c r="O981" s="543">
        <v>40248.410000000003</v>
      </c>
      <c r="P981" s="73" t="s">
        <v>431</v>
      </c>
      <c r="Q981" s="158">
        <v>29.84</v>
      </c>
      <c r="R981" s="563">
        <f t="shared" si="58"/>
        <v>-4.420579935383584E-4</v>
      </c>
      <c r="S981" s="563">
        <f t="shared" si="59"/>
        <v>1.5311330384484512E-2</v>
      </c>
      <c r="AA981" s="594">
        <v>43060</v>
      </c>
      <c r="AB981" s="595" t="s">
        <v>449</v>
      </c>
      <c r="AC981" s="595">
        <v>40548.83</v>
      </c>
      <c r="AD981" s="596" t="s">
        <v>395</v>
      </c>
      <c r="AE981" s="595">
        <v>229.72</v>
      </c>
      <c r="AF981" s="597">
        <f t="shared" si="60"/>
        <v>5.7519260519092175E-3</v>
      </c>
      <c r="AG981" s="597">
        <f t="shared" si="61"/>
        <v>-5.9284261543122163E-3</v>
      </c>
    </row>
    <row r="982" spans="13:33" x14ac:dyDescent="0.35">
      <c r="M982" s="555">
        <v>43066</v>
      </c>
      <c r="N982" s="543" t="s">
        <v>449</v>
      </c>
      <c r="O982" s="543">
        <v>40032.17</v>
      </c>
      <c r="P982" s="73" t="s">
        <v>431</v>
      </c>
      <c r="Q982" s="158">
        <v>29.74</v>
      </c>
      <c r="R982" s="563">
        <f t="shared" si="58"/>
        <v>-5.3726345960003474E-3</v>
      </c>
      <c r="S982" s="563">
        <f t="shared" si="59"/>
        <v>-3.3512064343164116E-3</v>
      </c>
      <c r="AA982" s="594">
        <v>43062</v>
      </c>
      <c r="AB982" s="595" t="s">
        <v>449</v>
      </c>
      <c r="AC982" s="595">
        <v>40266.21</v>
      </c>
      <c r="AD982" s="596" t="s">
        <v>395</v>
      </c>
      <c r="AE982" s="595">
        <v>227.5</v>
      </c>
      <c r="AF982" s="597">
        <f t="shared" si="60"/>
        <v>-6.9698681811535268E-3</v>
      </c>
      <c r="AG982" s="597">
        <f t="shared" si="61"/>
        <v>-9.6639387079923145E-3</v>
      </c>
    </row>
    <row r="983" spans="13:33" x14ac:dyDescent="0.35">
      <c r="M983" s="526">
        <v>43068</v>
      </c>
      <c r="N983" s="524" t="s">
        <v>449</v>
      </c>
      <c r="O983" s="524">
        <v>39672.89</v>
      </c>
      <c r="P983" s="73" t="s">
        <v>431</v>
      </c>
      <c r="Q983">
        <v>29.73</v>
      </c>
      <c r="R983" s="563">
        <f t="shared" si="58"/>
        <v>-8.9747820315511095E-3</v>
      </c>
      <c r="S983" s="563">
        <f t="shared" si="59"/>
        <v>-3.3624747814386957E-4</v>
      </c>
      <c r="AA983" s="594">
        <v>43063</v>
      </c>
      <c r="AB983" s="595" t="s">
        <v>449</v>
      </c>
      <c r="AC983" s="595">
        <v>40248.410000000003</v>
      </c>
      <c r="AD983" s="596" t="s">
        <v>395</v>
      </c>
      <c r="AE983" s="595">
        <v>233</v>
      </c>
      <c r="AF983" s="597">
        <f t="shared" si="60"/>
        <v>-4.420579935383584E-4</v>
      </c>
      <c r="AG983" s="597">
        <f t="shared" si="61"/>
        <v>2.417582417582409E-2</v>
      </c>
    </row>
    <row r="984" spans="13:33" x14ac:dyDescent="0.35">
      <c r="M984" s="555">
        <v>43069</v>
      </c>
      <c r="N984" s="543" t="s">
        <v>449</v>
      </c>
      <c r="O984" s="543">
        <v>40010.36</v>
      </c>
      <c r="P984" s="73" t="s">
        <v>431</v>
      </c>
      <c r="Q984" s="158">
        <v>29.3</v>
      </c>
      <c r="R984" s="563">
        <f t="shared" si="58"/>
        <v>8.5063124970226056E-3</v>
      </c>
      <c r="S984" s="563">
        <f t="shared" si="59"/>
        <v>-1.4463504877228361E-2</v>
      </c>
      <c r="AA984" s="594">
        <v>43066</v>
      </c>
      <c r="AB984" s="595" t="s">
        <v>449</v>
      </c>
      <c r="AC984" s="595">
        <v>40032.17</v>
      </c>
      <c r="AD984" s="596" t="s">
        <v>395</v>
      </c>
      <c r="AE984" s="595">
        <v>230</v>
      </c>
      <c r="AF984" s="597">
        <f t="shared" si="60"/>
        <v>-5.3726345960003474E-3</v>
      </c>
      <c r="AG984" s="597">
        <f t="shared" si="61"/>
        <v>-1.2875536480686733E-2</v>
      </c>
    </row>
    <row r="985" spans="13:33" x14ac:dyDescent="0.35">
      <c r="M985" s="555">
        <v>43073</v>
      </c>
      <c r="N985" s="543" t="s">
        <v>449</v>
      </c>
      <c r="O985" s="543">
        <v>40049.800000000003</v>
      </c>
      <c r="P985" s="73" t="s">
        <v>431</v>
      </c>
      <c r="Q985" s="158">
        <v>29.65</v>
      </c>
      <c r="R985" s="563">
        <f t="shared" si="58"/>
        <v>9.8574469212486804E-4</v>
      </c>
      <c r="S985" s="563">
        <f t="shared" si="59"/>
        <v>1.1945392491467421E-2</v>
      </c>
      <c r="AA985" s="594">
        <v>43068</v>
      </c>
      <c r="AB985" s="595" t="s">
        <v>449</v>
      </c>
      <c r="AC985" s="595">
        <v>39672.89</v>
      </c>
      <c r="AD985" s="596" t="s">
        <v>395</v>
      </c>
      <c r="AE985" s="595">
        <v>232.2</v>
      </c>
      <c r="AF985" s="597">
        <f t="shared" si="60"/>
        <v>-8.9747820315511095E-3</v>
      </c>
      <c r="AG985" s="597">
        <f t="shared" si="61"/>
        <v>9.565217391304337E-3</v>
      </c>
    </row>
    <row r="986" spans="13:33" x14ac:dyDescent="0.35">
      <c r="M986" s="555">
        <v>43074</v>
      </c>
      <c r="N986" s="543" t="s">
        <v>449</v>
      </c>
      <c r="O986" s="543">
        <v>39945.410000000003</v>
      </c>
      <c r="P986" s="73" t="s">
        <v>431</v>
      </c>
      <c r="Q986" s="158">
        <v>29.4</v>
      </c>
      <c r="R986" s="563">
        <f t="shared" ref="R986:R1049" si="62">(O986/O985)-1</f>
        <v>-2.6065049013977992E-3</v>
      </c>
      <c r="S986" s="563">
        <f t="shared" ref="S986:S1049" si="63">(Q986/Q985)-1</f>
        <v>-8.4317032040471807E-3</v>
      </c>
      <c r="AA986" s="594">
        <v>43069</v>
      </c>
      <c r="AB986" s="595" t="s">
        <v>449</v>
      </c>
      <c r="AC986" s="595">
        <v>40010.36</v>
      </c>
      <c r="AD986" s="596" t="s">
        <v>395</v>
      </c>
      <c r="AE986" s="595">
        <v>225.2</v>
      </c>
      <c r="AF986" s="597">
        <f t="shared" si="60"/>
        <v>8.5063124970226056E-3</v>
      </c>
      <c r="AG986" s="597">
        <f t="shared" si="61"/>
        <v>-3.0146425495262696E-2</v>
      </c>
    </row>
    <row r="987" spans="13:33" x14ac:dyDescent="0.35">
      <c r="M987" s="555">
        <v>43075</v>
      </c>
      <c r="N987" s="543" t="s">
        <v>449</v>
      </c>
      <c r="O987" s="543">
        <v>39907.32</v>
      </c>
      <c r="P987" s="73" t="s">
        <v>431</v>
      </c>
      <c r="Q987" s="158">
        <v>29.54</v>
      </c>
      <c r="R987" s="563">
        <f t="shared" si="62"/>
        <v>-9.5355135921759704E-4</v>
      </c>
      <c r="S987" s="563">
        <f t="shared" si="63"/>
        <v>4.761904761904745E-3</v>
      </c>
      <c r="AA987" s="594">
        <v>43073</v>
      </c>
      <c r="AB987" s="595" t="s">
        <v>449</v>
      </c>
      <c r="AC987" s="595">
        <v>40049.800000000003</v>
      </c>
      <c r="AD987" s="596" t="s">
        <v>395</v>
      </c>
      <c r="AE987" s="595">
        <v>231.73</v>
      </c>
      <c r="AF987" s="597">
        <f t="shared" si="60"/>
        <v>9.8574469212486804E-4</v>
      </c>
      <c r="AG987" s="597">
        <f t="shared" si="61"/>
        <v>2.8996447602131381E-2</v>
      </c>
    </row>
    <row r="988" spans="13:33" x14ac:dyDescent="0.35">
      <c r="M988" s="555">
        <v>43076</v>
      </c>
      <c r="N988" s="543" t="s">
        <v>449</v>
      </c>
      <c r="O988" s="543">
        <v>38784.660000000003</v>
      </c>
      <c r="P988" s="73" t="s">
        <v>431</v>
      </c>
      <c r="Q988" s="158">
        <v>28.07</v>
      </c>
      <c r="R988" s="563">
        <f t="shared" si="62"/>
        <v>-2.8131681105120432E-2</v>
      </c>
      <c r="S988" s="563">
        <f t="shared" si="63"/>
        <v>-4.9763033175355464E-2</v>
      </c>
      <c r="AA988" s="594">
        <v>43074</v>
      </c>
      <c r="AB988" s="595" t="s">
        <v>449</v>
      </c>
      <c r="AC988" s="595">
        <v>39945.410000000003</v>
      </c>
      <c r="AD988" s="596" t="s">
        <v>395</v>
      </c>
      <c r="AE988" s="595">
        <v>231.73</v>
      </c>
      <c r="AF988" s="597">
        <f t="shared" ref="AF988:AF1051" si="64">(AC988/AC987)-1</f>
        <v>-2.6065049013977992E-3</v>
      </c>
      <c r="AG988" s="597">
        <f t="shared" ref="AG988:AG1051" si="65">(AE988/AE987)-1</f>
        <v>0</v>
      </c>
    </row>
    <row r="989" spans="13:33" x14ac:dyDescent="0.35">
      <c r="M989" s="555">
        <v>43077</v>
      </c>
      <c r="N989" s="543" t="s">
        <v>449</v>
      </c>
      <c r="O989" s="543">
        <v>39080</v>
      </c>
      <c r="P989" s="73" t="s">
        <v>431</v>
      </c>
      <c r="Q989" s="158">
        <v>26.9</v>
      </c>
      <c r="R989" s="563">
        <f t="shared" si="62"/>
        <v>7.6148662899195863E-3</v>
      </c>
      <c r="S989" s="563">
        <f t="shared" si="63"/>
        <v>-4.1681510509440689E-2</v>
      </c>
      <c r="AA989" s="594">
        <v>43075</v>
      </c>
      <c r="AB989" s="595" t="s">
        <v>449</v>
      </c>
      <c r="AC989" s="595">
        <v>39907.32</v>
      </c>
      <c r="AD989" s="596" t="s">
        <v>395</v>
      </c>
      <c r="AE989" s="595">
        <v>225.01</v>
      </c>
      <c r="AF989" s="597">
        <f t="shared" si="64"/>
        <v>-9.5355135921759704E-4</v>
      </c>
      <c r="AG989" s="597">
        <f t="shared" si="65"/>
        <v>-2.8999266387606304E-2</v>
      </c>
    </row>
    <row r="990" spans="13:33" x14ac:dyDescent="0.35">
      <c r="M990" s="555">
        <v>43080</v>
      </c>
      <c r="N990" s="543" t="s">
        <v>449</v>
      </c>
      <c r="O990" s="543">
        <v>38481.699999999997</v>
      </c>
      <c r="P990" s="73" t="s">
        <v>431</v>
      </c>
      <c r="Q990" s="158">
        <v>25.56</v>
      </c>
      <c r="R990" s="563">
        <f t="shared" si="62"/>
        <v>-1.530962128966229E-2</v>
      </c>
      <c r="S990" s="563">
        <f t="shared" si="63"/>
        <v>-4.9814126394052027E-2</v>
      </c>
      <c r="AA990" s="594">
        <v>43076</v>
      </c>
      <c r="AB990" s="595" t="s">
        <v>449</v>
      </c>
      <c r="AC990" s="595">
        <v>38784.660000000003</v>
      </c>
      <c r="AD990" s="596" t="s">
        <v>395</v>
      </c>
      <c r="AE990" s="595">
        <v>220</v>
      </c>
      <c r="AF990" s="597">
        <f t="shared" si="64"/>
        <v>-2.8131681105120432E-2</v>
      </c>
      <c r="AG990" s="597">
        <f t="shared" si="65"/>
        <v>-2.2265677081018564E-2</v>
      </c>
    </row>
    <row r="991" spans="13:33" x14ac:dyDescent="0.35">
      <c r="M991" s="555">
        <v>43081</v>
      </c>
      <c r="N991" s="543" t="s">
        <v>449</v>
      </c>
      <c r="O991" s="543">
        <v>38525.11</v>
      </c>
      <c r="P991" s="73" t="s">
        <v>431</v>
      </c>
      <c r="Q991" s="158">
        <v>25.27</v>
      </c>
      <c r="R991" s="563">
        <f t="shared" si="62"/>
        <v>1.1280686664052464E-3</v>
      </c>
      <c r="S991" s="563">
        <f t="shared" si="63"/>
        <v>-1.1345852895148667E-2</v>
      </c>
      <c r="AA991" s="594">
        <v>43077</v>
      </c>
      <c r="AB991" s="595" t="s">
        <v>449</v>
      </c>
      <c r="AC991" s="595">
        <v>39080</v>
      </c>
      <c r="AD991" s="596" t="s">
        <v>395</v>
      </c>
      <c r="AE991" s="595">
        <v>224.88</v>
      </c>
      <c r="AF991" s="597">
        <f t="shared" si="64"/>
        <v>7.6148662899195863E-3</v>
      </c>
      <c r="AG991" s="597">
        <f t="shared" si="65"/>
        <v>2.218181818181808E-2</v>
      </c>
    </row>
    <row r="992" spans="13:33" x14ac:dyDescent="0.35">
      <c r="M992" s="555">
        <v>43082</v>
      </c>
      <c r="N992" s="543" t="s">
        <v>449</v>
      </c>
      <c r="O992" s="543">
        <v>38819.65</v>
      </c>
      <c r="P992" s="73" t="s">
        <v>431</v>
      </c>
      <c r="Q992" s="158">
        <v>25.51</v>
      </c>
      <c r="R992" s="563">
        <f t="shared" si="62"/>
        <v>7.6454032188357779E-3</v>
      </c>
      <c r="S992" s="563">
        <f t="shared" si="63"/>
        <v>9.4974277799764195E-3</v>
      </c>
      <c r="AA992" s="594">
        <v>43080</v>
      </c>
      <c r="AB992" s="595" t="s">
        <v>449</v>
      </c>
      <c r="AC992" s="595">
        <v>38481.699999999997</v>
      </c>
      <c r="AD992" s="596" t="s">
        <v>395</v>
      </c>
      <c r="AE992" s="595">
        <v>225</v>
      </c>
      <c r="AF992" s="597">
        <f t="shared" si="64"/>
        <v>-1.530962128966229E-2</v>
      </c>
      <c r="AG992" s="597">
        <f t="shared" si="65"/>
        <v>5.336179295625243E-4</v>
      </c>
    </row>
    <row r="993" spans="13:33" x14ac:dyDescent="0.35">
      <c r="M993" s="555">
        <v>43083</v>
      </c>
      <c r="N993" s="543" t="s">
        <v>449</v>
      </c>
      <c r="O993" s="543">
        <v>38223.550000000003</v>
      </c>
      <c r="P993" s="73" t="s">
        <v>431</v>
      </c>
      <c r="Q993" s="158">
        <v>25.05</v>
      </c>
      <c r="R993" s="563">
        <f t="shared" si="62"/>
        <v>-1.53556253083168E-2</v>
      </c>
      <c r="S993" s="563">
        <f t="shared" si="63"/>
        <v>-1.8032144257154048E-2</v>
      </c>
      <c r="AA993" s="594">
        <v>43081</v>
      </c>
      <c r="AB993" s="595" t="s">
        <v>449</v>
      </c>
      <c r="AC993" s="595">
        <v>38525.11</v>
      </c>
      <c r="AD993" s="596" t="s">
        <v>395</v>
      </c>
      <c r="AE993" s="595">
        <v>216</v>
      </c>
      <c r="AF993" s="597">
        <f t="shared" si="64"/>
        <v>1.1280686664052464E-3</v>
      </c>
      <c r="AG993" s="597">
        <f t="shared" si="65"/>
        <v>-4.0000000000000036E-2</v>
      </c>
    </row>
    <row r="994" spans="13:33" x14ac:dyDescent="0.35">
      <c r="M994" s="555">
        <v>43084</v>
      </c>
      <c r="N994" s="543" t="s">
        <v>449</v>
      </c>
      <c r="O994" s="543">
        <v>38645.9</v>
      </c>
      <c r="P994" s="73" t="s">
        <v>431</v>
      </c>
      <c r="Q994" s="158">
        <v>25.1</v>
      </c>
      <c r="R994" s="563">
        <f t="shared" si="62"/>
        <v>1.1049470810534201E-2</v>
      </c>
      <c r="S994" s="563">
        <f t="shared" si="63"/>
        <v>1.9960079840319889E-3</v>
      </c>
      <c r="AA994" s="594">
        <v>43082</v>
      </c>
      <c r="AB994" s="595" t="s">
        <v>449</v>
      </c>
      <c r="AC994" s="595">
        <v>38819.65</v>
      </c>
      <c r="AD994" s="596" t="s">
        <v>395</v>
      </c>
      <c r="AE994" s="595">
        <v>220.07</v>
      </c>
      <c r="AF994" s="597">
        <f t="shared" si="64"/>
        <v>7.6454032188357779E-3</v>
      </c>
      <c r="AG994" s="597">
        <f t="shared" si="65"/>
        <v>1.8842592592592577E-2</v>
      </c>
    </row>
    <row r="995" spans="13:33" x14ac:dyDescent="0.35">
      <c r="M995" s="555">
        <v>43087</v>
      </c>
      <c r="N995" s="543" t="s">
        <v>449</v>
      </c>
      <c r="O995" s="543">
        <v>38383.97</v>
      </c>
      <c r="P995" s="73" t="s">
        <v>431</v>
      </c>
      <c r="Q995" s="158">
        <v>24.92</v>
      </c>
      <c r="R995" s="563">
        <f t="shared" si="62"/>
        <v>-6.7776918120679985E-3</v>
      </c>
      <c r="S995" s="563">
        <f t="shared" si="63"/>
        <v>-7.171314741035828E-3</v>
      </c>
      <c r="AA995" s="589">
        <v>43083</v>
      </c>
      <c r="AB995" s="590" t="s">
        <v>449</v>
      </c>
      <c r="AC995" s="590">
        <v>38223.550000000003</v>
      </c>
      <c r="AD995" s="591" t="s">
        <v>395</v>
      </c>
      <c r="AE995" s="590">
        <v>214.34</v>
      </c>
      <c r="AF995" s="592">
        <f t="shared" si="64"/>
        <v>-1.53556253083168E-2</v>
      </c>
      <c r="AG995" s="592">
        <f t="shared" si="65"/>
        <v>-2.6037169991366294E-2</v>
      </c>
    </row>
    <row r="996" spans="13:33" x14ac:dyDescent="0.35">
      <c r="M996" s="555">
        <v>43088</v>
      </c>
      <c r="N996" s="543" t="s">
        <v>449</v>
      </c>
      <c r="O996" s="543">
        <v>37919.42</v>
      </c>
      <c r="P996" s="73" t="s">
        <v>431</v>
      </c>
      <c r="Q996" s="158">
        <v>23.69</v>
      </c>
      <c r="R996" s="563">
        <f t="shared" si="62"/>
        <v>-1.2102708500449588E-2</v>
      </c>
      <c r="S996" s="563">
        <f t="shared" si="63"/>
        <v>-4.9357945425361205E-2</v>
      </c>
      <c r="AA996" s="589">
        <v>43084</v>
      </c>
      <c r="AB996" s="590" t="s">
        <v>449</v>
      </c>
      <c r="AC996" s="590">
        <v>38645.9</v>
      </c>
      <c r="AD996" s="591" t="s">
        <v>395</v>
      </c>
      <c r="AE996" s="590">
        <v>220</v>
      </c>
      <c r="AF996" s="592">
        <f t="shared" si="64"/>
        <v>1.1049470810534201E-2</v>
      </c>
      <c r="AG996" s="592">
        <f t="shared" si="65"/>
        <v>2.640664365027523E-2</v>
      </c>
    </row>
    <row r="997" spans="13:33" x14ac:dyDescent="0.35">
      <c r="M997" s="555">
        <v>43089</v>
      </c>
      <c r="N997" s="543" t="s">
        <v>449</v>
      </c>
      <c r="O997" s="543">
        <v>38208.06</v>
      </c>
      <c r="P997" s="73" t="s">
        <v>431</v>
      </c>
      <c r="Q997" s="158">
        <v>23.48</v>
      </c>
      <c r="R997" s="563">
        <f t="shared" si="62"/>
        <v>7.6119307732027686E-3</v>
      </c>
      <c r="S997" s="563">
        <f t="shared" si="63"/>
        <v>-8.8644997889405497E-3</v>
      </c>
      <c r="AA997" s="594">
        <v>43087</v>
      </c>
      <c r="AB997" s="595" t="s">
        <v>449</v>
      </c>
      <c r="AC997" s="595">
        <v>38383.97</v>
      </c>
      <c r="AD997" s="596" t="s">
        <v>395</v>
      </c>
      <c r="AE997" s="595">
        <v>215.01</v>
      </c>
      <c r="AF997" s="597">
        <f t="shared" si="64"/>
        <v>-6.7776918120679985E-3</v>
      </c>
      <c r="AG997" s="597">
        <f t="shared" si="65"/>
        <v>-2.2681818181818247E-2</v>
      </c>
    </row>
    <row r="998" spans="13:33" x14ac:dyDescent="0.35">
      <c r="M998" s="555">
        <v>43090</v>
      </c>
      <c r="N998" s="543" t="s">
        <v>449</v>
      </c>
      <c r="O998" s="543">
        <v>38715.769999999997</v>
      </c>
      <c r="P998" s="73" t="s">
        <v>431</v>
      </c>
      <c r="Q998" s="158">
        <v>24.06</v>
      </c>
      <c r="R998" s="563">
        <f t="shared" si="62"/>
        <v>1.3288033990733972E-2</v>
      </c>
      <c r="S998" s="563">
        <f t="shared" si="63"/>
        <v>2.4701873935264018E-2</v>
      </c>
      <c r="AA998" s="594">
        <v>43088</v>
      </c>
      <c r="AB998" s="595" t="s">
        <v>449</v>
      </c>
      <c r="AC998" s="595">
        <v>37919.42</v>
      </c>
      <c r="AD998" s="596" t="s">
        <v>395</v>
      </c>
      <c r="AE998" s="595">
        <v>211.19</v>
      </c>
      <c r="AF998" s="597">
        <f t="shared" si="64"/>
        <v>-1.2102708500449588E-2</v>
      </c>
      <c r="AG998" s="597">
        <f t="shared" si="65"/>
        <v>-1.7766615506255468E-2</v>
      </c>
    </row>
    <row r="999" spans="13:33" x14ac:dyDescent="0.35">
      <c r="M999" s="555">
        <v>43091</v>
      </c>
      <c r="N999" s="543" t="s">
        <v>449</v>
      </c>
      <c r="O999" s="543">
        <v>39470.89</v>
      </c>
      <c r="P999" s="73" t="s">
        <v>431</v>
      </c>
      <c r="Q999" s="158">
        <v>25.23</v>
      </c>
      <c r="R999" s="563">
        <f t="shared" si="62"/>
        <v>1.9504196868614487E-2</v>
      </c>
      <c r="S999" s="563">
        <f t="shared" si="63"/>
        <v>4.8628428927680822E-2</v>
      </c>
      <c r="AA999" s="594">
        <v>43089</v>
      </c>
      <c r="AB999" s="595" t="s">
        <v>449</v>
      </c>
      <c r="AC999" s="595">
        <v>38208.06</v>
      </c>
      <c r="AD999" s="596" t="s">
        <v>395</v>
      </c>
      <c r="AE999" s="595">
        <v>205</v>
      </c>
      <c r="AF999" s="597">
        <f t="shared" si="64"/>
        <v>7.6119307732027686E-3</v>
      </c>
      <c r="AG999" s="597">
        <f t="shared" si="65"/>
        <v>-2.9310099910033638E-2</v>
      </c>
    </row>
    <row r="1000" spans="13:33" x14ac:dyDescent="0.35">
      <c r="M1000" s="526">
        <v>43096</v>
      </c>
      <c r="N1000" s="524" t="s">
        <v>449</v>
      </c>
      <c r="O1000" s="524">
        <v>40146.730000000003</v>
      </c>
      <c r="P1000" s="73" t="s">
        <v>431</v>
      </c>
      <c r="Q1000">
        <v>25.48</v>
      </c>
      <c r="R1000" s="563">
        <f t="shared" si="62"/>
        <v>1.712249204413685E-2</v>
      </c>
      <c r="S1000" s="563">
        <f t="shared" si="63"/>
        <v>9.9088386841061915E-3</v>
      </c>
      <c r="AA1000" s="589">
        <v>43090</v>
      </c>
      <c r="AB1000" s="590" t="s">
        <v>449</v>
      </c>
      <c r="AC1000" s="590">
        <v>38715.769999999997</v>
      </c>
      <c r="AD1000" s="591" t="s">
        <v>395</v>
      </c>
      <c r="AE1000" s="590">
        <v>208</v>
      </c>
      <c r="AF1000" s="592">
        <f t="shared" si="64"/>
        <v>1.3288033990733972E-2</v>
      </c>
      <c r="AG1000" s="592">
        <f t="shared" si="65"/>
        <v>1.4634146341463428E-2</v>
      </c>
    </row>
    <row r="1001" spans="13:33" x14ac:dyDescent="0.35">
      <c r="M1001" s="555">
        <v>43097</v>
      </c>
      <c r="N1001" s="543" t="s">
        <v>449</v>
      </c>
      <c r="O1001" s="543">
        <v>40371.31</v>
      </c>
      <c r="P1001" s="73" t="s">
        <v>431</v>
      </c>
      <c r="Q1001" s="158">
        <v>26.29</v>
      </c>
      <c r="R1001" s="563">
        <f t="shared" si="62"/>
        <v>5.59397988329291E-3</v>
      </c>
      <c r="S1001" s="563">
        <f t="shared" si="63"/>
        <v>3.1789638932496089E-2</v>
      </c>
      <c r="AA1001" s="589">
        <v>43091</v>
      </c>
      <c r="AB1001" s="590" t="s">
        <v>449</v>
      </c>
      <c r="AC1001" s="590">
        <v>39470.89</v>
      </c>
      <c r="AD1001" s="591" t="s">
        <v>395</v>
      </c>
      <c r="AE1001" s="590">
        <v>214</v>
      </c>
      <c r="AF1001" s="592">
        <f t="shared" si="64"/>
        <v>1.9504196868614487E-2</v>
      </c>
      <c r="AG1001" s="592">
        <f t="shared" si="65"/>
        <v>2.8846153846153744E-2</v>
      </c>
    </row>
    <row r="1002" spans="13:33" x14ac:dyDescent="0.35">
      <c r="M1002" s="555">
        <v>43098</v>
      </c>
      <c r="N1002" s="543" t="s">
        <v>449</v>
      </c>
      <c r="O1002" s="543">
        <v>40471.480000000003</v>
      </c>
      <c r="P1002" s="73" t="s">
        <v>431</v>
      </c>
      <c r="Q1002" s="158">
        <v>25.61</v>
      </c>
      <c r="R1002" s="563">
        <f t="shared" si="62"/>
        <v>2.4812174784520913E-3</v>
      </c>
      <c r="S1002" s="563">
        <f t="shared" si="63"/>
        <v>-2.5865348041080205E-2</v>
      </c>
      <c r="AA1002" s="594">
        <v>43096</v>
      </c>
      <c r="AB1002" s="595" t="s">
        <v>449</v>
      </c>
      <c r="AC1002" s="595">
        <v>40146.730000000003</v>
      </c>
      <c r="AD1002" s="596" t="s">
        <v>395</v>
      </c>
      <c r="AE1002" s="595">
        <v>218.5</v>
      </c>
      <c r="AF1002" s="597">
        <f t="shared" si="64"/>
        <v>1.712249204413685E-2</v>
      </c>
      <c r="AG1002" s="597">
        <f t="shared" si="65"/>
        <v>2.1028037383177489E-2</v>
      </c>
    </row>
    <row r="1003" spans="13:33" x14ac:dyDescent="0.35">
      <c r="M1003" s="555">
        <v>43101</v>
      </c>
      <c r="N1003" s="543" t="s">
        <v>449</v>
      </c>
      <c r="O1003" s="543">
        <v>40711.040000000001</v>
      </c>
      <c r="P1003" s="73" t="s">
        <v>431</v>
      </c>
      <c r="Q1003" s="158">
        <v>25.46</v>
      </c>
      <c r="R1003" s="563">
        <f t="shared" si="62"/>
        <v>5.9192300355705996E-3</v>
      </c>
      <c r="S1003" s="563">
        <f t="shared" si="63"/>
        <v>-5.8570870753611448E-3</v>
      </c>
      <c r="AA1003" s="594">
        <v>43097</v>
      </c>
      <c r="AB1003" s="595" t="s">
        <v>449</v>
      </c>
      <c r="AC1003" s="595">
        <v>40371.31</v>
      </c>
      <c r="AD1003" s="596" t="s">
        <v>395</v>
      </c>
      <c r="AE1003" s="595">
        <v>213</v>
      </c>
      <c r="AF1003" s="597">
        <f t="shared" si="64"/>
        <v>5.59397988329291E-3</v>
      </c>
      <c r="AG1003" s="597">
        <f t="shared" si="65"/>
        <v>-2.517162471395884E-2</v>
      </c>
    </row>
    <row r="1004" spans="13:33" x14ac:dyDescent="0.35">
      <c r="M1004" s="555">
        <v>43102</v>
      </c>
      <c r="N1004" s="543" t="s">
        <v>449</v>
      </c>
      <c r="O1004" s="543">
        <v>41486.870000000003</v>
      </c>
      <c r="P1004" s="73" t="s">
        <v>431</v>
      </c>
      <c r="Q1004" s="158">
        <v>26.28</v>
      </c>
      <c r="R1004" s="563">
        <f t="shared" si="62"/>
        <v>1.9056992894310731E-2</v>
      </c>
      <c r="S1004" s="563">
        <f t="shared" si="63"/>
        <v>3.2207384131971661E-2</v>
      </c>
      <c r="AA1004" s="594">
        <v>43098</v>
      </c>
      <c r="AB1004" s="595" t="s">
        <v>449</v>
      </c>
      <c r="AC1004" s="595">
        <v>40471.480000000003</v>
      </c>
      <c r="AD1004" s="596" t="s">
        <v>395</v>
      </c>
      <c r="AE1004" s="595">
        <v>216.5</v>
      </c>
      <c r="AF1004" s="597">
        <f t="shared" si="64"/>
        <v>2.4812174784520913E-3</v>
      </c>
      <c r="AG1004" s="597">
        <f t="shared" si="65"/>
        <v>1.6431924882629012E-2</v>
      </c>
    </row>
    <row r="1005" spans="13:33" x14ac:dyDescent="0.35">
      <c r="M1005" s="555">
        <v>43103</v>
      </c>
      <c r="N1005" s="543" t="s">
        <v>449</v>
      </c>
      <c r="O1005" s="543">
        <v>41544.269999999997</v>
      </c>
      <c r="P1005" s="73" t="s">
        <v>431</v>
      </c>
      <c r="Q1005" s="158">
        <v>26.21</v>
      </c>
      <c r="R1005" s="563">
        <f t="shared" si="62"/>
        <v>1.3835702717508447E-3</v>
      </c>
      <c r="S1005" s="563">
        <f t="shared" si="63"/>
        <v>-2.6636225266362112E-3</v>
      </c>
      <c r="AA1005" s="594">
        <v>43101</v>
      </c>
      <c r="AB1005" s="595" t="s">
        <v>449</v>
      </c>
      <c r="AC1005" s="595">
        <v>40711.040000000001</v>
      </c>
      <c r="AD1005" s="596" t="s">
        <v>395</v>
      </c>
      <c r="AE1005" s="595">
        <v>223</v>
      </c>
      <c r="AF1005" s="597">
        <f t="shared" si="64"/>
        <v>5.9192300355705996E-3</v>
      </c>
      <c r="AG1005" s="597">
        <f t="shared" si="65"/>
        <v>3.0023094688221619E-2</v>
      </c>
    </row>
    <row r="1006" spans="13:33" x14ac:dyDescent="0.35">
      <c r="M1006" s="555">
        <v>43104</v>
      </c>
      <c r="N1006" s="543" t="s">
        <v>449</v>
      </c>
      <c r="O1006" s="543">
        <v>41908.71</v>
      </c>
      <c r="P1006" s="73" t="s">
        <v>431</v>
      </c>
      <c r="Q1006" s="158">
        <v>25.93</v>
      </c>
      <c r="R1006" s="563">
        <f t="shared" si="62"/>
        <v>8.7723288915655395E-3</v>
      </c>
      <c r="S1006" s="563">
        <f t="shared" si="63"/>
        <v>-1.0682945440671499E-2</v>
      </c>
      <c r="AA1006" s="594">
        <v>43102</v>
      </c>
      <c r="AB1006" s="595" t="s">
        <v>449</v>
      </c>
      <c r="AC1006" s="595">
        <v>41486.870000000003</v>
      </c>
      <c r="AD1006" s="596" t="s">
        <v>395</v>
      </c>
      <c r="AE1006" s="595">
        <v>233.98</v>
      </c>
      <c r="AF1006" s="597">
        <f t="shared" si="64"/>
        <v>1.9056992894310731E-2</v>
      </c>
      <c r="AG1006" s="597">
        <f t="shared" si="65"/>
        <v>4.9237668161434822E-2</v>
      </c>
    </row>
    <row r="1007" spans="13:33" x14ac:dyDescent="0.35">
      <c r="M1007" s="555">
        <v>43105</v>
      </c>
      <c r="N1007" s="543" t="s">
        <v>449</v>
      </c>
      <c r="O1007" s="543">
        <v>42523.99</v>
      </c>
      <c r="P1007" s="73" t="s">
        <v>431</v>
      </c>
      <c r="Q1007" s="158">
        <v>26.55</v>
      </c>
      <c r="R1007" s="563">
        <f t="shared" si="62"/>
        <v>1.4681434957076966E-2</v>
      </c>
      <c r="S1007" s="563">
        <f t="shared" si="63"/>
        <v>2.3910528345545634E-2</v>
      </c>
      <c r="AA1007" s="594">
        <v>43103</v>
      </c>
      <c r="AB1007" s="595" t="s">
        <v>449</v>
      </c>
      <c r="AC1007" s="595">
        <v>41544.269999999997</v>
      </c>
      <c r="AD1007" s="596" t="s">
        <v>395</v>
      </c>
      <c r="AE1007" s="595">
        <v>233.98</v>
      </c>
      <c r="AF1007" s="597">
        <f t="shared" si="64"/>
        <v>1.3835702717508447E-3</v>
      </c>
      <c r="AG1007" s="597">
        <f t="shared" si="65"/>
        <v>0</v>
      </c>
    </row>
    <row r="1008" spans="13:33" x14ac:dyDescent="0.35">
      <c r="M1008" s="555">
        <v>43108</v>
      </c>
      <c r="N1008" s="543" t="s">
        <v>449</v>
      </c>
      <c r="O1008" s="543">
        <v>43112.12</v>
      </c>
      <c r="P1008" s="73" t="s">
        <v>431</v>
      </c>
      <c r="Q1008" s="158">
        <v>27.87</v>
      </c>
      <c r="R1008" s="563">
        <f t="shared" si="62"/>
        <v>1.3830546004737654E-2</v>
      </c>
      <c r="S1008" s="563">
        <f t="shared" si="63"/>
        <v>4.9717514124293816E-2</v>
      </c>
      <c r="AA1008" s="594">
        <v>43104</v>
      </c>
      <c r="AB1008" s="595" t="s">
        <v>449</v>
      </c>
      <c r="AC1008" s="595">
        <v>41908.71</v>
      </c>
      <c r="AD1008" s="596" t="s">
        <v>395</v>
      </c>
      <c r="AE1008" s="595">
        <v>233.98</v>
      </c>
      <c r="AF1008" s="597">
        <f t="shared" si="64"/>
        <v>8.7723288915655395E-3</v>
      </c>
      <c r="AG1008" s="597">
        <f t="shared" si="65"/>
        <v>0</v>
      </c>
    </row>
    <row r="1009" spans="13:33" x14ac:dyDescent="0.35">
      <c r="M1009" s="555">
        <v>43109</v>
      </c>
      <c r="N1009" s="543" t="s">
        <v>449</v>
      </c>
      <c r="O1009" s="543">
        <v>42814.34</v>
      </c>
      <c r="P1009" s="73" t="s">
        <v>431</v>
      </c>
      <c r="Q1009" s="158">
        <v>27.57</v>
      </c>
      <c r="R1009" s="563">
        <f t="shared" si="62"/>
        <v>-6.9071064007060201E-3</v>
      </c>
      <c r="S1009" s="563">
        <f t="shared" si="63"/>
        <v>-1.0764262648008671E-2</v>
      </c>
      <c r="AA1009" s="594">
        <v>43105</v>
      </c>
      <c r="AB1009" s="595" t="s">
        <v>449</v>
      </c>
      <c r="AC1009" s="595">
        <v>42523.99</v>
      </c>
      <c r="AD1009" s="596" t="s">
        <v>395</v>
      </c>
      <c r="AE1009" s="595">
        <v>233</v>
      </c>
      <c r="AF1009" s="597">
        <f t="shared" si="64"/>
        <v>1.4681434957076966E-2</v>
      </c>
      <c r="AG1009" s="597">
        <f t="shared" si="65"/>
        <v>-4.1883921702708937E-3</v>
      </c>
    </row>
    <row r="1010" spans="13:33" x14ac:dyDescent="0.35">
      <c r="M1010" s="555">
        <v>43110</v>
      </c>
      <c r="N1010" s="543" t="s">
        <v>449</v>
      </c>
      <c r="O1010" s="543">
        <v>43630.74</v>
      </c>
      <c r="P1010" s="73" t="s">
        <v>431</v>
      </c>
      <c r="Q1010" s="158">
        <v>28.9</v>
      </c>
      <c r="R1010" s="563">
        <f t="shared" si="62"/>
        <v>1.9068377557612814E-2</v>
      </c>
      <c r="S1010" s="563">
        <f t="shared" si="63"/>
        <v>4.8240841494377795E-2</v>
      </c>
      <c r="AA1010" s="594">
        <v>43108</v>
      </c>
      <c r="AB1010" s="595" t="s">
        <v>449</v>
      </c>
      <c r="AC1010" s="595">
        <v>43112.12</v>
      </c>
      <c r="AD1010" s="596" t="s">
        <v>395</v>
      </c>
      <c r="AE1010" s="595">
        <v>235</v>
      </c>
      <c r="AF1010" s="597">
        <f t="shared" si="64"/>
        <v>1.3830546004737654E-2</v>
      </c>
      <c r="AG1010" s="597">
        <f t="shared" si="65"/>
        <v>8.5836909871244149E-3</v>
      </c>
    </row>
    <row r="1011" spans="13:33" x14ac:dyDescent="0.35">
      <c r="M1011" s="555">
        <v>43111</v>
      </c>
      <c r="N1011" s="543" t="s">
        <v>449</v>
      </c>
      <c r="O1011" s="543">
        <v>43395.28</v>
      </c>
      <c r="P1011" s="73" t="s">
        <v>431</v>
      </c>
      <c r="Q1011" s="158">
        <v>28.93</v>
      </c>
      <c r="R1011" s="563">
        <f t="shared" si="62"/>
        <v>-5.3966538270953102E-3</v>
      </c>
      <c r="S1011" s="563">
        <f t="shared" si="63"/>
        <v>1.0380622837371511E-3</v>
      </c>
      <c r="AA1011" s="594">
        <v>43109</v>
      </c>
      <c r="AB1011" s="595" t="s">
        <v>449</v>
      </c>
      <c r="AC1011" s="595">
        <v>42814.34</v>
      </c>
      <c r="AD1011" s="596" t="s">
        <v>395</v>
      </c>
      <c r="AE1011" s="595">
        <v>235</v>
      </c>
      <c r="AF1011" s="597">
        <f t="shared" si="64"/>
        <v>-6.9071064007060201E-3</v>
      </c>
      <c r="AG1011" s="597">
        <f t="shared" si="65"/>
        <v>0</v>
      </c>
    </row>
    <row r="1012" spans="13:33" x14ac:dyDescent="0.35">
      <c r="M1012" s="555">
        <v>43112</v>
      </c>
      <c r="N1012" s="543" t="s">
        <v>449</v>
      </c>
      <c r="O1012" s="543">
        <v>42933.72</v>
      </c>
      <c r="P1012" s="73" t="s">
        <v>431</v>
      </c>
      <c r="Q1012" s="158">
        <v>27.97</v>
      </c>
      <c r="R1012" s="563">
        <f t="shared" si="62"/>
        <v>-1.0636179787294808E-2</v>
      </c>
      <c r="S1012" s="563">
        <f t="shared" si="63"/>
        <v>-3.3183546491531324E-2</v>
      </c>
      <c r="AA1012" s="594">
        <v>43110</v>
      </c>
      <c r="AB1012" s="595" t="s">
        <v>449</v>
      </c>
      <c r="AC1012" s="595">
        <v>43630.74</v>
      </c>
      <c r="AD1012" s="596" t="s">
        <v>395</v>
      </c>
      <c r="AE1012" s="595">
        <v>235</v>
      </c>
      <c r="AF1012" s="597">
        <f t="shared" si="64"/>
        <v>1.9068377557612814E-2</v>
      </c>
      <c r="AG1012" s="597">
        <f t="shared" si="65"/>
        <v>0</v>
      </c>
    </row>
    <row r="1013" spans="13:33" x14ac:dyDescent="0.35">
      <c r="M1013" s="555">
        <v>43115</v>
      </c>
      <c r="N1013" s="543" t="s">
        <v>449</v>
      </c>
      <c r="O1013" s="543">
        <v>42347.49</v>
      </c>
      <c r="P1013" s="73" t="s">
        <v>431</v>
      </c>
      <c r="Q1013" s="158">
        <v>27.06</v>
      </c>
      <c r="R1013" s="563">
        <f t="shared" si="62"/>
        <v>-1.3654302492306813E-2</v>
      </c>
      <c r="S1013" s="563">
        <f t="shared" si="63"/>
        <v>-3.2534858777261366E-2</v>
      </c>
      <c r="AA1013" s="594">
        <v>43111</v>
      </c>
      <c r="AB1013" s="595" t="s">
        <v>449</v>
      </c>
      <c r="AC1013" s="595">
        <v>43395.28</v>
      </c>
      <c r="AD1013" s="596" t="s">
        <v>395</v>
      </c>
      <c r="AE1013" s="595">
        <v>231</v>
      </c>
      <c r="AF1013" s="597">
        <f t="shared" si="64"/>
        <v>-5.3966538270953102E-3</v>
      </c>
      <c r="AG1013" s="597">
        <f t="shared" si="65"/>
        <v>-1.7021276595744705E-2</v>
      </c>
    </row>
    <row r="1014" spans="13:33" x14ac:dyDescent="0.35">
      <c r="M1014" s="526">
        <v>43117</v>
      </c>
      <c r="N1014" s="524" t="s">
        <v>449</v>
      </c>
      <c r="O1014" s="524">
        <v>43358.97</v>
      </c>
      <c r="P1014" s="73" t="s">
        <v>431</v>
      </c>
      <c r="Q1014">
        <v>26.77</v>
      </c>
      <c r="R1014" s="563">
        <f t="shared" si="62"/>
        <v>2.38852408962138E-2</v>
      </c>
      <c r="S1014" s="563">
        <f t="shared" si="63"/>
        <v>-1.0716925351071716E-2</v>
      </c>
      <c r="AA1014" s="589">
        <v>43112</v>
      </c>
      <c r="AB1014" s="590" t="s">
        <v>449</v>
      </c>
      <c r="AC1014" s="590">
        <v>42933.72</v>
      </c>
      <c r="AD1014" s="591" t="s">
        <v>395</v>
      </c>
      <c r="AE1014" s="590">
        <v>235.68</v>
      </c>
      <c r="AF1014" s="592">
        <f t="shared" si="64"/>
        <v>-1.0636179787294808E-2</v>
      </c>
      <c r="AG1014" s="592">
        <f t="shared" si="65"/>
        <v>2.02597402597402E-2</v>
      </c>
    </row>
    <row r="1015" spans="13:33" x14ac:dyDescent="0.35">
      <c r="M1015" s="555">
        <v>43118</v>
      </c>
      <c r="N1015" s="543" t="s">
        <v>449</v>
      </c>
      <c r="O1015" s="543">
        <v>43580.88</v>
      </c>
      <c r="P1015" s="73" t="s">
        <v>431</v>
      </c>
      <c r="Q1015" s="158">
        <v>26.61</v>
      </c>
      <c r="R1015" s="563">
        <f t="shared" si="62"/>
        <v>5.1179721289504876E-3</v>
      </c>
      <c r="S1015" s="563">
        <f t="shared" si="63"/>
        <v>-5.9768397459842859E-3</v>
      </c>
      <c r="AA1015" s="589">
        <v>43115</v>
      </c>
      <c r="AB1015" s="590" t="s">
        <v>449</v>
      </c>
      <c r="AC1015" s="590">
        <v>42347.49</v>
      </c>
      <c r="AD1015" s="591" t="s">
        <v>395</v>
      </c>
      <c r="AE1015" s="590">
        <v>245</v>
      </c>
      <c r="AF1015" s="592">
        <f t="shared" si="64"/>
        <v>-1.3654302492306813E-2</v>
      </c>
      <c r="AG1015" s="592">
        <f t="shared" si="65"/>
        <v>3.9545145960624639E-2</v>
      </c>
    </row>
    <row r="1016" spans="13:33" x14ac:dyDescent="0.35">
      <c r="M1016" s="555">
        <v>43119</v>
      </c>
      <c r="N1016" s="543" t="s">
        <v>449</v>
      </c>
      <c r="O1016" s="543">
        <v>44178.83</v>
      </c>
      <c r="P1016" s="73" t="s">
        <v>431</v>
      </c>
      <c r="Q1016" s="158">
        <v>27.05</v>
      </c>
      <c r="R1016" s="563">
        <f t="shared" si="62"/>
        <v>1.3720466406369036E-2</v>
      </c>
      <c r="S1016" s="563">
        <f t="shared" si="63"/>
        <v>1.6535137166478808E-2</v>
      </c>
      <c r="AA1016" s="594">
        <v>43117</v>
      </c>
      <c r="AB1016" s="595" t="s">
        <v>449</v>
      </c>
      <c r="AC1016" s="595">
        <v>43358.97</v>
      </c>
      <c r="AD1016" s="596" t="s">
        <v>395</v>
      </c>
      <c r="AE1016" s="595">
        <v>243.33</v>
      </c>
      <c r="AF1016" s="597">
        <f t="shared" si="64"/>
        <v>2.38852408962138E-2</v>
      </c>
      <c r="AG1016" s="597">
        <f t="shared" si="65"/>
        <v>-6.816326530612149E-3</v>
      </c>
    </row>
    <row r="1017" spans="13:33" x14ac:dyDescent="0.35">
      <c r="M1017" s="555">
        <v>43122</v>
      </c>
      <c r="N1017" s="543" t="s">
        <v>449</v>
      </c>
      <c r="O1017" s="543">
        <v>44897.69</v>
      </c>
      <c r="P1017" s="73" t="s">
        <v>431</v>
      </c>
      <c r="Q1017" s="158">
        <v>27.75</v>
      </c>
      <c r="R1017" s="563">
        <f t="shared" si="62"/>
        <v>1.6271594336020323E-2</v>
      </c>
      <c r="S1017" s="563">
        <f t="shared" si="63"/>
        <v>2.5878003696857554E-2</v>
      </c>
      <c r="AA1017" s="594">
        <v>43118</v>
      </c>
      <c r="AB1017" s="595" t="s">
        <v>449</v>
      </c>
      <c r="AC1017" s="595">
        <v>43580.88</v>
      </c>
      <c r="AD1017" s="596" t="s">
        <v>395</v>
      </c>
      <c r="AE1017" s="595">
        <v>238</v>
      </c>
      <c r="AF1017" s="597">
        <f t="shared" si="64"/>
        <v>5.1179721289504876E-3</v>
      </c>
      <c r="AG1017" s="597">
        <f t="shared" si="65"/>
        <v>-2.1904409649447287E-2</v>
      </c>
    </row>
    <row r="1018" spans="13:33" x14ac:dyDescent="0.35">
      <c r="M1018" s="555">
        <v>43123</v>
      </c>
      <c r="N1018" s="543" t="s">
        <v>449</v>
      </c>
      <c r="O1018" s="543">
        <v>44907.199999999997</v>
      </c>
      <c r="P1018" s="73" t="s">
        <v>431</v>
      </c>
      <c r="Q1018" s="158">
        <v>29.14</v>
      </c>
      <c r="R1018" s="563">
        <f t="shared" si="62"/>
        <v>2.118149062901864E-4</v>
      </c>
      <c r="S1018" s="563">
        <f t="shared" si="63"/>
        <v>5.0090090090090023E-2</v>
      </c>
      <c r="AA1018" s="594">
        <v>43119</v>
      </c>
      <c r="AB1018" s="595" t="s">
        <v>449</v>
      </c>
      <c r="AC1018" s="595">
        <v>44178.83</v>
      </c>
      <c r="AD1018" s="596" t="s">
        <v>395</v>
      </c>
      <c r="AE1018" s="595">
        <v>242.73</v>
      </c>
      <c r="AF1018" s="597">
        <f t="shared" si="64"/>
        <v>1.3720466406369036E-2</v>
      </c>
      <c r="AG1018" s="597">
        <f t="shared" si="65"/>
        <v>1.9873949579831907E-2</v>
      </c>
    </row>
    <row r="1019" spans="13:33" x14ac:dyDescent="0.35">
      <c r="M1019" s="555">
        <v>43124</v>
      </c>
      <c r="N1019" s="543" t="s">
        <v>449</v>
      </c>
      <c r="O1019" s="543">
        <v>45063.21</v>
      </c>
      <c r="P1019" s="73" t="s">
        <v>431</v>
      </c>
      <c r="Q1019" s="158">
        <v>30.59</v>
      </c>
      <c r="R1019" s="563">
        <f t="shared" si="62"/>
        <v>3.4740531585135681E-3</v>
      </c>
      <c r="S1019" s="563">
        <f t="shared" si="63"/>
        <v>4.9759780370624451E-2</v>
      </c>
      <c r="AA1019" s="594">
        <v>43122</v>
      </c>
      <c r="AB1019" s="595" t="s">
        <v>449</v>
      </c>
      <c r="AC1019" s="595">
        <v>44897.69</v>
      </c>
      <c r="AD1019" s="596" t="s">
        <v>395</v>
      </c>
      <c r="AE1019" s="595">
        <v>250</v>
      </c>
      <c r="AF1019" s="597">
        <f t="shared" si="64"/>
        <v>1.6271594336020323E-2</v>
      </c>
      <c r="AG1019" s="597">
        <f t="shared" si="65"/>
        <v>2.9950974333621705E-2</v>
      </c>
    </row>
    <row r="1020" spans="13:33" x14ac:dyDescent="0.35">
      <c r="M1020" s="555">
        <v>43125</v>
      </c>
      <c r="N1020" s="543" t="s">
        <v>449</v>
      </c>
      <c r="O1020" s="543">
        <v>44816.71</v>
      </c>
      <c r="P1020" s="73" t="s">
        <v>431</v>
      </c>
      <c r="Q1020" s="158">
        <v>31.36</v>
      </c>
      <c r="R1020" s="563">
        <f t="shared" si="62"/>
        <v>-5.470094118905422E-3</v>
      </c>
      <c r="S1020" s="563">
        <f t="shared" si="63"/>
        <v>2.517162471395884E-2</v>
      </c>
      <c r="AA1020" s="594">
        <v>43123</v>
      </c>
      <c r="AB1020" s="595" t="s">
        <v>449</v>
      </c>
      <c r="AC1020" s="595">
        <v>44907.199999999997</v>
      </c>
      <c r="AD1020" s="596" t="s">
        <v>395</v>
      </c>
      <c r="AE1020" s="595">
        <v>246.26</v>
      </c>
      <c r="AF1020" s="597">
        <f t="shared" si="64"/>
        <v>2.118149062901864E-4</v>
      </c>
      <c r="AG1020" s="597">
        <f t="shared" si="65"/>
        <v>-1.4960000000000084E-2</v>
      </c>
    </row>
    <row r="1021" spans="13:33" x14ac:dyDescent="0.35">
      <c r="M1021" s="555">
        <v>43126</v>
      </c>
      <c r="N1021" s="543" t="s">
        <v>449</v>
      </c>
      <c r="O1021" s="543">
        <v>44551.13</v>
      </c>
      <c r="P1021" s="73" t="s">
        <v>431</v>
      </c>
      <c r="Q1021" s="158">
        <v>30.87</v>
      </c>
      <c r="R1021" s="563">
        <f t="shared" si="62"/>
        <v>-5.9259146867318702E-3</v>
      </c>
      <c r="S1021" s="563">
        <f t="shared" si="63"/>
        <v>-1.5625E-2</v>
      </c>
      <c r="AA1021" s="594">
        <v>43124</v>
      </c>
      <c r="AB1021" s="595" t="s">
        <v>449</v>
      </c>
      <c r="AC1021" s="595">
        <v>45063.21</v>
      </c>
      <c r="AD1021" s="596" t="s">
        <v>395</v>
      </c>
      <c r="AE1021" s="595">
        <v>250</v>
      </c>
      <c r="AF1021" s="597">
        <f t="shared" si="64"/>
        <v>3.4740531585135681E-3</v>
      </c>
      <c r="AG1021" s="597">
        <f t="shared" si="65"/>
        <v>1.5187200519775956E-2</v>
      </c>
    </row>
    <row r="1022" spans="13:33" x14ac:dyDescent="0.35">
      <c r="M1022" s="555">
        <v>43129</v>
      </c>
      <c r="N1022" s="543" t="s">
        <v>449</v>
      </c>
      <c r="O1022" s="543">
        <v>44457.3</v>
      </c>
      <c r="P1022" s="73" t="s">
        <v>431</v>
      </c>
      <c r="Q1022" s="158">
        <v>32.369999999999997</v>
      </c>
      <c r="R1022" s="563">
        <f t="shared" si="62"/>
        <v>-2.1061194182951937E-3</v>
      </c>
      <c r="S1022" s="563">
        <f t="shared" si="63"/>
        <v>4.8590864917395393E-2</v>
      </c>
      <c r="AA1022" s="594">
        <v>43125</v>
      </c>
      <c r="AB1022" s="595" t="s">
        <v>449</v>
      </c>
      <c r="AC1022" s="595">
        <v>44816.71</v>
      </c>
      <c r="AD1022" s="596" t="s">
        <v>395</v>
      </c>
      <c r="AE1022" s="595">
        <v>245.5</v>
      </c>
      <c r="AF1022" s="597">
        <f t="shared" si="64"/>
        <v>-5.470094118905422E-3</v>
      </c>
      <c r="AG1022" s="597">
        <f t="shared" si="65"/>
        <v>-1.8000000000000016E-2</v>
      </c>
    </row>
    <row r="1023" spans="13:33" x14ac:dyDescent="0.35">
      <c r="M1023" s="555">
        <v>43130</v>
      </c>
      <c r="N1023" s="543" t="s">
        <v>449</v>
      </c>
      <c r="O1023" s="543">
        <v>44233.11</v>
      </c>
      <c r="P1023" s="73" t="s">
        <v>431</v>
      </c>
      <c r="Q1023" s="158">
        <v>30.75</v>
      </c>
      <c r="R1023" s="563">
        <f t="shared" si="62"/>
        <v>-5.0428163653664093E-3</v>
      </c>
      <c r="S1023" s="563">
        <f t="shared" si="63"/>
        <v>-5.004633920296564E-2</v>
      </c>
      <c r="AA1023" s="594">
        <v>43126</v>
      </c>
      <c r="AB1023" s="595" t="s">
        <v>449</v>
      </c>
      <c r="AC1023" s="595">
        <v>44551.13</v>
      </c>
      <c r="AD1023" s="596" t="s">
        <v>395</v>
      </c>
      <c r="AE1023" s="595">
        <v>242.05</v>
      </c>
      <c r="AF1023" s="597">
        <f t="shared" si="64"/>
        <v>-5.9259146867318702E-3</v>
      </c>
      <c r="AG1023" s="597">
        <f t="shared" si="65"/>
        <v>-1.4052953156822756E-2</v>
      </c>
    </row>
    <row r="1024" spans="13:33" x14ac:dyDescent="0.35">
      <c r="M1024" s="526">
        <v>43132</v>
      </c>
      <c r="N1024" s="524" t="s">
        <v>449</v>
      </c>
      <c r="O1024" s="524">
        <v>44255.48</v>
      </c>
      <c r="P1024" s="73" t="s">
        <v>431</v>
      </c>
      <c r="Q1024">
        <v>28.45</v>
      </c>
      <c r="R1024" s="563">
        <f t="shared" si="62"/>
        <v>5.0572975764096029E-4</v>
      </c>
      <c r="S1024" s="563">
        <f t="shared" si="63"/>
        <v>-7.4796747967479704E-2</v>
      </c>
      <c r="AA1024" s="594">
        <v>43129</v>
      </c>
      <c r="AB1024" s="595" t="s">
        <v>449</v>
      </c>
      <c r="AC1024" s="595">
        <v>44457.3</v>
      </c>
      <c r="AD1024" s="596" t="s">
        <v>395</v>
      </c>
      <c r="AE1024" s="595">
        <v>246.84</v>
      </c>
      <c r="AF1024" s="597">
        <f t="shared" si="64"/>
        <v>-2.1061194182951937E-3</v>
      </c>
      <c r="AG1024" s="597">
        <f t="shared" si="65"/>
        <v>1.9789299731460375E-2</v>
      </c>
    </row>
    <row r="1025" spans="13:33" x14ac:dyDescent="0.35">
      <c r="M1025" s="555">
        <v>43133</v>
      </c>
      <c r="N1025" s="543" t="s">
        <v>449</v>
      </c>
      <c r="O1025" s="543">
        <v>44301.2</v>
      </c>
      <c r="P1025" s="73" t="s">
        <v>431</v>
      </c>
      <c r="Q1025" s="158">
        <v>29.03</v>
      </c>
      <c r="R1025" s="563">
        <f t="shared" si="62"/>
        <v>1.0330923989525509E-3</v>
      </c>
      <c r="S1025" s="563">
        <f t="shared" si="63"/>
        <v>2.0386643233743396E-2</v>
      </c>
      <c r="AA1025" s="594">
        <v>43130</v>
      </c>
      <c r="AB1025" s="595" t="s">
        <v>449</v>
      </c>
      <c r="AC1025" s="595">
        <v>44233.11</v>
      </c>
      <c r="AD1025" s="596" t="s">
        <v>395</v>
      </c>
      <c r="AE1025" s="595">
        <v>243.1</v>
      </c>
      <c r="AF1025" s="597">
        <f t="shared" si="64"/>
        <v>-5.0428163653664093E-3</v>
      </c>
      <c r="AG1025" s="597">
        <f t="shared" si="65"/>
        <v>-1.5151515151515138E-2</v>
      </c>
    </row>
    <row r="1026" spans="13:33" x14ac:dyDescent="0.35">
      <c r="M1026" s="555">
        <v>43137</v>
      </c>
      <c r="N1026" s="543" t="s">
        <v>449</v>
      </c>
      <c r="O1026" s="543">
        <v>43885.51</v>
      </c>
      <c r="P1026" s="73" t="s">
        <v>431</v>
      </c>
      <c r="Q1026" s="158">
        <v>28.88</v>
      </c>
      <c r="R1026" s="563">
        <f t="shared" si="62"/>
        <v>-9.3832672704123876E-3</v>
      </c>
      <c r="S1026" s="563">
        <f t="shared" si="63"/>
        <v>-5.1670685497762214E-3</v>
      </c>
      <c r="AA1026" s="594">
        <v>43132</v>
      </c>
      <c r="AB1026" s="595" t="s">
        <v>449</v>
      </c>
      <c r="AC1026" s="595">
        <v>44255.48</v>
      </c>
      <c r="AD1026" s="596" t="s">
        <v>395</v>
      </c>
      <c r="AE1026" s="595">
        <v>249.9</v>
      </c>
      <c r="AF1026" s="597">
        <f t="shared" si="64"/>
        <v>5.0572975764096029E-4</v>
      </c>
      <c r="AG1026" s="597">
        <f t="shared" si="65"/>
        <v>2.7972027972027913E-2</v>
      </c>
    </row>
    <row r="1027" spans="13:33" x14ac:dyDescent="0.35">
      <c r="M1027" s="555">
        <v>43138</v>
      </c>
      <c r="N1027" s="543" t="s">
        <v>449</v>
      </c>
      <c r="O1027" s="543">
        <v>44096.49</v>
      </c>
      <c r="P1027" s="73" t="s">
        <v>431</v>
      </c>
      <c r="Q1027" s="158">
        <v>29.14</v>
      </c>
      <c r="R1027" s="563">
        <f t="shared" si="62"/>
        <v>4.8075093578723305E-3</v>
      </c>
      <c r="S1027" s="563">
        <f t="shared" si="63"/>
        <v>9.0027700831025737E-3</v>
      </c>
      <c r="AA1027" s="594">
        <v>43133</v>
      </c>
      <c r="AB1027" s="595" t="s">
        <v>449</v>
      </c>
      <c r="AC1027" s="595">
        <v>44301.2</v>
      </c>
      <c r="AD1027" s="596" t="s">
        <v>395</v>
      </c>
      <c r="AE1027" s="595">
        <v>249.37</v>
      </c>
      <c r="AF1027" s="597">
        <f t="shared" si="64"/>
        <v>1.0330923989525509E-3</v>
      </c>
      <c r="AG1027" s="597">
        <f t="shared" si="65"/>
        <v>-2.1208483393357902E-3</v>
      </c>
    </row>
    <row r="1028" spans="13:33" x14ac:dyDescent="0.35">
      <c r="M1028" s="555">
        <v>43139</v>
      </c>
      <c r="N1028" s="543" t="s">
        <v>449</v>
      </c>
      <c r="O1028" s="543">
        <v>43679.87</v>
      </c>
      <c r="P1028" s="73" t="s">
        <v>431</v>
      </c>
      <c r="Q1028" s="158">
        <v>28.99</v>
      </c>
      <c r="R1028" s="563">
        <f t="shared" si="62"/>
        <v>-9.4479175099876356E-3</v>
      </c>
      <c r="S1028" s="563">
        <f t="shared" si="63"/>
        <v>-5.14756348661638E-3</v>
      </c>
      <c r="AA1028" s="594">
        <v>43137</v>
      </c>
      <c r="AB1028" s="595" t="s">
        <v>449</v>
      </c>
      <c r="AC1028" s="595">
        <v>43885.51</v>
      </c>
      <c r="AD1028" s="596" t="s">
        <v>395</v>
      </c>
      <c r="AE1028" s="595">
        <v>245.18</v>
      </c>
      <c r="AF1028" s="597">
        <f t="shared" si="64"/>
        <v>-9.3832672704123876E-3</v>
      </c>
      <c r="AG1028" s="597">
        <f t="shared" si="65"/>
        <v>-1.6802341901592022E-2</v>
      </c>
    </row>
    <row r="1029" spans="13:33" x14ac:dyDescent="0.35">
      <c r="M1029" s="555">
        <v>43140</v>
      </c>
      <c r="N1029" s="543" t="s">
        <v>449</v>
      </c>
      <c r="O1029" s="543">
        <v>43808.800000000003</v>
      </c>
      <c r="P1029" s="73" t="s">
        <v>431</v>
      </c>
      <c r="Q1029" s="158">
        <v>28.72</v>
      </c>
      <c r="R1029" s="563">
        <f t="shared" si="62"/>
        <v>2.9517029240242465E-3</v>
      </c>
      <c r="S1029" s="563">
        <f t="shared" si="63"/>
        <v>-9.3135563987581937E-3</v>
      </c>
      <c r="AA1029" s="594">
        <v>43138</v>
      </c>
      <c r="AB1029" s="595" t="s">
        <v>449</v>
      </c>
      <c r="AC1029" s="595">
        <v>44096.49</v>
      </c>
      <c r="AD1029" s="596" t="s">
        <v>395</v>
      </c>
      <c r="AE1029" s="595">
        <v>256.99</v>
      </c>
      <c r="AF1029" s="597">
        <f t="shared" si="64"/>
        <v>4.8075093578723305E-3</v>
      </c>
      <c r="AG1029" s="597">
        <f t="shared" si="65"/>
        <v>4.8168692389265022E-2</v>
      </c>
    </row>
    <row r="1030" spans="13:33" x14ac:dyDescent="0.35">
      <c r="M1030" s="555">
        <v>43143</v>
      </c>
      <c r="N1030" s="543" t="s">
        <v>449</v>
      </c>
      <c r="O1030" s="543">
        <v>43515.08</v>
      </c>
      <c r="P1030" s="73" t="s">
        <v>431</v>
      </c>
      <c r="Q1030" s="158">
        <v>29.16</v>
      </c>
      <c r="R1030" s="563">
        <f t="shared" si="62"/>
        <v>-6.7045890323406132E-3</v>
      </c>
      <c r="S1030" s="563">
        <f t="shared" si="63"/>
        <v>1.5320334261838431E-2</v>
      </c>
      <c r="AA1030" s="594">
        <v>43139</v>
      </c>
      <c r="AB1030" s="595" t="s">
        <v>449</v>
      </c>
      <c r="AC1030" s="595">
        <v>43679.87</v>
      </c>
      <c r="AD1030" s="596" t="s">
        <v>395</v>
      </c>
      <c r="AE1030" s="595">
        <v>269.77</v>
      </c>
      <c r="AF1030" s="597">
        <f t="shared" si="64"/>
        <v>-9.4479175099876356E-3</v>
      </c>
      <c r="AG1030" s="597">
        <f t="shared" si="65"/>
        <v>4.9729561461535399E-2</v>
      </c>
    </row>
    <row r="1031" spans="13:33" x14ac:dyDescent="0.35">
      <c r="M1031" s="555">
        <v>43144</v>
      </c>
      <c r="N1031" s="543" t="s">
        <v>449</v>
      </c>
      <c r="O1031" s="543">
        <v>43690.36</v>
      </c>
      <c r="P1031" s="73" t="s">
        <v>431</v>
      </c>
      <c r="Q1031" s="158">
        <v>29.28</v>
      </c>
      <c r="R1031" s="563">
        <f t="shared" si="62"/>
        <v>4.0280289040028894E-3</v>
      </c>
      <c r="S1031" s="563">
        <f t="shared" si="63"/>
        <v>4.115226337448652E-3</v>
      </c>
      <c r="AA1031" s="594">
        <v>43140</v>
      </c>
      <c r="AB1031" s="595" t="s">
        <v>449</v>
      </c>
      <c r="AC1031" s="595">
        <v>43808.800000000003</v>
      </c>
      <c r="AD1031" s="596" t="s">
        <v>395</v>
      </c>
      <c r="AE1031" s="595">
        <v>283.25</v>
      </c>
      <c r="AF1031" s="597">
        <f t="shared" si="64"/>
        <v>2.9517029240242465E-3</v>
      </c>
      <c r="AG1031" s="597">
        <f t="shared" si="65"/>
        <v>4.996849167809625E-2</v>
      </c>
    </row>
    <row r="1032" spans="13:33" x14ac:dyDescent="0.35">
      <c r="M1032" s="555">
        <v>43145</v>
      </c>
      <c r="N1032" s="543" t="s">
        <v>449</v>
      </c>
      <c r="O1032" s="543">
        <v>43353.04</v>
      </c>
      <c r="P1032" s="73" t="s">
        <v>431</v>
      </c>
      <c r="Q1032" s="158">
        <v>28.26</v>
      </c>
      <c r="R1032" s="563">
        <f t="shared" si="62"/>
        <v>-7.7206962817426561E-3</v>
      </c>
      <c r="S1032" s="563">
        <f t="shared" si="63"/>
        <v>-3.4836065573770503E-2</v>
      </c>
      <c r="AA1032" s="594">
        <v>43143</v>
      </c>
      <c r="AB1032" s="595" t="s">
        <v>449</v>
      </c>
      <c r="AC1032" s="595">
        <v>43515.08</v>
      </c>
      <c r="AD1032" s="596" t="s">
        <v>395</v>
      </c>
      <c r="AE1032" s="595">
        <v>285.18</v>
      </c>
      <c r="AF1032" s="597">
        <f t="shared" si="64"/>
        <v>-6.7045890323406132E-3</v>
      </c>
      <c r="AG1032" s="597">
        <f t="shared" si="65"/>
        <v>6.813768755516314E-3</v>
      </c>
    </row>
    <row r="1033" spans="13:33" x14ac:dyDescent="0.35">
      <c r="M1033" s="555">
        <v>43146</v>
      </c>
      <c r="N1033" s="543" t="s">
        <v>449</v>
      </c>
      <c r="O1033" s="543">
        <v>42942.35</v>
      </c>
      <c r="P1033" s="73" t="s">
        <v>431</v>
      </c>
      <c r="Q1033" s="158">
        <v>27.65</v>
      </c>
      <c r="R1033" s="563">
        <f t="shared" si="62"/>
        <v>-9.4731534397588524E-3</v>
      </c>
      <c r="S1033" s="563">
        <f t="shared" si="63"/>
        <v>-2.158527954706313E-2</v>
      </c>
      <c r="AA1033" s="594">
        <v>43144</v>
      </c>
      <c r="AB1033" s="595" t="s">
        <v>449</v>
      </c>
      <c r="AC1033" s="595">
        <v>43690.36</v>
      </c>
      <c r="AD1033" s="596" t="s">
        <v>395</v>
      </c>
      <c r="AE1033" s="595">
        <v>273.66000000000003</v>
      </c>
      <c r="AF1033" s="597">
        <f t="shared" si="64"/>
        <v>4.0280289040028894E-3</v>
      </c>
      <c r="AG1033" s="597">
        <f t="shared" si="65"/>
        <v>-4.0395539659162538E-2</v>
      </c>
    </row>
    <row r="1034" spans="13:33" x14ac:dyDescent="0.35">
      <c r="M1034" s="555">
        <v>43147</v>
      </c>
      <c r="N1034" s="543" t="s">
        <v>449</v>
      </c>
      <c r="O1034" s="543">
        <v>43627.1</v>
      </c>
      <c r="P1034" s="73" t="s">
        <v>431</v>
      </c>
      <c r="Q1034" s="158">
        <v>28.07</v>
      </c>
      <c r="R1034" s="563">
        <f t="shared" si="62"/>
        <v>1.5945797097736802E-2</v>
      </c>
      <c r="S1034" s="563">
        <f t="shared" si="63"/>
        <v>1.51898734177216E-2</v>
      </c>
      <c r="AA1034" s="594">
        <v>43145</v>
      </c>
      <c r="AB1034" s="595" t="s">
        <v>449</v>
      </c>
      <c r="AC1034" s="595">
        <v>43353.04</v>
      </c>
      <c r="AD1034" s="596" t="s">
        <v>395</v>
      </c>
      <c r="AE1034" s="595">
        <v>262.95</v>
      </c>
      <c r="AF1034" s="597">
        <f t="shared" si="64"/>
        <v>-7.7206962817426561E-3</v>
      </c>
      <c r="AG1034" s="597">
        <f t="shared" si="65"/>
        <v>-3.9136154352115926E-2</v>
      </c>
    </row>
    <row r="1035" spans="13:33" x14ac:dyDescent="0.35">
      <c r="M1035" s="555">
        <v>43150</v>
      </c>
      <c r="N1035" s="543" t="s">
        <v>449</v>
      </c>
      <c r="O1035" s="543">
        <v>43572.67</v>
      </c>
      <c r="P1035" s="73" t="s">
        <v>431</v>
      </c>
      <c r="Q1035" s="158">
        <v>28</v>
      </c>
      <c r="R1035" s="563">
        <f t="shared" si="62"/>
        <v>-1.2476190257890707E-3</v>
      </c>
      <c r="S1035" s="563">
        <f t="shared" si="63"/>
        <v>-2.4937655860348684E-3</v>
      </c>
      <c r="AA1035" s="594">
        <v>43146</v>
      </c>
      <c r="AB1035" s="595" t="s">
        <v>449</v>
      </c>
      <c r="AC1035" s="595">
        <v>42942.35</v>
      </c>
      <c r="AD1035" s="596" t="s">
        <v>395</v>
      </c>
      <c r="AE1035" s="595">
        <v>260.08999999999997</v>
      </c>
      <c r="AF1035" s="597">
        <f t="shared" si="64"/>
        <v>-9.4731534397588524E-3</v>
      </c>
      <c r="AG1035" s="597">
        <f t="shared" si="65"/>
        <v>-1.0876592508081484E-2</v>
      </c>
    </row>
    <row r="1036" spans="13:33" x14ac:dyDescent="0.35">
      <c r="M1036" s="555">
        <v>43151</v>
      </c>
      <c r="N1036" s="543" t="s">
        <v>449</v>
      </c>
      <c r="O1036" s="543">
        <v>43294.95</v>
      </c>
      <c r="P1036" s="73" t="s">
        <v>431</v>
      </c>
      <c r="Q1036" s="158">
        <v>27.78</v>
      </c>
      <c r="R1036" s="563">
        <f t="shared" si="62"/>
        <v>-6.3737200405666883E-3</v>
      </c>
      <c r="S1036" s="563">
        <f t="shared" si="63"/>
        <v>-7.8571428571427848E-3</v>
      </c>
      <c r="AA1036" s="594">
        <v>43147</v>
      </c>
      <c r="AB1036" s="595" t="s">
        <v>449</v>
      </c>
      <c r="AC1036" s="595">
        <v>43627.1</v>
      </c>
      <c r="AD1036" s="596" t="s">
        <v>395</v>
      </c>
      <c r="AE1036" s="595">
        <v>261.32</v>
      </c>
      <c r="AF1036" s="597">
        <f t="shared" si="64"/>
        <v>1.5945797097736802E-2</v>
      </c>
      <c r="AG1036" s="597">
        <f t="shared" si="65"/>
        <v>4.7291322234612743E-3</v>
      </c>
    </row>
    <row r="1037" spans="13:33" x14ac:dyDescent="0.35">
      <c r="M1037" s="555">
        <v>43152</v>
      </c>
      <c r="N1037" s="543" t="s">
        <v>449</v>
      </c>
      <c r="O1037" s="543">
        <v>42919.78</v>
      </c>
      <c r="P1037" s="73" t="s">
        <v>431</v>
      </c>
      <c r="Q1037" s="158">
        <v>27.65</v>
      </c>
      <c r="R1037" s="563">
        <f t="shared" si="62"/>
        <v>-8.6654448151574082E-3</v>
      </c>
      <c r="S1037" s="563">
        <f t="shared" si="63"/>
        <v>-4.6796256299497241E-3</v>
      </c>
      <c r="AA1037" s="594">
        <v>43150</v>
      </c>
      <c r="AB1037" s="595" t="s">
        <v>449</v>
      </c>
      <c r="AC1037" s="595">
        <v>43572.67</v>
      </c>
      <c r="AD1037" s="596" t="s">
        <v>395</v>
      </c>
      <c r="AE1037" s="595">
        <v>256.18</v>
      </c>
      <c r="AF1037" s="597">
        <f t="shared" si="64"/>
        <v>-1.2476190257890707E-3</v>
      </c>
      <c r="AG1037" s="597">
        <f t="shared" si="65"/>
        <v>-1.9669370886269633E-2</v>
      </c>
    </row>
    <row r="1038" spans="13:33" x14ac:dyDescent="0.35">
      <c r="M1038" s="555">
        <v>43153</v>
      </c>
      <c r="N1038" s="543" t="s">
        <v>449</v>
      </c>
      <c r="O1038" s="543">
        <v>43528.51</v>
      </c>
      <c r="P1038" s="73" t="s">
        <v>431</v>
      </c>
      <c r="Q1038" s="158">
        <v>27.76</v>
      </c>
      <c r="R1038" s="563">
        <f t="shared" si="62"/>
        <v>1.4182971114949927E-2</v>
      </c>
      <c r="S1038" s="563">
        <f t="shared" si="63"/>
        <v>3.9783001808320062E-3</v>
      </c>
      <c r="AA1038" s="594">
        <v>43151</v>
      </c>
      <c r="AB1038" s="595" t="s">
        <v>449</v>
      </c>
      <c r="AC1038" s="595">
        <v>43294.95</v>
      </c>
      <c r="AD1038" s="596" t="s">
        <v>395</v>
      </c>
      <c r="AE1038" s="595">
        <v>258.48</v>
      </c>
      <c r="AF1038" s="597">
        <f t="shared" si="64"/>
        <v>-6.3737200405666883E-3</v>
      </c>
      <c r="AG1038" s="597">
        <f t="shared" si="65"/>
        <v>8.9780622999453552E-3</v>
      </c>
    </row>
    <row r="1039" spans="13:33" x14ac:dyDescent="0.35">
      <c r="M1039" s="555">
        <v>43154</v>
      </c>
      <c r="N1039" s="543" t="s">
        <v>449</v>
      </c>
      <c r="O1039" s="543">
        <v>43267.199999999997</v>
      </c>
      <c r="P1039" s="73" t="s">
        <v>431</v>
      </c>
      <c r="Q1039" s="158">
        <v>27.14</v>
      </c>
      <c r="R1039" s="563">
        <f t="shared" si="62"/>
        <v>-6.0031919309897486E-3</v>
      </c>
      <c r="S1039" s="563">
        <f t="shared" si="63"/>
        <v>-2.2334293948126804E-2</v>
      </c>
      <c r="AA1039" s="594">
        <v>43152</v>
      </c>
      <c r="AB1039" s="595" t="s">
        <v>449</v>
      </c>
      <c r="AC1039" s="595">
        <v>42919.78</v>
      </c>
      <c r="AD1039" s="596" t="s">
        <v>395</v>
      </c>
      <c r="AE1039" s="595">
        <v>262.26</v>
      </c>
      <c r="AF1039" s="597">
        <f t="shared" si="64"/>
        <v>-8.6654448151574082E-3</v>
      </c>
      <c r="AG1039" s="597">
        <f t="shared" si="65"/>
        <v>1.4623955431754876E-2</v>
      </c>
    </row>
    <row r="1040" spans="13:33" x14ac:dyDescent="0.35">
      <c r="M1040" s="555">
        <v>43157</v>
      </c>
      <c r="N1040" s="543" t="s">
        <v>449</v>
      </c>
      <c r="O1040" s="543">
        <v>42911.02</v>
      </c>
      <c r="P1040" s="73" t="s">
        <v>431</v>
      </c>
      <c r="Q1040" s="158">
        <v>26.92</v>
      </c>
      <c r="R1040" s="563">
        <f t="shared" si="62"/>
        <v>-8.2321019155388031E-3</v>
      </c>
      <c r="S1040" s="563">
        <f t="shared" si="63"/>
        <v>-8.1061164333087188E-3</v>
      </c>
      <c r="AA1040" s="594">
        <v>43153</v>
      </c>
      <c r="AB1040" s="595" t="s">
        <v>449</v>
      </c>
      <c r="AC1040" s="595">
        <v>43528.51</v>
      </c>
      <c r="AD1040" s="596" t="s">
        <v>395</v>
      </c>
      <c r="AE1040" s="595">
        <v>275.37</v>
      </c>
      <c r="AF1040" s="597">
        <f t="shared" si="64"/>
        <v>1.4182971114949927E-2</v>
      </c>
      <c r="AG1040" s="597">
        <f t="shared" si="65"/>
        <v>4.9988560970029905E-2</v>
      </c>
    </row>
    <row r="1041" spans="13:33" x14ac:dyDescent="0.35">
      <c r="M1041" s="555">
        <v>43158</v>
      </c>
      <c r="N1041" s="543" t="s">
        <v>449</v>
      </c>
      <c r="O1041" s="543">
        <v>42994.96</v>
      </c>
      <c r="P1041" s="73" t="s">
        <v>431</v>
      </c>
      <c r="Q1041" s="158">
        <v>26.98</v>
      </c>
      <c r="R1041" s="563">
        <f t="shared" si="62"/>
        <v>1.9561408701076477E-3</v>
      </c>
      <c r="S1041" s="563">
        <f t="shared" si="63"/>
        <v>2.2288261515601704E-3</v>
      </c>
      <c r="AA1041" s="594">
        <v>43154</v>
      </c>
      <c r="AB1041" s="595" t="s">
        <v>449</v>
      </c>
      <c r="AC1041" s="595">
        <v>43267.199999999997</v>
      </c>
      <c r="AD1041" s="596" t="s">
        <v>395</v>
      </c>
      <c r="AE1041" s="595">
        <v>288.16000000000003</v>
      </c>
      <c r="AF1041" s="597">
        <f t="shared" si="64"/>
        <v>-6.0031919309897486E-3</v>
      </c>
      <c r="AG1041" s="597">
        <f t="shared" si="65"/>
        <v>4.644659912118243E-2</v>
      </c>
    </row>
    <row r="1042" spans="13:33" x14ac:dyDescent="0.35">
      <c r="M1042" s="555">
        <v>43159</v>
      </c>
      <c r="N1042" s="543" t="s">
        <v>449</v>
      </c>
      <c r="O1042" s="543">
        <v>43239.44</v>
      </c>
      <c r="P1042" s="73" t="s">
        <v>431</v>
      </c>
      <c r="Q1042" s="158">
        <v>27.22</v>
      </c>
      <c r="R1042" s="563">
        <f t="shared" si="62"/>
        <v>5.6862478764954094E-3</v>
      </c>
      <c r="S1042" s="563">
        <f t="shared" si="63"/>
        <v>8.8954781319494636E-3</v>
      </c>
      <c r="AA1042" s="589">
        <v>43157</v>
      </c>
      <c r="AB1042" s="590" t="s">
        <v>449</v>
      </c>
      <c r="AC1042" s="590">
        <v>42911.02</v>
      </c>
      <c r="AD1042" s="591" t="s">
        <v>395</v>
      </c>
      <c r="AE1042" s="590">
        <v>294.47000000000003</v>
      </c>
      <c r="AF1042" s="592">
        <f t="shared" si="64"/>
        <v>-8.2321019155388031E-3</v>
      </c>
      <c r="AG1042" s="592">
        <f t="shared" si="65"/>
        <v>2.1897556912826133E-2</v>
      </c>
    </row>
    <row r="1043" spans="13:33" x14ac:dyDescent="0.35">
      <c r="M1043" s="555">
        <v>43160</v>
      </c>
      <c r="N1043" s="543" t="s">
        <v>449</v>
      </c>
      <c r="O1043" s="543">
        <v>43510.39</v>
      </c>
      <c r="P1043" s="73" t="s">
        <v>431</v>
      </c>
      <c r="Q1043" s="158">
        <v>27.27</v>
      </c>
      <c r="R1043" s="563">
        <f t="shared" si="62"/>
        <v>6.266269868434815E-3</v>
      </c>
      <c r="S1043" s="563">
        <f t="shared" si="63"/>
        <v>1.8368846436445097E-3</v>
      </c>
      <c r="AA1043" s="589">
        <v>43158</v>
      </c>
      <c r="AB1043" s="590" t="s">
        <v>449</v>
      </c>
      <c r="AC1043" s="590">
        <v>42994.96</v>
      </c>
      <c r="AD1043" s="591" t="s">
        <v>395</v>
      </c>
      <c r="AE1043" s="590">
        <v>299.12</v>
      </c>
      <c r="AF1043" s="592">
        <f t="shared" si="64"/>
        <v>1.9561408701076477E-3</v>
      </c>
      <c r="AG1043" s="592">
        <f t="shared" si="65"/>
        <v>1.5791082283424407E-2</v>
      </c>
    </row>
    <row r="1044" spans="13:33" x14ac:dyDescent="0.35">
      <c r="M1044" s="555">
        <v>43161</v>
      </c>
      <c r="N1044" s="543" t="s">
        <v>449</v>
      </c>
      <c r="O1044" s="543">
        <v>43740.49</v>
      </c>
      <c r="P1044" s="73" t="s">
        <v>431</v>
      </c>
      <c r="Q1044" s="158">
        <v>27.28</v>
      </c>
      <c r="R1044" s="563">
        <f t="shared" si="62"/>
        <v>5.288392036936429E-3</v>
      </c>
      <c r="S1044" s="563">
        <f t="shared" si="63"/>
        <v>3.6670333700050683E-4</v>
      </c>
      <c r="AA1044" s="594">
        <v>43159</v>
      </c>
      <c r="AB1044" s="595" t="s">
        <v>449</v>
      </c>
      <c r="AC1044" s="595">
        <v>43239.44</v>
      </c>
      <c r="AD1044" s="596" t="s">
        <v>395</v>
      </c>
      <c r="AE1044" s="595">
        <v>295.14</v>
      </c>
      <c r="AF1044" s="597">
        <f t="shared" si="64"/>
        <v>5.6862478764954094E-3</v>
      </c>
      <c r="AG1044" s="597">
        <f t="shared" si="65"/>
        <v>-1.3305696710350423E-2</v>
      </c>
    </row>
    <row r="1045" spans="13:33" x14ac:dyDescent="0.35">
      <c r="M1045" s="555">
        <v>43164</v>
      </c>
      <c r="N1045" s="543" t="s">
        <v>449</v>
      </c>
      <c r="O1045" s="543">
        <v>43829.07</v>
      </c>
      <c r="P1045" s="73" t="s">
        <v>431</v>
      </c>
      <c r="Q1045" s="158">
        <v>27.58</v>
      </c>
      <c r="R1045" s="563">
        <f t="shared" si="62"/>
        <v>2.025125918799775E-3</v>
      </c>
      <c r="S1045" s="563">
        <f t="shared" si="63"/>
        <v>1.0997067448680342E-2</v>
      </c>
      <c r="AA1045" s="594">
        <v>43160</v>
      </c>
      <c r="AB1045" s="595" t="s">
        <v>449</v>
      </c>
      <c r="AC1045" s="595">
        <v>43510.39</v>
      </c>
      <c r="AD1045" s="596" t="s">
        <v>395</v>
      </c>
      <c r="AE1045" s="595">
        <v>301.35000000000002</v>
      </c>
      <c r="AF1045" s="597">
        <f t="shared" si="64"/>
        <v>6.266269868434815E-3</v>
      </c>
      <c r="AG1045" s="597">
        <f t="shared" si="65"/>
        <v>2.1040861963813828E-2</v>
      </c>
    </row>
    <row r="1046" spans="13:33" x14ac:dyDescent="0.35">
      <c r="M1046" s="555">
        <v>43165</v>
      </c>
      <c r="N1046" s="543" t="s">
        <v>449</v>
      </c>
      <c r="O1046" s="543">
        <v>43705.1</v>
      </c>
      <c r="P1046" s="73" t="s">
        <v>431</v>
      </c>
      <c r="Q1046" s="158">
        <v>27.71</v>
      </c>
      <c r="R1046" s="563">
        <f t="shared" si="62"/>
        <v>-2.8284880331707063E-3</v>
      </c>
      <c r="S1046" s="563">
        <f t="shared" si="63"/>
        <v>4.7135605511241518E-3</v>
      </c>
      <c r="AA1046" s="594">
        <v>43161</v>
      </c>
      <c r="AB1046" s="595" t="s">
        <v>449</v>
      </c>
      <c r="AC1046" s="595">
        <v>43740.49</v>
      </c>
      <c r="AD1046" s="596" t="s">
        <v>395</v>
      </c>
      <c r="AE1046" s="595">
        <v>316.41000000000003</v>
      </c>
      <c r="AF1046" s="597">
        <f t="shared" si="64"/>
        <v>5.288392036936429E-3</v>
      </c>
      <c r="AG1046" s="597">
        <f t="shared" si="65"/>
        <v>4.9975111996017896E-2</v>
      </c>
    </row>
    <row r="1047" spans="13:33" x14ac:dyDescent="0.35">
      <c r="M1047" s="555">
        <v>43166</v>
      </c>
      <c r="N1047" s="543" t="s">
        <v>449</v>
      </c>
      <c r="O1047" s="543">
        <v>43441.18</v>
      </c>
      <c r="P1047" s="73" t="s">
        <v>431</v>
      </c>
      <c r="Q1047" s="158">
        <v>28.38</v>
      </c>
      <c r="R1047" s="563">
        <f t="shared" si="62"/>
        <v>-6.0386545277324455E-3</v>
      </c>
      <c r="S1047" s="563">
        <f t="shared" si="63"/>
        <v>2.4178996752074911E-2</v>
      </c>
      <c r="AA1047" s="594">
        <v>43164</v>
      </c>
      <c r="AB1047" s="595" t="s">
        <v>449</v>
      </c>
      <c r="AC1047" s="595">
        <v>43829.07</v>
      </c>
      <c r="AD1047" s="596" t="s">
        <v>395</v>
      </c>
      <c r="AE1047" s="595">
        <v>318</v>
      </c>
      <c r="AF1047" s="597">
        <f t="shared" si="64"/>
        <v>2.025125918799775E-3</v>
      </c>
      <c r="AG1047" s="597">
        <f t="shared" si="65"/>
        <v>5.0251256281406143E-3</v>
      </c>
    </row>
    <row r="1048" spans="13:33" x14ac:dyDescent="0.35">
      <c r="M1048" s="555">
        <v>43167</v>
      </c>
      <c r="N1048" s="543" t="s">
        <v>449</v>
      </c>
      <c r="O1048" s="543">
        <v>43072.74</v>
      </c>
      <c r="P1048" s="73" t="s">
        <v>431</v>
      </c>
      <c r="Q1048" s="158">
        <v>27.82</v>
      </c>
      <c r="R1048" s="563">
        <f t="shared" si="62"/>
        <v>-8.481353407066794E-3</v>
      </c>
      <c r="S1048" s="563">
        <f t="shared" si="63"/>
        <v>-1.9732205778717371E-2</v>
      </c>
      <c r="AA1048" s="594">
        <v>43165</v>
      </c>
      <c r="AB1048" s="595" t="s">
        <v>449</v>
      </c>
      <c r="AC1048" s="595">
        <v>43705.1</v>
      </c>
      <c r="AD1048" s="596" t="s">
        <v>395</v>
      </c>
      <c r="AE1048" s="595">
        <v>315</v>
      </c>
      <c r="AF1048" s="597">
        <f t="shared" si="64"/>
        <v>-2.8284880331707063E-3</v>
      </c>
      <c r="AG1048" s="597">
        <f t="shared" si="65"/>
        <v>-9.4339622641509413E-3</v>
      </c>
    </row>
    <row r="1049" spans="13:33" x14ac:dyDescent="0.35">
      <c r="M1049" s="555">
        <v>43168</v>
      </c>
      <c r="N1049" s="543" t="s">
        <v>449</v>
      </c>
      <c r="O1049" s="543">
        <v>43011.26</v>
      </c>
      <c r="P1049" s="73" t="s">
        <v>431</v>
      </c>
      <c r="Q1049" s="158">
        <v>27.46</v>
      </c>
      <c r="R1049" s="563">
        <f t="shared" si="62"/>
        <v>-1.4273528918753442E-3</v>
      </c>
      <c r="S1049" s="563">
        <f t="shared" si="63"/>
        <v>-1.2940330697340019E-2</v>
      </c>
      <c r="AA1049" s="594">
        <v>43166</v>
      </c>
      <c r="AB1049" s="595" t="s">
        <v>449</v>
      </c>
      <c r="AC1049" s="595">
        <v>43441.18</v>
      </c>
      <c r="AD1049" s="596" t="s">
        <v>395</v>
      </c>
      <c r="AE1049" s="595">
        <v>312.63</v>
      </c>
      <c r="AF1049" s="597">
        <f t="shared" si="64"/>
        <v>-6.0386545277324455E-3</v>
      </c>
      <c r="AG1049" s="597">
        <f t="shared" si="65"/>
        <v>-7.5238095238094882E-3</v>
      </c>
    </row>
    <row r="1050" spans="13:33" x14ac:dyDescent="0.35">
      <c r="M1050" s="555">
        <v>43171</v>
      </c>
      <c r="N1050" s="543" t="s">
        <v>449</v>
      </c>
      <c r="O1050" s="543">
        <v>43410.93</v>
      </c>
      <c r="P1050" s="73" t="s">
        <v>431</v>
      </c>
      <c r="Q1050" s="158">
        <v>27.46</v>
      </c>
      <c r="R1050" s="563">
        <f t="shared" ref="R1050:R1113" si="66">(O1050/O1049)-1</f>
        <v>9.2922178982899339E-3</v>
      </c>
      <c r="S1050" s="563">
        <f t="shared" ref="S1050:S1113" si="67">(Q1050/Q1049)-1</f>
        <v>0</v>
      </c>
      <c r="AA1050" s="594">
        <v>43167</v>
      </c>
      <c r="AB1050" s="595" t="s">
        <v>449</v>
      </c>
      <c r="AC1050" s="595">
        <v>43072.74</v>
      </c>
      <c r="AD1050" s="596" t="s">
        <v>395</v>
      </c>
      <c r="AE1050" s="595">
        <v>311.12</v>
      </c>
      <c r="AF1050" s="597">
        <f t="shared" si="64"/>
        <v>-8.481353407066794E-3</v>
      </c>
      <c r="AG1050" s="597">
        <f t="shared" si="65"/>
        <v>-4.8299907238588125E-3</v>
      </c>
    </row>
    <row r="1051" spans="13:33" x14ac:dyDescent="0.35">
      <c r="M1051" s="555">
        <v>43172</v>
      </c>
      <c r="N1051" s="543" t="s">
        <v>449</v>
      </c>
      <c r="O1051" s="543">
        <v>43618.07</v>
      </c>
      <c r="P1051" s="73" t="s">
        <v>431</v>
      </c>
      <c r="Q1051" s="158">
        <v>27.54</v>
      </c>
      <c r="R1051" s="563">
        <f t="shared" si="66"/>
        <v>4.7716093619740718E-3</v>
      </c>
      <c r="S1051" s="563">
        <f t="shared" si="67"/>
        <v>2.9133284777858037E-3</v>
      </c>
      <c r="AA1051" s="594">
        <v>43168</v>
      </c>
      <c r="AB1051" s="595" t="s">
        <v>449</v>
      </c>
      <c r="AC1051" s="595">
        <v>43011.26</v>
      </c>
      <c r="AD1051" s="596" t="s">
        <v>395</v>
      </c>
      <c r="AE1051" s="595">
        <v>314.27</v>
      </c>
      <c r="AF1051" s="597">
        <f t="shared" si="64"/>
        <v>-1.4273528918753442E-3</v>
      </c>
      <c r="AG1051" s="597">
        <f t="shared" si="65"/>
        <v>1.0124710722550612E-2</v>
      </c>
    </row>
    <row r="1052" spans="13:33" x14ac:dyDescent="0.35">
      <c r="M1052" s="555">
        <v>43173</v>
      </c>
      <c r="N1052" s="543" t="s">
        <v>449</v>
      </c>
      <c r="O1052" s="543">
        <v>43407.72</v>
      </c>
      <c r="P1052" s="73" t="s">
        <v>431</v>
      </c>
      <c r="Q1052" s="158">
        <v>27.56</v>
      </c>
      <c r="R1052" s="563">
        <f t="shared" si="66"/>
        <v>-4.82254258384196E-3</v>
      </c>
      <c r="S1052" s="563">
        <f t="shared" si="67"/>
        <v>7.2621641249082103E-4</v>
      </c>
      <c r="AA1052" s="594">
        <v>43171</v>
      </c>
      <c r="AB1052" s="595" t="s">
        <v>449</v>
      </c>
      <c r="AC1052" s="595">
        <v>43410.93</v>
      </c>
      <c r="AD1052" s="596" t="s">
        <v>395</v>
      </c>
      <c r="AE1052" s="595">
        <v>316.31</v>
      </c>
      <c r="AF1052" s="597">
        <f t="shared" ref="AF1052:AF1115" si="68">(AC1052/AC1051)-1</f>
        <v>9.2922178982899339E-3</v>
      </c>
      <c r="AG1052" s="597">
        <f t="shared" ref="AG1052:AG1115" si="69">(AE1052/AE1051)-1</f>
        <v>6.4912336525917436E-3</v>
      </c>
    </row>
    <row r="1053" spans="13:33" x14ac:dyDescent="0.35">
      <c r="M1053" s="555">
        <v>43174</v>
      </c>
      <c r="N1053" s="543" t="s">
        <v>449</v>
      </c>
      <c r="O1053" s="543">
        <v>43495.07</v>
      </c>
      <c r="P1053" s="73" t="s">
        <v>431</v>
      </c>
      <c r="Q1053" s="158">
        <v>28.52</v>
      </c>
      <c r="R1053" s="563">
        <f t="shared" si="66"/>
        <v>2.0123148601216556E-3</v>
      </c>
      <c r="S1053" s="563">
        <f t="shared" si="67"/>
        <v>3.4833091436865082E-2</v>
      </c>
      <c r="AA1053" s="594">
        <v>43172</v>
      </c>
      <c r="AB1053" s="595" t="s">
        <v>449</v>
      </c>
      <c r="AC1053" s="595">
        <v>43618.07</v>
      </c>
      <c r="AD1053" s="596" t="s">
        <v>395</v>
      </c>
      <c r="AE1053" s="595">
        <v>314.98</v>
      </c>
      <c r="AF1053" s="597">
        <f t="shared" si="68"/>
        <v>4.7716093619740718E-3</v>
      </c>
      <c r="AG1053" s="597">
        <f t="shared" si="69"/>
        <v>-4.204735860390052E-3</v>
      </c>
    </row>
    <row r="1054" spans="13:33" x14ac:dyDescent="0.35">
      <c r="M1054" s="555">
        <v>43175</v>
      </c>
      <c r="N1054" s="543" t="s">
        <v>449</v>
      </c>
      <c r="O1054" s="543">
        <v>43363.21</v>
      </c>
      <c r="P1054" s="73" t="s">
        <v>431</v>
      </c>
      <c r="Q1054" s="158">
        <v>28.62</v>
      </c>
      <c r="R1054" s="563">
        <f t="shared" si="66"/>
        <v>-3.0316079500504189E-3</v>
      </c>
      <c r="S1054" s="563">
        <f t="shared" si="67"/>
        <v>3.5063113604487661E-3</v>
      </c>
      <c r="AA1054" s="594">
        <v>43173</v>
      </c>
      <c r="AB1054" s="595" t="s">
        <v>449</v>
      </c>
      <c r="AC1054" s="595">
        <v>43407.72</v>
      </c>
      <c r="AD1054" s="596" t="s">
        <v>395</v>
      </c>
      <c r="AE1054" s="595">
        <v>312</v>
      </c>
      <c r="AF1054" s="597">
        <f t="shared" si="68"/>
        <v>-4.82254258384196E-3</v>
      </c>
      <c r="AG1054" s="597">
        <f t="shared" si="69"/>
        <v>-9.4609181535335596E-3</v>
      </c>
    </row>
    <row r="1055" spans="13:33" x14ac:dyDescent="0.35">
      <c r="M1055" s="555">
        <v>43178</v>
      </c>
      <c r="N1055" s="543" t="s">
        <v>449</v>
      </c>
      <c r="O1055" s="543">
        <v>43539.6</v>
      </c>
      <c r="P1055" s="73" t="s">
        <v>431</v>
      </c>
      <c r="Q1055" s="158">
        <v>28.96</v>
      </c>
      <c r="R1055" s="563">
        <f t="shared" si="66"/>
        <v>4.0677339154551184E-3</v>
      </c>
      <c r="S1055" s="563">
        <f t="shared" si="67"/>
        <v>1.1879804332634469E-2</v>
      </c>
      <c r="AA1055" s="594">
        <v>43174</v>
      </c>
      <c r="AB1055" s="595" t="s">
        <v>449</v>
      </c>
      <c r="AC1055" s="595">
        <v>43495.07</v>
      </c>
      <c r="AD1055" s="596" t="s">
        <v>395</v>
      </c>
      <c r="AE1055" s="595">
        <v>310</v>
      </c>
      <c r="AF1055" s="597">
        <f t="shared" si="68"/>
        <v>2.0123148601216556E-3</v>
      </c>
      <c r="AG1055" s="597">
        <f t="shared" si="69"/>
        <v>-6.4102564102563875E-3</v>
      </c>
    </row>
    <row r="1056" spans="13:33" x14ac:dyDescent="0.35">
      <c r="M1056" s="555">
        <v>43179</v>
      </c>
      <c r="N1056" s="543" t="s">
        <v>449</v>
      </c>
      <c r="O1056" s="543">
        <v>44309.74</v>
      </c>
      <c r="P1056" s="73" t="s">
        <v>431</v>
      </c>
      <c r="Q1056" s="158">
        <v>28.75</v>
      </c>
      <c r="R1056" s="563">
        <f t="shared" si="66"/>
        <v>1.7688265395180425E-2</v>
      </c>
      <c r="S1056" s="563">
        <f t="shared" si="67"/>
        <v>-7.2513812154696433E-3</v>
      </c>
      <c r="AA1056" s="594">
        <v>43175</v>
      </c>
      <c r="AB1056" s="595" t="s">
        <v>449</v>
      </c>
      <c r="AC1056" s="595">
        <v>43363.21</v>
      </c>
      <c r="AD1056" s="596" t="s">
        <v>395</v>
      </c>
      <c r="AE1056" s="595">
        <v>306.25</v>
      </c>
      <c r="AF1056" s="597">
        <f t="shared" si="68"/>
        <v>-3.0316079500504189E-3</v>
      </c>
      <c r="AG1056" s="597">
        <f t="shared" si="69"/>
        <v>-1.2096774193548376E-2</v>
      </c>
    </row>
    <row r="1057" spans="13:33" x14ac:dyDescent="0.35">
      <c r="M1057" s="555">
        <v>43180</v>
      </c>
      <c r="N1057" s="543" t="s">
        <v>449</v>
      </c>
      <c r="O1057" s="543">
        <v>44645.95</v>
      </c>
      <c r="P1057" s="73" t="s">
        <v>431</v>
      </c>
      <c r="Q1057" s="158">
        <v>28.42</v>
      </c>
      <c r="R1057" s="563">
        <f t="shared" si="66"/>
        <v>7.5877222479752149E-3</v>
      </c>
      <c r="S1057" s="563">
        <f t="shared" si="67"/>
        <v>-1.147826086956516E-2</v>
      </c>
      <c r="AA1057" s="594">
        <v>43178</v>
      </c>
      <c r="AB1057" s="595" t="s">
        <v>449</v>
      </c>
      <c r="AC1057" s="595">
        <v>43539.6</v>
      </c>
      <c r="AD1057" s="596" t="s">
        <v>395</v>
      </c>
      <c r="AE1057" s="595">
        <v>306</v>
      </c>
      <c r="AF1057" s="597">
        <f t="shared" si="68"/>
        <v>4.0677339154551184E-3</v>
      </c>
      <c r="AG1057" s="597">
        <f t="shared" si="69"/>
        <v>-8.1632653061225469E-4</v>
      </c>
    </row>
    <row r="1058" spans="13:33" x14ac:dyDescent="0.35">
      <c r="M1058" s="526">
        <v>43185</v>
      </c>
      <c r="N1058" s="524" t="s">
        <v>449</v>
      </c>
      <c r="O1058" s="524">
        <v>45083.57</v>
      </c>
      <c r="P1058" s="73" t="s">
        <v>431</v>
      </c>
      <c r="Q1058">
        <v>28.17</v>
      </c>
      <c r="R1058" s="563">
        <f t="shared" si="66"/>
        <v>9.8020089168222579E-3</v>
      </c>
      <c r="S1058" s="563">
        <f t="shared" si="67"/>
        <v>-8.7966220971147369E-3</v>
      </c>
      <c r="AA1058" s="594">
        <v>43179</v>
      </c>
      <c r="AB1058" s="595" t="s">
        <v>449</v>
      </c>
      <c r="AC1058" s="595">
        <v>44309.74</v>
      </c>
      <c r="AD1058" s="596" t="s">
        <v>395</v>
      </c>
      <c r="AE1058" s="595">
        <v>321.27</v>
      </c>
      <c r="AF1058" s="597">
        <f t="shared" si="68"/>
        <v>1.7688265395180425E-2</v>
      </c>
      <c r="AG1058" s="597">
        <f t="shared" si="69"/>
        <v>4.9901960784313637E-2</v>
      </c>
    </row>
    <row r="1059" spans="13:33" x14ac:dyDescent="0.35">
      <c r="M1059" s="555">
        <v>43186</v>
      </c>
      <c r="N1059" s="543" t="s">
        <v>449</v>
      </c>
      <c r="O1059" s="543">
        <v>45004.19</v>
      </c>
      <c r="P1059" s="73" t="s">
        <v>431</v>
      </c>
      <c r="Q1059" s="158">
        <v>28.27</v>
      </c>
      <c r="R1059" s="563">
        <f t="shared" si="66"/>
        <v>-1.7607301285146315E-3</v>
      </c>
      <c r="S1059" s="563">
        <f t="shared" si="67"/>
        <v>3.5498757543486192E-3</v>
      </c>
      <c r="AA1059" s="594">
        <v>43180</v>
      </c>
      <c r="AB1059" s="595" t="s">
        <v>449</v>
      </c>
      <c r="AC1059" s="595">
        <v>44645.95</v>
      </c>
      <c r="AD1059" s="596" t="s">
        <v>395</v>
      </c>
      <c r="AE1059" s="595">
        <v>315.02999999999997</v>
      </c>
      <c r="AF1059" s="597">
        <f t="shared" si="68"/>
        <v>7.5877222479752149E-3</v>
      </c>
      <c r="AG1059" s="597">
        <f t="shared" si="69"/>
        <v>-1.9422915304883825E-2</v>
      </c>
    </row>
    <row r="1060" spans="13:33" x14ac:dyDescent="0.35">
      <c r="M1060" s="555">
        <v>43187</v>
      </c>
      <c r="N1060" s="543" t="s">
        <v>449</v>
      </c>
      <c r="O1060" s="543">
        <v>45172.99</v>
      </c>
      <c r="P1060" s="73" t="s">
        <v>431</v>
      </c>
      <c r="Q1060" s="158">
        <v>28.14</v>
      </c>
      <c r="R1060" s="563">
        <f t="shared" si="66"/>
        <v>3.750761873505537E-3</v>
      </c>
      <c r="S1060" s="563">
        <f t="shared" si="67"/>
        <v>-4.598514326140779E-3</v>
      </c>
      <c r="AA1060" s="594">
        <v>43185</v>
      </c>
      <c r="AB1060" s="595" t="s">
        <v>449</v>
      </c>
      <c r="AC1060" s="595">
        <v>45083.57</v>
      </c>
      <c r="AD1060" s="596" t="s">
        <v>395</v>
      </c>
      <c r="AE1060" s="595">
        <v>317.87</v>
      </c>
      <c r="AF1060" s="597">
        <f t="shared" si="68"/>
        <v>9.8020089168222579E-3</v>
      </c>
      <c r="AG1060" s="597">
        <f t="shared" si="69"/>
        <v>9.0150144430689583E-3</v>
      </c>
    </row>
    <row r="1061" spans="13:33" x14ac:dyDescent="0.35">
      <c r="M1061" s="555">
        <v>43188</v>
      </c>
      <c r="N1061" s="543" t="s">
        <v>449</v>
      </c>
      <c r="O1061" s="543">
        <v>45489.62</v>
      </c>
      <c r="P1061" s="73" t="s">
        <v>431</v>
      </c>
      <c r="Q1061" s="158">
        <v>28.1</v>
      </c>
      <c r="R1061" s="563">
        <f t="shared" si="66"/>
        <v>7.0092770038026053E-3</v>
      </c>
      <c r="S1061" s="563">
        <f t="shared" si="67"/>
        <v>-1.421464108031234E-3</v>
      </c>
      <c r="AA1061" s="589">
        <v>43186</v>
      </c>
      <c r="AB1061" s="590" t="s">
        <v>449</v>
      </c>
      <c r="AC1061" s="590">
        <v>45004.19</v>
      </c>
      <c r="AD1061" s="591" t="s">
        <v>395</v>
      </c>
      <c r="AE1061" s="590">
        <v>313.11</v>
      </c>
      <c r="AF1061" s="592">
        <f t="shared" si="68"/>
        <v>-1.7607301285146315E-3</v>
      </c>
      <c r="AG1061" s="592">
        <f t="shared" si="69"/>
        <v>-1.4974675181678054E-2</v>
      </c>
    </row>
    <row r="1062" spans="13:33" x14ac:dyDescent="0.35">
      <c r="M1062" s="555">
        <v>43189</v>
      </c>
      <c r="N1062" s="543" t="s">
        <v>449</v>
      </c>
      <c r="O1062" s="543">
        <v>45560.3</v>
      </c>
      <c r="P1062" s="73" t="s">
        <v>431</v>
      </c>
      <c r="Q1062" s="158">
        <v>27.78</v>
      </c>
      <c r="R1062" s="563">
        <f t="shared" si="66"/>
        <v>1.5537610558189474E-3</v>
      </c>
      <c r="S1062" s="563">
        <f t="shared" si="67"/>
        <v>-1.1387900355871894E-2</v>
      </c>
      <c r="AA1062" s="589">
        <v>43187</v>
      </c>
      <c r="AB1062" s="590" t="s">
        <v>449</v>
      </c>
      <c r="AC1062" s="590">
        <v>45172.99</v>
      </c>
      <c r="AD1062" s="591" t="s">
        <v>395</v>
      </c>
      <c r="AE1062" s="590">
        <v>316.81</v>
      </c>
      <c r="AF1062" s="592">
        <f t="shared" si="68"/>
        <v>3.750761873505537E-3</v>
      </c>
      <c r="AG1062" s="592">
        <f t="shared" si="69"/>
        <v>1.1816933346108449E-2</v>
      </c>
    </row>
    <row r="1063" spans="13:33" x14ac:dyDescent="0.35">
      <c r="M1063" s="555">
        <v>43192</v>
      </c>
      <c r="N1063" s="543" t="s">
        <v>449</v>
      </c>
      <c r="O1063" s="543">
        <v>45741.43</v>
      </c>
      <c r="P1063" s="73" t="s">
        <v>431</v>
      </c>
      <c r="Q1063" s="158">
        <v>27.86</v>
      </c>
      <c r="R1063" s="563">
        <f t="shared" si="66"/>
        <v>3.9756103449712921E-3</v>
      </c>
      <c r="S1063" s="563">
        <f t="shared" si="67"/>
        <v>2.8797696184303945E-3</v>
      </c>
      <c r="AA1063" s="594">
        <v>43188</v>
      </c>
      <c r="AB1063" s="595" t="s">
        <v>449</v>
      </c>
      <c r="AC1063" s="595">
        <v>45489.62</v>
      </c>
      <c r="AD1063" s="596" t="s">
        <v>395</v>
      </c>
      <c r="AE1063" s="595">
        <v>313.54000000000002</v>
      </c>
      <c r="AF1063" s="597">
        <f t="shared" si="68"/>
        <v>7.0092770038026053E-3</v>
      </c>
      <c r="AG1063" s="597">
        <f t="shared" si="69"/>
        <v>-1.0321643887503451E-2</v>
      </c>
    </row>
    <row r="1064" spans="13:33" x14ac:dyDescent="0.35">
      <c r="M1064" s="555">
        <v>43193</v>
      </c>
      <c r="N1064" s="543" t="s">
        <v>449</v>
      </c>
      <c r="O1064" s="543">
        <v>46013.34</v>
      </c>
      <c r="P1064" s="73" t="s">
        <v>431</v>
      </c>
      <c r="Q1064" s="158">
        <v>27.66</v>
      </c>
      <c r="R1064" s="563">
        <f t="shared" si="66"/>
        <v>5.9445015164587556E-3</v>
      </c>
      <c r="S1064" s="563">
        <f t="shared" si="67"/>
        <v>-7.1787508973438774E-3</v>
      </c>
      <c r="AA1064" s="594">
        <v>43189</v>
      </c>
      <c r="AB1064" s="595" t="s">
        <v>449</v>
      </c>
      <c r="AC1064" s="595">
        <v>45560.3</v>
      </c>
      <c r="AD1064" s="596" t="s">
        <v>395</v>
      </c>
      <c r="AE1064" s="595">
        <v>315.95999999999998</v>
      </c>
      <c r="AF1064" s="597">
        <f t="shared" si="68"/>
        <v>1.5537610558189474E-3</v>
      </c>
      <c r="AG1064" s="597">
        <f t="shared" si="69"/>
        <v>7.7183134528289177E-3</v>
      </c>
    </row>
    <row r="1065" spans="13:33" x14ac:dyDescent="0.35">
      <c r="M1065" s="555">
        <v>43194</v>
      </c>
      <c r="N1065" s="543" t="s">
        <v>449</v>
      </c>
      <c r="O1065" s="543">
        <v>46103.61</v>
      </c>
      <c r="P1065" s="73" t="s">
        <v>431</v>
      </c>
      <c r="Q1065" s="158">
        <v>28.26</v>
      </c>
      <c r="R1065" s="563">
        <f t="shared" si="66"/>
        <v>1.961822375858846E-3</v>
      </c>
      <c r="S1065" s="563">
        <f t="shared" si="67"/>
        <v>2.1691973969631295E-2</v>
      </c>
      <c r="AA1065" s="594">
        <v>43192</v>
      </c>
      <c r="AB1065" s="595" t="s">
        <v>449</v>
      </c>
      <c r="AC1065" s="595">
        <v>45741.43</v>
      </c>
      <c r="AD1065" s="596" t="s">
        <v>395</v>
      </c>
      <c r="AE1065" s="595">
        <v>325.79000000000002</v>
      </c>
      <c r="AF1065" s="597">
        <f t="shared" si="68"/>
        <v>3.9756103449712921E-3</v>
      </c>
      <c r="AG1065" s="597">
        <f t="shared" si="69"/>
        <v>3.1111533105456557E-2</v>
      </c>
    </row>
    <row r="1066" spans="13:33" x14ac:dyDescent="0.35">
      <c r="M1066" s="555">
        <v>43195</v>
      </c>
      <c r="N1066" s="543" t="s">
        <v>449</v>
      </c>
      <c r="O1066" s="543">
        <v>46560.82</v>
      </c>
      <c r="P1066" s="73" t="s">
        <v>431</v>
      </c>
      <c r="Q1066" s="158">
        <v>28.13</v>
      </c>
      <c r="R1066" s="563">
        <f t="shared" si="66"/>
        <v>9.9170108371122723E-3</v>
      </c>
      <c r="S1066" s="563">
        <f t="shared" si="67"/>
        <v>-4.600141542816738E-3</v>
      </c>
      <c r="AA1066" s="594">
        <v>43193</v>
      </c>
      <c r="AB1066" s="595" t="s">
        <v>449</v>
      </c>
      <c r="AC1066" s="595">
        <v>46013.34</v>
      </c>
      <c r="AD1066" s="596" t="s">
        <v>395</v>
      </c>
      <c r="AE1066" s="595">
        <v>326</v>
      </c>
      <c r="AF1066" s="597">
        <f t="shared" si="68"/>
        <v>5.9445015164587556E-3</v>
      </c>
      <c r="AG1066" s="597">
        <f t="shared" si="69"/>
        <v>6.4458700389824486E-4</v>
      </c>
    </row>
    <row r="1067" spans="13:33" x14ac:dyDescent="0.35">
      <c r="M1067" s="555">
        <v>43196</v>
      </c>
      <c r="N1067" s="543" t="s">
        <v>449</v>
      </c>
      <c r="O1067" s="543">
        <v>46637.62</v>
      </c>
      <c r="P1067" s="73" t="s">
        <v>431</v>
      </c>
      <c r="Q1067" s="158">
        <v>28.03</v>
      </c>
      <c r="R1067" s="563">
        <f t="shared" si="66"/>
        <v>1.649455486393947E-3</v>
      </c>
      <c r="S1067" s="563">
        <f t="shared" si="67"/>
        <v>-3.5549235691432202E-3</v>
      </c>
      <c r="AA1067" s="594">
        <v>43194</v>
      </c>
      <c r="AB1067" s="595" t="s">
        <v>449</v>
      </c>
      <c r="AC1067" s="595">
        <v>46103.61</v>
      </c>
      <c r="AD1067" s="596" t="s">
        <v>395</v>
      </c>
      <c r="AE1067" s="595">
        <v>324</v>
      </c>
      <c r="AF1067" s="597">
        <f t="shared" si="68"/>
        <v>1.961822375858846E-3</v>
      </c>
      <c r="AG1067" s="597">
        <f t="shared" si="69"/>
        <v>-6.1349693251533388E-3</v>
      </c>
    </row>
    <row r="1068" spans="13:33" x14ac:dyDescent="0.35">
      <c r="M1068" s="555">
        <v>43199</v>
      </c>
      <c r="N1068" s="543" t="s">
        <v>449</v>
      </c>
      <c r="O1068" s="543">
        <v>46580.62</v>
      </c>
      <c r="P1068" s="73" t="s">
        <v>431</v>
      </c>
      <c r="Q1068" s="158">
        <v>28.07</v>
      </c>
      <c r="R1068" s="563">
        <f t="shared" si="66"/>
        <v>-1.2221892969667136E-3</v>
      </c>
      <c r="S1068" s="563">
        <f t="shared" si="67"/>
        <v>1.4270424545130833E-3</v>
      </c>
      <c r="AA1068" s="594">
        <v>43195</v>
      </c>
      <c r="AB1068" s="595" t="s">
        <v>449</v>
      </c>
      <c r="AC1068" s="595">
        <v>46560.82</v>
      </c>
      <c r="AD1068" s="596" t="s">
        <v>395</v>
      </c>
      <c r="AE1068" s="595">
        <v>324.67</v>
      </c>
      <c r="AF1068" s="597">
        <f t="shared" si="68"/>
        <v>9.9170108371122723E-3</v>
      </c>
      <c r="AG1068" s="597">
        <f t="shared" si="69"/>
        <v>2.0679012345679038E-3</v>
      </c>
    </row>
    <row r="1069" spans="13:33" x14ac:dyDescent="0.35">
      <c r="M1069" s="555">
        <v>43200</v>
      </c>
      <c r="N1069" s="543" t="s">
        <v>449</v>
      </c>
      <c r="O1069" s="543">
        <v>46476.73</v>
      </c>
      <c r="P1069" s="73" t="s">
        <v>431</v>
      </c>
      <c r="Q1069" s="158">
        <v>28.76</v>
      </c>
      <c r="R1069" s="563">
        <f t="shared" si="66"/>
        <v>-2.2303266895116192E-3</v>
      </c>
      <c r="S1069" s="563">
        <f t="shared" si="67"/>
        <v>2.4581403633772814E-2</v>
      </c>
      <c r="AA1069" s="594">
        <v>43196</v>
      </c>
      <c r="AB1069" s="595" t="s">
        <v>449</v>
      </c>
      <c r="AC1069" s="595">
        <v>46637.62</v>
      </c>
      <c r="AD1069" s="596" t="s">
        <v>395</v>
      </c>
      <c r="AE1069" s="595">
        <v>329.98</v>
      </c>
      <c r="AF1069" s="597">
        <f t="shared" si="68"/>
        <v>1.649455486393947E-3</v>
      </c>
      <c r="AG1069" s="597">
        <f t="shared" si="69"/>
        <v>1.6355068223118829E-2</v>
      </c>
    </row>
    <row r="1070" spans="13:33" x14ac:dyDescent="0.35">
      <c r="M1070" s="555">
        <v>43201</v>
      </c>
      <c r="N1070" s="543" t="s">
        <v>449</v>
      </c>
      <c r="O1070" s="543">
        <v>46486.49</v>
      </c>
      <c r="P1070" s="73" t="s">
        <v>431</v>
      </c>
      <c r="Q1070" s="158">
        <v>29.59</v>
      </c>
      <c r="R1070" s="563">
        <f t="shared" si="66"/>
        <v>2.0999756222073174E-4</v>
      </c>
      <c r="S1070" s="563">
        <f t="shared" si="67"/>
        <v>2.885952712100126E-2</v>
      </c>
      <c r="AA1070" s="594">
        <v>43199</v>
      </c>
      <c r="AB1070" s="595" t="s">
        <v>449</v>
      </c>
      <c r="AC1070" s="595">
        <v>46580.62</v>
      </c>
      <c r="AD1070" s="596" t="s">
        <v>395</v>
      </c>
      <c r="AE1070" s="595">
        <v>326.04000000000002</v>
      </c>
      <c r="AF1070" s="597">
        <f t="shared" si="68"/>
        <v>-1.2221892969667136E-3</v>
      </c>
      <c r="AG1070" s="597">
        <f t="shared" si="69"/>
        <v>-1.1940117582883825E-2</v>
      </c>
    </row>
    <row r="1071" spans="13:33" x14ac:dyDescent="0.35">
      <c r="M1071" s="555">
        <v>43202</v>
      </c>
      <c r="N1071" s="543" t="s">
        <v>449</v>
      </c>
      <c r="O1071" s="543">
        <v>46331.71</v>
      </c>
      <c r="P1071" s="73" t="s">
        <v>431</v>
      </c>
      <c r="Q1071" s="158">
        <v>29.49</v>
      </c>
      <c r="R1071" s="563">
        <f t="shared" si="66"/>
        <v>-3.3295695157883332E-3</v>
      </c>
      <c r="S1071" s="563">
        <f t="shared" si="67"/>
        <v>-3.3795201081446846E-3</v>
      </c>
      <c r="AA1071" s="594">
        <v>43200</v>
      </c>
      <c r="AB1071" s="595" t="s">
        <v>449</v>
      </c>
      <c r="AC1071" s="595">
        <v>46476.73</v>
      </c>
      <c r="AD1071" s="596" t="s">
        <v>395</v>
      </c>
      <c r="AE1071" s="595">
        <v>322.60000000000002</v>
      </c>
      <c r="AF1071" s="597">
        <f t="shared" si="68"/>
        <v>-2.2303266895116192E-3</v>
      </c>
      <c r="AG1071" s="597">
        <f t="shared" si="69"/>
        <v>-1.0550852656115772E-2</v>
      </c>
    </row>
    <row r="1072" spans="13:33" x14ac:dyDescent="0.35">
      <c r="M1072" s="555">
        <v>43203</v>
      </c>
      <c r="N1072" s="543" t="s">
        <v>449</v>
      </c>
      <c r="O1072" s="543">
        <v>46071.86</v>
      </c>
      <c r="P1072" s="73" t="s">
        <v>431</v>
      </c>
      <c r="Q1072" s="158">
        <v>29.06</v>
      </c>
      <c r="R1072" s="563">
        <f t="shared" si="66"/>
        <v>-5.608469879484268E-3</v>
      </c>
      <c r="S1072" s="563">
        <f t="shared" si="67"/>
        <v>-1.4581213970837559E-2</v>
      </c>
      <c r="AA1072" s="594">
        <v>43201</v>
      </c>
      <c r="AB1072" s="595" t="s">
        <v>449</v>
      </c>
      <c r="AC1072" s="595">
        <v>46486.49</v>
      </c>
      <c r="AD1072" s="596" t="s">
        <v>395</v>
      </c>
      <c r="AE1072" s="595">
        <v>324</v>
      </c>
      <c r="AF1072" s="597">
        <f t="shared" si="68"/>
        <v>2.0999756222073174E-4</v>
      </c>
      <c r="AG1072" s="597">
        <f t="shared" si="69"/>
        <v>4.3397396156230617E-3</v>
      </c>
    </row>
    <row r="1073" spans="13:33" x14ac:dyDescent="0.35">
      <c r="M1073" s="555">
        <v>43206</v>
      </c>
      <c r="N1073" s="543" t="s">
        <v>449</v>
      </c>
      <c r="O1073" s="543">
        <v>45682.239999999998</v>
      </c>
      <c r="P1073" s="73" t="s">
        <v>431</v>
      </c>
      <c r="Q1073" s="158">
        <v>28.27</v>
      </c>
      <c r="R1073" s="563">
        <f t="shared" si="66"/>
        <v>-8.4567890247974065E-3</v>
      </c>
      <c r="S1073" s="563">
        <f t="shared" si="67"/>
        <v>-2.7185134205092831E-2</v>
      </c>
      <c r="AA1073" s="594">
        <v>43202</v>
      </c>
      <c r="AB1073" s="595" t="s">
        <v>449</v>
      </c>
      <c r="AC1073" s="595">
        <v>46331.71</v>
      </c>
      <c r="AD1073" s="596" t="s">
        <v>395</v>
      </c>
      <c r="AE1073" s="595">
        <v>321.5</v>
      </c>
      <c r="AF1073" s="597">
        <f t="shared" si="68"/>
        <v>-3.3295695157883332E-3</v>
      </c>
      <c r="AG1073" s="597">
        <f t="shared" si="69"/>
        <v>-7.7160493827160836E-3</v>
      </c>
    </row>
    <row r="1074" spans="13:33" x14ac:dyDescent="0.35">
      <c r="M1074" s="555">
        <v>43207</v>
      </c>
      <c r="N1074" s="543" t="s">
        <v>449</v>
      </c>
      <c r="O1074" s="543">
        <v>45801.73</v>
      </c>
      <c r="P1074" s="73" t="s">
        <v>431</v>
      </c>
      <c r="Q1074" s="158">
        <v>28.24</v>
      </c>
      <c r="R1074" s="563">
        <f t="shared" si="66"/>
        <v>2.615677339815381E-3</v>
      </c>
      <c r="S1074" s="563">
        <f t="shared" si="67"/>
        <v>-1.0611956137248635E-3</v>
      </c>
      <c r="AA1074" s="594">
        <v>43203</v>
      </c>
      <c r="AB1074" s="595" t="s">
        <v>449</v>
      </c>
      <c r="AC1074" s="595">
        <v>46071.86</v>
      </c>
      <c r="AD1074" s="596" t="s">
        <v>395</v>
      </c>
      <c r="AE1074" s="595">
        <v>320.5</v>
      </c>
      <c r="AF1074" s="597">
        <f t="shared" si="68"/>
        <v>-5.608469879484268E-3</v>
      </c>
      <c r="AG1074" s="597">
        <f t="shared" si="69"/>
        <v>-3.1104199066873672E-3</v>
      </c>
    </row>
    <row r="1075" spans="13:33" x14ac:dyDescent="0.35">
      <c r="M1075" s="555">
        <v>43208</v>
      </c>
      <c r="N1075" s="543" t="s">
        <v>449</v>
      </c>
      <c r="O1075" s="543">
        <v>45478.63</v>
      </c>
      <c r="P1075" s="73" t="s">
        <v>431</v>
      </c>
      <c r="Q1075" s="158">
        <v>28.11</v>
      </c>
      <c r="R1075" s="563">
        <f t="shared" si="66"/>
        <v>-7.0543186905823729E-3</v>
      </c>
      <c r="S1075" s="563">
        <f t="shared" si="67"/>
        <v>-4.6033994334276906E-3</v>
      </c>
      <c r="AA1075" s="589">
        <v>43206</v>
      </c>
      <c r="AB1075" s="590" t="s">
        <v>449</v>
      </c>
      <c r="AC1075" s="590">
        <v>45682.239999999998</v>
      </c>
      <c r="AD1075" s="591" t="s">
        <v>395</v>
      </c>
      <c r="AE1075" s="590">
        <v>319.8</v>
      </c>
      <c r="AF1075" s="592">
        <f t="shared" si="68"/>
        <v>-8.4567890247974065E-3</v>
      </c>
      <c r="AG1075" s="592">
        <f t="shared" si="69"/>
        <v>-2.1840873634945135E-3</v>
      </c>
    </row>
    <row r="1076" spans="13:33" x14ac:dyDescent="0.35">
      <c r="M1076" s="555">
        <v>43209</v>
      </c>
      <c r="N1076" s="543" t="s">
        <v>449</v>
      </c>
      <c r="O1076" s="543">
        <v>45387.77</v>
      </c>
      <c r="P1076" s="73" t="s">
        <v>431</v>
      </c>
      <c r="Q1076" s="158">
        <v>27.62</v>
      </c>
      <c r="R1076" s="563">
        <f t="shared" si="66"/>
        <v>-1.9978614131516137E-3</v>
      </c>
      <c r="S1076" s="563">
        <f t="shared" si="67"/>
        <v>-1.7431519032372722E-2</v>
      </c>
      <c r="AA1076" s="589">
        <v>43207</v>
      </c>
      <c r="AB1076" s="590" t="s">
        <v>449</v>
      </c>
      <c r="AC1076" s="590">
        <v>45801.73</v>
      </c>
      <c r="AD1076" s="591" t="s">
        <v>395</v>
      </c>
      <c r="AE1076" s="590">
        <v>319.98</v>
      </c>
      <c r="AF1076" s="592">
        <f t="shared" si="68"/>
        <v>2.615677339815381E-3</v>
      </c>
      <c r="AG1076" s="592">
        <f t="shared" si="69"/>
        <v>5.6285178236392674E-4</v>
      </c>
    </row>
    <row r="1077" spans="13:33" x14ac:dyDescent="0.35">
      <c r="M1077" s="555">
        <v>43210</v>
      </c>
      <c r="N1077" s="543" t="s">
        <v>449</v>
      </c>
      <c r="O1077" s="543">
        <v>45259.34</v>
      </c>
      <c r="P1077" s="73" t="s">
        <v>431</v>
      </c>
      <c r="Q1077" s="158">
        <v>27.48</v>
      </c>
      <c r="R1077" s="563">
        <f t="shared" si="66"/>
        <v>-2.8296168769692542E-3</v>
      </c>
      <c r="S1077" s="563">
        <f t="shared" si="67"/>
        <v>-5.0687907313541336E-3</v>
      </c>
      <c r="AA1077" s="594">
        <v>43208</v>
      </c>
      <c r="AB1077" s="595" t="s">
        <v>449</v>
      </c>
      <c r="AC1077" s="595">
        <v>45478.63</v>
      </c>
      <c r="AD1077" s="596" t="s">
        <v>395</v>
      </c>
      <c r="AE1077" s="595">
        <v>315</v>
      </c>
      <c r="AF1077" s="597">
        <f t="shared" si="68"/>
        <v>-7.0543186905823729E-3</v>
      </c>
      <c r="AG1077" s="597">
        <f t="shared" si="69"/>
        <v>-1.5563472717044835E-2</v>
      </c>
    </row>
    <row r="1078" spans="13:33" x14ac:dyDescent="0.35">
      <c r="M1078" s="555">
        <v>43213</v>
      </c>
      <c r="N1078" s="543" t="s">
        <v>449</v>
      </c>
      <c r="O1078" s="543">
        <v>45371.95</v>
      </c>
      <c r="P1078" s="73" t="s">
        <v>431</v>
      </c>
      <c r="Q1078" s="158">
        <v>27.41</v>
      </c>
      <c r="R1078" s="563">
        <f t="shared" si="66"/>
        <v>2.4881052176191076E-3</v>
      </c>
      <c r="S1078" s="563">
        <f t="shared" si="67"/>
        <v>-2.5473071324599861E-3</v>
      </c>
      <c r="AA1078" s="594">
        <v>43209</v>
      </c>
      <c r="AB1078" s="595" t="s">
        <v>449</v>
      </c>
      <c r="AC1078" s="595">
        <v>45387.77</v>
      </c>
      <c r="AD1078" s="596" t="s">
        <v>395</v>
      </c>
      <c r="AE1078" s="595">
        <v>320.38</v>
      </c>
      <c r="AF1078" s="597">
        <f t="shared" si="68"/>
        <v>-1.9978614131516137E-3</v>
      </c>
      <c r="AG1078" s="597">
        <f t="shared" si="69"/>
        <v>1.7079365079365028E-2</v>
      </c>
    </row>
    <row r="1079" spans="13:33" x14ac:dyDescent="0.35">
      <c r="M1079" s="555">
        <v>43214</v>
      </c>
      <c r="N1079" s="543" t="s">
        <v>449</v>
      </c>
      <c r="O1079" s="543">
        <v>45876.7</v>
      </c>
      <c r="P1079" s="73" t="s">
        <v>431</v>
      </c>
      <c r="Q1079" s="158">
        <v>27.75</v>
      </c>
      <c r="R1079" s="563">
        <f t="shared" si="66"/>
        <v>1.1124714719116024E-2</v>
      </c>
      <c r="S1079" s="563">
        <f t="shared" si="67"/>
        <v>1.2404232032105167E-2</v>
      </c>
      <c r="AA1079" s="594">
        <v>43210</v>
      </c>
      <c r="AB1079" s="595" t="s">
        <v>449</v>
      </c>
      <c r="AC1079" s="595">
        <v>45259.34</v>
      </c>
      <c r="AD1079" s="596" t="s">
        <v>395</v>
      </c>
      <c r="AE1079" s="595">
        <v>325.54000000000002</v>
      </c>
      <c r="AF1079" s="597">
        <f t="shared" si="68"/>
        <v>-2.8296168769692542E-3</v>
      </c>
      <c r="AG1079" s="597">
        <f t="shared" si="69"/>
        <v>1.6105874274299437E-2</v>
      </c>
    </row>
    <row r="1080" spans="13:33" x14ac:dyDescent="0.35">
      <c r="M1080" s="555">
        <v>43215</v>
      </c>
      <c r="N1080" s="543" t="s">
        <v>449</v>
      </c>
      <c r="O1080" s="543">
        <v>45718.34</v>
      </c>
      <c r="P1080" s="73" t="s">
        <v>431</v>
      </c>
      <c r="Q1080" s="158">
        <v>27.97</v>
      </c>
      <c r="R1080" s="563">
        <f t="shared" si="66"/>
        <v>-3.4518611844356339E-3</v>
      </c>
      <c r="S1080" s="563">
        <f t="shared" si="67"/>
        <v>7.927927927927847E-3</v>
      </c>
      <c r="AA1080" s="594">
        <v>43213</v>
      </c>
      <c r="AB1080" s="595" t="s">
        <v>449</v>
      </c>
      <c r="AC1080" s="595">
        <v>45371.95</v>
      </c>
      <c r="AD1080" s="596" t="s">
        <v>395</v>
      </c>
      <c r="AE1080" s="595">
        <v>331.8</v>
      </c>
      <c r="AF1080" s="597">
        <f t="shared" si="68"/>
        <v>2.4881052176191076E-3</v>
      </c>
      <c r="AG1080" s="597">
        <f t="shared" si="69"/>
        <v>1.9229587761872446E-2</v>
      </c>
    </row>
    <row r="1081" spans="13:33" x14ac:dyDescent="0.35">
      <c r="M1081" s="555">
        <v>43216</v>
      </c>
      <c r="N1081" s="543" t="s">
        <v>449</v>
      </c>
      <c r="O1081" s="543">
        <v>45460.87</v>
      </c>
      <c r="P1081" s="73" t="s">
        <v>431</v>
      </c>
      <c r="Q1081" s="158">
        <v>27.65</v>
      </c>
      <c r="R1081" s="563">
        <f t="shared" si="66"/>
        <v>-5.6316567924380445E-3</v>
      </c>
      <c r="S1081" s="563">
        <f t="shared" si="67"/>
        <v>-1.1440829460135915E-2</v>
      </c>
      <c r="AA1081" s="594">
        <v>43214</v>
      </c>
      <c r="AB1081" s="595" t="s">
        <v>449</v>
      </c>
      <c r="AC1081" s="595">
        <v>45876.7</v>
      </c>
      <c r="AD1081" s="596" t="s">
        <v>395</v>
      </c>
      <c r="AE1081" s="595">
        <v>348.39</v>
      </c>
      <c r="AF1081" s="597">
        <f t="shared" si="68"/>
        <v>1.1124714719116024E-2</v>
      </c>
      <c r="AG1081" s="597">
        <f t="shared" si="69"/>
        <v>4.9999999999999822E-2</v>
      </c>
    </row>
    <row r="1082" spans="13:33" x14ac:dyDescent="0.35">
      <c r="M1082" s="555">
        <v>43217</v>
      </c>
      <c r="N1082" s="543" t="s">
        <v>449</v>
      </c>
      <c r="O1082" s="543">
        <v>45542.78</v>
      </c>
      <c r="P1082" s="73" t="s">
        <v>431</v>
      </c>
      <c r="Q1082" s="158">
        <v>29.03</v>
      </c>
      <c r="R1082" s="563">
        <f t="shared" si="66"/>
        <v>1.8017693018193004E-3</v>
      </c>
      <c r="S1082" s="563">
        <f t="shared" si="67"/>
        <v>4.9909584086799352E-2</v>
      </c>
      <c r="AA1082" s="594">
        <v>43215</v>
      </c>
      <c r="AB1082" s="595" t="s">
        <v>449</v>
      </c>
      <c r="AC1082" s="595">
        <v>45718.34</v>
      </c>
      <c r="AD1082" s="596" t="s">
        <v>395</v>
      </c>
      <c r="AE1082" s="595">
        <v>334.63</v>
      </c>
      <c r="AF1082" s="597">
        <f t="shared" si="68"/>
        <v>-3.4518611844356339E-3</v>
      </c>
      <c r="AG1082" s="597">
        <f t="shared" si="69"/>
        <v>-3.9495967163236556E-2</v>
      </c>
    </row>
    <row r="1083" spans="13:33" x14ac:dyDescent="0.35">
      <c r="M1083" s="555">
        <v>43220</v>
      </c>
      <c r="N1083" s="543" t="s">
        <v>449</v>
      </c>
      <c r="O1083" s="543">
        <v>45488.86</v>
      </c>
      <c r="P1083" s="73" t="s">
        <v>431</v>
      </c>
      <c r="Q1083" s="158">
        <v>29.75</v>
      </c>
      <c r="R1083" s="563">
        <f t="shared" si="66"/>
        <v>-1.1839417795751483E-3</v>
      </c>
      <c r="S1083" s="563">
        <f t="shared" si="67"/>
        <v>2.4801929038925197E-2</v>
      </c>
      <c r="AA1083" s="594">
        <v>43216</v>
      </c>
      <c r="AB1083" s="595" t="s">
        <v>449</v>
      </c>
      <c r="AC1083" s="595">
        <v>45460.87</v>
      </c>
      <c r="AD1083" s="596" t="s">
        <v>395</v>
      </c>
      <c r="AE1083" s="595">
        <v>331.66</v>
      </c>
      <c r="AF1083" s="597">
        <f t="shared" si="68"/>
        <v>-5.6316567924380445E-3</v>
      </c>
      <c r="AG1083" s="597">
        <f t="shared" si="69"/>
        <v>-8.8754744045661527E-3</v>
      </c>
    </row>
    <row r="1084" spans="13:33" x14ac:dyDescent="0.35">
      <c r="M1084" s="555">
        <v>43222</v>
      </c>
      <c r="N1084" s="543" t="s">
        <v>449</v>
      </c>
      <c r="O1084" s="543">
        <v>45196.37</v>
      </c>
      <c r="P1084" s="73" t="s">
        <v>431</v>
      </c>
      <c r="Q1084" s="158">
        <v>28.84</v>
      </c>
      <c r="R1084" s="563">
        <f t="shared" si="66"/>
        <v>-6.4299259203242087E-3</v>
      </c>
      <c r="S1084" s="563">
        <f t="shared" si="67"/>
        <v>-3.0588235294117694E-2</v>
      </c>
      <c r="AA1084" s="594">
        <v>43217</v>
      </c>
      <c r="AB1084" s="595" t="s">
        <v>449</v>
      </c>
      <c r="AC1084" s="595">
        <v>45542.78</v>
      </c>
      <c r="AD1084" s="596" t="s">
        <v>395</v>
      </c>
      <c r="AE1084" s="595">
        <v>330.1</v>
      </c>
      <c r="AF1084" s="597">
        <f t="shared" si="68"/>
        <v>1.8017693018193004E-3</v>
      </c>
      <c r="AG1084" s="597">
        <f t="shared" si="69"/>
        <v>-4.7036121329071534E-3</v>
      </c>
    </row>
    <row r="1085" spans="13:33" x14ac:dyDescent="0.35">
      <c r="M1085" s="555">
        <v>43223</v>
      </c>
      <c r="N1085" s="543" t="s">
        <v>449</v>
      </c>
      <c r="O1085" s="543">
        <v>44746.63</v>
      </c>
      <c r="P1085" s="73" t="s">
        <v>431</v>
      </c>
      <c r="Q1085" s="158">
        <v>28.17</v>
      </c>
      <c r="R1085" s="563">
        <f t="shared" si="66"/>
        <v>-9.9507991460376921E-3</v>
      </c>
      <c r="S1085" s="563">
        <f t="shared" si="67"/>
        <v>-2.3231622746185843E-2</v>
      </c>
      <c r="AA1085" s="589">
        <v>43220</v>
      </c>
      <c r="AB1085" s="590" t="s">
        <v>449</v>
      </c>
      <c r="AC1085" s="590">
        <v>45488.86</v>
      </c>
      <c r="AD1085" s="591" t="s">
        <v>395</v>
      </c>
      <c r="AE1085" s="590">
        <v>330</v>
      </c>
      <c r="AF1085" s="592">
        <f t="shared" si="68"/>
        <v>-1.1839417795751483E-3</v>
      </c>
      <c r="AG1085" s="592">
        <f t="shared" si="69"/>
        <v>-3.0293850348384055E-4</v>
      </c>
    </row>
    <row r="1086" spans="13:33" x14ac:dyDescent="0.35">
      <c r="M1086" s="555">
        <v>43224</v>
      </c>
      <c r="N1086" s="543" t="s">
        <v>449</v>
      </c>
      <c r="O1086" s="543">
        <v>44536.91</v>
      </c>
      <c r="P1086" s="73" t="s">
        <v>431</v>
      </c>
      <c r="Q1086" s="158">
        <v>28.54</v>
      </c>
      <c r="R1086" s="563">
        <f t="shared" si="66"/>
        <v>-4.6868333995206957E-3</v>
      </c>
      <c r="S1086" s="563">
        <f t="shared" si="67"/>
        <v>1.3134540291089625E-2</v>
      </c>
      <c r="AA1086" s="589">
        <v>43222</v>
      </c>
      <c r="AB1086" s="590" t="s">
        <v>449</v>
      </c>
      <c r="AC1086" s="590">
        <v>45196.37</v>
      </c>
      <c r="AD1086" s="591" t="s">
        <v>395</v>
      </c>
      <c r="AE1086" s="590">
        <v>316.14999999999998</v>
      </c>
      <c r="AF1086" s="592">
        <f t="shared" si="68"/>
        <v>-6.4299259203242087E-3</v>
      </c>
      <c r="AG1086" s="592">
        <f t="shared" si="69"/>
        <v>-4.196969696969699E-2</v>
      </c>
    </row>
    <row r="1087" spans="13:33" x14ac:dyDescent="0.35">
      <c r="M1087" s="555">
        <v>43227</v>
      </c>
      <c r="N1087" s="543" t="s">
        <v>449</v>
      </c>
      <c r="O1087" s="543">
        <v>44378.52</v>
      </c>
      <c r="P1087" s="73" t="s">
        <v>431</v>
      </c>
      <c r="Q1087" s="158">
        <v>28.45</v>
      </c>
      <c r="R1087" s="563">
        <f t="shared" si="66"/>
        <v>-3.5563760485405327E-3</v>
      </c>
      <c r="S1087" s="563">
        <f t="shared" si="67"/>
        <v>-3.1534688156972246E-3</v>
      </c>
      <c r="AA1087" s="589">
        <v>43223</v>
      </c>
      <c r="AB1087" s="590" t="s">
        <v>449</v>
      </c>
      <c r="AC1087" s="590">
        <v>44746.63</v>
      </c>
      <c r="AD1087" s="591" t="s">
        <v>395</v>
      </c>
      <c r="AE1087" s="590">
        <v>315.98</v>
      </c>
      <c r="AF1087" s="592">
        <f t="shared" si="68"/>
        <v>-9.9507991460376921E-3</v>
      </c>
      <c r="AG1087" s="592">
        <f t="shared" si="69"/>
        <v>-5.37719436976003E-4</v>
      </c>
    </row>
    <row r="1088" spans="13:33" x14ac:dyDescent="0.35">
      <c r="M1088" s="555">
        <v>43228</v>
      </c>
      <c r="N1088" s="543" t="s">
        <v>449</v>
      </c>
      <c r="O1088" s="543">
        <v>44066.96</v>
      </c>
      <c r="P1088" s="73" t="s">
        <v>431</v>
      </c>
      <c r="Q1088" s="158">
        <v>27.67</v>
      </c>
      <c r="R1088" s="563">
        <f t="shared" si="66"/>
        <v>-7.0205135277155994E-3</v>
      </c>
      <c r="S1088" s="563">
        <f t="shared" si="67"/>
        <v>-2.7416520210896245E-2</v>
      </c>
      <c r="AA1088" s="594">
        <v>43224</v>
      </c>
      <c r="AB1088" s="595" t="s">
        <v>449</v>
      </c>
      <c r="AC1088" s="595">
        <v>44536.91</v>
      </c>
      <c r="AD1088" s="596" t="s">
        <v>395</v>
      </c>
      <c r="AE1088" s="595">
        <v>317</v>
      </c>
      <c r="AF1088" s="597">
        <f t="shared" si="68"/>
        <v>-4.6868333995206957E-3</v>
      </c>
      <c r="AG1088" s="597">
        <f t="shared" si="69"/>
        <v>3.2280524083803108E-3</v>
      </c>
    </row>
    <row r="1089" spans="13:33" x14ac:dyDescent="0.35">
      <c r="M1089" s="555">
        <v>43229</v>
      </c>
      <c r="N1089" s="543" t="s">
        <v>449</v>
      </c>
      <c r="O1089" s="543">
        <v>43795</v>
      </c>
      <c r="P1089" s="73" t="s">
        <v>431</v>
      </c>
      <c r="Q1089" s="158">
        <v>27.18</v>
      </c>
      <c r="R1089" s="563">
        <f t="shared" si="66"/>
        <v>-6.1715171638796473E-3</v>
      </c>
      <c r="S1089" s="563">
        <f t="shared" si="67"/>
        <v>-1.7708709794000743E-2</v>
      </c>
      <c r="AA1089" s="594">
        <v>43227</v>
      </c>
      <c r="AB1089" s="595" t="s">
        <v>449</v>
      </c>
      <c r="AC1089" s="595">
        <v>44378.52</v>
      </c>
      <c r="AD1089" s="596" t="s">
        <v>395</v>
      </c>
      <c r="AE1089" s="595">
        <v>320</v>
      </c>
      <c r="AF1089" s="597">
        <f t="shared" si="68"/>
        <v>-3.5563760485405327E-3</v>
      </c>
      <c r="AG1089" s="597">
        <f t="shared" si="69"/>
        <v>9.4637223974762819E-3</v>
      </c>
    </row>
    <row r="1090" spans="13:33" x14ac:dyDescent="0.35">
      <c r="M1090" s="555">
        <v>43230</v>
      </c>
      <c r="N1090" s="543" t="s">
        <v>449</v>
      </c>
      <c r="O1090" s="543">
        <v>43855.78</v>
      </c>
      <c r="P1090" s="73" t="s">
        <v>431</v>
      </c>
      <c r="Q1090" s="158">
        <v>27.43</v>
      </c>
      <c r="R1090" s="563">
        <f t="shared" si="66"/>
        <v>1.3878296609202145E-3</v>
      </c>
      <c r="S1090" s="563">
        <f t="shared" si="67"/>
        <v>9.1979396615158304E-3</v>
      </c>
      <c r="AA1090" s="594">
        <v>43228</v>
      </c>
      <c r="AB1090" s="595" t="s">
        <v>449</v>
      </c>
      <c r="AC1090" s="595">
        <v>44066.96</v>
      </c>
      <c r="AD1090" s="596" t="s">
        <v>395</v>
      </c>
      <c r="AE1090" s="595">
        <v>304.04000000000002</v>
      </c>
      <c r="AF1090" s="597">
        <f t="shared" si="68"/>
        <v>-7.0205135277155994E-3</v>
      </c>
      <c r="AG1090" s="597">
        <f t="shared" si="69"/>
        <v>-4.9874999999999892E-2</v>
      </c>
    </row>
    <row r="1091" spans="13:33" x14ac:dyDescent="0.35">
      <c r="M1091" s="555">
        <v>43231</v>
      </c>
      <c r="N1091" s="543" t="s">
        <v>449</v>
      </c>
      <c r="O1091" s="543">
        <v>43594.79</v>
      </c>
      <c r="P1091" s="73" t="s">
        <v>431</v>
      </c>
      <c r="Q1091" s="158">
        <v>27.23</v>
      </c>
      <c r="R1091" s="563">
        <f t="shared" si="66"/>
        <v>-5.9510969819712711E-3</v>
      </c>
      <c r="S1091" s="563">
        <f t="shared" si="67"/>
        <v>-7.2912869121399826E-3</v>
      </c>
      <c r="AA1091" s="594">
        <v>43229</v>
      </c>
      <c r="AB1091" s="595" t="s">
        <v>449</v>
      </c>
      <c r="AC1091" s="595">
        <v>43795</v>
      </c>
      <c r="AD1091" s="596" t="s">
        <v>395</v>
      </c>
      <c r="AE1091" s="595">
        <v>303</v>
      </c>
      <c r="AF1091" s="597">
        <f t="shared" si="68"/>
        <v>-6.1715171638796473E-3</v>
      </c>
      <c r="AG1091" s="597">
        <f t="shared" si="69"/>
        <v>-3.420602552295815E-3</v>
      </c>
    </row>
    <row r="1092" spans="13:33" x14ac:dyDescent="0.35">
      <c r="M1092" s="555">
        <v>43234</v>
      </c>
      <c r="N1092" s="543" t="s">
        <v>449</v>
      </c>
      <c r="O1092" s="543">
        <v>42498.86</v>
      </c>
      <c r="P1092" s="73" t="s">
        <v>431</v>
      </c>
      <c r="Q1092" s="158">
        <v>26.35</v>
      </c>
      <c r="R1092" s="563">
        <f t="shared" si="66"/>
        <v>-2.5139013171069258E-2</v>
      </c>
      <c r="S1092" s="563">
        <f t="shared" si="67"/>
        <v>-3.2317297098788056E-2</v>
      </c>
      <c r="AA1092" s="594">
        <v>43230</v>
      </c>
      <c r="AB1092" s="595" t="s">
        <v>449</v>
      </c>
      <c r="AC1092" s="595">
        <v>43855.78</v>
      </c>
      <c r="AD1092" s="596" t="s">
        <v>395</v>
      </c>
      <c r="AE1092" s="595">
        <v>302.01</v>
      </c>
      <c r="AF1092" s="597">
        <f t="shared" si="68"/>
        <v>1.3878296609202145E-3</v>
      </c>
      <c r="AG1092" s="597">
        <f t="shared" si="69"/>
        <v>-3.2673267326732702E-3</v>
      </c>
    </row>
    <row r="1093" spans="13:33" x14ac:dyDescent="0.35">
      <c r="M1093" s="555">
        <v>43235</v>
      </c>
      <c r="N1093" s="543" t="s">
        <v>449</v>
      </c>
      <c r="O1093" s="543">
        <v>42459.53</v>
      </c>
      <c r="P1093" s="73" t="s">
        <v>431</v>
      </c>
      <c r="Q1093" s="158">
        <v>26.84</v>
      </c>
      <c r="R1093" s="563">
        <f t="shared" si="66"/>
        <v>-9.2543658818144969E-4</v>
      </c>
      <c r="S1093" s="563">
        <f t="shared" si="67"/>
        <v>1.8595825426944934E-2</v>
      </c>
      <c r="AA1093" s="594">
        <v>43231</v>
      </c>
      <c r="AB1093" s="595" t="s">
        <v>449</v>
      </c>
      <c r="AC1093" s="595">
        <v>43594.79</v>
      </c>
      <c r="AD1093" s="596" t="s">
        <v>395</v>
      </c>
      <c r="AE1093" s="595">
        <v>305.86</v>
      </c>
      <c r="AF1093" s="597">
        <f t="shared" si="68"/>
        <v>-5.9510969819712711E-3</v>
      </c>
      <c r="AG1093" s="597">
        <f t="shared" si="69"/>
        <v>1.274792225423016E-2</v>
      </c>
    </row>
    <row r="1094" spans="13:33" x14ac:dyDescent="0.35">
      <c r="M1094" s="555">
        <v>43236</v>
      </c>
      <c r="N1094" s="543" t="s">
        <v>449</v>
      </c>
      <c r="O1094" s="543">
        <v>42301.2</v>
      </c>
      <c r="P1094" s="73" t="s">
        <v>431</v>
      </c>
      <c r="Q1094" s="158">
        <v>26.39</v>
      </c>
      <c r="R1094" s="563">
        <f t="shared" si="66"/>
        <v>-3.7289626145179389E-3</v>
      </c>
      <c r="S1094" s="563">
        <f t="shared" si="67"/>
        <v>-1.6766020864381503E-2</v>
      </c>
      <c r="AA1094" s="594">
        <v>43234</v>
      </c>
      <c r="AB1094" s="595" t="s">
        <v>449</v>
      </c>
      <c r="AC1094" s="595">
        <v>42498.86</v>
      </c>
      <c r="AD1094" s="596" t="s">
        <v>395</v>
      </c>
      <c r="AE1094" s="595">
        <v>285.49</v>
      </c>
      <c r="AF1094" s="597">
        <f t="shared" si="68"/>
        <v>-2.5139013171069258E-2</v>
      </c>
      <c r="AG1094" s="597">
        <f t="shared" si="69"/>
        <v>-6.6599097626365067E-2</v>
      </c>
    </row>
    <row r="1095" spans="13:33" x14ac:dyDescent="0.35">
      <c r="M1095" s="555">
        <v>43237</v>
      </c>
      <c r="N1095" s="543" t="s">
        <v>449</v>
      </c>
      <c r="O1095" s="543">
        <v>41869.65</v>
      </c>
      <c r="P1095" s="73" t="s">
        <v>431</v>
      </c>
      <c r="Q1095" s="158">
        <v>26.1</v>
      </c>
      <c r="R1095" s="563">
        <f t="shared" si="66"/>
        <v>-1.0201838245723405E-2</v>
      </c>
      <c r="S1095" s="563">
        <f t="shared" si="67"/>
        <v>-1.098901098901095E-2</v>
      </c>
      <c r="AA1095" s="594">
        <v>43235</v>
      </c>
      <c r="AB1095" s="595" t="s">
        <v>449</v>
      </c>
      <c r="AC1095" s="595">
        <v>42459.53</v>
      </c>
      <c r="AD1095" s="596" t="s">
        <v>395</v>
      </c>
      <c r="AE1095" s="595">
        <v>289.75</v>
      </c>
      <c r="AF1095" s="597">
        <f t="shared" si="68"/>
        <v>-9.2543658818144969E-4</v>
      </c>
      <c r="AG1095" s="597">
        <f t="shared" si="69"/>
        <v>1.4921713545132942E-2</v>
      </c>
    </row>
    <row r="1096" spans="13:33" x14ac:dyDescent="0.35">
      <c r="M1096" s="555">
        <v>43238</v>
      </c>
      <c r="N1096" s="543" t="s">
        <v>449</v>
      </c>
      <c r="O1096" s="543">
        <v>41623.519999999997</v>
      </c>
      <c r="P1096" s="73" t="s">
        <v>431</v>
      </c>
      <c r="Q1096" s="158">
        <v>26</v>
      </c>
      <c r="R1096" s="563">
        <f t="shared" si="66"/>
        <v>-5.8784823852122692E-3</v>
      </c>
      <c r="S1096" s="563">
        <f t="shared" si="67"/>
        <v>-3.8314176245211051E-3</v>
      </c>
      <c r="AA1096" s="594">
        <v>43236</v>
      </c>
      <c r="AB1096" s="595" t="s">
        <v>449</v>
      </c>
      <c r="AC1096" s="595">
        <v>42301.2</v>
      </c>
      <c r="AD1096" s="596" t="s">
        <v>395</v>
      </c>
      <c r="AE1096" s="595">
        <v>303.27</v>
      </c>
      <c r="AF1096" s="597">
        <f t="shared" si="68"/>
        <v>-3.7289626145179389E-3</v>
      </c>
      <c r="AG1096" s="597">
        <f t="shared" si="69"/>
        <v>4.6660914581535762E-2</v>
      </c>
    </row>
    <row r="1097" spans="13:33" x14ac:dyDescent="0.35">
      <c r="M1097" s="555">
        <v>43241</v>
      </c>
      <c r="N1097" s="543" t="s">
        <v>449</v>
      </c>
      <c r="O1097" s="543">
        <v>41648.65</v>
      </c>
      <c r="P1097" s="73" t="s">
        <v>431</v>
      </c>
      <c r="Q1097" s="158">
        <v>25.53</v>
      </c>
      <c r="R1097" s="563">
        <f t="shared" si="66"/>
        <v>6.0374519021944018E-4</v>
      </c>
      <c r="S1097" s="563">
        <f t="shared" si="67"/>
        <v>-1.807692307692299E-2</v>
      </c>
      <c r="AA1097" s="594">
        <v>43237</v>
      </c>
      <c r="AB1097" s="595" t="s">
        <v>449</v>
      </c>
      <c r="AC1097" s="595">
        <v>41869.65</v>
      </c>
      <c r="AD1097" s="596" t="s">
        <v>395</v>
      </c>
      <c r="AE1097" s="595">
        <v>315.94</v>
      </c>
      <c r="AF1097" s="597">
        <f t="shared" si="68"/>
        <v>-1.0201838245723405E-2</v>
      </c>
      <c r="AG1097" s="597">
        <f t="shared" si="69"/>
        <v>4.1777953638671761E-2</v>
      </c>
    </row>
    <row r="1098" spans="13:33" x14ac:dyDescent="0.35">
      <c r="M1098" s="555">
        <v>43242</v>
      </c>
      <c r="N1098" s="543" t="s">
        <v>449</v>
      </c>
      <c r="O1098" s="543">
        <v>42744.82</v>
      </c>
      <c r="P1098" s="73" t="s">
        <v>431</v>
      </c>
      <c r="Q1098" s="158">
        <v>26.36</v>
      </c>
      <c r="R1098" s="563">
        <f t="shared" si="66"/>
        <v>2.6319460534735217E-2</v>
      </c>
      <c r="S1098" s="563">
        <f t="shared" si="67"/>
        <v>3.2510771641206304E-2</v>
      </c>
      <c r="AA1098" s="594">
        <v>43238</v>
      </c>
      <c r="AB1098" s="595" t="s">
        <v>449</v>
      </c>
      <c r="AC1098" s="595">
        <v>41623.519999999997</v>
      </c>
      <c r="AD1098" s="596" t="s">
        <v>395</v>
      </c>
      <c r="AE1098" s="595">
        <v>313.13</v>
      </c>
      <c r="AF1098" s="597">
        <f t="shared" si="68"/>
        <v>-5.8784823852122692E-3</v>
      </c>
      <c r="AG1098" s="597">
        <f t="shared" si="69"/>
        <v>-8.8940938152813898E-3</v>
      </c>
    </row>
    <row r="1099" spans="13:33" x14ac:dyDescent="0.35">
      <c r="M1099" s="555">
        <v>43243</v>
      </c>
      <c r="N1099" s="543" t="s">
        <v>449</v>
      </c>
      <c r="O1099" s="543">
        <v>42772.25</v>
      </c>
      <c r="P1099" s="73" t="s">
        <v>431</v>
      </c>
      <c r="Q1099" s="158">
        <v>26.2</v>
      </c>
      <c r="R1099" s="563">
        <f t="shared" si="66"/>
        <v>6.4171518326672228E-4</v>
      </c>
      <c r="S1099" s="563">
        <f t="shared" si="67"/>
        <v>-6.0698027314112224E-3</v>
      </c>
      <c r="AA1099" s="589">
        <v>43241</v>
      </c>
      <c r="AB1099" s="590" t="s">
        <v>449</v>
      </c>
      <c r="AC1099" s="590">
        <v>41648.65</v>
      </c>
      <c r="AD1099" s="591" t="s">
        <v>395</v>
      </c>
      <c r="AE1099" s="590">
        <v>299.16000000000003</v>
      </c>
      <c r="AF1099" s="592">
        <f t="shared" si="68"/>
        <v>6.0374519021944018E-4</v>
      </c>
      <c r="AG1099" s="592">
        <f t="shared" si="69"/>
        <v>-4.4614058058953021E-2</v>
      </c>
    </row>
    <row r="1100" spans="13:33" x14ac:dyDescent="0.35">
      <c r="M1100" s="555">
        <v>43244</v>
      </c>
      <c r="N1100" s="543" t="s">
        <v>449</v>
      </c>
      <c r="O1100" s="543">
        <v>42536.160000000003</v>
      </c>
      <c r="P1100" s="73" t="s">
        <v>431</v>
      </c>
      <c r="Q1100" s="158">
        <v>26.07</v>
      </c>
      <c r="R1100" s="563">
        <f t="shared" si="66"/>
        <v>-5.5197002729572286E-3</v>
      </c>
      <c r="S1100" s="563">
        <f t="shared" si="67"/>
        <v>-4.961832061068705E-3</v>
      </c>
      <c r="AA1100" s="589">
        <v>43242</v>
      </c>
      <c r="AB1100" s="590" t="s">
        <v>449</v>
      </c>
      <c r="AC1100" s="590">
        <v>42744.82</v>
      </c>
      <c r="AD1100" s="591" t="s">
        <v>395</v>
      </c>
      <c r="AE1100" s="590">
        <v>307.91000000000003</v>
      </c>
      <c r="AF1100" s="592">
        <f t="shared" si="68"/>
        <v>2.6319460534735217E-2</v>
      </c>
      <c r="AG1100" s="592">
        <f t="shared" si="69"/>
        <v>2.9248562642064435E-2</v>
      </c>
    </row>
    <row r="1101" spans="13:33" x14ac:dyDescent="0.35">
      <c r="M1101" s="555">
        <v>43245</v>
      </c>
      <c r="N1101" s="543" t="s">
        <v>449</v>
      </c>
      <c r="O1101" s="543">
        <v>42074.09</v>
      </c>
      <c r="P1101" s="73" t="s">
        <v>431</v>
      </c>
      <c r="Q1101" s="158">
        <v>25.48</v>
      </c>
      <c r="R1101" s="563">
        <f t="shared" si="66"/>
        <v>-1.0862992804240079E-2</v>
      </c>
      <c r="S1101" s="563">
        <f t="shared" si="67"/>
        <v>-2.2631377061756774E-2</v>
      </c>
      <c r="AA1101" s="594">
        <v>43243</v>
      </c>
      <c r="AB1101" s="595" t="s">
        <v>449</v>
      </c>
      <c r="AC1101" s="595">
        <v>42772.25</v>
      </c>
      <c r="AD1101" s="596" t="s">
        <v>395</v>
      </c>
      <c r="AE1101" s="595">
        <v>301.02999999999997</v>
      </c>
      <c r="AF1101" s="597">
        <f t="shared" si="68"/>
        <v>6.4171518326672228E-4</v>
      </c>
      <c r="AG1101" s="597">
        <f t="shared" si="69"/>
        <v>-2.2344191484524822E-2</v>
      </c>
    </row>
    <row r="1102" spans="13:33" x14ac:dyDescent="0.35">
      <c r="M1102" s="555">
        <v>43248</v>
      </c>
      <c r="N1102" s="543" t="s">
        <v>449</v>
      </c>
      <c r="O1102" s="543">
        <v>42138.57</v>
      </c>
      <c r="P1102" s="73" t="s">
        <v>431</v>
      </c>
      <c r="Q1102" s="158">
        <v>26.02</v>
      </c>
      <c r="R1102" s="563">
        <f t="shared" si="66"/>
        <v>1.5325346311709787E-3</v>
      </c>
      <c r="S1102" s="563">
        <f t="shared" si="67"/>
        <v>2.1193092621663912E-2</v>
      </c>
      <c r="AA1102" s="594">
        <v>43244</v>
      </c>
      <c r="AB1102" s="595" t="s">
        <v>449</v>
      </c>
      <c r="AC1102" s="595">
        <v>42536.160000000003</v>
      </c>
      <c r="AD1102" s="596" t="s">
        <v>395</v>
      </c>
      <c r="AE1102" s="595">
        <v>294.5</v>
      </c>
      <c r="AF1102" s="597">
        <f t="shared" si="68"/>
        <v>-5.5197002729572286E-3</v>
      </c>
      <c r="AG1102" s="597">
        <f t="shared" si="69"/>
        <v>-2.1692190147161283E-2</v>
      </c>
    </row>
    <row r="1103" spans="13:33" x14ac:dyDescent="0.35">
      <c r="M1103" s="555">
        <v>43249</v>
      </c>
      <c r="N1103" s="543" t="s">
        <v>449</v>
      </c>
      <c r="O1103" s="543">
        <v>42622.74</v>
      </c>
      <c r="P1103" s="73" t="s">
        <v>431</v>
      </c>
      <c r="Q1103" s="158">
        <v>26.68</v>
      </c>
      <c r="R1103" s="563">
        <f t="shared" si="66"/>
        <v>1.1489948519847637E-2</v>
      </c>
      <c r="S1103" s="563">
        <f t="shared" si="67"/>
        <v>2.5365103766333608E-2</v>
      </c>
      <c r="AA1103" s="594">
        <v>43245</v>
      </c>
      <c r="AB1103" s="595" t="s">
        <v>449</v>
      </c>
      <c r="AC1103" s="595">
        <v>42074.09</v>
      </c>
      <c r="AD1103" s="596" t="s">
        <v>395</v>
      </c>
      <c r="AE1103" s="595">
        <v>287.55</v>
      </c>
      <c r="AF1103" s="597">
        <f t="shared" si="68"/>
        <v>-1.0862992804240079E-2</v>
      </c>
      <c r="AG1103" s="597">
        <f t="shared" si="69"/>
        <v>-2.3599320882852215E-2</v>
      </c>
    </row>
    <row r="1104" spans="13:33" x14ac:dyDescent="0.35">
      <c r="M1104" s="555">
        <v>43250</v>
      </c>
      <c r="N1104" s="543" t="s">
        <v>449</v>
      </c>
      <c r="O1104" s="543">
        <v>42546.48</v>
      </c>
      <c r="P1104" s="73" t="s">
        <v>431</v>
      </c>
      <c r="Q1104" s="158">
        <v>26.87</v>
      </c>
      <c r="R1104" s="563">
        <f t="shared" si="66"/>
        <v>-1.7891857726648475E-3</v>
      </c>
      <c r="S1104" s="563">
        <f t="shared" si="67"/>
        <v>7.1214392803597981E-3</v>
      </c>
      <c r="AA1104" s="589">
        <v>43248</v>
      </c>
      <c r="AB1104" s="590" t="s">
        <v>449</v>
      </c>
      <c r="AC1104" s="590">
        <v>42138.57</v>
      </c>
      <c r="AD1104" s="591" t="s">
        <v>395</v>
      </c>
      <c r="AE1104" s="590">
        <v>301.92</v>
      </c>
      <c r="AF1104" s="592">
        <f t="shared" si="68"/>
        <v>1.5325346311709787E-3</v>
      </c>
      <c r="AG1104" s="592">
        <f t="shared" si="69"/>
        <v>4.9973917579551497E-2</v>
      </c>
    </row>
    <row r="1105" spans="13:33" x14ac:dyDescent="0.35">
      <c r="M1105" s="555">
        <v>43251</v>
      </c>
      <c r="N1105" s="543" t="s">
        <v>449</v>
      </c>
      <c r="O1105" s="543">
        <v>42846.64</v>
      </c>
      <c r="P1105" s="73" t="s">
        <v>431</v>
      </c>
      <c r="Q1105" s="158">
        <v>26.95</v>
      </c>
      <c r="R1105" s="563">
        <f t="shared" si="66"/>
        <v>7.0548726945212081E-3</v>
      </c>
      <c r="S1105" s="563">
        <f t="shared" si="67"/>
        <v>2.9772981019724476E-3</v>
      </c>
      <c r="AA1105" s="589">
        <v>43249</v>
      </c>
      <c r="AB1105" s="590" t="s">
        <v>449</v>
      </c>
      <c r="AC1105" s="590">
        <v>42622.74</v>
      </c>
      <c r="AD1105" s="591" t="s">
        <v>395</v>
      </c>
      <c r="AE1105" s="590">
        <v>309.77</v>
      </c>
      <c r="AF1105" s="592">
        <f t="shared" si="68"/>
        <v>1.1489948519847637E-2</v>
      </c>
      <c r="AG1105" s="592">
        <f t="shared" si="69"/>
        <v>2.600026497085306E-2</v>
      </c>
    </row>
    <row r="1106" spans="13:33" x14ac:dyDescent="0.35">
      <c r="M1106" s="555">
        <v>43252</v>
      </c>
      <c r="N1106" s="543" t="s">
        <v>449</v>
      </c>
      <c r="O1106" s="543">
        <v>42912.81</v>
      </c>
      <c r="P1106" s="73" t="s">
        <v>431</v>
      </c>
      <c r="Q1106" s="158">
        <v>27.38</v>
      </c>
      <c r="R1106" s="563">
        <f t="shared" si="66"/>
        <v>1.5443451341807801E-3</v>
      </c>
      <c r="S1106" s="563">
        <f t="shared" si="67"/>
        <v>1.5955473098330231E-2</v>
      </c>
      <c r="AA1106" s="589">
        <v>43250</v>
      </c>
      <c r="AB1106" s="590" t="s">
        <v>449</v>
      </c>
      <c r="AC1106" s="590">
        <v>42546.48</v>
      </c>
      <c r="AD1106" s="591" t="s">
        <v>395</v>
      </c>
      <c r="AE1106" s="590">
        <v>298.67</v>
      </c>
      <c r="AF1106" s="592">
        <f t="shared" si="68"/>
        <v>-1.7891857726648475E-3</v>
      </c>
      <c r="AG1106" s="592">
        <f t="shared" si="69"/>
        <v>-3.5833037414856106E-2</v>
      </c>
    </row>
    <row r="1107" spans="13:33" x14ac:dyDescent="0.35">
      <c r="M1107" s="555">
        <v>43255</v>
      </c>
      <c r="N1107" s="543" t="s">
        <v>449</v>
      </c>
      <c r="O1107" s="543">
        <v>43268.29</v>
      </c>
      <c r="P1107" s="73" t="s">
        <v>431</v>
      </c>
      <c r="Q1107" s="158">
        <v>27.83</v>
      </c>
      <c r="R1107" s="563">
        <f t="shared" si="66"/>
        <v>8.2837735398824108E-3</v>
      </c>
      <c r="S1107" s="563">
        <f t="shared" si="67"/>
        <v>1.6435354273192093E-2</v>
      </c>
      <c r="AA1107" s="589">
        <v>43251</v>
      </c>
      <c r="AB1107" s="590" t="s">
        <v>449</v>
      </c>
      <c r="AC1107" s="590">
        <v>42846.64</v>
      </c>
      <c r="AD1107" s="591" t="s">
        <v>395</v>
      </c>
      <c r="AE1107" s="590">
        <v>297.93</v>
      </c>
      <c r="AF1107" s="592">
        <f t="shared" si="68"/>
        <v>7.0548726945212081E-3</v>
      </c>
      <c r="AG1107" s="592">
        <f t="shared" si="69"/>
        <v>-2.4776509190745921E-3</v>
      </c>
    </row>
    <row r="1108" spans="13:33" x14ac:dyDescent="0.35">
      <c r="M1108" s="555">
        <v>43256</v>
      </c>
      <c r="N1108" s="543" t="s">
        <v>449</v>
      </c>
      <c r="O1108" s="543">
        <v>43702.58</v>
      </c>
      <c r="P1108" s="73" t="s">
        <v>431</v>
      </c>
      <c r="Q1108" s="158">
        <v>27.6</v>
      </c>
      <c r="R1108" s="563">
        <f t="shared" si="66"/>
        <v>1.0037142674230948E-2</v>
      </c>
      <c r="S1108" s="563">
        <f t="shared" si="67"/>
        <v>-8.2644628099172168E-3</v>
      </c>
      <c r="AA1108" s="589">
        <v>43252</v>
      </c>
      <c r="AB1108" s="590" t="s">
        <v>449</v>
      </c>
      <c r="AC1108" s="590">
        <v>42912.81</v>
      </c>
      <c r="AD1108" s="591" t="s">
        <v>395</v>
      </c>
      <c r="AE1108" s="590">
        <v>294.51</v>
      </c>
      <c r="AF1108" s="592">
        <f t="shared" si="68"/>
        <v>1.5443451341807801E-3</v>
      </c>
      <c r="AG1108" s="592">
        <f t="shared" si="69"/>
        <v>-1.1479206525022656E-2</v>
      </c>
    </row>
    <row r="1109" spans="13:33" x14ac:dyDescent="0.35">
      <c r="M1109" s="555">
        <v>43257</v>
      </c>
      <c r="N1109" s="543" t="s">
        <v>449</v>
      </c>
      <c r="O1109" s="543">
        <v>44144.2</v>
      </c>
      <c r="P1109" s="73" t="s">
        <v>431</v>
      </c>
      <c r="Q1109" s="158">
        <v>27.72</v>
      </c>
      <c r="R1109" s="563">
        <f t="shared" si="66"/>
        <v>1.0105124228363627E-2</v>
      </c>
      <c r="S1109" s="563">
        <f t="shared" si="67"/>
        <v>4.3478260869564966E-3</v>
      </c>
      <c r="AA1109" s="589">
        <v>43255</v>
      </c>
      <c r="AB1109" s="590" t="s">
        <v>449</v>
      </c>
      <c r="AC1109" s="590">
        <v>43268.29</v>
      </c>
      <c r="AD1109" s="591" t="s">
        <v>395</v>
      </c>
      <c r="AE1109" s="590">
        <v>300</v>
      </c>
      <c r="AF1109" s="592">
        <f t="shared" si="68"/>
        <v>8.2837735398824108E-3</v>
      </c>
      <c r="AG1109" s="592">
        <f t="shared" si="69"/>
        <v>1.8641132728939525E-2</v>
      </c>
    </row>
    <row r="1110" spans="13:33" x14ac:dyDescent="0.35">
      <c r="M1110" s="555">
        <v>43258</v>
      </c>
      <c r="N1110" s="543" t="s">
        <v>449</v>
      </c>
      <c r="O1110" s="543">
        <v>43948.11</v>
      </c>
      <c r="P1110" s="73" t="s">
        <v>431</v>
      </c>
      <c r="Q1110" s="158">
        <v>27.61</v>
      </c>
      <c r="R1110" s="563">
        <f t="shared" si="66"/>
        <v>-4.4420331549783754E-3</v>
      </c>
      <c r="S1110" s="563">
        <f t="shared" si="67"/>
        <v>-3.9682539682539542E-3</v>
      </c>
      <c r="AA1110" s="594">
        <v>43256</v>
      </c>
      <c r="AB1110" s="595" t="s">
        <v>449</v>
      </c>
      <c r="AC1110" s="595">
        <v>43702.58</v>
      </c>
      <c r="AD1110" s="596" t="s">
        <v>395</v>
      </c>
      <c r="AE1110" s="595">
        <v>313.48</v>
      </c>
      <c r="AF1110" s="597">
        <f t="shared" si="68"/>
        <v>1.0037142674230948E-2</v>
      </c>
      <c r="AG1110" s="597">
        <f t="shared" si="69"/>
        <v>4.4933333333333492E-2</v>
      </c>
    </row>
    <row r="1111" spans="13:33" x14ac:dyDescent="0.35">
      <c r="M1111" s="555">
        <v>43262</v>
      </c>
      <c r="N1111" s="543" t="s">
        <v>449</v>
      </c>
      <c r="O1111" s="543">
        <v>43931.16</v>
      </c>
      <c r="P1111" s="73" t="s">
        <v>431</v>
      </c>
      <c r="Q1111" s="158">
        <v>26.63</v>
      </c>
      <c r="R1111" s="563">
        <f t="shared" si="66"/>
        <v>-3.8568211465739299E-4</v>
      </c>
      <c r="S1111" s="563">
        <f t="shared" si="67"/>
        <v>-3.5494386091995622E-2</v>
      </c>
      <c r="AA1111" s="589">
        <v>43257</v>
      </c>
      <c r="AB1111" s="590" t="s">
        <v>449</v>
      </c>
      <c r="AC1111" s="590">
        <v>44144.2</v>
      </c>
      <c r="AD1111" s="591" t="s">
        <v>395</v>
      </c>
      <c r="AE1111" s="590">
        <v>315.02</v>
      </c>
      <c r="AF1111" s="592">
        <f t="shared" si="68"/>
        <v>1.0105124228363627E-2</v>
      </c>
      <c r="AG1111" s="592">
        <f t="shared" si="69"/>
        <v>4.9125941048868693E-3</v>
      </c>
    </row>
    <row r="1112" spans="13:33" x14ac:dyDescent="0.35">
      <c r="M1112" s="555">
        <v>43263</v>
      </c>
      <c r="N1112" s="543" t="s">
        <v>449</v>
      </c>
      <c r="O1112" s="543">
        <v>43228.9</v>
      </c>
      <c r="P1112" s="73" t="s">
        <v>431</v>
      </c>
      <c r="Q1112" s="158">
        <v>25.99</v>
      </c>
      <c r="R1112" s="563">
        <f t="shared" si="66"/>
        <v>-1.5985464531325877E-2</v>
      </c>
      <c r="S1112" s="563">
        <f t="shared" si="67"/>
        <v>-2.403304543747653E-2</v>
      </c>
      <c r="AA1112" s="589">
        <v>43258</v>
      </c>
      <c r="AB1112" s="590" t="s">
        <v>449</v>
      </c>
      <c r="AC1112" s="590">
        <v>43948.11</v>
      </c>
      <c r="AD1112" s="591" t="s">
        <v>395</v>
      </c>
      <c r="AE1112" s="590">
        <v>312.07</v>
      </c>
      <c r="AF1112" s="592">
        <f t="shared" si="68"/>
        <v>-4.4420331549783754E-3</v>
      </c>
      <c r="AG1112" s="592">
        <f t="shared" si="69"/>
        <v>-9.3644847946161569E-3</v>
      </c>
    </row>
    <row r="1113" spans="13:33" x14ac:dyDescent="0.35">
      <c r="M1113" s="555">
        <v>43264</v>
      </c>
      <c r="N1113" s="543" t="s">
        <v>449</v>
      </c>
      <c r="O1113" s="543">
        <v>43507.5</v>
      </c>
      <c r="P1113" s="73" t="s">
        <v>431</v>
      </c>
      <c r="Q1113" s="158">
        <v>26.36</v>
      </c>
      <c r="R1113" s="563">
        <f t="shared" si="66"/>
        <v>6.4447626472106112E-3</v>
      </c>
      <c r="S1113" s="563">
        <f t="shared" si="67"/>
        <v>1.4236244709503687E-2</v>
      </c>
      <c r="AA1113" s="594">
        <v>43262</v>
      </c>
      <c r="AB1113" s="595" t="s">
        <v>449</v>
      </c>
      <c r="AC1113" s="595">
        <v>43931.16</v>
      </c>
      <c r="AD1113" s="596" t="s">
        <v>395</v>
      </c>
      <c r="AE1113" s="595">
        <v>315</v>
      </c>
      <c r="AF1113" s="597">
        <f t="shared" si="68"/>
        <v>-3.8568211465739299E-4</v>
      </c>
      <c r="AG1113" s="597">
        <f t="shared" si="69"/>
        <v>9.3889191527543048E-3</v>
      </c>
    </row>
    <row r="1114" spans="13:33" x14ac:dyDescent="0.35">
      <c r="M1114" s="555">
        <v>43265</v>
      </c>
      <c r="N1114" s="543" t="s">
        <v>449</v>
      </c>
      <c r="O1114" s="543">
        <v>43680.68</v>
      </c>
      <c r="P1114" s="73" t="s">
        <v>431</v>
      </c>
      <c r="Q1114" s="158">
        <v>26.2</v>
      </c>
      <c r="R1114" s="563">
        <f t="shared" ref="R1114:R1177" si="70">(O1114/O1113)-1</f>
        <v>3.9804631385393918E-3</v>
      </c>
      <c r="S1114" s="563">
        <f t="shared" ref="S1114:S1177" si="71">(Q1114/Q1113)-1</f>
        <v>-6.0698027314112224E-3</v>
      </c>
      <c r="AA1114" s="594">
        <v>43263</v>
      </c>
      <c r="AB1114" s="595" t="s">
        <v>449</v>
      </c>
      <c r="AC1114" s="595">
        <v>43228.9</v>
      </c>
      <c r="AD1114" s="596" t="s">
        <v>395</v>
      </c>
      <c r="AE1114" s="595">
        <v>305</v>
      </c>
      <c r="AF1114" s="597">
        <f t="shared" si="68"/>
        <v>-1.5985464531325877E-2</v>
      </c>
      <c r="AG1114" s="597">
        <f t="shared" si="69"/>
        <v>-3.1746031746031744E-2</v>
      </c>
    </row>
    <row r="1115" spans="13:33" x14ac:dyDescent="0.35">
      <c r="M1115" s="555">
        <v>43270</v>
      </c>
      <c r="N1115" s="543" t="s">
        <v>449</v>
      </c>
      <c r="O1115" s="543">
        <v>43682.84</v>
      </c>
      <c r="P1115" s="73" t="s">
        <v>431</v>
      </c>
      <c r="Q1115" s="158">
        <v>26.2</v>
      </c>
      <c r="R1115" s="563">
        <f t="shared" si="70"/>
        <v>4.9449779627952495E-5</v>
      </c>
      <c r="S1115" s="563">
        <f t="shared" si="71"/>
        <v>0</v>
      </c>
      <c r="AA1115" s="589">
        <v>43264</v>
      </c>
      <c r="AB1115" s="590" t="s">
        <v>449</v>
      </c>
      <c r="AC1115" s="590">
        <v>43507.5</v>
      </c>
      <c r="AD1115" s="591" t="s">
        <v>395</v>
      </c>
      <c r="AE1115" s="590">
        <v>311</v>
      </c>
      <c r="AF1115" s="592">
        <f t="shared" si="68"/>
        <v>6.4447626472106112E-3</v>
      </c>
      <c r="AG1115" s="592">
        <f t="shared" si="69"/>
        <v>1.9672131147540961E-2</v>
      </c>
    </row>
    <row r="1116" spans="13:33" x14ac:dyDescent="0.35">
      <c r="M1116" s="555">
        <v>43271</v>
      </c>
      <c r="N1116" s="543" t="s">
        <v>449</v>
      </c>
      <c r="O1116" s="543">
        <v>43002.83</v>
      </c>
      <c r="P1116" s="73" t="s">
        <v>431</v>
      </c>
      <c r="Q1116" s="158">
        <v>25.45</v>
      </c>
      <c r="R1116" s="563">
        <f t="shared" si="70"/>
        <v>-1.5566982366530979E-2</v>
      </c>
      <c r="S1116" s="563">
        <f t="shared" si="71"/>
        <v>-2.8625954198473247E-2</v>
      </c>
      <c r="AA1116" s="589">
        <v>43265</v>
      </c>
      <c r="AB1116" s="590" t="s">
        <v>449</v>
      </c>
      <c r="AC1116" s="590">
        <v>43680.68</v>
      </c>
      <c r="AD1116" s="591" t="s">
        <v>395</v>
      </c>
      <c r="AE1116" s="590">
        <v>326.5</v>
      </c>
      <c r="AF1116" s="592">
        <f t="shared" ref="AF1116:AF1179" si="72">(AC1116/AC1115)-1</f>
        <v>3.9804631385393918E-3</v>
      </c>
      <c r="AG1116" s="592">
        <f t="shared" ref="AG1116:AG1179" si="73">(AE1116/AE1115)-1</f>
        <v>4.9839228295819993E-2</v>
      </c>
    </row>
    <row r="1117" spans="13:33" x14ac:dyDescent="0.35">
      <c r="M1117" s="555">
        <v>43272</v>
      </c>
      <c r="N1117" s="543" t="s">
        <v>449</v>
      </c>
      <c r="O1117" s="543">
        <v>42358.61</v>
      </c>
      <c r="P1117" s="73" t="s">
        <v>431</v>
      </c>
      <c r="Q1117" s="158">
        <v>24.56</v>
      </c>
      <c r="R1117" s="563">
        <f t="shared" si="70"/>
        <v>-1.4980874514537779E-2</v>
      </c>
      <c r="S1117" s="563">
        <f t="shared" si="71"/>
        <v>-3.4970530451866377E-2</v>
      </c>
      <c r="AA1117" s="594">
        <v>43270</v>
      </c>
      <c r="AB1117" s="595" t="s">
        <v>449</v>
      </c>
      <c r="AC1117" s="595">
        <v>43682.84</v>
      </c>
      <c r="AD1117" s="596" t="s">
        <v>395</v>
      </c>
      <c r="AE1117" s="595">
        <v>324</v>
      </c>
      <c r="AF1117" s="597">
        <f t="shared" si="72"/>
        <v>4.9449779627952495E-5</v>
      </c>
      <c r="AG1117" s="597">
        <f t="shared" si="73"/>
        <v>-7.6569678407351072E-3</v>
      </c>
    </row>
    <row r="1118" spans="13:33" x14ac:dyDescent="0.35">
      <c r="M1118" s="555">
        <v>43273</v>
      </c>
      <c r="N1118" s="543" t="s">
        <v>449</v>
      </c>
      <c r="O1118" s="543">
        <v>41637.379999999997</v>
      </c>
      <c r="P1118" s="73" t="s">
        <v>431</v>
      </c>
      <c r="Q1118" s="158">
        <v>24.44</v>
      </c>
      <c r="R1118" s="563">
        <f t="shared" si="70"/>
        <v>-1.7026762681778385E-2</v>
      </c>
      <c r="S1118" s="563">
        <f t="shared" si="71"/>
        <v>-4.8859934853419107E-3</v>
      </c>
      <c r="AA1118" s="594">
        <v>43271</v>
      </c>
      <c r="AB1118" s="595" t="s">
        <v>449</v>
      </c>
      <c r="AC1118" s="595">
        <v>43002.83</v>
      </c>
      <c r="AD1118" s="596" t="s">
        <v>395</v>
      </c>
      <c r="AE1118" s="595">
        <v>312.11</v>
      </c>
      <c r="AF1118" s="597">
        <f t="shared" si="72"/>
        <v>-1.5566982366530979E-2</v>
      </c>
      <c r="AG1118" s="597">
        <f t="shared" si="73"/>
        <v>-3.669753086419747E-2</v>
      </c>
    </row>
    <row r="1119" spans="13:33" x14ac:dyDescent="0.35">
      <c r="M1119" s="555">
        <v>43276</v>
      </c>
      <c r="N1119" s="543" t="s">
        <v>449</v>
      </c>
      <c r="O1119" s="543">
        <v>40978.230000000003</v>
      </c>
      <c r="P1119" s="73" t="s">
        <v>431</v>
      </c>
      <c r="Q1119" s="158">
        <v>23.54</v>
      </c>
      <c r="R1119" s="563">
        <f t="shared" si="70"/>
        <v>-1.5830727101464936E-2</v>
      </c>
      <c r="S1119" s="563">
        <f t="shared" si="71"/>
        <v>-3.6824877250409283E-2</v>
      </c>
      <c r="AA1119" s="594">
        <v>43272</v>
      </c>
      <c r="AB1119" s="595" t="s">
        <v>449</v>
      </c>
      <c r="AC1119" s="595">
        <v>42358.61</v>
      </c>
      <c r="AD1119" s="596" t="s">
        <v>395</v>
      </c>
      <c r="AE1119" s="595">
        <v>312.45999999999998</v>
      </c>
      <c r="AF1119" s="597">
        <f t="shared" si="72"/>
        <v>-1.4980874514537779E-2</v>
      </c>
      <c r="AG1119" s="597">
        <f t="shared" si="73"/>
        <v>1.1213995065841864E-3</v>
      </c>
    </row>
    <row r="1120" spans="13:33" x14ac:dyDescent="0.35">
      <c r="M1120" s="555">
        <v>43277</v>
      </c>
      <c r="N1120" s="543" t="s">
        <v>449</v>
      </c>
      <c r="O1120" s="543">
        <v>41246.089999999997</v>
      </c>
      <c r="P1120" s="73" t="s">
        <v>431</v>
      </c>
      <c r="Q1120" s="158">
        <v>23.75</v>
      </c>
      <c r="R1120" s="563">
        <f t="shared" si="70"/>
        <v>6.5366415289287438E-3</v>
      </c>
      <c r="S1120" s="563">
        <f t="shared" si="71"/>
        <v>8.920985556499561E-3</v>
      </c>
      <c r="AA1120" s="594">
        <v>43273</v>
      </c>
      <c r="AB1120" s="595" t="s">
        <v>449</v>
      </c>
      <c r="AC1120" s="595">
        <v>41637.379999999997</v>
      </c>
      <c r="AD1120" s="596" t="s">
        <v>395</v>
      </c>
      <c r="AE1120" s="595">
        <v>314.98</v>
      </c>
      <c r="AF1120" s="597">
        <f t="shared" si="72"/>
        <v>-1.7026762681778385E-2</v>
      </c>
      <c r="AG1120" s="597">
        <f t="shared" si="73"/>
        <v>8.0650323241375776E-3</v>
      </c>
    </row>
    <row r="1121" spans="13:33" x14ac:dyDescent="0.35">
      <c r="M1121" s="555">
        <v>43278</v>
      </c>
      <c r="N1121" s="543" t="s">
        <v>449</v>
      </c>
      <c r="O1121" s="543">
        <v>41717.99</v>
      </c>
      <c r="P1121" s="73" t="s">
        <v>431</v>
      </c>
      <c r="Q1121" s="158">
        <v>24.2</v>
      </c>
      <c r="R1121" s="563">
        <f t="shared" si="70"/>
        <v>1.1441084476128571E-2</v>
      </c>
      <c r="S1121" s="563">
        <f t="shared" si="71"/>
        <v>1.8947368421052602E-2</v>
      </c>
      <c r="AA1121" s="594">
        <v>43276</v>
      </c>
      <c r="AB1121" s="595" t="s">
        <v>449</v>
      </c>
      <c r="AC1121" s="595">
        <v>40978.230000000003</v>
      </c>
      <c r="AD1121" s="596" t="s">
        <v>395</v>
      </c>
      <c r="AE1121" s="595">
        <v>315</v>
      </c>
      <c r="AF1121" s="597">
        <f t="shared" si="72"/>
        <v>-1.5830727101464936E-2</v>
      </c>
      <c r="AG1121" s="597">
        <f t="shared" si="73"/>
        <v>6.3496094990123098E-5</v>
      </c>
    </row>
    <row r="1122" spans="13:33" x14ac:dyDescent="0.35">
      <c r="M1122" s="555">
        <v>43279</v>
      </c>
      <c r="N1122" s="543" t="s">
        <v>449</v>
      </c>
      <c r="O1122" s="543">
        <v>41997.85</v>
      </c>
      <c r="P1122" s="73" t="s">
        <v>431</v>
      </c>
      <c r="Q1122" s="158">
        <v>24.39</v>
      </c>
      <c r="R1122" s="563">
        <f t="shared" si="70"/>
        <v>6.7083768896822882E-3</v>
      </c>
      <c r="S1122" s="563">
        <f t="shared" si="71"/>
        <v>7.8512396694214726E-3</v>
      </c>
      <c r="AA1122" s="594">
        <v>43277</v>
      </c>
      <c r="AB1122" s="595" t="s">
        <v>449</v>
      </c>
      <c r="AC1122" s="595">
        <v>41246.089999999997</v>
      </c>
      <c r="AD1122" s="596" t="s">
        <v>395</v>
      </c>
      <c r="AE1122" s="595">
        <v>312</v>
      </c>
      <c r="AF1122" s="597">
        <f t="shared" si="72"/>
        <v>6.5366415289287438E-3</v>
      </c>
      <c r="AG1122" s="597">
        <f t="shared" si="73"/>
        <v>-9.52380952380949E-3</v>
      </c>
    </row>
    <row r="1123" spans="13:33" x14ac:dyDescent="0.35">
      <c r="M1123" s="555">
        <v>43280</v>
      </c>
      <c r="N1123" s="543" t="s">
        <v>449</v>
      </c>
      <c r="O1123" s="543">
        <v>41910.9</v>
      </c>
      <c r="P1123" s="73" t="s">
        <v>431</v>
      </c>
      <c r="Q1123" s="158">
        <v>25.27</v>
      </c>
      <c r="R1123" s="563">
        <f t="shared" si="70"/>
        <v>-2.0703440771372428E-3</v>
      </c>
      <c r="S1123" s="563">
        <f t="shared" si="71"/>
        <v>3.6080360803607991E-2</v>
      </c>
      <c r="AA1123" s="594">
        <v>43278</v>
      </c>
      <c r="AB1123" s="595" t="s">
        <v>449</v>
      </c>
      <c r="AC1123" s="595">
        <v>41717.99</v>
      </c>
      <c r="AD1123" s="596" t="s">
        <v>395</v>
      </c>
      <c r="AE1123" s="595">
        <v>311.08</v>
      </c>
      <c r="AF1123" s="597">
        <f t="shared" si="72"/>
        <v>1.1441084476128571E-2</v>
      </c>
      <c r="AG1123" s="597">
        <f t="shared" si="73"/>
        <v>-2.9487179487179827E-3</v>
      </c>
    </row>
    <row r="1124" spans="13:33" x14ac:dyDescent="0.35">
      <c r="M1124" s="526">
        <v>43284</v>
      </c>
      <c r="N1124" s="524" t="s">
        <v>449</v>
      </c>
      <c r="O1124" s="524">
        <v>41564.42</v>
      </c>
      <c r="P1124" s="73" t="s">
        <v>431</v>
      </c>
      <c r="Q1124">
        <v>27.85</v>
      </c>
      <c r="R1124" s="563">
        <f t="shared" si="70"/>
        <v>-8.26706179060821E-3</v>
      </c>
      <c r="S1124" s="563">
        <f t="shared" si="71"/>
        <v>0.10209734863474473</v>
      </c>
      <c r="AA1124" s="594">
        <v>43279</v>
      </c>
      <c r="AB1124" s="595" t="s">
        <v>449</v>
      </c>
      <c r="AC1124" s="595">
        <v>41997.85</v>
      </c>
      <c r="AD1124" s="596" t="s">
        <v>395</v>
      </c>
      <c r="AE1124" s="595">
        <v>320.5</v>
      </c>
      <c r="AF1124" s="597">
        <f t="shared" si="72"/>
        <v>6.7083768896822882E-3</v>
      </c>
      <c r="AG1124" s="597">
        <f t="shared" si="73"/>
        <v>3.0281599588530383E-2</v>
      </c>
    </row>
    <row r="1125" spans="13:33" x14ac:dyDescent="0.35">
      <c r="M1125" s="555">
        <v>43285</v>
      </c>
      <c r="N1125" s="543" t="s">
        <v>449</v>
      </c>
      <c r="O1125" s="543">
        <v>40345.68</v>
      </c>
      <c r="P1125" s="73" t="s">
        <v>431</v>
      </c>
      <c r="Q1125" s="158">
        <v>27.2</v>
      </c>
      <c r="R1125" s="563">
        <f t="shared" si="70"/>
        <v>-2.9321713138304339E-2</v>
      </c>
      <c r="S1125" s="563">
        <f t="shared" si="71"/>
        <v>-2.3339317773788171E-2</v>
      </c>
      <c r="AA1125" s="594">
        <v>43280</v>
      </c>
      <c r="AB1125" s="595" t="s">
        <v>449</v>
      </c>
      <c r="AC1125" s="595">
        <v>41910.9</v>
      </c>
      <c r="AD1125" s="596" t="s">
        <v>395</v>
      </c>
      <c r="AE1125" s="595">
        <v>319.98</v>
      </c>
      <c r="AF1125" s="597">
        <f t="shared" si="72"/>
        <v>-2.0703440771372428E-3</v>
      </c>
      <c r="AG1125" s="597">
        <f t="shared" si="73"/>
        <v>-1.6224648985958545E-3</v>
      </c>
    </row>
    <row r="1126" spans="13:33" x14ac:dyDescent="0.35">
      <c r="M1126" s="555">
        <v>43286</v>
      </c>
      <c r="N1126" s="543" t="s">
        <v>449</v>
      </c>
      <c r="O1126" s="543">
        <v>40238.81</v>
      </c>
      <c r="P1126" s="73" t="s">
        <v>431</v>
      </c>
      <c r="Q1126" s="158">
        <v>27.42</v>
      </c>
      <c r="R1126" s="563">
        <f t="shared" si="70"/>
        <v>-2.6488585642875373E-3</v>
      </c>
      <c r="S1126" s="563">
        <f t="shared" si="71"/>
        <v>8.0882352941178404E-3</v>
      </c>
      <c r="AA1126" s="594">
        <v>43284</v>
      </c>
      <c r="AB1126" s="595" t="s">
        <v>449</v>
      </c>
      <c r="AC1126" s="595">
        <v>41564.42</v>
      </c>
      <c r="AD1126" s="596" t="s">
        <v>395</v>
      </c>
      <c r="AE1126" s="595">
        <v>320</v>
      </c>
      <c r="AF1126" s="597">
        <f t="shared" si="72"/>
        <v>-8.26706179060821E-3</v>
      </c>
      <c r="AG1126" s="597">
        <f t="shared" si="73"/>
        <v>6.2503906494093542E-5</v>
      </c>
    </row>
    <row r="1127" spans="13:33" x14ac:dyDescent="0.35">
      <c r="M1127" s="526">
        <v>43290</v>
      </c>
      <c r="N1127" s="524" t="s">
        <v>449</v>
      </c>
      <c r="O1127" s="524">
        <v>39288.480000000003</v>
      </c>
      <c r="P1127" s="73" t="s">
        <v>431</v>
      </c>
      <c r="Q1127">
        <v>27.62</v>
      </c>
      <c r="R1127" s="563">
        <f t="shared" si="70"/>
        <v>-2.3617249118450423E-2</v>
      </c>
      <c r="S1127" s="563">
        <f t="shared" si="71"/>
        <v>7.2939460247993804E-3</v>
      </c>
      <c r="AA1127" s="594">
        <v>43285</v>
      </c>
      <c r="AB1127" s="595" t="s">
        <v>449</v>
      </c>
      <c r="AC1127" s="595">
        <v>40345.68</v>
      </c>
      <c r="AD1127" s="596" t="s">
        <v>395</v>
      </c>
      <c r="AE1127" s="595">
        <v>320</v>
      </c>
      <c r="AF1127" s="597">
        <f t="shared" si="72"/>
        <v>-2.9321713138304339E-2</v>
      </c>
      <c r="AG1127" s="597">
        <f t="shared" si="73"/>
        <v>0</v>
      </c>
    </row>
    <row r="1128" spans="13:33" x14ac:dyDescent="0.35">
      <c r="M1128" s="555">
        <v>43291</v>
      </c>
      <c r="N1128" s="543" t="s">
        <v>449</v>
      </c>
      <c r="O1128" s="543">
        <v>39452.81</v>
      </c>
      <c r="P1128" s="73" t="s">
        <v>431</v>
      </c>
      <c r="Q1128" s="158">
        <v>28.28</v>
      </c>
      <c r="R1128" s="563">
        <f t="shared" si="70"/>
        <v>4.1826509959153046E-3</v>
      </c>
      <c r="S1128" s="563">
        <f t="shared" si="71"/>
        <v>2.3895727733526329E-2</v>
      </c>
      <c r="AA1128" s="594">
        <v>43286</v>
      </c>
      <c r="AB1128" s="595" t="s">
        <v>449</v>
      </c>
      <c r="AC1128" s="595">
        <v>40238.81</v>
      </c>
      <c r="AD1128" s="596" t="s">
        <v>395</v>
      </c>
      <c r="AE1128" s="595">
        <v>315</v>
      </c>
      <c r="AF1128" s="597">
        <f t="shared" si="72"/>
        <v>-2.6488585642875373E-3</v>
      </c>
      <c r="AG1128" s="597">
        <f t="shared" si="73"/>
        <v>-1.5625E-2</v>
      </c>
    </row>
    <row r="1129" spans="13:33" x14ac:dyDescent="0.35">
      <c r="M1129" s="526">
        <v>43294</v>
      </c>
      <c r="N1129" s="524" t="s">
        <v>449</v>
      </c>
      <c r="O1129" s="524">
        <v>40271</v>
      </c>
      <c r="P1129" s="73" t="s">
        <v>431</v>
      </c>
      <c r="Q1129">
        <v>29.71</v>
      </c>
      <c r="R1129" s="563">
        <f t="shared" si="70"/>
        <v>2.0738446767163188E-2</v>
      </c>
      <c r="S1129" s="563">
        <f t="shared" si="71"/>
        <v>5.0565770862800452E-2</v>
      </c>
      <c r="AA1129" s="594">
        <v>43290</v>
      </c>
      <c r="AB1129" s="595" t="s">
        <v>449</v>
      </c>
      <c r="AC1129" s="595">
        <v>39288.480000000003</v>
      </c>
      <c r="AD1129" s="596" t="s">
        <v>395</v>
      </c>
      <c r="AE1129" s="595">
        <v>304</v>
      </c>
      <c r="AF1129" s="597">
        <f t="shared" si="72"/>
        <v>-2.3617249118450423E-2</v>
      </c>
      <c r="AG1129" s="597">
        <f t="shared" si="73"/>
        <v>-3.4920634920634908E-2</v>
      </c>
    </row>
    <row r="1130" spans="13:33" x14ac:dyDescent="0.35">
      <c r="M1130" s="555">
        <v>43297</v>
      </c>
      <c r="N1130" s="543" t="s">
        <v>449</v>
      </c>
      <c r="O1130" s="543">
        <v>39665.769999999997</v>
      </c>
      <c r="P1130" s="73" t="s">
        <v>431</v>
      </c>
      <c r="Q1130" s="158">
        <v>29.04</v>
      </c>
      <c r="R1130" s="563">
        <f t="shared" si="70"/>
        <v>-1.5028929005984515E-2</v>
      </c>
      <c r="S1130" s="563">
        <f t="shared" si="71"/>
        <v>-2.2551329518680663E-2</v>
      </c>
      <c r="AA1130" s="594">
        <v>43291</v>
      </c>
      <c r="AB1130" s="595" t="s">
        <v>449</v>
      </c>
      <c r="AC1130" s="595">
        <v>39452.81</v>
      </c>
      <c r="AD1130" s="596" t="s">
        <v>395</v>
      </c>
      <c r="AE1130" s="595">
        <v>309.5</v>
      </c>
      <c r="AF1130" s="597">
        <f t="shared" si="72"/>
        <v>4.1826509959153046E-3</v>
      </c>
      <c r="AG1130" s="597">
        <f t="shared" si="73"/>
        <v>1.8092105263157965E-2</v>
      </c>
    </row>
    <row r="1131" spans="13:33" x14ac:dyDescent="0.35">
      <c r="M1131" s="555">
        <v>43298</v>
      </c>
      <c r="N1131" s="543" t="s">
        <v>449</v>
      </c>
      <c r="O1131" s="543">
        <v>39932.980000000003</v>
      </c>
      <c r="P1131" s="73" t="s">
        <v>431</v>
      </c>
      <c r="Q1131" s="158">
        <v>29.05</v>
      </c>
      <c r="R1131" s="563">
        <f t="shared" si="70"/>
        <v>6.7365388343654242E-3</v>
      </c>
      <c r="S1131" s="563">
        <f t="shared" si="71"/>
        <v>3.4435261707987941E-4</v>
      </c>
      <c r="AA1131" s="594">
        <v>43294</v>
      </c>
      <c r="AB1131" s="595" t="s">
        <v>449</v>
      </c>
      <c r="AC1131" s="595">
        <v>40271</v>
      </c>
      <c r="AD1131" s="596" t="s">
        <v>395</v>
      </c>
      <c r="AE1131" s="595">
        <v>310</v>
      </c>
      <c r="AF1131" s="597">
        <f t="shared" si="72"/>
        <v>2.0738446767163188E-2</v>
      </c>
      <c r="AG1131" s="597">
        <f t="shared" si="73"/>
        <v>1.615508885298933E-3</v>
      </c>
    </row>
    <row r="1132" spans="13:33" x14ac:dyDescent="0.35">
      <c r="M1132" s="555">
        <v>43299</v>
      </c>
      <c r="N1132" s="543" t="s">
        <v>449</v>
      </c>
      <c r="O1132" s="543">
        <v>40897.9</v>
      </c>
      <c r="P1132" s="73" t="s">
        <v>431</v>
      </c>
      <c r="Q1132" s="158">
        <v>29.36</v>
      </c>
      <c r="R1132" s="563">
        <f t="shared" si="70"/>
        <v>2.4163485920660088E-2</v>
      </c>
      <c r="S1132" s="563">
        <f t="shared" si="71"/>
        <v>1.0671256454388933E-2</v>
      </c>
      <c r="AA1132" s="594">
        <v>43297</v>
      </c>
      <c r="AB1132" s="595" t="s">
        <v>449</v>
      </c>
      <c r="AC1132" s="595">
        <v>39665.769999999997</v>
      </c>
      <c r="AD1132" s="596" t="s">
        <v>395</v>
      </c>
      <c r="AE1132" s="595">
        <v>319.5</v>
      </c>
      <c r="AF1132" s="597">
        <f t="shared" si="72"/>
        <v>-1.5028929005984515E-2</v>
      </c>
      <c r="AG1132" s="597">
        <f t="shared" si="73"/>
        <v>3.0645161290322687E-2</v>
      </c>
    </row>
    <row r="1133" spans="13:33" x14ac:dyDescent="0.35">
      <c r="M1133" s="555">
        <v>43300</v>
      </c>
      <c r="N1133" s="543" t="s">
        <v>449</v>
      </c>
      <c r="O1133" s="543">
        <v>41795.589999999997</v>
      </c>
      <c r="P1133" s="73" t="s">
        <v>431</v>
      </c>
      <c r="Q1133" s="158">
        <v>30.83</v>
      </c>
      <c r="R1133" s="563">
        <f t="shared" si="70"/>
        <v>2.194953775132702E-2</v>
      </c>
      <c r="S1133" s="563">
        <f t="shared" si="71"/>
        <v>5.0068119891008234E-2</v>
      </c>
      <c r="AA1133" s="589">
        <v>43298</v>
      </c>
      <c r="AB1133" s="590" t="s">
        <v>449</v>
      </c>
      <c r="AC1133" s="590">
        <v>39932.980000000003</v>
      </c>
      <c r="AD1133" s="591" t="s">
        <v>395</v>
      </c>
      <c r="AE1133" s="590">
        <v>315.33</v>
      </c>
      <c r="AF1133" s="592">
        <f t="shared" si="72"/>
        <v>6.7365388343654242E-3</v>
      </c>
      <c r="AG1133" s="592">
        <f t="shared" si="73"/>
        <v>-1.3051643192488305E-2</v>
      </c>
    </row>
    <row r="1134" spans="13:33" x14ac:dyDescent="0.35">
      <c r="M1134" s="555">
        <v>43301</v>
      </c>
      <c r="N1134" s="543" t="s">
        <v>449</v>
      </c>
      <c r="O1134" s="543">
        <v>41221.75</v>
      </c>
      <c r="P1134" s="73" t="s">
        <v>431</v>
      </c>
      <c r="Q1134" s="158">
        <v>31.8</v>
      </c>
      <c r="R1134" s="563">
        <f t="shared" si="70"/>
        <v>-1.3729678178965643E-2</v>
      </c>
      <c r="S1134" s="563">
        <f t="shared" si="71"/>
        <v>3.146286084982175E-2</v>
      </c>
      <c r="AA1134" s="589">
        <v>43299</v>
      </c>
      <c r="AB1134" s="590" t="s">
        <v>449</v>
      </c>
      <c r="AC1134" s="590">
        <v>40897.9</v>
      </c>
      <c r="AD1134" s="591" t="s">
        <v>395</v>
      </c>
      <c r="AE1134" s="590">
        <v>314</v>
      </c>
      <c r="AF1134" s="592">
        <f t="shared" si="72"/>
        <v>2.4163485920660088E-2</v>
      </c>
      <c r="AG1134" s="592">
        <f t="shared" si="73"/>
        <v>-4.2178035708622108E-3</v>
      </c>
    </row>
    <row r="1135" spans="13:33" x14ac:dyDescent="0.35">
      <c r="M1135" s="555">
        <v>43304</v>
      </c>
      <c r="N1135" s="543" t="s">
        <v>449</v>
      </c>
      <c r="O1135" s="543">
        <v>40463.980000000003</v>
      </c>
      <c r="P1135" s="73" t="s">
        <v>431</v>
      </c>
      <c r="Q1135" s="158">
        <v>31.32</v>
      </c>
      <c r="R1135" s="563">
        <f t="shared" si="70"/>
        <v>-1.8382771231206796E-2</v>
      </c>
      <c r="S1135" s="563">
        <f t="shared" si="71"/>
        <v>-1.5094339622641506E-2</v>
      </c>
      <c r="AA1135" s="594">
        <v>43300</v>
      </c>
      <c r="AB1135" s="595" t="s">
        <v>449</v>
      </c>
      <c r="AC1135" s="595">
        <v>41795.589999999997</v>
      </c>
      <c r="AD1135" s="596" t="s">
        <v>395</v>
      </c>
      <c r="AE1135" s="595">
        <v>329.1</v>
      </c>
      <c r="AF1135" s="597">
        <f t="shared" si="72"/>
        <v>2.194953775132702E-2</v>
      </c>
      <c r="AG1135" s="597">
        <f t="shared" si="73"/>
        <v>4.8089171974522449E-2</v>
      </c>
    </row>
    <row r="1136" spans="13:33" x14ac:dyDescent="0.35">
      <c r="M1136" s="555">
        <v>43305</v>
      </c>
      <c r="N1136" s="543" t="s">
        <v>449</v>
      </c>
      <c r="O1136" s="543">
        <v>41339.22</v>
      </c>
      <c r="P1136" s="73" t="s">
        <v>431</v>
      </c>
      <c r="Q1136" s="158">
        <v>32.380000000000003</v>
      </c>
      <c r="R1136" s="563">
        <f t="shared" si="70"/>
        <v>2.1630101636072263E-2</v>
      </c>
      <c r="S1136" s="563">
        <f t="shared" si="71"/>
        <v>3.3844189016602799E-2</v>
      </c>
      <c r="AA1136" s="594">
        <v>43301</v>
      </c>
      <c r="AB1136" s="595" t="s">
        <v>449</v>
      </c>
      <c r="AC1136" s="595">
        <v>41221.75</v>
      </c>
      <c r="AD1136" s="596" t="s">
        <v>395</v>
      </c>
      <c r="AE1136" s="595">
        <v>321.44</v>
      </c>
      <c r="AF1136" s="597">
        <f t="shared" si="72"/>
        <v>-1.3729678178965643E-2</v>
      </c>
      <c r="AG1136" s="597">
        <f t="shared" si="73"/>
        <v>-2.3275600121543727E-2</v>
      </c>
    </row>
    <row r="1137" spans="13:33" x14ac:dyDescent="0.35">
      <c r="M1137" s="555">
        <v>43307</v>
      </c>
      <c r="N1137" s="543" t="s">
        <v>449</v>
      </c>
      <c r="O1137" s="543">
        <v>42089.16</v>
      </c>
      <c r="P1137" s="73" t="s">
        <v>431</v>
      </c>
      <c r="Q1137" s="158">
        <v>31.45</v>
      </c>
      <c r="R1137" s="563">
        <f t="shared" si="70"/>
        <v>1.8141126029954213E-2</v>
      </c>
      <c r="S1137" s="563">
        <f t="shared" si="71"/>
        <v>-2.8721432983323192E-2</v>
      </c>
      <c r="AA1137" s="594">
        <v>43304</v>
      </c>
      <c r="AB1137" s="595" t="s">
        <v>449</v>
      </c>
      <c r="AC1137" s="595">
        <v>40463.980000000003</v>
      </c>
      <c r="AD1137" s="596" t="s">
        <v>395</v>
      </c>
      <c r="AE1137" s="595">
        <v>316.92</v>
      </c>
      <c r="AF1137" s="597">
        <f t="shared" si="72"/>
        <v>-1.8382771231206796E-2</v>
      </c>
      <c r="AG1137" s="597">
        <f t="shared" si="73"/>
        <v>-1.4061722249875452E-2</v>
      </c>
    </row>
    <row r="1138" spans="13:33" x14ac:dyDescent="0.35">
      <c r="M1138" s="555">
        <v>43308</v>
      </c>
      <c r="N1138" s="543" t="s">
        <v>449</v>
      </c>
      <c r="O1138" s="543">
        <v>42786.45</v>
      </c>
      <c r="P1138" s="73" t="s">
        <v>431</v>
      </c>
      <c r="Q1138" s="158">
        <v>31.36</v>
      </c>
      <c r="R1138" s="563">
        <f t="shared" si="70"/>
        <v>1.6566973539029917E-2</v>
      </c>
      <c r="S1138" s="563">
        <f t="shared" si="71"/>
        <v>-2.8616852146263749E-3</v>
      </c>
      <c r="AA1138" s="594">
        <v>43305</v>
      </c>
      <c r="AB1138" s="595" t="s">
        <v>449</v>
      </c>
      <c r="AC1138" s="595">
        <v>41339.22</v>
      </c>
      <c r="AD1138" s="596" t="s">
        <v>395</v>
      </c>
      <c r="AE1138" s="595">
        <v>326.83</v>
      </c>
      <c r="AF1138" s="597">
        <f t="shared" si="72"/>
        <v>2.1630101636072263E-2</v>
      </c>
      <c r="AG1138" s="597">
        <f t="shared" si="73"/>
        <v>3.1269721065253053E-2</v>
      </c>
    </row>
    <row r="1139" spans="13:33" x14ac:dyDescent="0.35">
      <c r="M1139" s="555">
        <v>43311</v>
      </c>
      <c r="N1139" s="543" t="s">
        <v>449</v>
      </c>
      <c r="O1139" s="543">
        <v>43556.63</v>
      </c>
      <c r="P1139" s="73" t="s">
        <v>431</v>
      </c>
      <c r="Q1139" s="158">
        <v>31.97</v>
      </c>
      <c r="R1139" s="563">
        <f t="shared" si="70"/>
        <v>1.8000558588057602E-2</v>
      </c>
      <c r="S1139" s="563">
        <f t="shared" si="71"/>
        <v>1.9451530612244916E-2</v>
      </c>
      <c r="AA1139" s="594">
        <v>43307</v>
      </c>
      <c r="AB1139" s="595" t="s">
        <v>449</v>
      </c>
      <c r="AC1139" s="595">
        <v>42089.16</v>
      </c>
      <c r="AD1139" s="596" t="s">
        <v>395</v>
      </c>
      <c r="AE1139" s="595">
        <v>320</v>
      </c>
      <c r="AF1139" s="597">
        <f t="shared" si="72"/>
        <v>1.8141126029954213E-2</v>
      </c>
      <c r="AG1139" s="597">
        <f t="shared" si="73"/>
        <v>-2.0897714408102064E-2</v>
      </c>
    </row>
    <row r="1140" spans="13:33" x14ac:dyDescent="0.35">
      <c r="M1140" s="555">
        <v>43312</v>
      </c>
      <c r="N1140" s="543" t="s">
        <v>449</v>
      </c>
      <c r="O1140" s="543">
        <v>42712.43</v>
      </c>
      <c r="P1140" s="73" t="s">
        <v>431</v>
      </c>
      <c r="Q1140" s="158">
        <v>32.159999999999997</v>
      </c>
      <c r="R1140" s="563">
        <f t="shared" si="70"/>
        <v>-1.9381664743117089E-2</v>
      </c>
      <c r="S1140" s="563">
        <f t="shared" si="71"/>
        <v>5.9430716296526853E-3</v>
      </c>
      <c r="AA1140" s="594">
        <v>43308</v>
      </c>
      <c r="AB1140" s="595" t="s">
        <v>449</v>
      </c>
      <c r="AC1140" s="595">
        <v>42786.45</v>
      </c>
      <c r="AD1140" s="596" t="s">
        <v>395</v>
      </c>
      <c r="AE1140" s="595">
        <v>334.77</v>
      </c>
      <c r="AF1140" s="597">
        <f t="shared" si="72"/>
        <v>1.6566973539029917E-2</v>
      </c>
      <c r="AG1140" s="597">
        <f t="shared" si="73"/>
        <v>4.6156249999999899E-2</v>
      </c>
    </row>
    <row r="1141" spans="13:33" x14ac:dyDescent="0.35">
      <c r="M1141" s="555">
        <v>43313</v>
      </c>
      <c r="N1141" s="543" t="s">
        <v>449</v>
      </c>
      <c r="O1141" s="543">
        <v>42810.04</v>
      </c>
      <c r="P1141" s="73" t="s">
        <v>431</v>
      </c>
      <c r="Q1141" s="158">
        <v>31.9</v>
      </c>
      <c r="R1141" s="563">
        <f t="shared" si="70"/>
        <v>2.2852832301978321E-3</v>
      </c>
      <c r="S1141" s="563">
        <f t="shared" si="71"/>
        <v>-8.0845771144277823E-3</v>
      </c>
      <c r="AA1141" s="594">
        <v>43311</v>
      </c>
      <c r="AB1141" s="595" t="s">
        <v>449</v>
      </c>
      <c r="AC1141" s="595">
        <v>43556.63</v>
      </c>
      <c r="AD1141" s="596" t="s">
        <v>395</v>
      </c>
      <c r="AE1141" s="595">
        <v>331.16</v>
      </c>
      <c r="AF1141" s="597">
        <f t="shared" si="72"/>
        <v>1.8000558588057602E-2</v>
      </c>
      <c r="AG1141" s="597">
        <f t="shared" si="73"/>
        <v>-1.0783523015801766E-2</v>
      </c>
    </row>
    <row r="1142" spans="13:33" x14ac:dyDescent="0.35">
      <c r="M1142" s="555">
        <v>43314</v>
      </c>
      <c r="N1142" s="543" t="s">
        <v>449</v>
      </c>
      <c r="O1142" s="543">
        <v>42330.32</v>
      </c>
      <c r="P1142" s="73" t="s">
        <v>431</v>
      </c>
      <c r="Q1142" s="158">
        <v>31.74</v>
      </c>
      <c r="R1142" s="563">
        <f t="shared" si="70"/>
        <v>-1.1205782568761924E-2</v>
      </c>
      <c r="S1142" s="563">
        <f t="shared" si="71"/>
        <v>-5.0156739811911821E-3</v>
      </c>
      <c r="AA1142" s="594">
        <v>43312</v>
      </c>
      <c r="AB1142" s="595" t="s">
        <v>449</v>
      </c>
      <c r="AC1142" s="595">
        <v>42712.43</v>
      </c>
      <c r="AD1142" s="596" t="s">
        <v>395</v>
      </c>
      <c r="AE1142" s="595">
        <v>319.8</v>
      </c>
      <c r="AF1142" s="597">
        <f t="shared" si="72"/>
        <v>-1.9381664743117089E-2</v>
      </c>
      <c r="AG1142" s="597">
        <f t="shared" si="73"/>
        <v>-3.4303659862302216E-2</v>
      </c>
    </row>
    <row r="1143" spans="13:33" x14ac:dyDescent="0.35">
      <c r="M1143" s="555">
        <v>43315</v>
      </c>
      <c r="N1143" s="543" t="s">
        <v>449</v>
      </c>
      <c r="O1143" s="543">
        <v>42505.05</v>
      </c>
      <c r="P1143" s="73" t="s">
        <v>431</v>
      </c>
      <c r="Q1143" s="158">
        <v>31.51</v>
      </c>
      <c r="R1143" s="563">
        <f t="shared" si="70"/>
        <v>4.1277741344738494E-3</v>
      </c>
      <c r="S1143" s="563">
        <f t="shared" si="71"/>
        <v>-7.2463768115941241E-3</v>
      </c>
      <c r="AA1143" s="594">
        <v>43313</v>
      </c>
      <c r="AB1143" s="595" t="s">
        <v>449</v>
      </c>
      <c r="AC1143" s="595">
        <v>42810.04</v>
      </c>
      <c r="AD1143" s="596" t="s">
        <v>395</v>
      </c>
      <c r="AE1143" s="595">
        <v>309.06</v>
      </c>
      <c r="AF1143" s="597">
        <f t="shared" si="72"/>
        <v>2.2852832301978321E-3</v>
      </c>
      <c r="AG1143" s="597">
        <f t="shared" si="73"/>
        <v>-3.3583489681050738E-2</v>
      </c>
    </row>
    <row r="1144" spans="13:33" x14ac:dyDescent="0.35">
      <c r="M1144" s="555">
        <v>43318</v>
      </c>
      <c r="N1144" s="543" t="s">
        <v>449</v>
      </c>
      <c r="O1144" s="543">
        <v>42808.66</v>
      </c>
      <c r="P1144" s="73" t="s">
        <v>431</v>
      </c>
      <c r="Q1144" s="158">
        <v>31.85</v>
      </c>
      <c r="R1144" s="563">
        <f t="shared" si="70"/>
        <v>7.1429159593978664E-3</v>
      </c>
      <c r="S1144" s="563">
        <f t="shared" si="71"/>
        <v>1.0790225325293612E-2</v>
      </c>
      <c r="AA1144" s="594">
        <v>43314</v>
      </c>
      <c r="AB1144" s="595" t="s">
        <v>449</v>
      </c>
      <c r="AC1144" s="595">
        <v>42330.32</v>
      </c>
      <c r="AD1144" s="596" t="s">
        <v>395</v>
      </c>
      <c r="AE1144" s="595">
        <v>308.33999999999997</v>
      </c>
      <c r="AF1144" s="597">
        <f t="shared" si="72"/>
        <v>-1.1205782568761924E-2</v>
      </c>
      <c r="AG1144" s="597">
        <f t="shared" si="73"/>
        <v>-2.329644729178848E-3</v>
      </c>
    </row>
    <row r="1145" spans="13:33" x14ac:dyDescent="0.35">
      <c r="M1145" s="555">
        <v>43319</v>
      </c>
      <c r="N1145" s="543" t="s">
        <v>449</v>
      </c>
      <c r="O1145" s="543">
        <v>42760.13</v>
      </c>
      <c r="P1145" s="73" t="s">
        <v>431</v>
      </c>
      <c r="Q1145" s="158">
        <v>31.93</v>
      </c>
      <c r="R1145" s="563">
        <f t="shared" si="70"/>
        <v>-1.1336491261348947E-3</v>
      </c>
      <c r="S1145" s="563">
        <f t="shared" si="71"/>
        <v>2.5117739403452966E-3</v>
      </c>
      <c r="AA1145" s="594">
        <v>43315</v>
      </c>
      <c r="AB1145" s="595" t="s">
        <v>449</v>
      </c>
      <c r="AC1145" s="595">
        <v>42505.05</v>
      </c>
      <c r="AD1145" s="596" t="s">
        <v>395</v>
      </c>
      <c r="AE1145" s="595">
        <v>309.16000000000003</v>
      </c>
      <c r="AF1145" s="597">
        <f t="shared" si="72"/>
        <v>4.1277741344738494E-3</v>
      </c>
      <c r="AG1145" s="597">
        <f t="shared" si="73"/>
        <v>2.659401958876817E-3</v>
      </c>
    </row>
    <row r="1146" spans="13:33" x14ac:dyDescent="0.35">
      <c r="M1146" s="555">
        <v>43320</v>
      </c>
      <c r="N1146" s="543" t="s">
        <v>449</v>
      </c>
      <c r="O1146" s="543">
        <v>42731.86</v>
      </c>
      <c r="P1146" s="73" t="s">
        <v>431</v>
      </c>
      <c r="Q1146" s="158">
        <v>31.3</v>
      </c>
      <c r="R1146" s="563">
        <f t="shared" si="70"/>
        <v>-6.6112988898758829E-4</v>
      </c>
      <c r="S1146" s="563">
        <f t="shared" si="71"/>
        <v>-1.9730660820544865E-2</v>
      </c>
      <c r="AA1146" s="594">
        <v>43318</v>
      </c>
      <c r="AB1146" s="595" t="s">
        <v>449</v>
      </c>
      <c r="AC1146" s="595">
        <v>42808.66</v>
      </c>
      <c r="AD1146" s="596" t="s">
        <v>395</v>
      </c>
      <c r="AE1146" s="595">
        <v>308.98</v>
      </c>
      <c r="AF1146" s="597">
        <f t="shared" si="72"/>
        <v>7.1429159593978664E-3</v>
      </c>
      <c r="AG1146" s="597">
        <f t="shared" si="73"/>
        <v>-5.8222279725705928E-4</v>
      </c>
    </row>
    <row r="1147" spans="13:33" x14ac:dyDescent="0.35">
      <c r="M1147" s="555">
        <v>43321</v>
      </c>
      <c r="N1147" s="543" t="s">
        <v>449</v>
      </c>
      <c r="O1147" s="543">
        <v>42923.95</v>
      </c>
      <c r="P1147" s="73" t="s">
        <v>431</v>
      </c>
      <c r="Q1147" s="158">
        <v>31.07</v>
      </c>
      <c r="R1147" s="563">
        <f t="shared" si="70"/>
        <v>4.4952407875527012E-3</v>
      </c>
      <c r="S1147" s="563">
        <f t="shared" si="71"/>
        <v>-7.348242811501593E-3</v>
      </c>
      <c r="AA1147" s="594">
        <v>43319</v>
      </c>
      <c r="AB1147" s="595" t="s">
        <v>449</v>
      </c>
      <c r="AC1147" s="595">
        <v>42760.13</v>
      </c>
      <c r="AD1147" s="596" t="s">
        <v>395</v>
      </c>
      <c r="AE1147" s="595">
        <v>296.68</v>
      </c>
      <c r="AF1147" s="597">
        <f t="shared" si="72"/>
        <v>-1.1336491261348947E-3</v>
      </c>
      <c r="AG1147" s="597">
        <f t="shared" si="73"/>
        <v>-3.9808401838306695E-2</v>
      </c>
    </row>
    <row r="1148" spans="13:33" x14ac:dyDescent="0.35">
      <c r="M1148" s="555">
        <v>43322</v>
      </c>
      <c r="N1148" s="543" t="s">
        <v>449</v>
      </c>
      <c r="O1148" s="543">
        <v>42842.18</v>
      </c>
      <c r="P1148" s="73" t="s">
        <v>431</v>
      </c>
      <c r="Q1148" s="158">
        <v>29.92</v>
      </c>
      <c r="R1148" s="563">
        <f t="shared" si="70"/>
        <v>-1.9049970936970695E-3</v>
      </c>
      <c r="S1148" s="563">
        <f t="shared" si="71"/>
        <v>-3.7013196009011873E-2</v>
      </c>
      <c r="AA1148" s="589">
        <v>43320</v>
      </c>
      <c r="AB1148" s="590" t="s">
        <v>449</v>
      </c>
      <c r="AC1148" s="590">
        <v>42731.86</v>
      </c>
      <c r="AD1148" s="591" t="s">
        <v>395</v>
      </c>
      <c r="AE1148" s="590">
        <v>293.25</v>
      </c>
      <c r="AF1148" s="592">
        <f t="shared" si="72"/>
        <v>-6.6112988898758829E-4</v>
      </c>
      <c r="AG1148" s="592">
        <f t="shared" si="73"/>
        <v>-1.1561278144802456E-2</v>
      </c>
    </row>
    <row r="1149" spans="13:33" x14ac:dyDescent="0.35">
      <c r="M1149" s="555">
        <v>43325</v>
      </c>
      <c r="N1149" s="543" t="s">
        <v>449</v>
      </c>
      <c r="O1149" s="543">
        <v>42637.58</v>
      </c>
      <c r="P1149" s="73" t="s">
        <v>431</v>
      </c>
      <c r="Q1149" s="158">
        <v>30.11</v>
      </c>
      <c r="R1149" s="563">
        <f t="shared" si="70"/>
        <v>-4.7756673446589515E-3</v>
      </c>
      <c r="S1149" s="563">
        <f t="shared" si="71"/>
        <v>6.350267379679142E-3</v>
      </c>
      <c r="AA1149" s="589">
        <v>43321</v>
      </c>
      <c r="AB1149" s="590" t="s">
        <v>449</v>
      </c>
      <c r="AC1149" s="590">
        <v>42923.95</v>
      </c>
      <c r="AD1149" s="591" t="s">
        <v>395</v>
      </c>
      <c r="AE1149" s="590">
        <v>304.31</v>
      </c>
      <c r="AF1149" s="592">
        <f t="shared" si="72"/>
        <v>4.4952407875527012E-3</v>
      </c>
      <c r="AG1149" s="592">
        <f t="shared" si="73"/>
        <v>3.7715260017050278E-2</v>
      </c>
    </row>
    <row r="1150" spans="13:33" x14ac:dyDescent="0.35">
      <c r="M1150" s="555">
        <v>43327</v>
      </c>
      <c r="N1150" s="543" t="s">
        <v>449</v>
      </c>
      <c r="O1150" s="543">
        <v>42446.559999999998</v>
      </c>
      <c r="P1150" s="73" t="s">
        <v>431</v>
      </c>
      <c r="Q1150" s="158">
        <v>30.23</v>
      </c>
      <c r="R1150" s="563">
        <f t="shared" si="70"/>
        <v>-4.4800854082245323E-3</v>
      </c>
      <c r="S1150" s="563">
        <f t="shared" si="71"/>
        <v>3.9853869146462273E-3</v>
      </c>
      <c r="AA1150" s="594">
        <v>43322</v>
      </c>
      <c r="AB1150" s="595" t="s">
        <v>449</v>
      </c>
      <c r="AC1150" s="595">
        <v>42842.18</v>
      </c>
      <c r="AD1150" s="596" t="s">
        <v>395</v>
      </c>
      <c r="AE1150" s="595">
        <v>307.92</v>
      </c>
      <c r="AF1150" s="597">
        <f t="shared" si="72"/>
        <v>-1.9049970936970695E-3</v>
      </c>
      <c r="AG1150" s="597">
        <f t="shared" si="73"/>
        <v>1.1862902960796617E-2</v>
      </c>
    </row>
    <row r="1151" spans="13:33" x14ac:dyDescent="0.35">
      <c r="M1151" s="555">
        <v>43328</v>
      </c>
      <c r="N1151" s="543" t="s">
        <v>449</v>
      </c>
      <c r="O1151" s="543">
        <v>41960.800000000003</v>
      </c>
      <c r="P1151" s="73" t="s">
        <v>431</v>
      </c>
      <c r="Q1151" s="158">
        <v>29.39</v>
      </c>
      <c r="R1151" s="563">
        <f t="shared" si="70"/>
        <v>-1.1444036925489232E-2</v>
      </c>
      <c r="S1151" s="563">
        <f t="shared" si="71"/>
        <v>-2.7786966589480655E-2</v>
      </c>
      <c r="AA1151" s="594">
        <v>43325</v>
      </c>
      <c r="AB1151" s="595" t="s">
        <v>449</v>
      </c>
      <c r="AC1151" s="595">
        <v>42637.58</v>
      </c>
      <c r="AD1151" s="596" t="s">
        <v>395</v>
      </c>
      <c r="AE1151" s="595">
        <v>306.02</v>
      </c>
      <c r="AF1151" s="597">
        <f t="shared" si="72"/>
        <v>-4.7756673446589515E-3</v>
      </c>
      <c r="AG1151" s="597">
        <f t="shared" si="73"/>
        <v>-6.170433878929682E-3</v>
      </c>
    </row>
    <row r="1152" spans="13:33" x14ac:dyDescent="0.35">
      <c r="M1152" s="555">
        <v>43329</v>
      </c>
      <c r="N1152" s="543" t="s">
        <v>449</v>
      </c>
      <c r="O1152" s="543">
        <v>42446.62</v>
      </c>
      <c r="P1152" s="73" t="s">
        <v>431</v>
      </c>
      <c r="Q1152" s="158">
        <v>30.52</v>
      </c>
      <c r="R1152" s="563">
        <f t="shared" si="70"/>
        <v>1.1577948942822713E-2</v>
      </c>
      <c r="S1152" s="563">
        <f t="shared" si="71"/>
        <v>3.8448451854372179E-2</v>
      </c>
      <c r="AA1152" s="594">
        <v>43327</v>
      </c>
      <c r="AB1152" s="595" t="s">
        <v>449</v>
      </c>
      <c r="AC1152" s="595">
        <v>42446.559999999998</v>
      </c>
      <c r="AD1152" s="596" t="s">
        <v>395</v>
      </c>
      <c r="AE1152" s="595">
        <v>308.33999999999997</v>
      </c>
      <c r="AF1152" s="597">
        <f t="shared" si="72"/>
        <v>-4.4800854082245323E-3</v>
      </c>
      <c r="AG1152" s="597">
        <f t="shared" si="73"/>
        <v>7.5812038428859641E-3</v>
      </c>
    </row>
    <row r="1153" spans="13:33" x14ac:dyDescent="0.35">
      <c r="M1153" s="555">
        <v>43332</v>
      </c>
      <c r="N1153" s="543" t="s">
        <v>449</v>
      </c>
      <c r="O1153" s="543">
        <v>42425.1</v>
      </c>
      <c r="P1153" s="73" t="s">
        <v>431</v>
      </c>
      <c r="Q1153" s="158">
        <v>30.72</v>
      </c>
      <c r="R1153" s="563">
        <f t="shared" si="70"/>
        <v>-5.0698972026519407E-4</v>
      </c>
      <c r="S1153" s="563">
        <f t="shared" si="71"/>
        <v>6.5530799475752577E-3</v>
      </c>
      <c r="AA1153" s="594">
        <v>43328</v>
      </c>
      <c r="AB1153" s="595" t="s">
        <v>449</v>
      </c>
      <c r="AC1153" s="595">
        <v>41960.800000000003</v>
      </c>
      <c r="AD1153" s="596" t="s">
        <v>395</v>
      </c>
      <c r="AE1153" s="595">
        <v>292.93</v>
      </c>
      <c r="AF1153" s="597">
        <f t="shared" si="72"/>
        <v>-1.1444036925489232E-2</v>
      </c>
      <c r="AG1153" s="597">
        <f t="shared" si="73"/>
        <v>-4.997729778815585E-2</v>
      </c>
    </row>
    <row r="1154" spans="13:33" x14ac:dyDescent="0.35">
      <c r="M1154" s="555">
        <v>43336</v>
      </c>
      <c r="N1154" s="543" t="s">
        <v>449</v>
      </c>
      <c r="O1154" s="543">
        <v>42588.29</v>
      </c>
      <c r="P1154" s="73" t="s">
        <v>431</v>
      </c>
      <c r="Q1154" s="158">
        <v>31.32</v>
      </c>
      <c r="R1154" s="563">
        <f t="shared" si="70"/>
        <v>3.8465436734387293E-3</v>
      </c>
      <c r="S1154" s="563">
        <f t="shared" si="71"/>
        <v>1.953125E-2</v>
      </c>
      <c r="AA1154" s="594">
        <v>43329</v>
      </c>
      <c r="AB1154" s="595" t="s">
        <v>449</v>
      </c>
      <c r="AC1154" s="595">
        <v>42446.62</v>
      </c>
      <c r="AD1154" s="596" t="s">
        <v>395</v>
      </c>
      <c r="AE1154" s="595">
        <v>292.55</v>
      </c>
      <c r="AF1154" s="597">
        <f t="shared" si="72"/>
        <v>1.1577948942822713E-2</v>
      </c>
      <c r="AG1154" s="597">
        <f t="shared" si="73"/>
        <v>-1.2972382480456179E-3</v>
      </c>
    </row>
    <row r="1155" spans="13:33" x14ac:dyDescent="0.35">
      <c r="M1155" s="555">
        <v>43339</v>
      </c>
      <c r="N1155" s="543" t="s">
        <v>449</v>
      </c>
      <c r="O1155" s="543">
        <v>42745.78</v>
      </c>
      <c r="P1155" s="73" t="s">
        <v>431</v>
      </c>
      <c r="Q1155" s="158">
        <v>31.34</v>
      </c>
      <c r="R1155" s="563">
        <f t="shared" si="70"/>
        <v>3.6979648631114692E-3</v>
      </c>
      <c r="S1155" s="563">
        <f t="shared" si="71"/>
        <v>6.3856960408692487E-4</v>
      </c>
      <c r="AA1155" s="594">
        <v>43332</v>
      </c>
      <c r="AB1155" s="595" t="s">
        <v>449</v>
      </c>
      <c r="AC1155" s="595">
        <v>42425.1</v>
      </c>
      <c r="AD1155" s="596" t="s">
        <v>395</v>
      </c>
      <c r="AE1155" s="595">
        <v>299</v>
      </c>
      <c r="AF1155" s="597">
        <f t="shared" si="72"/>
        <v>-5.0698972026519407E-4</v>
      </c>
      <c r="AG1155" s="597">
        <f t="shared" si="73"/>
        <v>2.204751324559906E-2</v>
      </c>
    </row>
    <row r="1156" spans="13:33" x14ac:dyDescent="0.35">
      <c r="M1156" s="555">
        <v>43340</v>
      </c>
      <c r="N1156" s="543" t="s">
        <v>449</v>
      </c>
      <c r="O1156" s="543">
        <v>42544.47</v>
      </c>
      <c r="P1156" s="73" t="s">
        <v>431</v>
      </c>
      <c r="Q1156" s="158">
        <v>30.24</v>
      </c>
      <c r="R1156" s="563">
        <f t="shared" si="70"/>
        <v>-4.7094707360585408E-3</v>
      </c>
      <c r="S1156" s="563">
        <f t="shared" si="71"/>
        <v>-3.5098915124441632E-2</v>
      </c>
      <c r="AA1156" s="594">
        <v>43336</v>
      </c>
      <c r="AB1156" s="595" t="s">
        <v>449</v>
      </c>
      <c r="AC1156" s="595">
        <v>42588.29</v>
      </c>
      <c r="AD1156" s="596" t="s">
        <v>395</v>
      </c>
      <c r="AE1156" s="595">
        <v>300.39999999999998</v>
      </c>
      <c r="AF1156" s="597">
        <f t="shared" si="72"/>
        <v>3.8465436734387293E-3</v>
      </c>
      <c r="AG1156" s="597">
        <f t="shared" si="73"/>
        <v>4.682274247491458E-3</v>
      </c>
    </row>
    <row r="1157" spans="13:33" x14ac:dyDescent="0.35">
      <c r="M1157" s="555">
        <v>43341</v>
      </c>
      <c r="N1157" s="543" t="s">
        <v>449</v>
      </c>
      <c r="O1157" s="543">
        <v>42249.440000000002</v>
      </c>
      <c r="P1157" s="73" t="s">
        <v>431</v>
      </c>
      <c r="Q1157" s="158">
        <v>29.71</v>
      </c>
      <c r="R1157" s="563">
        <f t="shared" si="70"/>
        <v>-6.9346262863304586E-3</v>
      </c>
      <c r="S1157" s="563">
        <f t="shared" si="71"/>
        <v>-1.7526455026455001E-2</v>
      </c>
      <c r="AA1157" s="594">
        <v>43339</v>
      </c>
      <c r="AB1157" s="595" t="s">
        <v>449</v>
      </c>
      <c r="AC1157" s="595">
        <v>42745.78</v>
      </c>
      <c r="AD1157" s="596" t="s">
        <v>395</v>
      </c>
      <c r="AE1157" s="595">
        <v>300.01</v>
      </c>
      <c r="AF1157" s="597">
        <f t="shared" si="72"/>
        <v>3.6979648631114692E-3</v>
      </c>
      <c r="AG1157" s="597">
        <f t="shared" si="73"/>
        <v>-1.2982689747003118E-3</v>
      </c>
    </row>
    <row r="1158" spans="13:33" x14ac:dyDescent="0.35">
      <c r="M1158" s="555">
        <v>43342</v>
      </c>
      <c r="N1158" s="543" t="s">
        <v>449</v>
      </c>
      <c r="O1158" s="543">
        <v>41863.519999999997</v>
      </c>
      <c r="P1158" s="73" t="s">
        <v>431</v>
      </c>
      <c r="Q1158" s="158">
        <v>29.68</v>
      </c>
      <c r="R1158" s="563">
        <f t="shared" si="70"/>
        <v>-9.1343222537388913E-3</v>
      </c>
      <c r="S1158" s="563">
        <f t="shared" si="71"/>
        <v>-1.0097610232245868E-3</v>
      </c>
      <c r="AA1158" s="594">
        <v>43340</v>
      </c>
      <c r="AB1158" s="595" t="s">
        <v>449</v>
      </c>
      <c r="AC1158" s="595">
        <v>42544.47</v>
      </c>
      <c r="AD1158" s="596" t="s">
        <v>395</v>
      </c>
      <c r="AE1158" s="595">
        <v>300.20999999999998</v>
      </c>
      <c r="AF1158" s="597">
        <f t="shared" si="72"/>
        <v>-4.7094707360585408E-3</v>
      </c>
      <c r="AG1158" s="597">
        <f t="shared" si="73"/>
        <v>6.6664444518504951E-4</v>
      </c>
    </row>
    <row r="1159" spans="13:33" x14ac:dyDescent="0.35">
      <c r="M1159" s="555">
        <v>43343</v>
      </c>
      <c r="N1159" s="543" t="s">
        <v>449</v>
      </c>
      <c r="O1159" s="543">
        <v>41742.239999999998</v>
      </c>
      <c r="P1159" s="73" t="s">
        <v>431</v>
      </c>
      <c r="Q1159" s="158">
        <v>29.34</v>
      </c>
      <c r="R1159" s="563">
        <f t="shared" si="70"/>
        <v>-2.8970330254121102E-3</v>
      </c>
      <c r="S1159" s="563">
        <f t="shared" si="71"/>
        <v>-1.1455525606469008E-2</v>
      </c>
      <c r="AA1159" s="589">
        <v>43341</v>
      </c>
      <c r="AB1159" s="590" t="s">
        <v>449</v>
      </c>
      <c r="AC1159" s="590">
        <v>42249.440000000002</v>
      </c>
      <c r="AD1159" s="591" t="s">
        <v>395</v>
      </c>
      <c r="AE1159" s="590">
        <v>300</v>
      </c>
      <c r="AF1159" s="592">
        <f t="shared" si="72"/>
        <v>-6.9346262863304586E-3</v>
      </c>
      <c r="AG1159" s="592">
        <f t="shared" si="73"/>
        <v>-6.9951034275994584E-4</v>
      </c>
    </row>
    <row r="1160" spans="13:33" x14ac:dyDescent="0.35">
      <c r="M1160" s="555">
        <v>43346</v>
      </c>
      <c r="N1160" s="543" t="s">
        <v>449</v>
      </c>
      <c r="O1160" s="543">
        <v>41581.96</v>
      </c>
      <c r="P1160" s="73" t="s">
        <v>431</v>
      </c>
      <c r="Q1160" s="158">
        <v>27.93</v>
      </c>
      <c r="R1160" s="563">
        <f t="shared" si="70"/>
        <v>-3.83975560487404E-3</v>
      </c>
      <c r="S1160" s="563">
        <f t="shared" si="71"/>
        <v>-4.805725971370145E-2</v>
      </c>
      <c r="AA1160" s="589">
        <v>43342</v>
      </c>
      <c r="AB1160" s="590" t="s">
        <v>449</v>
      </c>
      <c r="AC1160" s="590">
        <v>41863.519999999997</v>
      </c>
      <c r="AD1160" s="591" t="s">
        <v>395</v>
      </c>
      <c r="AE1160" s="590">
        <v>300</v>
      </c>
      <c r="AF1160" s="592">
        <f t="shared" si="72"/>
        <v>-9.1343222537388913E-3</v>
      </c>
      <c r="AG1160" s="592">
        <f t="shared" si="73"/>
        <v>0</v>
      </c>
    </row>
    <row r="1161" spans="13:33" x14ac:dyDescent="0.35">
      <c r="M1161" s="555">
        <v>43347</v>
      </c>
      <c r="N1161" s="543" t="s">
        <v>449</v>
      </c>
      <c r="O1161" s="543">
        <v>41753.89</v>
      </c>
      <c r="P1161" s="73" t="s">
        <v>431</v>
      </c>
      <c r="Q1161" s="158">
        <v>27.63</v>
      </c>
      <c r="R1161" s="563">
        <f t="shared" si="70"/>
        <v>4.1347257320241138E-3</v>
      </c>
      <c r="S1161" s="563">
        <f t="shared" si="71"/>
        <v>-1.074113856068748E-2</v>
      </c>
      <c r="AA1161" s="594">
        <v>43343</v>
      </c>
      <c r="AB1161" s="595" t="s">
        <v>449</v>
      </c>
      <c r="AC1161" s="595">
        <v>41742.239999999998</v>
      </c>
      <c r="AD1161" s="596" t="s">
        <v>395</v>
      </c>
      <c r="AE1161" s="595">
        <v>300</v>
      </c>
      <c r="AF1161" s="597">
        <f t="shared" si="72"/>
        <v>-2.8970330254121102E-3</v>
      </c>
      <c r="AG1161" s="597">
        <f t="shared" si="73"/>
        <v>0</v>
      </c>
    </row>
    <row r="1162" spans="13:33" x14ac:dyDescent="0.35">
      <c r="M1162" s="555">
        <v>43348</v>
      </c>
      <c r="N1162" s="543" t="s">
        <v>449</v>
      </c>
      <c r="O1162" s="543">
        <v>41620.959999999999</v>
      </c>
      <c r="P1162" s="73" t="s">
        <v>431</v>
      </c>
      <c r="Q1162" s="158">
        <v>27.77</v>
      </c>
      <c r="R1162" s="563">
        <f t="shared" si="70"/>
        <v>-3.1836554630000347E-3</v>
      </c>
      <c r="S1162" s="563">
        <f t="shared" si="71"/>
        <v>5.0669562070213559E-3</v>
      </c>
      <c r="AA1162" s="594">
        <v>43346</v>
      </c>
      <c r="AB1162" s="595" t="s">
        <v>449</v>
      </c>
      <c r="AC1162" s="595">
        <v>41581.96</v>
      </c>
      <c r="AD1162" s="596" t="s">
        <v>395</v>
      </c>
      <c r="AE1162" s="595">
        <v>295.5</v>
      </c>
      <c r="AF1162" s="597">
        <f t="shared" si="72"/>
        <v>-3.83975560487404E-3</v>
      </c>
      <c r="AG1162" s="597">
        <f t="shared" si="73"/>
        <v>-1.5000000000000013E-2</v>
      </c>
    </row>
    <row r="1163" spans="13:33" x14ac:dyDescent="0.35">
      <c r="M1163" s="555">
        <v>43349</v>
      </c>
      <c r="N1163" s="543" t="s">
        <v>449</v>
      </c>
      <c r="O1163" s="543">
        <v>41266.39</v>
      </c>
      <c r="P1163" s="73" t="s">
        <v>431</v>
      </c>
      <c r="Q1163" s="158">
        <v>27.06</v>
      </c>
      <c r="R1163" s="563">
        <f t="shared" si="70"/>
        <v>-8.5190250296965919E-3</v>
      </c>
      <c r="S1163" s="563">
        <f t="shared" si="71"/>
        <v>-2.5567158804465251E-2</v>
      </c>
      <c r="AA1163" s="594">
        <v>43347</v>
      </c>
      <c r="AB1163" s="595" t="s">
        <v>449</v>
      </c>
      <c r="AC1163" s="595">
        <v>41753.89</v>
      </c>
      <c r="AD1163" s="596" t="s">
        <v>395</v>
      </c>
      <c r="AE1163" s="595">
        <v>300</v>
      </c>
      <c r="AF1163" s="597">
        <f t="shared" si="72"/>
        <v>4.1347257320241138E-3</v>
      </c>
      <c r="AG1163" s="597">
        <f t="shared" si="73"/>
        <v>1.5228426395939021E-2</v>
      </c>
    </row>
    <row r="1164" spans="13:33" x14ac:dyDescent="0.35">
      <c r="M1164" s="555">
        <v>43350</v>
      </c>
      <c r="N1164" s="543" t="s">
        <v>449</v>
      </c>
      <c r="O1164" s="543">
        <v>40854.769999999997</v>
      </c>
      <c r="P1164" s="73" t="s">
        <v>431</v>
      </c>
      <c r="Q1164" s="158">
        <v>26.23</v>
      </c>
      <c r="R1164" s="563">
        <f t="shared" si="70"/>
        <v>-9.974703384521999E-3</v>
      </c>
      <c r="S1164" s="563">
        <f t="shared" si="71"/>
        <v>-3.0672579453067228E-2</v>
      </c>
      <c r="AA1164" s="594">
        <v>43348</v>
      </c>
      <c r="AB1164" s="595" t="s">
        <v>449</v>
      </c>
      <c r="AC1164" s="595">
        <v>41620.959999999999</v>
      </c>
      <c r="AD1164" s="596" t="s">
        <v>395</v>
      </c>
      <c r="AE1164" s="595">
        <v>294.79000000000002</v>
      </c>
      <c r="AF1164" s="597">
        <f t="shared" si="72"/>
        <v>-3.1836554630000347E-3</v>
      </c>
      <c r="AG1164" s="597">
        <f t="shared" si="73"/>
        <v>-1.7366666666666641E-2</v>
      </c>
    </row>
    <row r="1165" spans="13:33" x14ac:dyDescent="0.35">
      <c r="M1165" s="555">
        <v>43353</v>
      </c>
      <c r="N1165" s="543" t="s">
        <v>449</v>
      </c>
      <c r="O1165" s="543">
        <v>40684.050000000003</v>
      </c>
      <c r="P1165" s="73" t="s">
        <v>431</v>
      </c>
      <c r="Q1165" s="158">
        <v>25.72</v>
      </c>
      <c r="R1165" s="563">
        <f t="shared" si="70"/>
        <v>-4.1787042247452E-3</v>
      </c>
      <c r="S1165" s="563">
        <f t="shared" si="71"/>
        <v>-1.9443385436523131E-2</v>
      </c>
      <c r="AA1165" s="594">
        <v>43349</v>
      </c>
      <c r="AB1165" s="595" t="s">
        <v>449</v>
      </c>
      <c r="AC1165" s="595">
        <v>41266.39</v>
      </c>
      <c r="AD1165" s="596" t="s">
        <v>395</v>
      </c>
      <c r="AE1165" s="595">
        <v>296.27999999999997</v>
      </c>
      <c r="AF1165" s="597">
        <f t="shared" si="72"/>
        <v>-8.5190250296965919E-3</v>
      </c>
      <c r="AG1165" s="597">
        <f t="shared" si="73"/>
        <v>5.0544455375010067E-3</v>
      </c>
    </row>
    <row r="1166" spans="13:33" x14ac:dyDescent="0.35">
      <c r="M1166" s="555">
        <v>43354</v>
      </c>
      <c r="N1166" s="543" t="s">
        <v>449</v>
      </c>
      <c r="O1166" s="543">
        <v>40759.53</v>
      </c>
      <c r="P1166" s="73" t="s">
        <v>431</v>
      </c>
      <c r="Q1166" s="158">
        <v>26.32</v>
      </c>
      <c r="R1166" s="563">
        <f t="shared" si="70"/>
        <v>1.8552725208034193E-3</v>
      </c>
      <c r="S1166" s="563">
        <f t="shared" si="71"/>
        <v>2.3328149300155587E-2</v>
      </c>
      <c r="AA1166" s="594">
        <v>43350</v>
      </c>
      <c r="AB1166" s="595" t="s">
        <v>449</v>
      </c>
      <c r="AC1166" s="595">
        <v>40854.769999999997</v>
      </c>
      <c r="AD1166" s="596" t="s">
        <v>395</v>
      </c>
      <c r="AE1166" s="595">
        <v>297.7</v>
      </c>
      <c r="AF1166" s="597">
        <f t="shared" si="72"/>
        <v>-9.974703384521999E-3</v>
      </c>
      <c r="AG1166" s="597">
        <f t="shared" si="73"/>
        <v>4.7927636019982067E-3</v>
      </c>
    </row>
    <row r="1167" spans="13:33" x14ac:dyDescent="0.35">
      <c r="M1167" s="555">
        <v>43355</v>
      </c>
      <c r="N1167" s="543" t="s">
        <v>449</v>
      </c>
      <c r="O1167" s="543">
        <v>40522.04</v>
      </c>
      <c r="P1167" s="73" t="s">
        <v>431</v>
      </c>
      <c r="Q1167" s="158">
        <v>25.4</v>
      </c>
      <c r="R1167" s="563">
        <f t="shared" si="70"/>
        <v>-5.8266128191369893E-3</v>
      </c>
      <c r="S1167" s="563">
        <f t="shared" si="71"/>
        <v>-3.4954407294832901E-2</v>
      </c>
      <c r="AA1167" s="594">
        <v>43353</v>
      </c>
      <c r="AB1167" s="595" t="s">
        <v>449</v>
      </c>
      <c r="AC1167" s="595">
        <v>40684.050000000003</v>
      </c>
      <c r="AD1167" s="596" t="s">
        <v>395</v>
      </c>
      <c r="AE1167" s="595">
        <v>292</v>
      </c>
      <c r="AF1167" s="597">
        <f t="shared" si="72"/>
        <v>-4.1787042247452E-3</v>
      </c>
      <c r="AG1167" s="597">
        <f t="shared" si="73"/>
        <v>-1.9146792072556207E-2</v>
      </c>
    </row>
    <row r="1168" spans="13:33" x14ac:dyDescent="0.35">
      <c r="M1168" s="555">
        <v>43356</v>
      </c>
      <c r="N1168" s="543" t="s">
        <v>449</v>
      </c>
      <c r="O1168" s="543">
        <v>41049.910000000003</v>
      </c>
      <c r="P1168" s="73" t="s">
        <v>431</v>
      </c>
      <c r="Q1168" s="158">
        <v>26.03</v>
      </c>
      <c r="R1168" s="563">
        <f t="shared" si="70"/>
        <v>1.302673804181631E-2</v>
      </c>
      <c r="S1168" s="563">
        <f t="shared" si="71"/>
        <v>2.4803149606299257E-2</v>
      </c>
      <c r="AA1168" s="594">
        <v>43354</v>
      </c>
      <c r="AB1168" s="595" t="s">
        <v>449</v>
      </c>
      <c r="AC1168" s="595">
        <v>40759.53</v>
      </c>
      <c r="AD1168" s="596" t="s">
        <v>395</v>
      </c>
      <c r="AE1168" s="595">
        <v>293</v>
      </c>
      <c r="AF1168" s="597">
        <f t="shared" si="72"/>
        <v>1.8552725208034193E-3</v>
      </c>
      <c r="AG1168" s="597">
        <f t="shared" si="73"/>
        <v>3.424657534246478E-3</v>
      </c>
    </row>
    <row r="1169" spans="13:33" x14ac:dyDescent="0.35">
      <c r="M1169" s="555">
        <v>43357</v>
      </c>
      <c r="N1169" s="543" t="s">
        <v>449</v>
      </c>
      <c r="O1169" s="543">
        <v>40920.31</v>
      </c>
      <c r="P1169" s="73" t="s">
        <v>431</v>
      </c>
      <c r="Q1169" s="158">
        <v>25.86</v>
      </c>
      <c r="R1169" s="563">
        <f t="shared" si="70"/>
        <v>-3.157132378609484E-3</v>
      </c>
      <c r="S1169" s="563">
        <f t="shared" si="71"/>
        <v>-6.5309258547829874E-3</v>
      </c>
      <c r="AA1169" s="594">
        <v>43355</v>
      </c>
      <c r="AB1169" s="595" t="s">
        <v>449</v>
      </c>
      <c r="AC1169" s="595">
        <v>40522.04</v>
      </c>
      <c r="AD1169" s="596" t="s">
        <v>395</v>
      </c>
      <c r="AE1169" s="595">
        <v>294</v>
      </c>
      <c r="AF1169" s="597">
        <f t="shared" si="72"/>
        <v>-5.8266128191369893E-3</v>
      </c>
      <c r="AG1169" s="597">
        <f t="shared" si="73"/>
        <v>3.4129692832765013E-3</v>
      </c>
    </row>
    <row r="1170" spans="13:33" x14ac:dyDescent="0.35">
      <c r="M1170" s="555">
        <v>43360</v>
      </c>
      <c r="N1170" s="543" t="s">
        <v>449</v>
      </c>
      <c r="O1170" s="543">
        <v>40520.47</v>
      </c>
      <c r="P1170" s="73" t="s">
        <v>431</v>
      </c>
      <c r="Q1170" s="158">
        <v>25.03</v>
      </c>
      <c r="R1170" s="563">
        <f t="shared" si="70"/>
        <v>-9.7711869729236733E-3</v>
      </c>
      <c r="S1170" s="563">
        <f t="shared" si="71"/>
        <v>-3.2095901005413707E-2</v>
      </c>
      <c r="AA1170" s="594">
        <v>43356</v>
      </c>
      <c r="AB1170" s="595" t="s">
        <v>449</v>
      </c>
      <c r="AC1170" s="595">
        <v>41049.910000000003</v>
      </c>
      <c r="AD1170" s="596" t="s">
        <v>395</v>
      </c>
      <c r="AE1170" s="595">
        <v>295</v>
      </c>
      <c r="AF1170" s="597">
        <f t="shared" si="72"/>
        <v>1.302673804181631E-2</v>
      </c>
      <c r="AG1170" s="597">
        <f t="shared" si="73"/>
        <v>3.4013605442175798E-3</v>
      </c>
    </row>
    <row r="1171" spans="13:33" x14ac:dyDescent="0.35">
      <c r="M1171" s="555">
        <v>43361</v>
      </c>
      <c r="N1171" s="543" t="s">
        <v>449</v>
      </c>
      <c r="O1171" s="543">
        <v>41238.07</v>
      </c>
      <c r="P1171" s="73" t="s">
        <v>431</v>
      </c>
      <c r="Q1171" s="158">
        <v>25.81</v>
      </c>
      <c r="R1171" s="563">
        <f t="shared" si="70"/>
        <v>1.7709567534631265E-2</v>
      </c>
      <c r="S1171" s="563">
        <f t="shared" si="71"/>
        <v>3.1162604874150901E-2</v>
      </c>
      <c r="AA1171" s="594">
        <v>43357</v>
      </c>
      <c r="AB1171" s="595" t="s">
        <v>449</v>
      </c>
      <c r="AC1171" s="595">
        <v>40920.31</v>
      </c>
      <c r="AD1171" s="596" t="s">
        <v>395</v>
      </c>
      <c r="AE1171" s="595">
        <v>296</v>
      </c>
      <c r="AF1171" s="597">
        <f t="shared" si="72"/>
        <v>-3.157132378609484E-3</v>
      </c>
      <c r="AG1171" s="597">
        <f t="shared" si="73"/>
        <v>3.3898305084745228E-3</v>
      </c>
    </row>
    <row r="1172" spans="13:33" x14ac:dyDescent="0.35">
      <c r="M1172" s="555">
        <v>43362</v>
      </c>
      <c r="N1172" s="543" t="s">
        <v>449</v>
      </c>
      <c r="O1172" s="543">
        <v>41320.129999999997</v>
      </c>
      <c r="P1172" s="73" t="s">
        <v>431</v>
      </c>
      <c r="Q1172" s="158">
        <v>26.33</v>
      </c>
      <c r="R1172" s="563">
        <f t="shared" si="70"/>
        <v>1.9899088390895603E-3</v>
      </c>
      <c r="S1172" s="563">
        <f t="shared" si="71"/>
        <v>2.0147229755908658E-2</v>
      </c>
      <c r="AA1172" s="594">
        <v>43360</v>
      </c>
      <c r="AB1172" s="595" t="s">
        <v>449</v>
      </c>
      <c r="AC1172" s="595">
        <v>40520.47</v>
      </c>
      <c r="AD1172" s="596" t="s">
        <v>395</v>
      </c>
      <c r="AE1172" s="595">
        <v>296</v>
      </c>
      <c r="AF1172" s="597">
        <f t="shared" si="72"/>
        <v>-9.7711869729236733E-3</v>
      </c>
      <c r="AG1172" s="597">
        <f t="shared" si="73"/>
        <v>0</v>
      </c>
    </row>
    <row r="1173" spans="13:33" x14ac:dyDescent="0.35">
      <c r="M1173" s="555">
        <v>43367</v>
      </c>
      <c r="N1173" s="543" t="s">
        <v>449</v>
      </c>
      <c r="O1173" s="543">
        <v>41004.550000000003</v>
      </c>
      <c r="P1173" s="73" t="s">
        <v>431</v>
      </c>
      <c r="Q1173" s="158">
        <v>25.38</v>
      </c>
      <c r="R1173" s="563">
        <f t="shared" si="70"/>
        <v>-7.6374396692361346E-3</v>
      </c>
      <c r="S1173" s="563">
        <f t="shared" si="71"/>
        <v>-3.6080516521078576E-2</v>
      </c>
      <c r="AA1173" s="594">
        <v>43361</v>
      </c>
      <c r="AB1173" s="595" t="s">
        <v>449</v>
      </c>
      <c r="AC1173" s="595">
        <v>41238.07</v>
      </c>
      <c r="AD1173" s="596" t="s">
        <v>395</v>
      </c>
      <c r="AE1173" s="595">
        <v>295.23</v>
      </c>
      <c r="AF1173" s="597">
        <f t="shared" si="72"/>
        <v>1.7709567534631265E-2</v>
      </c>
      <c r="AG1173" s="597">
        <f t="shared" si="73"/>
        <v>-2.6013513513513109E-3</v>
      </c>
    </row>
    <row r="1174" spans="13:33" x14ac:dyDescent="0.35">
      <c r="M1174" s="555">
        <v>43368</v>
      </c>
      <c r="N1174" s="543" t="s">
        <v>449</v>
      </c>
      <c r="O1174" s="543">
        <v>41036.300000000003</v>
      </c>
      <c r="P1174" s="73" t="s">
        <v>431</v>
      </c>
      <c r="Q1174" s="158">
        <v>25.14</v>
      </c>
      <c r="R1174" s="563">
        <f t="shared" si="70"/>
        <v>7.743043150090223E-4</v>
      </c>
      <c r="S1174" s="563">
        <f t="shared" si="71"/>
        <v>-9.4562647754136142E-3</v>
      </c>
      <c r="AA1174" s="594">
        <v>43362</v>
      </c>
      <c r="AB1174" s="595" t="s">
        <v>449</v>
      </c>
      <c r="AC1174" s="595">
        <v>41320.129999999997</v>
      </c>
      <c r="AD1174" s="596" t="s">
        <v>395</v>
      </c>
      <c r="AE1174" s="595">
        <v>292.3</v>
      </c>
      <c r="AF1174" s="597">
        <f t="shared" si="72"/>
        <v>1.9899088390895603E-3</v>
      </c>
      <c r="AG1174" s="597">
        <f t="shared" si="73"/>
        <v>-9.9244656708329382E-3</v>
      </c>
    </row>
    <row r="1175" spans="13:33" x14ac:dyDescent="0.35">
      <c r="M1175" s="555">
        <v>43369</v>
      </c>
      <c r="N1175" s="543" t="s">
        <v>449</v>
      </c>
      <c r="O1175" s="543">
        <v>40909.910000000003</v>
      </c>
      <c r="P1175" s="73" t="s">
        <v>431</v>
      </c>
      <c r="Q1175" s="158">
        <v>24.68</v>
      </c>
      <c r="R1175" s="563">
        <f t="shared" si="70"/>
        <v>-3.0799560389216385E-3</v>
      </c>
      <c r="S1175" s="563">
        <f t="shared" si="71"/>
        <v>-1.8297533810660349E-2</v>
      </c>
      <c r="AA1175" s="594">
        <v>43367</v>
      </c>
      <c r="AB1175" s="595" t="s">
        <v>449</v>
      </c>
      <c r="AC1175" s="595">
        <v>41004.550000000003</v>
      </c>
      <c r="AD1175" s="596" t="s">
        <v>395</v>
      </c>
      <c r="AE1175" s="595">
        <v>293.63</v>
      </c>
      <c r="AF1175" s="597">
        <f t="shared" si="72"/>
        <v>-7.6374396692361346E-3</v>
      </c>
      <c r="AG1175" s="597">
        <f t="shared" si="73"/>
        <v>4.5501197399930859E-3</v>
      </c>
    </row>
    <row r="1176" spans="13:33" x14ac:dyDescent="0.35">
      <c r="M1176" s="555">
        <v>43370</v>
      </c>
      <c r="N1176" s="543" t="s">
        <v>449</v>
      </c>
      <c r="O1176" s="543">
        <v>40851.800000000003</v>
      </c>
      <c r="P1176" s="73" t="s">
        <v>431</v>
      </c>
      <c r="Q1176" s="158">
        <v>24.07</v>
      </c>
      <c r="R1176" s="563">
        <f t="shared" si="70"/>
        <v>-1.420438226336862E-3</v>
      </c>
      <c r="S1176" s="563">
        <f t="shared" si="71"/>
        <v>-2.4716369529983795E-2</v>
      </c>
      <c r="AA1176" s="594">
        <v>43368</v>
      </c>
      <c r="AB1176" s="595" t="s">
        <v>449</v>
      </c>
      <c r="AC1176" s="595">
        <v>41036.300000000003</v>
      </c>
      <c r="AD1176" s="596" t="s">
        <v>395</v>
      </c>
      <c r="AE1176" s="595">
        <v>298.31</v>
      </c>
      <c r="AF1176" s="597">
        <f t="shared" si="72"/>
        <v>7.743043150090223E-4</v>
      </c>
      <c r="AG1176" s="597">
        <f t="shared" si="73"/>
        <v>1.5938425910159149E-2</v>
      </c>
    </row>
    <row r="1177" spans="13:33" x14ac:dyDescent="0.35">
      <c r="M1177" s="555">
        <v>43371</v>
      </c>
      <c r="N1177" s="543" t="s">
        <v>449</v>
      </c>
      <c r="O1177" s="543">
        <v>40998.589999999997</v>
      </c>
      <c r="P1177" s="73" t="s">
        <v>431</v>
      </c>
      <c r="Q1177" s="158">
        <v>23.88</v>
      </c>
      <c r="R1177" s="563">
        <f t="shared" si="70"/>
        <v>3.5932321219627195E-3</v>
      </c>
      <c r="S1177" s="563">
        <f t="shared" si="71"/>
        <v>-7.8936435396760318E-3</v>
      </c>
      <c r="AA1177" s="594">
        <v>43369</v>
      </c>
      <c r="AB1177" s="595" t="s">
        <v>449</v>
      </c>
      <c r="AC1177" s="595">
        <v>40909.910000000003</v>
      </c>
      <c r="AD1177" s="596" t="s">
        <v>395</v>
      </c>
      <c r="AE1177" s="595">
        <v>294</v>
      </c>
      <c r="AF1177" s="597">
        <f t="shared" si="72"/>
        <v>-3.0799560389216385E-3</v>
      </c>
      <c r="AG1177" s="597">
        <f t="shared" si="73"/>
        <v>-1.4448057389963465E-2</v>
      </c>
    </row>
    <row r="1178" spans="13:33" x14ac:dyDescent="0.35">
      <c r="M1178" s="555">
        <v>43374</v>
      </c>
      <c r="N1178" s="543" t="s">
        <v>449</v>
      </c>
      <c r="O1178" s="543">
        <v>40929.440000000002</v>
      </c>
      <c r="P1178" s="73" t="s">
        <v>431</v>
      </c>
      <c r="Q1178" s="158">
        <v>24.25</v>
      </c>
      <c r="R1178" s="563">
        <f t="shared" ref="R1178:R1241" si="74">(O1178/O1177)-1</f>
        <v>-1.6866433699304073E-3</v>
      </c>
      <c r="S1178" s="563">
        <f t="shared" ref="S1178:S1241" si="75">(Q1178/Q1177)-1</f>
        <v>1.5494137353433857E-2</v>
      </c>
      <c r="AA1178" s="594">
        <v>43370</v>
      </c>
      <c r="AB1178" s="595" t="s">
        <v>449</v>
      </c>
      <c r="AC1178" s="595">
        <v>40851.800000000003</v>
      </c>
      <c r="AD1178" s="596" t="s">
        <v>395</v>
      </c>
      <c r="AE1178" s="595">
        <v>290.45</v>
      </c>
      <c r="AF1178" s="597">
        <f t="shared" si="72"/>
        <v>-1.420438226336862E-3</v>
      </c>
      <c r="AG1178" s="597">
        <f t="shared" si="73"/>
        <v>-1.2074829931972841E-2</v>
      </c>
    </row>
    <row r="1179" spans="13:33" x14ac:dyDescent="0.35">
      <c r="M1179" s="555">
        <v>43375</v>
      </c>
      <c r="N1179" s="543" t="s">
        <v>449</v>
      </c>
      <c r="O1179" s="543">
        <v>40800.25</v>
      </c>
      <c r="P1179" s="73" t="s">
        <v>431</v>
      </c>
      <c r="Q1179" s="158">
        <v>24.12</v>
      </c>
      <c r="R1179" s="563">
        <f t="shared" si="74"/>
        <v>-3.1564077104402344E-3</v>
      </c>
      <c r="S1179" s="563">
        <f t="shared" si="75"/>
        <v>-5.3608247422679556E-3</v>
      </c>
      <c r="AA1179" s="594">
        <v>43371</v>
      </c>
      <c r="AB1179" s="595" t="s">
        <v>449</v>
      </c>
      <c r="AC1179" s="595">
        <v>40998.589999999997</v>
      </c>
      <c r="AD1179" s="596" t="s">
        <v>395</v>
      </c>
      <c r="AE1179" s="595">
        <v>293</v>
      </c>
      <c r="AF1179" s="597">
        <f t="shared" si="72"/>
        <v>3.5932321219627195E-3</v>
      </c>
      <c r="AG1179" s="597">
        <f t="shared" si="73"/>
        <v>8.7794801170597569E-3</v>
      </c>
    </row>
    <row r="1180" spans="13:33" x14ac:dyDescent="0.35">
      <c r="M1180" s="555">
        <v>43376</v>
      </c>
      <c r="N1180" s="543" t="s">
        <v>449</v>
      </c>
      <c r="O1180" s="543">
        <v>40560.19</v>
      </c>
      <c r="P1180" s="73" t="s">
        <v>431</v>
      </c>
      <c r="Q1180" s="158">
        <v>23.88</v>
      </c>
      <c r="R1180" s="563">
        <f t="shared" si="74"/>
        <v>-5.8837874767924125E-3</v>
      </c>
      <c r="S1180" s="563">
        <f t="shared" si="75"/>
        <v>-9.9502487562189712E-3</v>
      </c>
      <c r="AA1180" s="594">
        <v>43374</v>
      </c>
      <c r="AB1180" s="595" t="s">
        <v>449</v>
      </c>
      <c r="AC1180" s="595">
        <v>40929.440000000002</v>
      </c>
      <c r="AD1180" s="596" t="s">
        <v>395</v>
      </c>
      <c r="AE1180" s="595">
        <v>290.60000000000002</v>
      </c>
      <c r="AF1180" s="597">
        <f t="shared" ref="AF1180:AF1243" si="76">(AC1180/AC1179)-1</f>
        <v>-1.6866433699304073E-3</v>
      </c>
      <c r="AG1180" s="597">
        <f t="shared" ref="AG1180:AG1243" si="77">(AE1180/AE1179)-1</f>
        <v>-8.1911262798634032E-3</v>
      </c>
    </row>
    <row r="1181" spans="13:33" x14ac:dyDescent="0.35">
      <c r="M1181" s="555">
        <v>43377</v>
      </c>
      <c r="N1181" s="543" t="s">
        <v>449</v>
      </c>
      <c r="O1181" s="543">
        <v>40087.120000000003</v>
      </c>
      <c r="P1181" s="73" t="s">
        <v>431</v>
      </c>
      <c r="Q1181" s="158">
        <v>23.1</v>
      </c>
      <c r="R1181" s="563">
        <f t="shared" si="74"/>
        <v>-1.166340690218659E-2</v>
      </c>
      <c r="S1181" s="563">
        <f t="shared" si="75"/>
        <v>-3.2663316582914437E-2</v>
      </c>
      <c r="AA1181" s="594">
        <v>43375</v>
      </c>
      <c r="AB1181" s="595" t="s">
        <v>449</v>
      </c>
      <c r="AC1181" s="595">
        <v>40800.25</v>
      </c>
      <c r="AD1181" s="596" t="s">
        <v>395</v>
      </c>
      <c r="AE1181" s="595">
        <v>297.49</v>
      </c>
      <c r="AF1181" s="597">
        <f t="shared" si="76"/>
        <v>-3.1564077104402344E-3</v>
      </c>
      <c r="AG1181" s="597">
        <f t="shared" si="77"/>
        <v>2.3709566414315209E-2</v>
      </c>
    </row>
    <row r="1182" spans="13:33" x14ac:dyDescent="0.35">
      <c r="M1182" s="555">
        <v>43378</v>
      </c>
      <c r="N1182" s="543" t="s">
        <v>449</v>
      </c>
      <c r="O1182" s="543">
        <v>39226.35</v>
      </c>
      <c r="P1182" s="73" t="s">
        <v>431</v>
      </c>
      <c r="Q1182" s="158">
        <v>21.95</v>
      </c>
      <c r="R1182" s="563">
        <f t="shared" si="74"/>
        <v>-2.1472482932173853E-2</v>
      </c>
      <c r="S1182" s="563">
        <f t="shared" si="75"/>
        <v>-4.9783549783549819E-2</v>
      </c>
      <c r="AA1182" s="594">
        <v>43376</v>
      </c>
      <c r="AB1182" s="595" t="s">
        <v>449</v>
      </c>
      <c r="AC1182" s="595">
        <v>40560.19</v>
      </c>
      <c r="AD1182" s="596" t="s">
        <v>395</v>
      </c>
      <c r="AE1182" s="595">
        <v>299</v>
      </c>
      <c r="AF1182" s="597">
        <f t="shared" si="76"/>
        <v>-5.8837874767924125E-3</v>
      </c>
      <c r="AG1182" s="597">
        <f t="shared" si="77"/>
        <v>5.0758008672560084E-3</v>
      </c>
    </row>
    <row r="1183" spans="13:33" x14ac:dyDescent="0.35">
      <c r="M1183" s="555">
        <v>43381</v>
      </c>
      <c r="N1183" s="543" t="s">
        <v>449</v>
      </c>
      <c r="O1183" s="543">
        <v>37898.29</v>
      </c>
      <c r="P1183" s="73" t="s">
        <v>431</v>
      </c>
      <c r="Q1183" s="158">
        <v>20.85</v>
      </c>
      <c r="R1183" s="563">
        <f t="shared" si="74"/>
        <v>-3.3856323619199769E-2</v>
      </c>
      <c r="S1183" s="563">
        <f t="shared" si="75"/>
        <v>-5.0113895216400861E-2</v>
      </c>
      <c r="AA1183" s="594">
        <v>43377</v>
      </c>
      <c r="AB1183" s="595" t="s">
        <v>449</v>
      </c>
      <c r="AC1183" s="595">
        <v>40087.120000000003</v>
      </c>
      <c r="AD1183" s="596" t="s">
        <v>395</v>
      </c>
      <c r="AE1183" s="595">
        <v>304.19</v>
      </c>
      <c r="AF1183" s="597">
        <f t="shared" si="76"/>
        <v>-1.166340690218659E-2</v>
      </c>
      <c r="AG1183" s="597">
        <f t="shared" si="77"/>
        <v>1.735785953177249E-2</v>
      </c>
    </row>
    <row r="1184" spans="13:33" x14ac:dyDescent="0.35">
      <c r="M1184" s="555">
        <v>43382</v>
      </c>
      <c r="N1184" s="543" t="s">
        <v>449</v>
      </c>
      <c r="O1184" s="543">
        <v>38504.839999999997</v>
      </c>
      <c r="P1184" s="73" t="s">
        <v>431</v>
      </c>
      <c r="Q1184" s="158">
        <v>20.32</v>
      </c>
      <c r="R1184" s="563">
        <f t="shared" si="74"/>
        <v>1.600467989452814E-2</v>
      </c>
      <c r="S1184" s="563">
        <f t="shared" si="75"/>
        <v>-2.5419664268585218E-2</v>
      </c>
      <c r="AA1184" s="594">
        <v>43378</v>
      </c>
      <c r="AB1184" s="595" t="s">
        <v>449</v>
      </c>
      <c r="AC1184" s="595">
        <v>39226.35</v>
      </c>
      <c r="AD1184" s="596" t="s">
        <v>395</v>
      </c>
      <c r="AE1184" s="595">
        <v>299.95</v>
      </c>
      <c r="AF1184" s="597">
        <f t="shared" si="76"/>
        <v>-2.1472482932173853E-2</v>
      </c>
      <c r="AG1184" s="597">
        <f t="shared" si="77"/>
        <v>-1.3938656760577262E-2</v>
      </c>
    </row>
    <row r="1185" spans="13:33" x14ac:dyDescent="0.35">
      <c r="M1185" s="555">
        <v>43383</v>
      </c>
      <c r="N1185" s="543" t="s">
        <v>449</v>
      </c>
      <c r="O1185" s="543">
        <v>38792.089999999997</v>
      </c>
      <c r="P1185" s="73" t="s">
        <v>431</v>
      </c>
      <c r="Q1185" s="158">
        <v>19.489999999999998</v>
      </c>
      <c r="R1185" s="563">
        <f t="shared" si="74"/>
        <v>7.460101119755258E-3</v>
      </c>
      <c r="S1185" s="563">
        <f t="shared" si="75"/>
        <v>-4.0846456692913424E-2</v>
      </c>
      <c r="AA1185" s="594">
        <v>43381</v>
      </c>
      <c r="AB1185" s="595" t="s">
        <v>449</v>
      </c>
      <c r="AC1185" s="595">
        <v>37898.29</v>
      </c>
      <c r="AD1185" s="596" t="s">
        <v>395</v>
      </c>
      <c r="AE1185" s="595">
        <v>291.55</v>
      </c>
      <c r="AF1185" s="597">
        <f t="shared" si="76"/>
        <v>-3.3856323619199769E-2</v>
      </c>
      <c r="AG1185" s="597">
        <f t="shared" si="77"/>
        <v>-2.8004667444573972E-2</v>
      </c>
    </row>
    <row r="1186" spans="13:33" x14ac:dyDescent="0.35">
      <c r="M1186" s="555">
        <v>43384</v>
      </c>
      <c r="N1186" s="543" t="s">
        <v>449</v>
      </c>
      <c r="O1186" s="543">
        <v>38398.300000000003</v>
      </c>
      <c r="P1186" s="73" t="s">
        <v>431</v>
      </c>
      <c r="Q1186" s="158">
        <v>19.59</v>
      </c>
      <c r="R1186" s="563">
        <f t="shared" si="74"/>
        <v>-1.0151296308087421E-2</v>
      </c>
      <c r="S1186" s="563">
        <f t="shared" si="75"/>
        <v>5.1308363263211643E-3</v>
      </c>
      <c r="AA1186" s="594">
        <v>43382</v>
      </c>
      <c r="AB1186" s="595" t="s">
        <v>449</v>
      </c>
      <c r="AC1186" s="595">
        <v>38504.839999999997</v>
      </c>
      <c r="AD1186" s="596" t="s">
        <v>395</v>
      </c>
      <c r="AE1186" s="595">
        <v>301.7</v>
      </c>
      <c r="AF1186" s="597">
        <f t="shared" si="76"/>
        <v>1.600467989452814E-2</v>
      </c>
      <c r="AG1186" s="597">
        <f t="shared" si="77"/>
        <v>3.4813925570227999E-2</v>
      </c>
    </row>
    <row r="1187" spans="13:33" x14ac:dyDescent="0.35">
      <c r="M1187" s="555">
        <v>43385</v>
      </c>
      <c r="N1187" s="543" t="s">
        <v>449</v>
      </c>
      <c r="O1187" s="543">
        <v>37517.93</v>
      </c>
      <c r="P1187" s="73" t="s">
        <v>431</v>
      </c>
      <c r="Q1187" s="158">
        <v>18.61</v>
      </c>
      <c r="R1187" s="563">
        <f t="shared" si="74"/>
        <v>-2.2927317094767252E-2</v>
      </c>
      <c r="S1187" s="563">
        <f t="shared" si="75"/>
        <v>-5.0025523226135848E-2</v>
      </c>
      <c r="AA1187" s="594">
        <v>43383</v>
      </c>
      <c r="AB1187" s="595" t="s">
        <v>449</v>
      </c>
      <c r="AC1187" s="595">
        <v>38792.089999999997</v>
      </c>
      <c r="AD1187" s="596" t="s">
        <v>395</v>
      </c>
      <c r="AE1187" s="595">
        <v>304.25</v>
      </c>
      <c r="AF1187" s="597">
        <f t="shared" si="76"/>
        <v>7.460101119755258E-3</v>
      </c>
      <c r="AG1187" s="597">
        <f t="shared" si="77"/>
        <v>8.4521047398078419E-3</v>
      </c>
    </row>
    <row r="1188" spans="13:33" x14ac:dyDescent="0.35">
      <c r="M1188" s="555">
        <v>43388</v>
      </c>
      <c r="N1188" s="543" t="s">
        <v>449</v>
      </c>
      <c r="O1188" s="543">
        <v>36767.57</v>
      </c>
      <c r="P1188" s="73" t="s">
        <v>431</v>
      </c>
      <c r="Q1188" s="158">
        <v>17.7</v>
      </c>
      <c r="R1188" s="563">
        <f t="shared" si="74"/>
        <v>-2.0000037315491603E-2</v>
      </c>
      <c r="S1188" s="563">
        <f t="shared" si="75"/>
        <v>-4.889844169801183E-2</v>
      </c>
      <c r="AA1188" s="594">
        <v>43384</v>
      </c>
      <c r="AB1188" s="595" t="s">
        <v>449</v>
      </c>
      <c r="AC1188" s="595">
        <v>38398.300000000003</v>
      </c>
      <c r="AD1188" s="596" t="s">
        <v>395</v>
      </c>
      <c r="AE1188" s="595">
        <v>302.5</v>
      </c>
      <c r="AF1188" s="597">
        <f t="shared" si="76"/>
        <v>-1.0151296308087421E-2</v>
      </c>
      <c r="AG1188" s="597">
        <f t="shared" si="77"/>
        <v>-5.7518488085456232E-3</v>
      </c>
    </row>
    <row r="1189" spans="13:33" x14ac:dyDescent="0.35">
      <c r="M1189" s="555">
        <v>43389</v>
      </c>
      <c r="N1189" s="543" t="s">
        <v>449</v>
      </c>
      <c r="O1189" s="543">
        <v>36663.379999999997</v>
      </c>
      <c r="P1189" s="73" t="s">
        <v>431</v>
      </c>
      <c r="Q1189" s="158">
        <v>17.64</v>
      </c>
      <c r="R1189" s="563">
        <f t="shared" si="74"/>
        <v>-2.8337472397550467E-3</v>
      </c>
      <c r="S1189" s="563">
        <f t="shared" si="75"/>
        <v>-3.3898305084745228E-3</v>
      </c>
      <c r="AA1189" s="594">
        <v>43385</v>
      </c>
      <c r="AB1189" s="595" t="s">
        <v>449</v>
      </c>
      <c r="AC1189" s="595">
        <v>37517.93</v>
      </c>
      <c r="AD1189" s="596" t="s">
        <v>395</v>
      </c>
      <c r="AE1189" s="595">
        <v>240.16</v>
      </c>
      <c r="AF1189" s="597">
        <f t="shared" si="76"/>
        <v>-2.2927317094767252E-2</v>
      </c>
      <c r="AG1189" s="597">
        <f t="shared" si="77"/>
        <v>-0.20608264462809922</v>
      </c>
    </row>
    <row r="1190" spans="13:33" x14ac:dyDescent="0.35">
      <c r="M1190" s="555">
        <v>43390</v>
      </c>
      <c r="N1190" s="543" t="s">
        <v>449</v>
      </c>
      <c r="O1190" s="543">
        <v>37647.339999999997</v>
      </c>
      <c r="P1190" s="73" t="s">
        <v>431</v>
      </c>
      <c r="Q1190" s="158">
        <v>18.52</v>
      </c>
      <c r="R1190" s="563">
        <f t="shared" si="74"/>
        <v>2.6837678359169281E-2</v>
      </c>
      <c r="S1190" s="563">
        <f t="shared" si="75"/>
        <v>4.9886621315192725E-2</v>
      </c>
      <c r="AA1190" s="594">
        <v>43388</v>
      </c>
      <c r="AB1190" s="595" t="s">
        <v>449</v>
      </c>
      <c r="AC1190" s="595">
        <v>36767.57</v>
      </c>
      <c r="AD1190" s="596" t="s">
        <v>395</v>
      </c>
      <c r="AE1190" s="595">
        <v>230.74</v>
      </c>
      <c r="AF1190" s="597">
        <f t="shared" si="76"/>
        <v>-2.0000037315491603E-2</v>
      </c>
      <c r="AG1190" s="597">
        <f t="shared" si="77"/>
        <v>-3.9223850766155866E-2</v>
      </c>
    </row>
    <row r="1191" spans="13:33" x14ac:dyDescent="0.35">
      <c r="M1191" s="555">
        <v>43391</v>
      </c>
      <c r="N1191" s="543" t="s">
        <v>449</v>
      </c>
      <c r="O1191" s="543">
        <v>37982.25</v>
      </c>
      <c r="P1191" s="73" t="s">
        <v>431</v>
      </c>
      <c r="Q1191" s="158">
        <v>19.170000000000002</v>
      </c>
      <c r="R1191" s="563">
        <f t="shared" si="74"/>
        <v>8.8959804331463221E-3</v>
      </c>
      <c r="S1191" s="563">
        <f t="shared" si="75"/>
        <v>3.5097192224622153E-2</v>
      </c>
      <c r="AA1191" s="594">
        <v>43389</v>
      </c>
      <c r="AB1191" s="595" t="s">
        <v>449</v>
      </c>
      <c r="AC1191" s="595">
        <v>36663.379999999997</v>
      </c>
      <c r="AD1191" s="596" t="s">
        <v>395</v>
      </c>
      <c r="AE1191" s="595">
        <v>226.55</v>
      </c>
      <c r="AF1191" s="597">
        <f t="shared" si="76"/>
        <v>-2.8337472397550467E-3</v>
      </c>
      <c r="AG1191" s="597">
        <f t="shared" si="77"/>
        <v>-1.8158966802461651E-2</v>
      </c>
    </row>
    <row r="1192" spans="13:33" x14ac:dyDescent="0.35">
      <c r="M1192" s="555">
        <v>43392</v>
      </c>
      <c r="N1192" s="543" t="s">
        <v>449</v>
      </c>
      <c r="O1192" s="543">
        <v>38430.269999999997</v>
      </c>
      <c r="P1192" s="73" t="s">
        <v>431</v>
      </c>
      <c r="Q1192" s="158">
        <v>20.11</v>
      </c>
      <c r="R1192" s="563">
        <f t="shared" si="74"/>
        <v>1.1795509744683352E-2</v>
      </c>
      <c r="S1192" s="563">
        <f t="shared" si="75"/>
        <v>4.9034950443401115E-2</v>
      </c>
      <c r="AA1192" s="594">
        <v>43390</v>
      </c>
      <c r="AB1192" s="595" t="s">
        <v>449</v>
      </c>
      <c r="AC1192" s="595">
        <v>37647.339999999997</v>
      </c>
      <c r="AD1192" s="596" t="s">
        <v>395</v>
      </c>
      <c r="AE1192" s="595">
        <v>236.46</v>
      </c>
      <c r="AF1192" s="597">
        <f t="shared" si="76"/>
        <v>2.6837678359169281E-2</v>
      </c>
      <c r="AG1192" s="597">
        <f t="shared" si="77"/>
        <v>4.3743103067755529E-2</v>
      </c>
    </row>
    <row r="1193" spans="13:33" x14ac:dyDescent="0.35">
      <c r="M1193" s="555">
        <v>43395</v>
      </c>
      <c r="N1193" s="543" t="s">
        <v>449</v>
      </c>
      <c r="O1193" s="543">
        <v>38345.42</v>
      </c>
      <c r="P1193" s="73" t="s">
        <v>431</v>
      </c>
      <c r="Q1193" s="158">
        <v>20.18</v>
      </c>
      <c r="R1193" s="563">
        <f t="shared" si="74"/>
        <v>-2.2078949744562815E-3</v>
      </c>
      <c r="S1193" s="563">
        <f t="shared" si="75"/>
        <v>3.4808552958727201E-3</v>
      </c>
      <c r="AA1193" s="594">
        <v>43391</v>
      </c>
      <c r="AB1193" s="595" t="s">
        <v>449</v>
      </c>
      <c r="AC1193" s="595">
        <v>37982.25</v>
      </c>
      <c r="AD1193" s="596" t="s">
        <v>395</v>
      </c>
      <c r="AE1193" s="595">
        <v>248.15</v>
      </c>
      <c r="AF1193" s="597">
        <f t="shared" si="76"/>
        <v>8.8959804331463221E-3</v>
      </c>
      <c r="AG1193" s="597">
        <f t="shared" si="77"/>
        <v>4.9437537004144438E-2</v>
      </c>
    </row>
    <row r="1194" spans="13:33" x14ac:dyDescent="0.35">
      <c r="M1194" s="555">
        <v>43396</v>
      </c>
      <c r="N1194" s="543" t="s">
        <v>449</v>
      </c>
      <c r="O1194" s="543">
        <v>37714.9</v>
      </c>
      <c r="P1194" s="73" t="s">
        <v>431</v>
      </c>
      <c r="Q1194" s="158">
        <v>19.22</v>
      </c>
      <c r="R1194" s="563">
        <f t="shared" si="74"/>
        <v>-1.6443163225229984E-2</v>
      </c>
      <c r="S1194" s="563">
        <f t="shared" si="75"/>
        <v>-4.7571853320118929E-2</v>
      </c>
      <c r="AA1194" s="589">
        <v>43392</v>
      </c>
      <c r="AB1194" s="590" t="s">
        <v>449</v>
      </c>
      <c r="AC1194" s="590">
        <v>38430.269999999997</v>
      </c>
      <c r="AD1194" s="591" t="s">
        <v>395</v>
      </c>
      <c r="AE1194" s="590">
        <v>254</v>
      </c>
      <c r="AF1194" s="592">
        <f t="shared" si="76"/>
        <v>1.1795509744683352E-2</v>
      </c>
      <c r="AG1194" s="592">
        <f t="shared" si="77"/>
        <v>2.3574450936933333E-2</v>
      </c>
    </row>
    <row r="1195" spans="13:33" x14ac:dyDescent="0.35">
      <c r="M1195" s="555">
        <v>43397</v>
      </c>
      <c r="N1195" s="543" t="s">
        <v>449</v>
      </c>
      <c r="O1195" s="543">
        <v>39271.120000000003</v>
      </c>
      <c r="P1195" s="73" t="s">
        <v>431</v>
      </c>
      <c r="Q1195" s="158">
        <v>20.18</v>
      </c>
      <c r="R1195" s="563">
        <f t="shared" si="74"/>
        <v>4.1262737008450179E-2</v>
      </c>
      <c r="S1195" s="563">
        <f t="shared" si="75"/>
        <v>4.9947970863683633E-2</v>
      </c>
      <c r="AA1195" s="589">
        <v>43395</v>
      </c>
      <c r="AB1195" s="590" t="s">
        <v>449</v>
      </c>
      <c r="AC1195" s="590">
        <v>38345.42</v>
      </c>
      <c r="AD1195" s="591" t="s">
        <v>395</v>
      </c>
      <c r="AE1195" s="590">
        <v>248.72</v>
      </c>
      <c r="AF1195" s="592">
        <f t="shared" si="76"/>
        <v>-2.2078949744562815E-3</v>
      </c>
      <c r="AG1195" s="592">
        <f t="shared" si="77"/>
        <v>-2.0787401574803188E-2</v>
      </c>
    </row>
    <row r="1196" spans="13:33" x14ac:dyDescent="0.35">
      <c r="M1196" s="555">
        <v>43398</v>
      </c>
      <c r="N1196" s="543" t="s">
        <v>449</v>
      </c>
      <c r="O1196" s="543">
        <v>39631.910000000003</v>
      </c>
      <c r="P1196" s="73" t="s">
        <v>431</v>
      </c>
      <c r="Q1196" s="158">
        <v>20.8</v>
      </c>
      <c r="R1196" s="563">
        <f t="shared" si="74"/>
        <v>9.1871584003715423E-3</v>
      </c>
      <c r="S1196" s="563">
        <f t="shared" si="75"/>
        <v>3.0723488602576898E-2</v>
      </c>
      <c r="AA1196" s="594">
        <v>43396</v>
      </c>
      <c r="AB1196" s="595" t="s">
        <v>449</v>
      </c>
      <c r="AC1196" s="595">
        <v>37714.9</v>
      </c>
      <c r="AD1196" s="596" t="s">
        <v>395</v>
      </c>
      <c r="AE1196" s="595">
        <v>247.7</v>
      </c>
      <c r="AF1196" s="597">
        <f t="shared" si="76"/>
        <v>-1.6443163225229984E-2</v>
      </c>
      <c r="AG1196" s="597">
        <f t="shared" si="77"/>
        <v>-4.1009971051785277E-3</v>
      </c>
    </row>
    <row r="1197" spans="13:33" x14ac:dyDescent="0.35">
      <c r="M1197" s="555">
        <v>43399</v>
      </c>
      <c r="N1197" s="543" t="s">
        <v>449</v>
      </c>
      <c r="O1197" s="543">
        <v>40556.449999999997</v>
      </c>
      <c r="P1197" s="73" t="s">
        <v>431</v>
      </c>
      <c r="Q1197" s="158">
        <v>21.39</v>
      </c>
      <c r="R1197" s="563">
        <f t="shared" si="74"/>
        <v>2.3328171667729158E-2</v>
      </c>
      <c r="S1197" s="563">
        <f t="shared" si="75"/>
        <v>2.8365384615384626E-2</v>
      </c>
      <c r="AA1197" s="594">
        <v>43397</v>
      </c>
      <c r="AB1197" s="595" t="s">
        <v>449</v>
      </c>
      <c r="AC1197" s="595">
        <v>39271.120000000003</v>
      </c>
      <c r="AD1197" s="596" t="s">
        <v>395</v>
      </c>
      <c r="AE1197" s="595">
        <v>247.56</v>
      </c>
      <c r="AF1197" s="597">
        <f t="shared" si="76"/>
        <v>4.1262737008450179E-2</v>
      </c>
      <c r="AG1197" s="597">
        <f t="shared" si="77"/>
        <v>-5.6519983851432976E-4</v>
      </c>
    </row>
    <row r="1198" spans="13:33" x14ac:dyDescent="0.35">
      <c r="M1198" s="555">
        <v>43402</v>
      </c>
      <c r="N1198" s="543" t="s">
        <v>449</v>
      </c>
      <c r="O1198" s="543">
        <v>41453.760000000002</v>
      </c>
      <c r="P1198" s="73" t="s">
        <v>431</v>
      </c>
      <c r="Q1198" s="158">
        <v>22.42</v>
      </c>
      <c r="R1198" s="563">
        <f t="shared" si="74"/>
        <v>2.2124964093257704E-2</v>
      </c>
      <c r="S1198" s="563">
        <f t="shared" si="75"/>
        <v>4.8153342683497025E-2</v>
      </c>
      <c r="AA1198" s="594">
        <v>43398</v>
      </c>
      <c r="AB1198" s="595" t="s">
        <v>449</v>
      </c>
      <c r="AC1198" s="595">
        <v>39631.910000000003</v>
      </c>
      <c r="AD1198" s="596" t="s">
        <v>395</v>
      </c>
      <c r="AE1198" s="595">
        <v>241.7</v>
      </c>
      <c r="AF1198" s="597">
        <f t="shared" si="76"/>
        <v>9.1871584003715423E-3</v>
      </c>
      <c r="AG1198" s="597">
        <f t="shared" si="77"/>
        <v>-2.3671029245435515E-2</v>
      </c>
    </row>
    <row r="1199" spans="13:33" x14ac:dyDescent="0.35">
      <c r="M1199" s="555">
        <v>43403</v>
      </c>
      <c r="N1199" s="543" t="s">
        <v>449</v>
      </c>
      <c r="O1199" s="543">
        <v>41609.019999999997</v>
      </c>
      <c r="P1199" s="73" t="s">
        <v>431</v>
      </c>
      <c r="Q1199" s="158">
        <v>22.5</v>
      </c>
      <c r="R1199" s="563">
        <f t="shared" si="74"/>
        <v>3.7453779826002176E-3</v>
      </c>
      <c r="S1199" s="563">
        <f t="shared" si="75"/>
        <v>3.568242640499486E-3</v>
      </c>
      <c r="AA1199" s="594">
        <v>43399</v>
      </c>
      <c r="AB1199" s="595" t="s">
        <v>449</v>
      </c>
      <c r="AC1199" s="595">
        <v>40556.449999999997</v>
      </c>
      <c r="AD1199" s="596" t="s">
        <v>395</v>
      </c>
      <c r="AE1199" s="595">
        <v>239.89</v>
      </c>
      <c r="AF1199" s="597">
        <f t="shared" si="76"/>
        <v>2.3328171667729158E-2</v>
      </c>
      <c r="AG1199" s="597">
        <f t="shared" si="77"/>
        <v>-7.4886222589988227E-3</v>
      </c>
    </row>
    <row r="1200" spans="13:33" x14ac:dyDescent="0.35">
      <c r="M1200" s="555">
        <v>43404</v>
      </c>
      <c r="N1200" s="543" t="s">
        <v>449</v>
      </c>
      <c r="O1200" s="543">
        <v>41649.360000000001</v>
      </c>
      <c r="P1200" s="73" t="s">
        <v>431</v>
      </c>
      <c r="Q1200" s="158">
        <v>21.73</v>
      </c>
      <c r="R1200" s="563">
        <f t="shared" si="74"/>
        <v>9.6950132447259918E-4</v>
      </c>
      <c r="S1200" s="563">
        <f t="shared" si="75"/>
        <v>-3.4222222222222154E-2</v>
      </c>
      <c r="AA1200" s="594">
        <v>43402</v>
      </c>
      <c r="AB1200" s="595" t="s">
        <v>449</v>
      </c>
      <c r="AC1200" s="595">
        <v>41453.760000000002</v>
      </c>
      <c r="AD1200" s="596" t="s">
        <v>395</v>
      </c>
      <c r="AE1200" s="595">
        <v>250.99</v>
      </c>
      <c r="AF1200" s="597">
        <f t="shared" si="76"/>
        <v>2.2124964093257704E-2</v>
      </c>
      <c r="AG1200" s="597">
        <f t="shared" si="77"/>
        <v>4.6271207636833678E-2</v>
      </c>
    </row>
    <row r="1201" spans="13:33" x14ac:dyDescent="0.35">
      <c r="M1201" s="555">
        <v>43405</v>
      </c>
      <c r="N1201" s="543" t="s">
        <v>449</v>
      </c>
      <c r="O1201" s="543">
        <v>41716.1</v>
      </c>
      <c r="P1201" s="73" t="s">
        <v>431</v>
      </c>
      <c r="Q1201" s="158">
        <v>22.46</v>
      </c>
      <c r="R1201" s="563">
        <f t="shared" si="74"/>
        <v>1.60242558349033E-3</v>
      </c>
      <c r="S1201" s="563">
        <f t="shared" si="75"/>
        <v>3.3594109526000837E-2</v>
      </c>
      <c r="AA1201" s="594">
        <v>43403</v>
      </c>
      <c r="AB1201" s="595" t="s">
        <v>449</v>
      </c>
      <c r="AC1201" s="595">
        <v>41609.019999999997</v>
      </c>
      <c r="AD1201" s="596" t="s">
        <v>395</v>
      </c>
      <c r="AE1201" s="595">
        <v>245.51</v>
      </c>
      <c r="AF1201" s="597">
        <f t="shared" si="76"/>
        <v>3.7453779826002176E-3</v>
      </c>
      <c r="AG1201" s="597">
        <f t="shared" si="77"/>
        <v>-2.183353918482811E-2</v>
      </c>
    </row>
    <row r="1202" spans="13:33" x14ac:dyDescent="0.35">
      <c r="M1202" s="555">
        <v>43406</v>
      </c>
      <c r="N1202" s="543" t="s">
        <v>449</v>
      </c>
      <c r="O1202" s="543">
        <v>42004.09</v>
      </c>
      <c r="P1202" s="73" t="s">
        <v>431</v>
      </c>
      <c r="Q1202" s="158">
        <v>22.89</v>
      </c>
      <c r="R1202" s="563">
        <f t="shared" si="74"/>
        <v>6.9035696050205875E-3</v>
      </c>
      <c r="S1202" s="563">
        <f t="shared" si="75"/>
        <v>1.9145146927871837E-2</v>
      </c>
      <c r="AA1202" s="594">
        <v>43404</v>
      </c>
      <c r="AB1202" s="595" t="s">
        <v>449</v>
      </c>
      <c r="AC1202" s="595">
        <v>41649.360000000001</v>
      </c>
      <c r="AD1202" s="596" t="s">
        <v>395</v>
      </c>
      <c r="AE1202" s="595">
        <v>247.99</v>
      </c>
      <c r="AF1202" s="597">
        <f t="shared" si="76"/>
        <v>9.6950132447259918E-4</v>
      </c>
      <c r="AG1202" s="597">
        <f t="shared" si="77"/>
        <v>1.0101421530691379E-2</v>
      </c>
    </row>
    <row r="1203" spans="13:33" x14ac:dyDescent="0.35">
      <c r="M1203" s="555">
        <v>43409</v>
      </c>
      <c r="N1203" s="543" t="s">
        <v>449</v>
      </c>
      <c r="O1203" s="543">
        <v>41493.96</v>
      </c>
      <c r="P1203" s="73" t="s">
        <v>431</v>
      </c>
      <c r="Q1203" s="158">
        <v>22.8</v>
      </c>
      <c r="R1203" s="563">
        <f t="shared" si="74"/>
        <v>-1.2144769711711301E-2</v>
      </c>
      <c r="S1203" s="563">
        <f t="shared" si="75"/>
        <v>-3.9318479685451768E-3</v>
      </c>
      <c r="AA1203" s="594">
        <v>43405</v>
      </c>
      <c r="AB1203" s="595" t="s">
        <v>449</v>
      </c>
      <c r="AC1203" s="595">
        <v>41716.1</v>
      </c>
      <c r="AD1203" s="596" t="s">
        <v>395</v>
      </c>
      <c r="AE1203" s="595">
        <v>244.5</v>
      </c>
      <c r="AF1203" s="597">
        <f t="shared" si="76"/>
        <v>1.60242558349033E-3</v>
      </c>
      <c r="AG1203" s="597">
        <f t="shared" si="77"/>
        <v>-1.4073148110810951E-2</v>
      </c>
    </row>
    <row r="1204" spans="13:33" x14ac:dyDescent="0.35">
      <c r="M1204" s="555">
        <v>43410</v>
      </c>
      <c r="N1204" s="543" t="s">
        <v>449</v>
      </c>
      <c r="O1204" s="543">
        <v>40958.53</v>
      </c>
      <c r="P1204" s="73" t="s">
        <v>431</v>
      </c>
      <c r="Q1204" s="158">
        <v>21.99</v>
      </c>
      <c r="R1204" s="563">
        <f t="shared" si="74"/>
        <v>-1.2903805758717635E-2</v>
      </c>
      <c r="S1204" s="563">
        <f t="shared" si="75"/>
        <v>-3.5526315789473739E-2</v>
      </c>
      <c r="AA1204" s="594">
        <v>43406</v>
      </c>
      <c r="AB1204" s="595" t="s">
        <v>449</v>
      </c>
      <c r="AC1204" s="595">
        <v>42004.09</v>
      </c>
      <c r="AD1204" s="596" t="s">
        <v>395</v>
      </c>
      <c r="AE1204" s="595">
        <v>244.98</v>
      </c>
      <c r="AF1204" s="597">
        <f t="shared" si="76"/>
        <v>6.9035696050205875E-3</v>
      </c>
      <c r="AG1204" s="597">
        <f t="shared" si="77"/>
        <v>1.9631901840491128E-3</v>
      </c>
    </row>
    <row r="1205" spans="13:33" x14ac:dyDescent="0.35">
      <c r="M1205" s="555">
        <v>43411</v>
      </c>
      <c r="N1205" s="543" t="s">
        <v>449</v>
      </c>
      <c r="O1205" s="543">
        <v>41543.980000000003</v>
      </c>
      <c r="P1205" s="73" t="s">
        <v>431</v>
      </c>
      <c r="Q1205" s="158">
        <v>22.53</v>
      </c>
      <c r="R1205" s="563">
        <f t="shared" si="74"/>
        <v>1.4293725873462781E-2</v>
      </c>
      <c r="S1205" s="563">
        <f t="shared" si="75"/>
        <v>2.4556616643929274E-2</v>
      </c>
      <c r="AA1205" s="594">
        <v>43409</v>
      </c>
      <c r="AB1205" s="595" t="s">
        <v>449</v>
      </c>
      <c r="AC1205" s="595">
        <v>41493.96</v>
      </c>
      <c r="AD1205" s="596" t="s">
        <v>395</v>
      </c>
      <c r="AE1205" s="595">
        <v>246.92</v>
      </c>
      <c r="AF1205" s="597">
        <f t="shared" si="76"/>
        <v>-1.2144769711711301E-2</v>
      </c>
      <c r="AG1205" s="597">
        <f t="shared" si="77"/>
        <v>7.9190137970446273E-3</v>
      </c>
    </row>
    <row r="1206" spans="13:33" x14ac:dyDescent="0.35">
      <c r="M1206" s="555">
        <v>43412</v>
      </c>
      <c r="N1206" s="543" t="s">
        <v>449</v>
      </c>
      <c r="O1206" s="543">
        <v>41367.379999999997</v>
      </c>
      <c r="P1206" s="73" t="s">
        <v>431</v>
      </c>
      <c r="Q1206" s="158">
        <v>22.34</v>
      </c>
      <c r="R1206" s="563">
        <f t="shared" si="74"/>
        <v>-4.2509167393207647E-3</v>
      </c>
      <c r="S1206" s="563">
        <f t="shared" si="75"/>
        <v>-8.4332001775411225E-3</v>
      </c>
      <c r="AA1206" s="594">
        <v>43410</v>
      </c>
      <c r="AB1206" s="595" t="s">
        <v>449</v>
      </c>
      <c r="AC1206" s="595">
        <v>40958.53</v>
      </c>
      <c r="AD1206" s="596" t="s">
        <v>395</v>
      </c>
      <c r="AE1206" s="595">
        <v>241.57</v>
      </c>
      <c r="AF1206" s="597">
        <f t="shared" si="76"/>
        <v>-1.2903805758717635E-2</v>
      </c>
      <c r="AG1206" s="597">
        <f t="shared" si="77"/>
        <v>-2.1666936659646807E-2</v>
      </c>
    </row>
    <row r="1207" spans="13:33" x14ac:dyDescent="0.35">
      <c r="M1207" s="555">
        <v>43413</v>
      </c>
      <c r="N1207" s="543" t="s">
        <v>449</v>
      </c>
      <c r="O1207" s="543">
        <v>41388.879999999997</v>
      </c>
      <c r="P1207" s="73" t="s">
        <v>431</v>
      </c>
      <c r="Q1207" s="158">
        <v>22.64</v>
      </c>
      <c r="R1207" s="563">
        <f t="shared" si="74"/>
        <v>5.1973318107156885E-4</v>
      </c>
      <c r="S1207" s="563">
        <f t="shared" si="75"/>
        <v>1.3428827215756556E-2</v>
      </c>
      <c r="AA1207" s="594">
        <v>43411</v>
      </c>
      <c r="AB1207" s="595" t="s">
        <v>449</v>
      </c>
      <c r="AC1207" s="595">
        <v>41543.980000000003</v>
      </c>
      <c r="AD1207" s="596" t="s">
        <v>395</v>
      </c>
      <c r="AE1207" s="595">
        <v>246.5</v>
      </c>
      <c r="AF1207" s="597">
        <f t="shared" si="76"/>
        <v>1.4293725873462781E-2</v>
      </c>
      <c r="AG1207" s="597">
        <f t="shared" si="77"/>
        <v>2.0408163265306145E-2</v>
      </c>
    </row>
    <row r="1208" spans="13:33" x14ac:dyDescent="0.35">
      <c r="M1208" s="555">
        <v>43416</v>
      </c>
      <c r="N1208" s="543" t="s">
        <v>449</v>
      </c>
      <c r="O1208" s="543">
        <v>41096.33</v>
      </c>
      <c r="P1208" s="73" t="s">
        <v>431</v>
      </c>
      <c r="Q1208" s="158">
        <v>22.06</v>
      </c>
      <c r="R1208" s="563">
        <f t="shared" si="74"/>
        <v>-7.0683236656801096E-3</v>
      </c>
      <c r="S1208" s="563">
        <f t="shared" si="75"/>
        <v>-2.5618374558303958E-2</v>
      </c>
      <c r="AA1208" s="594">
        <v>43412</v>
      </c>
      <c r="AB1208" s="595" t="s">
        <v>449</v>
      </c>
      <c r="AC1208" s="595">
        <v>41367.379999999997</v>
      </c>
      <c r="AD1208" s="596" t="s">
        <v>395</v>
      </c>
      <c r="AE1208" s="595">
        <v>243</v>
      </c>
      <c r="AF1208" s="597">
        <f t="shared" si="76"/>
        <v>-4.2509167393207647E-3</v>
      </c>
      <c r="AG1208" s="597">
        <f t="shared" si="77"/>
        <v>-1.4198782961460488E-2</v>
      </c>
    </row>
    <row r="1209" spans="13:33" x14ac:dyDescent="0.35">
      <c r="M1209" s="555">
        <v>43417</v>
      </c>
      <c r="N1209" s="543" t="s">
        <v>449</v>
      </c>
      <c r="O1209" s="543">
        <v>41152.28</v>
      </c>
      <c r="P1209" s="73" t="s">
        <v>431</v>
      </c>
      <c r="Q1209" s="158">
        <v>22.81</v>
      </c>
      <c r="R1209" s="563">
        <f t="shared" si="74"/>
        <v>1.3614354371789261E-3</v>
      </c>
      <c r="S1209" s="563">
        <f t="shared" si="75"/>
        <v>3.3998186763372518E-2</v>
      </c>
      <c r="AA1209" s="594">
        <v>43413</v>
      </c>
      <c r="AB1209" s="595" t="s">
        <v>449</v>
      </c>
      <c r="AC1209" s="595">
        <v>41388.879999999997</v>
      </c>
      <c r="AD1209" s="596" t="s">
        <v>395</v>
      </c>
      <c r="AE1209" s="595">
        <v>244.99</v>
      </c>
      <c r="AF1209" s="597">
        <f t="shared" si="76"/>
        <v>5.1973318107156885E-4</v>
      </c>
      <c r="AG1209" s="597">
        <f t="shared" si="77"/>
        <v>8.1893004115227708E-3</v>
      </c>
    </row>
    <row r="1210" spans="13:33" x14ac:dyDescent="0.35">
      <c r="M1210" s="555">
        <v>43418</v>
      </c>
      <c r="N1210" s="543" t="s">
        <v>449</v>
      </c>
      <c r="O1210" s="543">
        <v>40994.050000000003</v>
      </c>
      <c r="P1210" s="73" t="s">
        <v>431</v>
      </c>
      <c r="Q1210" s="158">
        <v>23.39</v>
      </c>
      <c r="R1210" s="563">
        <f t="shared" si="74"/>
        <v>-3.8449874466249812E-3</v>
      </c>
      <c r="S1210" s="563">
        <f t="shared" si="75"/>
        <v>2.5427444103463426E-2</v>
      </c>
      <c r="AA1210" s="594">
        <v>43416</v>
      </c>
      <c r="AB1210" s="595" t="s">
        <v>449</v>
      </c>
      <c r="AC1210" s="595">
        <v>41096.33</v>
      </c>
      <c r="AD1210" s="596" t="s">
        <v>395</v>
      </c>
      <c r="AE1210" s="595">
        <v>240.29</v>
      </c>
      <c r="AF1210" s="597">
        <f t="shared" si="76"/>
        <v>-7.0683236656801096E-3</v>
      </c>
      <c r="AG1210" s="597">
        <f t="shared" si="77"/>
        <v>-1.9184456508429037E-2</v>
      </c>
    </row>
    <row r="1211" spans="13:33" x14ac:dyDescent="0.35">
      <c r="M1211" s="555">
        <v>43419</v>
      </c>
      <c r="N1211" s="543" t="s">
        <v>449</v>
      </c>
      <c r="O1211" s="543">
        <v>41428.629999999997</v>
      </c>
      <c r="P1211" s="73" t="s">
        <v>431</v>
      </c>
      <c r="Q1211" s="158">
        <v>23.26</v>
      </c>
      <c r="R1211" s="563">
        <f t="shared" si="74"/>
        <v>1.0601050640275611E-2</v>
      </c>
      <c r="S1211" s="563">
        <f t="shared" si="75"/>
        <v>-5.5579307396322886E-3</v>
      </c>
      <c r="AA1211" s="594">
        <v>43417</v>
      </c>
      <c r="AB1211" s="595" t="s">
        <v>449</v>
      </c>
      <c r="AC1211" s="595">
        <v>41152.28</v>
      </c>
      <c r="AD1211" s="596" t="s">
        <v>395</v>
      </c>
      <c r="AE1211" s="595">
        <v>241</v>
      </c>
      <c r="AF1211" s="597">
        <f t="shared" si="76"/>
        <v>1.3614354371789261E-3</v>
      </c>
      <c r="AG1211" s="597">
        <f t="shared" si="77"/>
        <v>2.9547629947146437E-3</v>
      </c>
    </row>
    <row r="1212" spans="13:33" x14ac:dyDescent="0.35">
      <c r="M1212" s="555">
        <v>43420</v>
      </c>
      <c r="N1212" s="543" t="s">
        <v>449</v>
      </c>
      <c r="O1212" s="543">
        <v>41660.75</v>
      </c>
      <c r="P1212" s="73" t="s">
        <v>431</v>
      </c>
      <c r="Q1212" s="158">
        <v>22.86</v>
      </c>
      <c r="R1212" s="563">
        <f t="shared" si="74"/>
        <v>5.6028886303989278E-3</v>
      </c>
      <c r="S1212" s="563">
        <f t="shared" si="75"/>
        <v>-1.7196904557179815E-2</v>
      </c>
      <c r="AA1212" s="594">
        <v>43418</v>
      </c>
      <c r="AB1212" s="595" t="s">
        <v>449</v>
      </c>
      <c r="AC1212" s="595">
        <v>40994.050000000003</v>
      </c>
      <c r="AD1212" s="596" t="s">
        <v>395</v>
      </c>
      <c r="AE1212" s="595">
        <v>244.36</v>
      </c>
      <c r="AF1212" s="597">
        <f t="shared" si="76"/>
        <v>-3.8449874466249812E-3</v>
      </c>
      <c r="AG1212" s="597">
        <f t="shared" si="77"/>
        <v>1.3941908713692941E-2</v>
      </c>
    </row>
    <row r="1213" spans="13:33" x14ac:dyDescent="0.35">
      <c r="M1213" s="555">
        <v>43423</v>
      </c>
      <c r="N1213" s="543" t="s">
        <v>449</v>
      </c>
      <c r="O1213" s="543">
        <v>41352.769999999997</v>
      </c>
      <c r="P1213" s="73" t="s">
        <v>431</v>
      </c>
      <c r="Q1213" s="158">
        <v>22.7</v>
      </c>
      <c r="R1213" s="563">
        <f t="shared" si="74"/>
        <v>-7.3925697449038763E-3</v>
      </c>
      <c r="S1213" s="563">
        <f t="shared" si="75"/>
        <v>-6.9991251093612927E-3</v>
      </c>
      <c r="AA1213" s="594">
        <v>43419</v>
      </c>
      <c r="AB1213" s="595" t="s">
        <v>449</v>
      </c>
      <c r="AC1213" s="595">
        <v>41428.629999999997</v>
      </c>
      <c r="AD1213" s="596" t="s">
        <v>395</v>
      </c>
      <c r="AE1213" s="595">
        <v>238.61</v>
      </c>
      <c r="AF1213" s="597">
        <f t="shared" si="76"/>
        <v>1.0601050640275611E-2</v>
      </c>
      <c r="AG1213" s="597">
        <f t="shared" si="77"/>
        <v>-2.3530856113930243E-2</v>
      </c>
    </row>
    <row r="1214" spans="13:33" x14ac:dyDescent="0.35">
      <c r="M1214" s="555">
        <v>43424</v>
      </c>
      <c r="N1214" s="543" t="s">
        <v>449</v>
      </c>
      <c r="O1214" s="543">
        <v>41419.24</v>
      </c>
      <c r="P1214" s="73" t="s">
        <v>431</v>
      </c>
      <c r="Q1214" s="158">
        <v>22.48</v>
      </c>
      <c r="R1214" s="563">
        <f t="shared" si="74"/>
        <v>1.6073892994350469E-3</v>
      </c>
      <c r="S1214" s="563">
        <f t="shared" si="75"/>
        <v>-9.6916299559470787E-3</v>
      </c>
      <c r="AA1214" s="594">
        <v>43420</v>
      </c>
      <c r="AB1214" s="595" t="s">
        <v>449</v>
      </c>
      <c r="AC1214" s="595">
        <v>41660.75</v>
      </c>
      <c r="AD1214" s="596" t="s">
        <v>395</v>
      </c>
      <c r="AE1214" s="595">
        <v>238</v>
      </c>
      <c r="AF1214" s="597">
        <f t="shared" si="76"/>
        <v>5.6028886303989278E-3</v>
      </c>
      <c r="AG1214" s="597">
        <f t="shared" si="77"/>
        <v>-2.5564729055781443E-3</v>
      </c>
    </row>
    <row r="1215" spans="13:33" x14ac:dyDescent="0.35">
      <c r="M1215" s="555">
        <v>43426</v>
      </c>
      <c r="N1215" s="543" t="s">
        <v>449</v>
      </c>
      <c r="O1215" s="543">
        <v>40874.03</v>
      </c>
      <c r="P1215" s="73" t="s">
        <v>431</v>
      </c>
      <c r="Q1215" s="158">
        <v>22.48</v>
      </c>
      <c r="R1215" s="563">
        <f t="shared" si="74"/>
        <v>-1.3163206278048567E-2</v>
      </c>
      <c r="S1215" s="563">
        <f t="shared" si="75"/>
        <v>0</v>
      </c>
      <c r="AA1215" s="594">
        <v>43423</v>
      </c>
      <c r="AB1215" s="595" t="s">
        <v>449</v>
      </c>
      <c r="AC1215" s="595">
        <v>41352.769999999997</v>
      </c>
      <c r="AD1215" s="596" t="s">
        <v>395</v>
      </c>
      <c r="AE1215" s="595">
        <v>234.49</v>
      </c>
      <c r="AF1215" s="597">
        <f t="shared" si="76"/>
        <v>-7.3925697449038763E-3</v>
      </c>
      <c r="AG1215" s="597">
        <f t="shared" si="77"/>
        <v>-1.4747899159663791E-2</v>
      </c>
    </row>
    <row r="1216" spans="13:33" x14ac:dyDescent="0.35">
      <c r="M1216" s="555">
        <v>43427</v>
      </c>
      <c r="N1216" s="543" t="s">
        <v>449</v>
      </c>
      <c r="O1216" s="543">
        <v>40869.279999999999</v>
      </c>
      <c r="P1216" s="73" t="s">
        <v>431</v>
      </c>
      <c r="Q1216" s="158">
        <v>21.92</v>
      </c>
      <c r="R1216" s="563">
        <f t="shared" si="74"/>
        <v>-1.1621070885348139E-4</v>
      </c>
      <c r="S1216" s="563">
        <f t="shared" si="75"/>
        <v>-2.4911032028469671E-2</v>
      </c>
      <c r="AA1216" s="594">
        <v>43424</v>
      </c>
      <c r="AB1216" s="595" t="s">
        <v>449</v>
      </c>
      <c r="AC1216" s="595">
        <v>41419.24</v>
      </c>
      <c r="AD1216" s="596" t="s">
        <v>395</v>
      </c>
      <c r="AE1216" s="595">
        <v>237</v>
      </c>
      <c r="AF1216" s="597">
        <f t="shared" si="76"/>
        <v>1.6073892994350469E-3</v>
      </c>
      <c r="AG1216" s="597">
        <f t="shared" si="77"/>
        <v>1.0704081197492332E-2</v>
      </c>
    </row>
    <row r="1217" spans="13:33" x14ac:dyDescent="0.35">
      <c r="M1217" s="555">
        <v>43430</v>
      </c>
      <c r="N1217" s="543" t="s">
        <v>449</v>
      </c>
      <c r="O1217" s="543">
        <v>40771.550000000003</v>
      </c>
      <c r="P1217" s="73" t="s">
        <v>431</v>
      </c>
      <c r="Q1217" s="158">
        <v>21.49</v>
      </c>
      <c r="R1217" s="563">
        <f t="shared" si="74"/>
        <v>-2.3912826455468883E-3</v>
      </c>
      <c r="S1217" s="563">
        <f t="shared" si="75"/>
        <v>-1.9616788321167977E-2</v>
      </c>
      <c r="AA1217" s="594">
        <v>43426</v>
      </c>
      <c r="AB1217" s="595" t="s">
        <v>449</v>
      </c>
      <c r="AC1217" s="595">
        <v>40874.03</v>
      </c>
      <c r="AD1217" s="596" t="s">
        <v>395</v>
      </c>
      <c r="AE1217" s="595">
        <v>234.03</v>
      </c>
      <c r="AF1217" s="597">
        <f t="shared" si="76"/>
        <v>-1.3163206278048567E-2</v>
      </c>
      <c r="AG1217" s="597">
        <f t="shared" si="77"/>
        <v>-1.2531645569620276E-2</v>
      </c>
    </row>
    <row r="1218" spans="13:33" x14ac:dyDescent="0.35">
      <c r="M1218" s="555">
        <v>43431</v>
      </c>
      <c r="N1218" s="543" t="s">
        <v>449</v>
      </c>
      <c r="O1218" s="543">
        <v>40894.22</v>
      </c>
      <c r="P1218" s="73" t="s">
        <v>431</v>
      </c>
      <c r="Q1218" s="158">
        <v>21.01</v>
      </c>
      <c r="R1218" s="563">
        <f t="shared" si="74"/>
        <v>3.008715636270809E-3</v>
      </c>
      <c r="S1218" s="563">
        <f t="shared" si="75"/>
        <v>-2.2335970218706258E-2</v>
      </c>
      <c r="AA1218" s="594">
        <v>43427</v>
      </c>
      <c r="AB1218" s="595" t="s">
        <v>449</v>
      </c>
      <c r="AC1218" s="595">
        <v>40869.279999999999</v>
      </c>
      <c r="AD1218" s="596" t="s">
        <v>395</v>
      </c>
      <c r="AE1218" s="595">
        <v>235</v>
      </c>
      <c r="AF1218" s="597">
        <f t="shared" si="76"/>
        <v>-1.1621070885348139E-4</v>
      </c>
      <c r="AG1218" s="597">
        <f t="shared" si="77"/>
        <v>4.1447677648165371E-3</v>
      </c>
    </row>
    <row r="1219" spans="13:33" x14ac:dyDescent="0.35">
      <c r="M1219" s="526">
        <v>43434</v>
      </c>
      <c r="N1219" s="524" t="s">
        <v>449</v>
      </c>
      <c r="O1219" s="524">
        <v>40496.03</v>
      </c>
      <c r="P1219" s="73" t="s">
        <v>431</v>
      </c>
      <c r="Q1219">
        <v>19.7</v>
      </c>
      <c r="R1219" s="563">
        <f t="shared" si="74"/>
        <v>-9.7370728675104656E-3</v>
      </c>
      <c r="S1219" s="563">
        <f t="shared" si="75"/>
        <v>-6.2351261304141037E-2</v>
      </c>
      <c r="AA1219" s="594">
        <v>43430</v>
      </c>
      <c r="AB1219" s="595" t="s">
        <v>449</v>
      </c>
      <c r="AC1219" s="595">
        <v>40771.550000000003</v>
      </c>
      <c r="AD1219" s="596" t="s">
        <v>395</v>
      </c>
      <c r="AE1219" s="595">
        <v>235.14</v>
      </c>
      <c r="AF1219" s="597">
        <f t="shared" si="76"/>
        <v>-2.3912826455468883E-3</v>
      </c>
      <c r="AG1219" s="597">
        <f t="shared" si="77"/>
        <v>5.9574468085110688E-4</v>
      </c>
    </row>
    <row r="1220" spans="13:33" x14ac:dyDescent="0.35">
      <c r="M1220" s="555">
        <v>43437</v>
      </c>
      <c r="N1220" s="543" t="s">
        <v>449</v>
      </c>
      <c r="O1220" s="543">
        <v>39160.6</v>
      </c>
      <c r="P1220" s="73" t="s">
        <v>431</v>
      </c>
      <c r="Q1220" s="158">
        <v>18.71</v>
      </c>
      <c r="R1220" s="563">
        <f t="shared" si="74"/>
        <v>-3.2976812788809151E-2</v>
      </c>
      <c r="S1220" s="563">
        <f t="shared" si="75"/>
        <v>-5.025380710659888E-2</v>
      </c>
      <c r="AA1220" s="594">
        <v>43431</v>
      </c>
      <c r="AB1220" s="595" t="s">
        <v>449</v>
      </c>
      <c r="AC1220" s="595">
        <v>40894.22</v>
      </c>
      <c r="AD1220" s="596" t="s">
        <v>395</v>
      </c>
      <c r="AE1220" s="595">
        <v>233.03</v>
      </c>
      <c r="AF1220" s="597">
        <f t="shared" si="76"/>
        <v>3.008715636270809E-3</v>
      </c>
      <c r="AG1220" s="597">
        <f t="shared" si="77"/>
        <v>-8.9733775623032086E-3</v>
      </c>
    </row>
    <row r="1221" spans="13:33" x14ac:dyDescent="0.35">
      <c r="M1221" s="555">
        <v>43438</v>
      </c>
      <c r="N1221" s="543" t="s">
        <v>449</v>
      </c>
      <c r="O1221" s="543">
        <v>39602.870000000003</v>
      </c>
      <c r="P1221" s="73" t="s">
        <v>431</v>
      </c>
      <c r="Q1221" s="158">
        <v>18.7</v>
      </c>
      <c r="R1221" s="563">
        <f t="shared" si="74"/>
        <v>1.1293749329683411E-2</v>
      </c>
      <c r="S1221" s="563">
        <f t="shared" si="75"/>
        <v>-5.3447354355973253E-4</v>
      </c>
      <c r="AA1221" s="594">
        <v>43434</v>
      </c>
      <c r="AB1221" s="595" t="s">
        <v>449</v>
      </c>
      <c r="AC1221" s="595">
        <v>40496.03</v>
      </c>
      <c r="AD1221" s="596" t="s">
        <v>395</v>
      </c>
      <c r="AE1221" s="595">
        <v>231</v>
      </c>
      <c r="AF1221" s="597">
        <f t="shared" si="76"/>
        <v>-9.7370728675104656E-3</v>
      </c>
      <c r="AG1221" s="597">
        <f t="shared" si="77"/>
        <v>-8.711324722138758E-3</v>
      </c>
    </row>
    <row r="1222" spans="13:33" x14ac:dyDescent="0.35">
      <c r="M1222" s="555">
        <v>43439</v>
      </c>
      <c r="N1222" s="543" t="s">
        <v>449</v>
      </c>
      <c r="O1222" s="543">
        <v>39303.11</v>
      </c>
      <c r="P1222" s="73" t="s">
        <v>431</v>
      </c>
      <c r="Q1222" s="158">
        <v>18.149999999999999</v>
      </c>
      <c r="R1222" s="563">
        <f t="shared" si="74"/>
        <v>-7.5691483975782736E-3</v>
      </c>
      <c r="S1222" s="563">
        <f t="shared" si="75"/>
        <v>-2.9411764705882359E-2</v>
      </c>
      <c r="AA1222" s="594">
        <v>43437</v>
      </c>
      <c r="AB1222" s="595" t="s">
        <v>449</v>
      </c>
      <c r="AC1222" s="595">
        <v>39160.6</v>
      </c>
      <c r="AD1222" s="596" t="s">
        <v>395</v>
      </c>
      <c r="AE1222" s="595">
        <v>224.17</v>
      </c>
      <c r="AF1222" s="597">
        <f t="shared" si="76"/>
        <v>-3.2976812788809151E-2</v>
      </c>
      <c r="AG1222" s="597">
        <f t="shared" si="77"/>
        <v>-2.9567099567099575E-2</v>
      </c>
    </row>
    <row r="1223" spans="13:33" x14ac:dyDescent="0.35">
      <c r="M1223" s="555">
        <v>43440</v>
      </c>
      <c r="N1223" s="543" t="s">
        <v>449</v>
      </c>
      <c r="O1223" s="543">
        <v>38300.620000000003</v>
      </c>
      <c r="P1223" s="73" t="s">
        <v>431</v>
      </c>
      <c r="Q1223" s="158">
        <v>18.05</v>
      </c>
      <c r="R1223" s="563">
        <f t="shared" si="74"/>
        <v>-2.5506632935663354E-2</v>
      </c>
      <c r="S1223" s="563">
        <f t="shared" si="75"/>
        <v>-5.5096418732780705E-3</v>
      </c>
      <c r="AA1223" s="594">
        <v>43438</v>
      </c>
      <c r="AB1223" s="595" t="s">
        <v>449</v>
      </c>
      <c r="AC1223" s="595">
        <v>39602.870000000003</v>
      </c>
      <c r="AD1223" s="596" t="s">
        <v>395</v>
      </c>
      <c r="AE1223" s="595">
        <v>230</v>
      </c>
      <c r="AF1223" s="597">
        <f t="shared" si="76"/>
        <v>1.1293749329683411E-2</v>
      </c>
      <c r="AG1223" s="597">
        <f t="shared" si="77"/>
        <v>2.6007048222331353E-2</v>
      </c>
    </row>
    <row r="1224" spans="13:33" x14ac:dyDescent="0.35">
      <c r="M1224" s="555">
        <v>43441</v>
      </c>
      <c r="N1224" s="543" t="s">
        <v>449</v>
      </c>
      <c r="O1224" s="543">
        <v>38562.050000000003</v>
      </c>
      <c r="P1224" s="73" t="s">
        <v>431</v>
      </c>
      <c r="Q1224" s="158">
        <v>18.09</v>
      </c>
      <c r="R1224" s="563">
        <f t="shared" si="74"/>
        <v>6.8257380689920044E-3</v>
      </c>
      <c r="S1224" s="563">
        <f t="shared" si="75"/>
        <v>2.2160664819943499E-3</v>
      </c>
      <c r="AA1224" s="594">
        <v>43439</v>
      </c>
      <c r="AB1224" s="595" t="s">
        <v>449</v>
      </c>
      <c r="AC1224" s="595">
        <v>39303.11</v>
      </c>
      <c r="AD1224" s="596" t="s">
        <v>395</v>
      </c>
      <c r="AE1224" s="595">
        <v>222.01</v>
      </c>
      <c r="AF1224" s="597">
        <f t="shared" si="76"/>
        <v>-7.5691483975782736E-3</v>
      </c>
      <c r="AG1224" s="597">
        <f t="shared" si="77"/>
        <v>-3.4739130434782606E-2</v>
      </c>
    </row>
    <row r="1225" spans="13:33" x14ac:dyDescent="0.35">
      <c r="M1225" s="526">
        <v>43445</v>
      </c>
      <c r="N1225" s="524" t="s">
        <v>449</v>
      </c>
      <c r="O1225" s="524">
        <v>38851.96</v>
      </c>
      <c r="P1225" s="73" t="s">
        <v>431</v>
      </c>
      <c r="Q1225">
        <v>19.46</v>
      </c>
      <c r="R1225" s="563">
        <f t="shared" si="74"/>
        <v>7.5180131761665159E-3</v>
      </c>
      <c r="S1225" s="563">
        <f t="shared" si="75"/>
        <v>7.5732448866777213E-2</v>
      </c>
      <c r="AA1225" s="594">
        <v>43440</v>
      </c>
      <c r="AB1225" s="595" t="s">
        <v>449</v>
      </c>
      <c r="AC1225" s="595">
        <v>38300.620000000003</v>
      </c>
      <c r="AD1225" s="596" t="s">
        <v>395</v>
      </c>
      <c r="AE1225" s="595">
        <v>222.67</v>
      </c>
      <c r="AF1225" s="597">
        <f t="shared" si="76"/>
        <v>-2.5506632935663354E-2</v>
      </c>
      <c r="AG1225" s="597">
        <f t="shared" si="77"/>
        <v>2.9728390613035227E-3</v>
      </c>
    </row>
    <row r="1226" spans="13:33" x14ac:dyDescent="0.35">
      <c r="M1226" s="555">
        <v>43446</v>
      </c>
      <c r="N1226" s="543" t="s">
        <v>449</v>
      </c>
      <c r="O1226" s="543">
        <v>38307.440000000002</v>
      </c>
      <c r="P1226" s="73" t="s">
        <v>431</v>
      </c>
      <c r="Q1226" s="158">
        <v>18.75</v>
      </c>
      <c r="R1226" s="563">
        <f t="shared" si="74"/>
        <v>-1.4015251740195245E-2</v>
      </c>
      <c r="S1226" s="563">
        <f t="shared" si="75"/>
        <v>-3.64850976361768E-2</v>
      </c>
      <c r="AA1226" s="594">
        <v>43441</v>
      </c>
      <c r="AB1226" s="595" t="s">
        <v>449</v>
      </c>
      <c r="AC1226" s="595">
        <v>38562.050000000003</v>
      </c>
      <c r="AD1226" s="596" t="s">
        <v>395</v>
      </c>
      <c r="AE1226" s="595">
        <v>225</v>
      </c>
      <c r="AF1226" s="597">
        <f t="shared" si="76"/>
        <v>6.8257380689920044E-3</v>
      </c>
      <c r="AG1226" s="597">
        <f t="shared" si="77"/>
        <v>1.0463915210850105E-2</v>
      </c>
    </row>
    <row r="1227" spans="13:33" x14ac:dyDescent="0.35">
      <c r="M1227" s="555">
        <v>43447</v>
      </c>
      <c r="N1227" s="543" t="s">
        <v>449</v>
      </c>
      <c r="O1227" s="543">
        <v>38011.629999999997</v>
      </c>
      <c r="P1227" s="73" t="s">
        <v>431</v>
      </c>
      <c r="Q1227" s="158">
        <v>18.47</v>
      </c>
      <c r="R1227" s="563">
        <f t="shared" si="74"/>
        <v>-7.7219986509149408E-3</v>
      </c>
      <c r="S1227" s="563">
        <f t="shared" si="75"/>
        <v>-1.4933333333333354E-2</v>
      </c>
      <c r="AA1227" s="594">
        <v>43445</v>
      </c>
      <c r="AB1227" s="595" t="s">
        <v>449</v>
      </c>
      <c r="AC1227" s="595">
        <v>38851.96</v>
      </c>
      <c r="AD1227" s="596" t="s">
        <v>395</v>
      </c>
      <c r="AE1227" s="595">
        <v>225.56</v>
      </c>
      <c r="AF1227" s="597">
        <f t="shared" si="76"/>
        <v>7.5180131761665159E-3</v>
      </c>
      <c r="AG1227" s="597">
        <f t="shared" si="77"/>
        <v>2.4888888888889849E-3</v>
      </c>
    </row>
    <row r="1228" spans="13:33" x14ac:dyDescent="0.35">
      <c r="M1228" s="555">
        <v>43448</v>
      </c>
      <c r="N1228" s="543" t="s">
        <v>449</v>
      </c>
      <c r="O1228" s="543">
        <v>38585.660000000003</v>
      </c>
      <c r="P1228" s="73" t="s">
        <v>431</v>
      </c>
      <c r="Q1228" s="158">
        <v>18.55</v>
      </c>
      <c r="R1228" s="563">
        <f t="shared" si="74"/>
        <v>1.510143079894255E-2</v>
      </c>
      <c r="S1228" s="563">
        <f t="shared" si="75"/>
        <v>4.3313481321061165E-3</v>
      </c>
      <c r="AA1228" s="594">
        <v>43446</v>
      </c>
      <c r="AB1228" s="595" t="s">
        <v>449</v>
      </c>
      <c r="AC1228" s="595">
        <v>38307.440000000002</v>
      </c>
      <c r="AD1228" s="596" t="s">
        <v>395</v>
      </c>
      <c r="AE1228" s="595">
        <v>220.2</v>
      </c>
      <c r="AF1228" s="597">
        <f t="shared" si="76"/>
        <v>-1.4015251740195245E-2</v>
      </c>
      <c r="AG1228" s="597">
        <f t="shared" si="77"/>
        <v>-2.3763078560028461E-2</v>
      </c>
    </row>
    <row r="1229" spans="13:33" x14ac:dyDescent="0.35">
      <c r="M1229" s="526">
        <v>43452</v>
      </c>
      <c r="N1229" s="524" t="s">
        <v>449</v>
      </c>
      <c r="O1229" s="524">
        <v>38115.81</v>
      </c>
      <c r="P1229" s="73" t="s">
        <v>431</v>
      </c>
      <c r="Q1229">
        <v>18.22</v>
      </c>
      <c r="R1229" s="563">
        <f t="shared" si="74"/>
        <v>-1.2176803506795175E-2</v>
      </c>
      <c r="S1229" s="563">
        <f t="shared" si="75"/>
        <v>-1.7789757412398965E-2</v>
      </c>
      <c r="AA1229" s="594">
        <v>43447</v>
      </c>
      <c r="AB1229" s="595" t="s">
        <v>449</v>
      </c>
      <c r="AC1229" s="595">
        <v>38011.629999999997</v>
      </c>
      <c r="AD1229" s="596" t="s">
        <v>395</v>
      </c>
      <c r="AE1229" s="595">
        <v>218.17</v>
      </c>
      <c r="AF1229" s="597">
        <f t="shared" si="76"/>
        <v>-7.7219986509149408E-3</v>
      </c>
      <c r="AG1229" s="597">
        <f t="shared" si="77"/>
        <v>-9.2188919164396532E-3</v>
      </c>
    </row>
    <row r="1230" spans="13:33" x14ac:dyDescent="0.35">
      <c r="M1230" s="555">
        <v>43453</v>
      </c>
      <c r="N1230" s="543" t="s">
        <v>449</v>
      </c>
      <c r="O1230" s="543">
        <v>38063.15</v>
      </c>
      <c r="P1230" s="73" t="s">
        <v>431</v>
      </c>
      <c r="Q1230" s="158">
        <v>18.16</v>
      </c>
      <c r="R1230" s="563">
        <f t="shared" si="74"/>
        <v>-1.3815789301079295E-3</v>
      </c>
      <c r="S1230" s="563">
        <f t="shared" si="75"/>
        <v>-3.2930845225026539E-3</v>
      </c>
      <c r="AA1230" s="594">
        <v>43448</v>
      </c>
      <c r="AB1230" s="595" t="s">
        <v>449</v>
      </c>
      <c r="AC1230" s="595">
        <v>38585.660000000003</v>
      </c>
      <c r="AD1230" s="596" t="s">
        <v>395</v>
      </c>
      <c r="AE1230" s="595">
        <v>219.82</v>
      </c>
      <c r="AF1230" s="597">
        <f t="shared" si="76"/>
        <v>1.510143079894255E-2</v>
      </c>
      <c r="AG1230" s="597">
        <f t="shared" si="77"/>
        <v>7.5629096576064203E-3</v>
      </c>
    </row>
    <row r="1231" spans="13:33" x14ac:dyDescent="0.35">
      <c r="M1231" s="555">
        <v>43454</v>
      </c>
      <c r="N1231" s="543" t="s">
        <v>449</v>
      </c>
      <c r="O1231" s="543">
        <v>38236.519999999997</v>
      </c>
      <c r="P1231" s="73" t="s">
        <v>431</v>
      </c>
      <c r="Q1231" s="158">
        <v>18.149999999999999</v>
      </c>
      <c r="R1231" s="563">
        <f t="shared" si="74"/>
        <v>4.5547990641865432E-3</v>
      </c>
      <c r="S1231" s="563">
        <f t="shared" si="75"/>
        <v>-5.506607929516294E-4</v>
      </c>
      <c r="AA1231" s="594">
        <v>43452</v>
      </c>
      <c r="AB1231" s="595" t="s">
        <v>449</v>
      </c>
      <c r="AC1231" s="595">
        <v>38115.81</v>
      </c>
      <c r="AD1231" s="596" t="s">
        <v>395</v>
      </c>
      <c r="AE1231" s="595">
        <v>218.5</v>
      </c>
      <c r="AF1231" s="597">
        <f t="shared" si="76"/>
        <v>-1.2176803506795175E-2</v>
      </c>
      <c r="AG1231" s="597">
        <f t="shared" si="77"/>
        <v>-6.0049131107269282E-3</v>
      </c>
    </row>
    <row r="1232" spans="13:33" x14ac:dyDescent="0.35">
      <c r="M1232" s="555">
        <v>43455</v>
      </c>
      <c r="N1232" s="543" t="s">
        <v>449</v>
      </c>
      <c r="O1232" s="543">
        <v>38251.040000000001</v>
      </c>
      <c r="P1232" s="73" t="s">
        <v>431</v>
      </c>
      <c r="Q1232" s="158">
        <v>18.03</v>
      </c>
      <c r="R1232" s="563">
        <f t="shared" si="74"/>
        <v>3.7974167105181422E-4</v>
      </c>
      <c r="S1232" s="563">
        <f t="shared" si="75"/>
        <v>-6.6115702479337957E-3</v>
      </c>
      <c r="AA1232" s="594">
        <v>43453</v>
      </c>
      <c r="AB1232" s="595" t="s">
        <v>449</v>
      </c>
      <c r="AC1232" s="595">
        <v>38063.15</v>
      </c>
      <c r="AD1232" s="596" t="s">
        <v>395</v>
      </c>
      <c r="AE1232" s="595">
        <v>218</v>
      </c>
      <c r="AF1232" s="597">
        <f t="shared" si="76"/>
        <v>-1.3815789301079295E-3</v>
      </c>
      <c r="AG1232" s="597">
        <f t="shared" si="77"/>
        <v>-2.2883295194507935E-3</v>
      </c>
    </row>
    <row r="1233" spans="13:33" x14ac:dyDescent="0.35">
      <c r="M1233" s="555">
        <v>43458</v>
      </c>
      <c r="N1233" s="543" t="s">
        <v>449</v>
      </c>
      <c r="O1233" s="543">
        <v>38308.92</v>
      </c>
      <c r="P1233" s="73" t="s">
        <v>431</v>
      </c>
      <c r="Q1233" s="158">
        <v>17.98</v>
      </c>
      <c r="R1233" s="563">
        <f t="shared" si="74"/>
        <v>1.5131614722108111E-3</v>
      </c>
      <c r="S1233" s="563">
        <f t="shared" si="75"/>
        <v>-2.7731558513588439E-3</v>
      </c>
      <c r="AA1233" s="594">
        <v>43454</v>
      </c>
      <c r="AB1233" s="595" t="s">
        <v>449</v>
      </c>
      <c r="AC1233" s="595">
        <v>38236.519999999997</v>
      </c>
      <c r="AD1233" s="596" t="s">
        <v>395</v>
      </c>
      <c r="AE1233" s="595">
        <v>215</v>
      </c>
      <c r="AF1233" s="597">
        <f t="shared" si="76"/>
        <v>4.5547990641865432E-3</v>
      </c>
      <c r="AG1233" s="597">
        <f t="shared" si="77"/>
        <v>-1.3761467889908285E-2</v>
      </c>
    </row>
    <row r="1234" spans="13:33" x14ac:dyDescent="0.35">
      <c r="M1234" s="555">
        <v>43460</v>
      </c>
      <c r="N1234" s="543" t="s">
        <v>449</v>
      </c>
      <c r="O1234" s="543">
        <v>38218.07</v>
      </c>
      <c r="P1234" s="73" t="s">
        <v>431</v>
      </c>
      <c r="Q1234" s="158">
        <v>17.920000000000002</v>
      </c>
      <c r="R1234" s="563">
        <f t="shared" si="74"/>
        <v>-2.3715103427608408E-3</v>
      </c>
      <c r="S1234" s="563">
        <f t="shared" si="75"/>
        <v>-3.3370411568408587E-3</v>
      </c>
      <c r="AA1234" s="594">
        <v>43455</v>
      </c>
      <c r="AB1234" s="595" t="s">
        <v>449</v>
      </c>
      <c r="AC1234" s="595">
        <v>38251.040000000001</v>
      </c>
      <c r="AD1234" s="596" t="s">
        <v>395</v>
      </c>
      <c r="AE1234" s="595">
        <v>213.5</v>
      </c>
      <c r="AF1234" s="597">
        <f t="shared" si="76"/>
        <v>3.7974167105181422E-4</v>
      </c>
      <c r="AG1234" s="597">
        <f t="shared" si="77"/>
        <v>-6.9767441860465462E-3</v>
      </c>
    </row>
    <row r="1235" spans="13:33" x14ac:dyDescent="0.35">
      <c r="M1235" s="555">
        <v>43461</v>
      </c>
      <c r="N1235" s="543" t="s">
        <v>449</v>
      </c>
      <c r="O1235" s="543">
        <v>37853.57</v>
      </c>
      <c r="P1235" s="73" t="s">
        <v>431</v>
      </c>
      <c r="Q1235" s="158">
        <v>17.45</v>
      </c>
      <c r="R1235" s="563">
        <f t="shared" si="74"/>
        <v>-9.5373732896506525E-3</v>
      </c>
      <c r="S1235" s="563">
        <f t="shared" si="75"/>
        <v>-2.6227678571428714E-2</v>
      </c>
      <c r="AA1235" s="594">
        <v>43458</v>
      </c>
      <c r="AB1235" s="595" t="s">
        <v>449</v>
      </c>
      <c r="AC1235" s="595">
        <v>38308.92</v>
      </c>
      <c r="AD1235" s="596" t="s">
        <v>395</v>
      </c>
      <c r="AE1235" s="595">
        <v>219.54</v>
      </c>
      <c r="AF1235" s="597">
        <f t="shared" si="76"/>
        <v>1.5131614722108111E-3</v>
      </c>
      <c r="AG1235" s="597">
        <f t="shared" si="77"/>
        <v>2.8290398126463723E-2</v>
      </c>
    </row>
    <row r="1236" spans="13:33" x14ac:dyDescent="0.35">
      <c r="M1236" s="555">
        <v>43462</v>
      </c>
      <c r="N1236" s="543" t="s">
        <v>449</v>
      </c>
      <c r="O1236" s="543">
        <v>37167.019999999997</v>
      </c>
      <c r="P1236" s="73" t="s">
        <v>431</v>
      </c>
      <c r="Q1236" s="158">
        <v>16.68</v>
      </c>
      <c r="R1236" s="563">
        <f t="shared" si="74"/>
        <v>-1.813699474052255E-2</v>
      </c>
      <c r="S1236" s="563">
        <f t="shared" si="75"/>
        <v>-4.4126074498567314E-2</v>
      </c>
      <c r="AA1236" s="594">
        <v>43460</v>
      </c>
      <c r="AB1236" s="595" t="s">
        <v>449</v>
      </c>
      <c r="AC1236" s="595">
        <v>38218.07</v>
      </c>
      <c r="AD1236" s="596" t="s">
        <v>395</v>
      </c>
      <c r="AE1236" s="595">
        <v>219.89</v>
      </c>
      <c r="AF1236" s="597">
        <f t="shared" si="76"/>
        <v>-2.3715103427608408E-3</v>
      </c>
      <c r="AG1236" s="597">
        <f t="shared" si="77"/>
        <v>1.5942425070600841E-3</v>
      </c>
    </row>
    <row r="1237" spans="13:33" x14ac:dyDescent="0.35">
      <c r="M1237" s="555">
        <v>43465</v>
      </c>
      <c r="N1237" s="543" t="s">
        <v>449</v>
      </c>
      <c r="O1237" s="543">
        <v>37066.67</v>
      </c>
      <c r="P1237" s="73" t="s">
        <v>431</v>
      </c>
      <c r="Q1237" s="158">
        <v>16.09</v>
      </c>
      <c r="R1237" s="563">
        <f t="shared" si="74"/>
        <v>-2.6999743320825775E-3</v>
      </c>
      <c r="S1237" s="563">
        <f t="shared" si="75"/>
        <v>-3.537170263788969E-2</v>
      </c>
      <c r="AA1237" s="594">
        <v>43461</v>
      </c>
      <c r="AB1237" s="595" t="s">
        <v>449</v>
      </c>
      <c r="AC1237" s="595">
        <v>37853.57</v>
      </c>
      <c r="AD1237" s="596" t="s">
        <v>395</v>
      </c>
      <c r="AE1237" s="595">
        <v>216.05</v>
      </c>
      <c r="AF1237" s="597">
        <f t="shared" si="76"/>
        <v>-9.5373732896506525E-3</v>
      </c>
      <c r="AG1237" s="597">
        <f t="shared" si="77"/>
        <v>-1.7463277093091922E-2</v>
      </c>
    </row>
    <row r="1238" spans="13:33" x14ac:dyDescent="0.35">
      <c r="M1238" s="555">
        <v>43466</v>
      </c>
      <c r="N1238" s="543" t="s">
        <v>449</v>
      </c>
      <c r="O1238" s="543">
        <v>37995.760000000002</v>
      </c>
      <c r="P1238" s="73" t="s">
        <v>431</v>
      </c>
      <c r="Q1238" s="158">
        <v>16.71</v>
      </c>
      <c r="R1238" s="563">
        <f t="shared" si="74"/>
        <v>2.5065375443761306E-2</v>
      </c>
      <c r="S1238" s="563">
        <f t="shared" si="75"/>
        <v>3.8533250466127988E-2</v>
      </c>
      <c r="AA1238" s="594">
        <v>43462</v>
      </c>
      <c r="AB1238" s="595" t="s">
        <v>449</v>
      </c>
      <c r="AC1238" s="595">
        <v>37167.019999999997</v>
      </c>
      <c r="AD1238" s="596" t="s">
        <v>395</v>
      </c>
      <c r="AE1238" s="595">
        <v>215.3</v>
      </c>
      <c r="AF1238" s="597">
        <f t="shared" si="76"/>
        <v>-1.813699474052255E-2</v>
      </c>
      <c r="AG1238" s="597">
        <f t="shared" si="77"/>
        <v>-3.4714186530895308E-3</v>
      </c>
    </row>
    <row r="1239" spans="13:33" x14ac:dyDescent="0.35">
      <c r="M1239" s="555">
        <v>43467</v>
      </c>
      <c r="N1239" s="543" t="s">
        <v>449</v>
      </c>
      <c r="O1239" s="543">
        <v>37795.25</v>
      </c>
      <c r="P1239" s="73" t="s">
        <v>431</v>
      </c>
      <c r="Q1239" s="158">
        <v>16.59</v>
      </c>
      <c r="R1239" s="563">
        <f t="shared" si="74"/>
        <v>-5.2771677681930917E-3</v>
      </c>
      <c r="S1239" s="563">
        <f t="shared" si="75"/>
        <v>-7.1813285457810183E-3</v>
      </c>
      <c r="AA1239" s="594">
        <v>43465</v>
      </c>
      <c r="AB1239" s="595" t="s">
        <v>449</v>
      </c>
      <c r="AC1239" s="595">
        <v>37066.67</v>
      </c>
      <c r="AD1239" s="596" t="s">
        <v>395</v>
      </c>
      <c r="AE1239" s="595">
        <v>214.25</v>
      </c>
      <c r="AF1239" s="597">
        <f t="shared" si="76"/>
        <v>-2.6999743320825775E-3</v>
      </c>
      <c r="AG1239" s="597">
        <f t="shared" si="77"/>
        <v>-4.8769159312587185E-3</v>
      </c>
    </row>
    <row r="1240" spans="13:33" x14ac:dyDescent="0.35">
      <c r="M1240" s="555">
        <v>43468</v>
      </c>
      <c r="N1240" s="543" t="s">
        <v>449</v>
      </c>
      <c r="O1240" s="543">
        <v>37542.01</v>
      </c>
      <c r="P1240" s="73" t="s">
        <v>431</v>
      </c>
      <c r="Q1240" s="158">
        <v>16.149999999999999</v>
      </c>
      <c r="R1240" s="563">
        <f t="shared" si="74"/>
        <v>-6.7003128700034997E-3</v>
      </c>
      <c r="S1240" s="563">
        <f t="shared" si="75"/>
        <v>-2.6522001205545598E-2</v>
      </c>
      <c r="AA1240" s="594">
        <v>43466</v>
      </c>
      <c r="AB1240" s="595" t="s">
        <v>449</v>
      </c>
      <c r="AC1240" s="595">
        <v>37995.760000000002</v>
      </c>
      <c r="AD1240" s="596" t="s">
        <v>395</v>
      </c>
      <c r="AE1240" s="595">
        <v>217</v>
      </c>
      <c r="AF1240" s="597">
        <f t="shared" si="76"/>
        <v>2.5065375443761306E-2</v>
      </c>
      <c r="AG1240" s="597">
        <f t="shared" si="77"/>
        <v>1.2835472578763163E-2</v>
      </c>
    </row>
    <row r="1241" spans="13:33" x14ac:dyDescent="0.35">
      <c r="M1241" s="555">
        <v>43469</v>
      </c>
      <c r="N1241" s="543" t="s">
        <v>449</v>
      </c>
      <c r="O1241" s="543">
        <v>37547.49</v>
      </c>
      <c r="P1241" s="73" t="s">
        <v>431</v>
      </c>
      <c r="Q1241" s="158">
        <v>16.28</v>
      </c>
      <c r="R1241" s="563">
        <f t="shared" si="74"/>
        <v>1.4596980822267902E-4</v>
      </c>
      <c r="S1241" s="563">
        <f t="shared" si="75"/>
        <v>8.049535603715352E-3</v>
      </c>
      <c r="AA1241" s="594">
        <v>43467</v>
      </c>
      <c r="AB1241" s="595" t="s">
        <v>449</v>
      </c>
      <c r="AC1241" s="595">
        <v>37795.25</v>
      </c>
      <c r="AD1241" s="596" t="s">
        <v>395</v>
      </c>
      <c r="AE1241" s="595">
        <v>217.25</v>
      </c>
      <c r="AF1241" s="597">
        <f t="shared" si="76"/>
        <v>-5.2771677681930917E-3</v>
      </c>
      <c r="AG1241" s="597">
        <f t="shared" si="77"/>
        <v>1.1520737327188613E-3</v>
      </c>
    </row>
    <row r="1242" spans="13:33" x14ac:dyDescent="0.35">
      <c r="M1242" s="555">
        <v>43472</v>
      </c>
      <c r="N1242" s="543" t="s">
        <v>449</v>
      </c>
      <c r="O1242" s="543">
        <v>38562.400000000001</v>
      </c>
      <c r="P1242" s="73" t="s">
        <v>431</v>
      </c>
      <c r="Q1242" s="158">
        <v>16.440000000000001</v>
      </c>
      <c r="R1242" s="563">
        <f t="shared" ref="R1242:R1305" si="78">(O1242/O1241)-1</f>
        <v>2.7030035829292531E-2</v>
      </c>
      <c r="S1242" s="563">
        <f t="shared" ref="S1242:S1305" si="79">(Q1242/Q1241)-1</f>
        <v>9.8280098280099093E-3</v>
      </c>
      <c r="AA1242" s="594">
        <v>43468</v>
      </c>
      <c r="AB1242" s="595" t="s">
        <v>449</v>
      </c>
      <c r="AC1242" s="595">
        <v>37542.01</v>
      </c>
      <c r="AD1242" s="596" t="s">
        <v>395</v>
      </c>
      <c r="AE1242" s="595">
        <v>216.01</v>
      </c>
      <c r="AF1242" s="597">
        <f t="shared" si="76"/>
        <v>-6.7003128700034997E-3</v>
      </c>
      <c r="AG1242" s="597">
        <f t="shared" si="77"/>
        <v>-5.7077100115074941E-3</v>
      </c>
    </row>
    <row r="1243" spans="13:33" x14ac:dyDescent="0.35">
      <c r="M1243" s="555">
        <v>43473</v>
      </c>
      <c r="N1243" s="543" t="s">
        <v>449</v>
      </c>
      <c r="O1243" s="543">
        <v>39052.5</v>
      </c>
      <c r="P1243" s="73" t="s">
        <v>431</v>
      </c>
      <c r="Q1243" s="158">
        <v>17.21</v>
      </c>
      <c r="R1243" s="563">
        <f t="shared" si="78"/>
        <v>1.2709271207186346E-2</v>
      </c>
      <c r="S1243" s="563">
        <f t="shared" si="79"/>
        <v>4.6836982968369689E-2</v>
      </c>
      <c r="AA1243" s="594">
        <v>43469</v>
      </c>
      <c r="AB1243" s="595" t="s">
        <v>449</v>
      </c>
      <c r="AC1243" s="595">
        <v>37547.49</v>
      </c>
      <c r="AD1243" s="596" t="s">
        <v>395</v>
      </c>
      <c r="AE1243" s="595">
        <v>220</v>
      </c>
      <c r="AF1243" s="597">
        <f t="shared" si="76"/>
        <v>1.4596980822267902E-4</v>
      </c>
      <c r="AG1243" s="597">
        <f t="shared" si="77"/>
        <v>1.8471367066339672E-2</v>
      </c>
    </row>
    <row r="1244" spans="13:33" x14ac:dyDescent="0.35">
      <c r="M1244" s="555">
        <v>43474</v>
      </c>
      <c r="N1244" s="543" t="s">
        <v>449</v>
      </c>
      <c r="O1244" s="543">
        <v>38921.69</v>
      </c>
      <c r="P1244" s="73" t="s">
        <v>431</v>
      </c>
      <c r="Q1244" s="158">
        <v>18.07</v>
      </c>
      <c r="R1244" s="563">
        <f t="shared" si="78"/>
        <v>-3.3495934959348883E-3</v>
      </c>
      <c r="S1244" s="563">
        <f t="shared" si="79"/>
        <v>4.9970947123765264E-2</v>
      </c>
      <c r="AA1244" s="594">
        <v>43472</v>
      </c>
      <c r="AB1244" s="595" t="s">
        <v>449</v>
      </c>
      <c r="AC1244" s="595">
        <v>38562.400000000001</v>
      </c>
      <c r="AD1244" s="596" t="s">
        <v>395</v>
      </c>
      <c r="AE1244" s="595">
        <v>222.22</v>
      </c>
      <c r="AF1244" s="597">
        <f t="shared" ref="AF1244:AF1307" si="80">(AC1244/AC1243)-1</f>
        <v>2.7030035829292531E-2</v>
      </c>
      <c r="AG1244" s="597">
        <f t="shared" ref="AG1244:AG1307" si="81">(AE1244/AE1243)-1</f>
        <v>1.009090909090915E-2</v>
      </c>
    </row>
    <row r="1245" spans="13:33" x14ac:dyDescent="0.35">
      <c r="M1245" s="555">
        <v>43475</v>
      </c>
      <c r="N1245" s="543" t="s">
        <v>449</v>
      </c>
      <c r="O1245" s="543">
        <v>39090.28</v>
      </c>
      <c r="P1245" s="73" t="s">
        <v>431</v>
      </c>
      <c r="Q1245" s="158">
        <v>17.579999999999998</v>
      </c>
      <c r="R1245" s="563">
        <f t="shared" si="78"/>
        <v>4.3315179787926095E-3</v>
      </c>
      <c r="S1245" s="563">
        <f t="shared" si="79"/>
        <v>-2.7116768123962465E-2</v>
      </c>
      <c r="AA1245" s="594">
        <v>43473</v>
      </c>
      <c r="AB1245" s="595" t="s">
        <v>449</v>
      </c>
      <c r="AC1245" s="595">
        <v>39052.5</v>
      </c>
      <c r="AD1245" s="596" t="s">
        <v>395</v>
      </c>
      <c r="AE1245" s="595">
        <v>215.5</v>
      </c>
      <c r="AF1245" s="597">
        <f t="shared" si="80"/>
        <v>1.2709271207186346E-2</v>
      </c>
      <c r="AG1245" s="597">
        <f t="shared" si="81"/>
        <v>-3.0240302403024E-2</v>
      </c>
    </row>
    <row r="1246" spans="13:33" x14ac:dyDescent="0.35">
      <c r="M1246" s="555">
        <v>43476</v>
      </c>
      <c r="N1246" s="543" t="s">
        <v>449</v>
      </c>
      <c r="O1246" s="543">
        <v>39049.08</v>
      </c>
      <c r="P1246" s="73" t="s">
        <v>431</v>
      </c>
      <c r="Q1246" s="158">
        <v>17.62</v>
      </c>
      <c r="R1246" s="563">
        <f t="shared" si="78"/>
        <v>-1.0539704499429314E-3</v>
      </c>
      <c r="S1246" s="563">
        <f t="shared" si="79"/>
        <v>2.2753128555177415E-3</v>
      </c>
      <c r="AA1246" s="594">
        <v>43474</v>
      </c>
      <c r="AB1246" s="595" t="s">
        <v>449</v>
      </c>
      <c r="AC1246" s="595">
        <v>38921.69</v>
      </c>
      <c r="AD1246" s="596" t="s">
        <v>395</v>
      </c>
      <c r="AE1246" s="595">
        <v>214.43</v>
      </c>
      <c r="AF1246" s="597">
        <f t="shared" si="80"/>
        <v>-3.3495934959348883E-3</v>
      </c>
      <c r="AG1246" s="597">
        <f t="shared" si="81"/>
        <v>-4.9651972157772617E-3</v>
      </c>
    </row>
    <row r="1247" spans="13:33" x14ac:dyDescent="0.35">
      <c r="M1247" s="555">
        <v>43479</v>
      </c>
      <c r="N1247" s="543" t="s">
        <v>449</v>
      </c>
      <c r="O1247" s="543">
        <v>39412.550000000003</v>
      </c>
      <c r="P1247" s="73" t="s">
        <v>431</v>
      </c>
      <c r="Q1247" s="158">
        <v>17.84</v>
      </c>
      <c r="R1247" s="563">
        <f t="shared" si="78"/>
        <v>9.3080297922512045E-3</v>
      </c>
      <c r="S1247" s="563">
        <f t="shared" si="79"/>
        <v>1.2485811577752415E-2</v>
      </c>
      <c r="AA1247" s="594">
        <v>43475</v>
      </c>
      <c r="AB1247" s="595" t="s">
        <v>449</v>
      </c>
      <c r="AC1247" s="595">
        <v>39090.28</v>
      </c>
      <c r="AD1247" s="596" t="s">
        <v>395</v>
      </c>
      <c r="AE1247" s="595">
        <v>215</v>
      </c>
      <c r="AF1247" s="597">
        <f t="shared" si="80"/>
        <v>4.3315179787926095E-3</v>
      </c>
      <c r="AG1247" s="597">
        <f t="shared" si="81"/>
        <v>2.6582101385066448E-3</v>
      </c>
    </row>
    <row r="1248" spans="13:33" x14ac:dyDescent="0.35">
      <c r="M1248" s="555">
        <v>43480</v>
      </c>
      <c r="N1248" s="543" t="s">
        <v>449</v>
      </c>
      <c r="O1248" s="543">
        <v>39614.17</v>
      </c>
      <c r="P1248" s="73" t="s">
        <v>431</v>
      </c>
      <c r="Q1248" s="158">
        <v>17.71</v>
      </c>
      <c r="R1248" s="563">
        <f t="shared" si="78"/>
        <v>5.1156294124585777E-3</v>
      </c>
      <c r="S1248" s="563">
        <f t="shared" si="79"/>
        <v>-7.286995515695005E-3</v>
      </c>
      <c r="AA1248" s="594">
        <v>43476</v>
      </c>
      <c r="AB1248" s="595" t="s">
        <v>449</v>
      </c>
      <c r="AC1248" s="595">
        <v>39049.08</v>
      </c>
      <c r="AD1248" s="596" t="s">
        <v>395</v>
      </c>
      <c r="AE1248" s="595">
        <v>215</v>
      </c>
      <c r="AF1248" s="597">
        <f t="shared" si="80"/>
        <v>-1.0539704499429314E-3</v>
      </c>
      <c r="AG1248" s="597">
        <f t="shared" si="81"/>
        <v>0</v>
      </c>
    </row>
    <row r="1249" spans="13:33" x14ac:dyDescent="0.35">
      <c r="M1249" s="555">
        <v>43481</v>
      </c>
      <c r="N1249" s="543" t="s">
        <v>449</v>
      </c>
      <c r="O1249" s="543">
        <v>39271.94</v>
      </c>
      <c r="P1249" s="73" t="s">
        <v>431</v>
      </c>
      <c r="Q1249" s="158">
        <v>17.54</v>
      </c>
      <c r="R1249" s="563">
        <f t="shared" si="78"/>
        <v>-8.6390804098633867E-3</v>
      </c>
      <c r="S1249" s="563">
        <f t="shared" si="79"/>
        <v>-9.5990965556184138E-3</v>
      </c>
      <c r="AA1249" s="594">
        <v>43479</v>
      </c>
      <c r="AB1249" s="595" t="s">
        <v>449</v>
      </c>
      <c r="AC1249" s="595">
        <v>39412.550000000003</v>
      </c>
      <c r="AD1249" s="596" t="s">
        <v>395</v>
      </c>
      <c r="AE1249" s="595">
        <v>215.13</v>
      </c>
      <c r="AF1249" s="597">
        <f t="shared" si="80"/>
        <v>9.3080297922512045E-3</v>
      </c>
      <c r="AG1249" s="597">
        <f t="shared" si="81"/>
        <v>6.0465116279062592E-4</v>
      </c>
    </row>
    <row r="1250" spans="13:33" x14ac:dyDescent="0.35">
      <c r="M1250" s="526">
        <v>43483</v>
      </c>
      <c r="N1250" s="524" t="s">
        <v>449</v>
      </c>
      <c r="O1250" s="524">
        <v>39306.5</v>
      </c>
      <c r="P1250" s="73" t="s">
        <v>431</v>
      </c>
      <c r="Q1250">
        <v>17.48</v>
      </c>
      <c r="R1250" s="563">
        <f t="shared" si="78"/>
        <v>8.8001764109435499E-4</v>
      </c>
      <c r="S1250" s="563">
        <f t="shared" si="79"/>
        <v>-3.4207525655644E-3</v>
      </c>
      <c r="AA1250" s="594">
        <v>43480</v>
      </c>
      <c r="AB1250" s="595" t="s">
        <v>449</v>
      </c>
      <c r="AC1250" s="595">
        <v>39614.17</v>
      </c>
      <c r="AD1250" s="596" t="s">
        <v>395</v>
      </c>
      <c r="AE1250" s="595">
        <v>215.52</v>
      </c>
      <c r="AF1250" s="597">
        <f t="shared" si="80"/>
        <v>5.1156294124585777E-3</v>
      </c>
      <c r="AG1250" s="597">
        <f t="shared" si="81"/>
        <v>1.8128573420723715E-3</v>
      </c>
    </row>
    <row r="1251" spans="13:33" x14ac:dyDescent="0.35">
      <c r="M1251" s="555">
        <v>43486</v>
      </c>
      <c r="N1251" s="543" t="s">
        <v>449</v>
      </c>
      <c r="O1251" s="543">
        <v>39543.769999999997</v>
      </c>
      <c r="P1251" s="73" t="s">
        <v>431</v>
      </c>
      <c r="Q1251" s="158">
        <v>17.22</v>
      </c>
      <c r="R1251" s="563">
        <f t="shared" si="78"/>
        <v>6.0364061923598999E-3</v>
      </c>
      <c r="S1251" s="563">
        <f t="shared" si="79"/>
        <v>-1.4874141876430325E-2</v>
      </c>
      <c r="AA1251" s="594">
        <v>43481</v>
      </c>
      <c r="AB1251" s="595" t="s">
        <v>449</v>
      </c>
      <c r="AC1251" s="595">
        <v>39271.94</v>
      </c>
      <c r="AD1251" s="596" t="s">
        <v>395</v>
      </c>
      <c r="AE1251" s="595">
        <v>215</v>
      </c>
      <c r="AF1251" s="597">
        <f t="shared" si="80"/>
        <v>-8.6390804098633867E-3</v>
      </c>
      <c r="AG1251" s="597">
        <f t="shared" si="81"/>
        <v>-2.4127691165553022E-3</v>
      </c>
    </row>
    <row r="1252" spans="13:33" x14ac:dyDescent="0.35">
      <c r="M1252" s="555">
        <v>43487</v>
      </c>
      <c r="N1252" s="543" t="s">
        <v>449</v>
      </c>
      <c r="O1252" s="543">
        <v>39902.21</v>
      </c>
      <c r="P1252" s="73" t="s">
        <v>431</v>
      </c>
      <c r="Q1252" s="158">
        <v>17.53</v>
      </c>
      <c r="R1252" s="563">
        <f t="shared" si="78"/>
        <v>9.0643861220112143E-3</v>
      </c>
      <c r="S1252" s="563">
        <f t="shared" si="79"/>
        <v>1.8002322880371846E-2</v>
      </c>
      <c r="AA1252" s="594">
        <v>43483</v>
      </c>
      <c r="AB1252" s="595" t="s">
        <v>449</v>
      </c>
      <c r="AC1252" s="595">
        <v>39306.5</v>
      </c>
      <c r="AD1252" s="596" t="s">
        <v>395</v>
      </c>
      <c r="AE1252" s="595">
        <v>215</v>
      </c>
      <c r="AF1252" s="597">
        <f t="shared" si="80"/>
        <v>8.8001764109435499E-4</v>
      </c>
      <c r="AG1252" s="597">
        <f t="shared" si="81"/>
        <v>0</v>
      </c>
    </row>
    <row r="1253" spans="13:33" x14ac:dyDescent="0.35">
      <c r="M1253" s="555">
        <v>43488</v>
      </c>
      <c r="N1253" s="543" t="s">
        <v>449</v>
      </c>
      <c r="O1253" s="543">
        <v>40057.85</v>
      </c>
      <c r="P1253" s="73" t="s">
        <v>431</v>
      </c>
      <c r="Q1253" s="158">
        <v>17.48</v>
      </c>
      <c r="R1253" s="563">
        <f t="shared" si="78"/>
        <v>3.9005358349826214E-3</v>
      </c>
      <c r="S1253" s="563">
        <f t="shared" si="79"/>
        <v>-2.8522532800913103E-3</v>
      </c>
      <c r="AA1253" s="594">
        <v>43486</v>
      </c>
      <c r="AB1253" s="595" t="s">
        <v>449</v>
      </c>
      <c r="AC1253" s="595">
        <v>39543.769999999997</v>
      </c>
      <c r="AD1253" s="596" t="s">
        <v>395</v>
      </c>
      <c r="AE1253" s="595">
        <v>216.88</v>
      </c>
      <c r="AF1253" s="597">
        <f t="shared" si="80"/>
        <v>6.0364061923598999E-3</v>
      </c>
      <c r="AG1253" s="597">
        <f t="shared" si="81"/>
        <v>8.744186046511615E-3</v>
      </c>
    </row>
    <row r="1254" spans="13:33" x14ac:dyDescent="0.35">
      <c r="M1254" s="555">
        <v>43489</v>
      </c>
      <c r="N1254" s="543" t="s">
        <v>449</v>
      </c>
      <c r="O1254" s="543">
        <v>40289.160000000003</v>
      </c>
      <c r="P1254" s="73" t="s">
        <v>431</v>
      </c>
      <c r="Q1254" s="158">
        <v>17.78</v>
      </c>
      <c r="R1254" s="563">
        <f t="shared" si="78"/>
        <v>5.7743987757705728E-3</v>
      </c>
      <c r="S1254" s="563">
        <f t="shared" si="79"/>
        <v>1.7162471395881118E-2</v>
      </c>
      <c r="AA1254" s="594">
        <v>43487</v>
      </c>
      <c r="AB1254" s="595" t="s">
        <v>449</v>
      </c>
      <c r="AC1254" s="595">
        <v>39902.21</v>
      </c>
      <c r="AD1254" s="596" t="s">
        <v>395</v>
      </c>
      <c r="AE1254" s="595">
        <v>217.61</v>
      </c>
      <c r="AF1254" s="597">
        <f t="shared" si="80"/>
        <v>9.0643861220112143E-3</v>
      </c>
      <c r="AG1254" s="597">
        <f t="shared" si="81"/>
        <v>3.3659166359278903E-3</v>
      </c>
    </row>
    <row r="1255" spans="13:33" x14ac:dyDescent="0.35">
      <c r="M1255" s="555">
        <v>43490</v>
      </c>
      <c r="N1255" s="543" t="s">
        <v>449</v>
      </c>
      <c r="O1255" s="543">
        <v>40264.78</v>
      </c>
      <c r="P1255" s="73" t="s">
        <v>431</v>
      </c>
      <c r="Q1255" s="158">
        <v>17.41</v>
      </c>
      <c r="R1255" s="563">
        <f t="shared" si="78"/>
        <v>-6.0512554741787294E-4</v>
      </c>
      <c r="S1255" s="563">
        <f t="shared" si="79"/>
        <v>-2.0809898762654711E-2</v>
      </c>
      <c r="AA1255" s="594">
        <v>43488</v>
      </c>
      <c r="AB1255" s="595" t="s">
        <v>449</v>
      </c>
      <c r="AC1255" s="595">
        <v>40057.85</v>
      </c>
      <c r="AD1255" s="596" t="s">
        <v>395</v>
      </c>
      <c r="AE1255" s="595">
        <v>218</v>
      </c>
      <c r="AF1255" s="597">
        <f t="shared" si="80"/>
        <v>3.9005358349826214E-3</v>
      </c>
      <c r="AG1255" s="597">
        <f t="shared" si="81"/>
        <v>1.7921970497678519E-3</v>
      </c>
    </row>
    <row r="1256" spans="13:33" x14ac:dyDescent="0.35">
      <c r="M1256" s="555">
        <v>43493</v>
      </c>
      <c r="N1256" s="543" t="s">
        <v>449</v>
      </c>
      <c r="O1256" s="543">
        <v>40420.089999999997</v>
      </c>
      <c r="P1256" s="73" t="s">
        <v>431</v>
      </c>
      <c r="Q1256" s="158">
        <v>18.28</v>
      </c>
      <c r="R1256" s="563">
        <f t="shared" si="78"/>
        <v>3.8572171510684594E-3</v>
      </c>
      <c r="S1256" s="563">
        <f t="shared" si="79"/>
        <v>4.9971280873061463E-2</v>
      </c>
      <c r="AA1256" s="594">
        <v>43489</v>
      </c>
      <c r="AB1256" s="595" t="s">
        <v>449</v>
      </c>
      <c r="AC1256" s="595">
        <v>40289.160000000003</v>
      </c>
      <c r="AD1256" s="596" t="s">
        <v>395</v>
      </c>
      <c r="AE1256" s="595">
        <v>220.16</v>
      </c>
      <c r="AF1256" s="597">
        <f t="shared" si="80"/>
        <v>5.7743987757705728E-3</v>
      </c>
      <c r="AG1256" s="597">
        <f t="shared" si="81"/>
        <v>9.9082568807338234E-3</v>
      </c>
    </row>
    <row r="1257" spans="13:33" x14ac:dyDescent="0.35">
      <c r="M1257" s="555">
        <v>43494</v>
      </c>
      <c r="N1257" s="543" t="s">
        <v>449</v>
      </c>
      <c r="O1257" s="543">
        <v>40624.39</v>
      </c>
      <c r="P1257" s="73" t="s">
        <v>431</v>
      </c>
      <c r="Q1257" s="158">
        <v>18.670000000000002</v>
      </c>
      <c r="R1257" s="563">
        <f t="shared" si="78"/>
        <v>5.054417246473264E-3</v>
      </c>
      <c r="S1257" s="563">
        <f t="shared" si="79"/>
        <v>2.1334792122538415E-2</v>
      </c>
      <c r="AA1257" s="594">
        <v>43490</v>
      </c>
      <c r="AB1257" s="595" t="s">
        <v>449</v>
      </c>
      <c r="AC1257" s="595">
        <v>40264.78</v>
      </c>
      <c r="AD1257" s="596" t="s">
        <v>395</v>
      </c>
      <c r="AE1257" s="595">
        <v>219.13</v>
      </c>
      <c r="AF1257" s="597">
        <f t="shared" si="80"/>
        <v>-6.0512554741787294E-4</v>
      </c>
      <c r="AG1257" s="597">
        <f t="shared" si="81"/>
        <v>-4.6784156976744651E-3</v>
      </c>
    </row>
    <row r="1258" spans="13:33" x14ac:dyDescent="0.35">
      <c r="M1258" s="555">
        <v>43495</v>
      </c>
      <c r="N1258" s="543" t="s">
        <v>449</v>
      </c>
      <c r="O1258" s="543">
        <v>40607.120000000003</v>
      </c>
      <c r="P1258" s="73" t="s">
        <v>431</v>
      </c>
      <c r="Q1258" s="158">
        <v>18.5</v>
      </c>
      <c r="R1258" s="563">
        <f t="shared" si="78"/>
        <v>-4.2511407555900771E-4</v>
      </c>
      <c r="S1258" s="563">
        <f t="shared" si="79"/>
        <v>-9.1055168719872404E-3</v>
      </c>
      <c r="AA1258" s="594">
        <v>43493</v>
      </c>
      <c r="AB1258" s="595" t="s">
        <v>449</v>
      </c>
      <c r="AC1258" s="595">
        <v>40420.089999999997</v>
      </c>
      <c r="AD1258" s="596" t="s">
        <v>395</v>
      </c>
      <c r="AE1258" s="595">
        <v>219.05</v>
      </c>
      <c r="AF1258" s="597">
        <f t="shared" si="80"/>
        <v>3.8572171510684594E-3</v>
      </c>
      <c r="AG1258" s="597">
        <f t="shared" si="81"/>
        <v>-3.6508008944458048E-4</v>
      </c>
    </row>
    <row r="1259" spans="13:33" x14ac:dyDescent="0.35">
      <c r="M1259" s="555">
        <v>43496</v>
      </c>
      <c r="N1259" s="543" t="s">
        <v>449</v>
      </c>
      <c r="O1259" s="543">
        <v>40799.519999999997</v>
      </c>
      <c r="P1259" s="73" t="s">
        <v>431</v>
      </c>
      <c r="Q1259" s="158">
        <v>18.36</v>
      </c>
      <c r="R1259" s="563">
        <f t="shared" si="78"/>
        <v>4.738085340698639E-3</v>
      </c>
      <c r="S1259" s="563">
        <f t="shared" si="79"/>
        <v>-7.5675675675676013E-3</v>
      </c>
      <c r="AA1259" s="594">
        <v>43494</v>
      </c>
      <c r="AB1259" s="595" t="s">
        <v>449</v>
      </c>
      <c r="AC1259" s="595">
        <v>40624.39</v>
      </c>
      <c r="AD1259" s="596" t="s">
        <v>395</v>
      </c>
      <c r="AE1259" s="595">
        <v>220</v>
      </c>
      <c r="AF1259" s="597">
        <f t="shared" si="80"/>
        <v>5.054417246473264E-3</v>
      </c>
      <c r="AG1259" s="597">
        <f t="shared" si="81"/>
        <v>4.336909381419618E-3</v>
      </c>
    </row>
    <row r="1260" spans="13:33" x14ac:dyDescent="0.35">
      <c r="M1260" s="555">
        <v>43497</v>
      </c>
      <c r="N1260" s="543" t="s">
        <v>449</v>
      </c>
      <c r="O1260" s="543">
        <v>41112.71</v>
      </c>
      <c r="P1260" s="73" t="s">
        <v>431</v>
      </c>
      <c r="Q1260" s="158">
        <v>18.239999999999998</v>
      </c>
      <c r="R1260" s="563">
        <f t="shared" si="78"/>
        <v>7.6763157997938869E-3</v>
      </c>
      <c r="S1260" s="563">
        <f t="shared" si="79"/>
        <v>-6.5359477124183885E-3</v>
      </c>
      <c r="AA1260" s="594">
        <v>43495</v>
      </c>
      <c r="AB1260" s="595" t="s">
        <v>449</v>
      </c>
      <c r="AC1260" s="595">
        <v>40607.120000000003</v>
      </c>
      <c r="AD1260" s="596" t="s">
        <v>395</v>
      </c>
      <c r="AE1260" s="595">
        <v>215.63</v>
      </c>
      <c r="AF1260" s="597">
        <f t="shared" si="80"/>
        <v>-4.2511407555900771E-4</v>
      </c>
      <c r="AG1260" s="597">
        <f t="shared" si="81"/>
        <v>-1.9863636363636417E-2</v>
      </c>
    </row>
    <row r="1261" spans="13:33" x14ac:dyDescent="0.35">
      <c r="M1261" s="555">
        <v>43500</v>
      </c>
      <c r="N1261" s="543" t="s">
        <v>449</v>
      </c>
      <c r="O1261" s="543">
        <v>41614.39</v>
      </c>
      <c r="P1261" s="73" t="s">
        <v>431</v>
      </c>
      <c r="Q1261" s="158">
        <v>18.18</v>
      </c>
      <c r="R1261" s="563">
        <f t="shared" si="78"/>
        <v>1.2202552446676451E-2</v>
      </c>
      <c r="S1261" s="563">
        <f t="shared" si="79"/>
        <v>-3.2894736842105088E-3</v>
      </c>
      <c r="AA1261" s="589">
        <v>43496</v>
      </c>
      <c r="AB1261" s="590" t="s">
        <v>449</v>
      </c>
      <c r="AC1261" s="590">
        <v>40799.519999999997</v>
      </c>
      <c r="AD1261" s="591" t="s">
        <v>395</v>
      </c>
      <c r="AE1261" s="590">
        <v>220.95</v>
      </c>
      <c r="AF1261" s="592">
        <f t="shared" si="80"/>
        <v>4.738085340698639E-3</v>
      </c>
      <c r="AG1261" s="592">
        <f t="shared" si="81"/>
        <v>2.4671891666280255E-2</v>
      </c>
    </row>
    <row r="1262" spans="13:33" x14ac:dyDescent="0.35">
      <c r="M1262" s="555">
        <v>43502</v>
      </c>
      <c r="N1262" s="543" t="s">
        <v>449</v>
      </c>
      <c r="O1262" s="543">
        <v>41505.68</v>
      </c>
      <c r="P1262" s="73" t="s">
        <v>431</v>
      </c>
      <c r="Q1262" s="158">
        <v>17.88</v>
      </c>
      <c r="R1262" s="563">
        <f t="shared" si="78"/>
        <v>-2.6123175180507996E-3</v>
      </c>
      <c r="S1262" s="563">
        <f t="shared" si="79"/>
        <v>-1.650165016501659E-2</v>
      </c>
      <c r="AA1262" s="589">
        <v>43497</v>
      </c>
      <c r="AB1262" s="590" t="s">
        <v>449</v>
      </c>
      <c r="AC1262" s="590">
        <v>41112.71</v>
      </c>
      <c r="AD1262" s="591" t="s">
        <v>395</v>
      </c>
      <c r="AE1262" s="590">
        <v>221</v>
      </c>
      <c r="AF1262" s="592">
        <f t="shared" si="80"/>
        <v>7.6763157997938869E-3</v>
      </c>
      <c r="AG1262" s="592">
        <f t="shared" si="81"/>
        <v>2.2629554197783897E-4</v>
      </c>
    </row>
    <row r="1263" spans="13:33" x14ac:dyDescent="0.35">
      <c r="M1263" s="555">
        <v>43503</v>
      </c>
      <c r="N1263" s="543" t="s">
        <v>449</v>
      </c>
      <c r="O1263" s="543">
        <v>41332.75</v>
      </c>
      <c r="P1263" s="73" t="s">
        <v>431</v>
      </c>
      <c r="Q1263" s="158">
        <v>18.02</v>
      </c>
      <c r="R1263" s="563">
        <f t="shared" si="78"/>
        <v>-4.1664177047575635E-3</v>
      </c>
      <c r="S1263" s="563">
        <f t="shared" si="79"/>
        <v>7.829977628635465E-3</v>
      </c>
      <c r="AA1263" s="594">
        <v>43500</v>
      </c>
      <c r="AB1263" s="595" t="s">
        <v>449</v>
      </c>
      <c r="AC1263" s="595">
        <v>41614.39</v>
      </c>
      <c r="AD1263" s="596" t="s">
        <v>395</v>
      </c>
      <c r="AE1263" s="595">
        <v>224.85</v>
      </c>
      <c r="AF1263" s="597">
        <f t="shared" si="80"/>
        <v>1.2202552446676451E-2</v>
      </c>
      <c r="AG1263" s="597">
        <f t="shared" si="81"/>
        <v>1.7420814479637947E-2</v>
      </c>
    </row>
    <row r="1264" spans="13:33" x14ac:dyDescent="0.35">
      <c r="M1264" s="555">
        <v>43504</v>
      </c>
      <c r="N1264" s="543" t="s">
        <v>449</v>
      </c>
      <c r="O1264" s="543">
        <v>40887.35</v>
      </c>
      <c r="P1264" s="73" t="s">
        <v>431</v>
      </c>
      <c r="Q1264" s="158">
        <v>17.8</v>
      </c>
      <c r="R1264" s="563">
        <f t="shared" si="78"/>
        <v>-1.0775958531672902E-2</v>
      </c>
      <c r="S1264" s="563">
        <f t="shared" si="79"/>
        <v>-1.2208657047724669E-2</v>
      </c>
      <c r="AA1264" s="594">
        <v>43502</v>
      </c>
      <c r="AB1264" s="595" t="s">
        <v>449</v>
      </c>
      <c r="AC1264" s="595">
        <v>41505.68</v>
      </c>
      <c r="AD1264" s="596" t="s">
        <v>395</v>
      </c>
      <c r="AE1264" s="595">
        <v>213.61</v>
      </c>
      <c r="AF1264" s="597">
        <f t="shared" si="80"/>
        <v>-2.6123175180507996E-3</v>
      </c>
      <c r="AG1264" s="597">
        <f t="shared" si="81"/>
        <v>-4.9988881476539793E-2</v>
      </c>
    </row>
    <row r="1265" spans="13:33" x14ac:dyDescent="0.35">
      <c r="M1265" s="555">
        <v>43507</v>
      </c>
      <c r="N1265" s="543" t="s">
        <v>449</v>
      </c>
      <c r="O1265" s="543">
        <v>40326.53</v>
      </c>
      <c r="P1265" s="73" t="s">
        <v>431</v>
      </c>
      <c r="Q1265" s="158">
        <v>17.55</v>
      </c>
      <c r="R1265" s="563">
        <f t="shared" si="78"/>
        <v>-1.3716222743709205E-2</v>
      </c>
      <c r="S1265" s="563">
        <f t="shared" si="79"/>
        <v>-1.4044943820224698E-2</v>
      </c>
      <c r="AA1265" s="589">
        <v>43503</v>
      </c>
      <c r="AB1265" s="590" t="s">
        <v>449</v>
      </c>
      <c r="AC1265" s="590">
        <v>41332.75</v>
      </c>
      <c r="AD1265" s="591" t="s">
        <v>395</v>
      </c>
      <c r="AE1265" s="590">
        <v>214.5</v>
      </c>
      <c r="AF1265" s="592">
        <f t="shared" si="80"/>
        <v>-4.1664177047575635E-3</v>
      </c>
      <c r="AG1265" s="592">
        <f t="shared" si="81"/>
        <v>4.1664716071343477E-3</v>
      </c>
    </row>
    <row r="1266" spans="13:33" x14ac:dyDescent="0.35">
      <c r="M1266" s="555">
        <v>43508</v>
      </c>
      <c r="N1266" s="543" t="s">
        <v>449</v>
      </c>
      <c r="O1266" s="543">
        <v>40596.28</v>
      </c>
      <c r="P1266" s="73" t="s">
        <v>431</v>
      </c>
      <c r="Q1266" s="158">
        <v>17.48</v>
      </c>
      <c r="R1266" s="563">
        <f t="shared" si="78"/>
        <v>6.6891448383978869E-3</v>
      </c>
      <c r="S1266" s="563">
        <f t="shared" si="79"/>
        <v>-3.9886039886040114E-3</v>
      </c>
      <c r="AA1266" s="589">
        <v>43504</v>
      </c>
      <c r="AB1266" s="590" t="s">
        <v>449</v>
      </c>
      <c r="AC1266" s="590">
        <v>40887.35</v>
      </c>
      <c r="AD1266" s="591" t="s">
        <v>395</v>
      </c>
      <c r="AE1266" s="590">
        <v>213.73</v>
      </c>
      <c r="AF1266" s="592">
        <f t="shared" si="80"/>
        <v>-1.0775958531672902E-2</v>
      </c>
      <c r="AG1266" s="592">
        <f t="shared" si="81"/>
        <v>-3.5897435897436214E-3</v>
      </c>
    </row>
    <row r="1267" spans="13:33" x14ac:dyDescent="0.35">
      <c r="M1267" s="555">
        <v>43509</v>
      </c>
      <c r="N1267" s="543" t="s">
        <v>449</v>
      </c>
      <c r="O1267" s="543">
        <v>40544.11</v>
      </c>
      <c r="P1267" s="73" t="s">
        <v>431</v>
      </c>
      <c r="Q1267" s="158">
        <v>17.46</v>
      </c>
      <c r="R1267" s="563">
        <f t="shared" si="78"/>
        <v>-1.2850931169062774E-3</v>
      </c>
      <c r="S1267" s="563">
        <f t="shared" si="79"/>
        <v>-1.1441647597253413E-3</v>
      </c>
      <c r="AA1267" s="594">
        <v>43507</v>
      </c>
      <c r="AB1267" s="595" t="s">
        <v>449</v>
      </c>
      <c r="AC1267" s="595">
        <v>40326.53</v>
      </c>
      <c r="AD1267" s="596" t="s">
        <v>395</v>
      </c>
      <c r="AE1267" s="595">
        <v>211.01</v>
      </c>
      <c r="AF1267" s="597">
        <f t="shared" si="80"/>
        <v>-1.3716222743709205E-2</v>
      </c>
      <c r="AG1267" s="597">
        <f t="shared" si="81"/>
        <v>-1.2726336967201601E-2</v>
      </c>
    </row>
    <row r="1268" spans="13:33" x14ac:dyDescent="0.35">
      <c r="M1268" s="555">
        <v>43510</v>
      </c>
      <c r="N1268" s="543" t="s">
        <v>449</v>
      </c>
      <c r="O1268" s="543">
        <v>40506.980000000003</v>
      </c>
      <c r="P1268" s="73" t="s">
        <v>431</v>
      </c>
      <c r="Q1268" s="158">
        <v>17.36</v>
      </c>
      <c r="R1268" s="563">
        <f t="shared" si="78"/>
        <v>-9.1579270083863573E-4</v>
      </c>
      <c r="S1268" s="563">
        <f t="shared" si="79"/>
        <v>-5.7273768613975706E-3</v>
      </c>
      <c r="AA1268" s="589">
        <v>43508</v>
      </c>
      <c r="AB1268" s="590" t="s">
        <v>449</v>
      </c>
      <c r="AC1268" s="590">
        <v>40596.28</v>
      </c>
      <c r="AD1268" s="591" t="s">
        <v>395</v>
      </c>
      <c r="AE1268" s="590">
        <v>210.67</v>
      </c>
      <c r="AF1268" s="592">
        <f t="shared" si="80"/>
        <v>6.6891448383978869E-3</v>
      </c>
      <c r="AG1268" s="592">
        <f t="shared" si="81"/>
        <v>-1.6112980427468448E-3</v>
      </c>
    </row>
    <row r="1269" spans="13:33" x14ac:dyDescent="0.35">
      <c r="M1269" s="555">
        <v>43511</v>
      </c>
      <c r="N1269" s="543" t="s">
        <v>449</v>
      </c>
      <c r="O1269" s="543">
        <v>40486.67</v>
      </c>
      <c r="P1269" s="73" t="s">
        <v>431</v>
      </c>
      <c r="Q1269" s="158">
        <v>17.510000000000002</v>
      </c>
      <c r="R1269" s="563">
        <f t="shared" si="78"/>
        <v>-5.0139506820812141E-4</v>
      </c>
      <c r="S1269" s="563">
        <f t="shared" si="79"/>
        <v>8.6405529953919036E-3</v>
      </c>
      <c r="AA1269" s="589">
        <v>43509</v>
      </c>
      <c r="AB1269" s="590" t="s">
        <v>449</v>
      </c>
      <c r="AC1269" s="590">
        <v>40544.11</v>
      </c>
      <c r="AD1269" s="591" t="s">
        <v>395</v>
      </c>
      <c r="AE1269" s="590">
        <v>213.39</v>
      </c>
      <c r="AF1269" s="592">
        <f t="shared" si="80"/>
        <v>-1.2850931169062774E-3</v>
      </c>
      <c r="AG1269" s="592">
        <f t="shared" si="81"/>
        <v>1.2911188114112182E-2</v>
      </c>
    </row>
    <row r="1270" spans="13:33" x14ac:dyDescent="0.35">
      <c r="M1270" s="555">
        <v>43514</v>
      </c>
      <c r="N1270" s="543" t="s">
        <v>449</v>
      </c>
      <c r="O1270" s="543">
        <v>40219.47</v>
      </c>
      <c r="P1270" s="73" t="s">
        <v>431</v>
      </c>
      <c r="Q1270" s="158">
        <v>17.39</v>
      </c>
      <c r="R1270" s="563">
        <f t="shared" si="78"/>
        <v>-6.5997030627610309E-3</v>
      </c>
      <c r="S1270" s="563">
        <f t="shared" si="79"/>
        <v>-6.8532267275842607E-3</v>
      </c>
      <c r="AA1270" s="589">
        <v>43510</v>
      </c>
      <c r="AB1270" s="590" t="s">
        <v>449</v>
      </c>
      <c r="AC1270" s="590">
        <v>40506.980000000003</v>
      </c>
      <c r="AD1270" s="591" t="s">
        <v>395</v>
      </c>
      <c r="AE1270" s="590">
        <v>212.11</v>
      </c>
      <c r="AF1270" s="592">
        <f t="shared" si="80"/>
        <v>-9.1579270083863573E-4</v>
      </c>
      <c r="AG1270" s="592">
        <f t="shared" si="81"/>
        <v>-5.9984066732272634E-3</v>
      </c>
    </row>
    <row r="1271" spans="13:33" x14ac:dyDescent="0.35">
      <c r="M1271" s="555">
        <v>43515</v>
      </c>
      <c r="N1271" s="543" t="s">
        <v>449</v>
      </c>
      <c r="O1271" s="543">
        <v>39957.07</v>
      </c>
      <c r="P1271" s="73" t="s">
        <v>431</v>
      </c>
      <c r="Q1271" s="158">
        <v>17.14</v>
      </c>
      <c r="R1271" s="563">
        <f t="shared" si="78"/>
        <v>-6.5242033273934519E-3</v>
      </c>
      <c r="S1271" s="563">
        <f t="shared" si="79"/>
        <v>-1.4376078205865395E-2</v>
      </c>
      <c r="AA1271" s="594">
        <v>43511</v>
      </c>
      <c r="AB1271" s="595" t="s">
        <v>449</v>
      </c>
      <c r="AC1271" s="595">
        <v>40486.67</v>
      </c>
      <c r="AD1271" s="596" t="s">
        <v>395</v>
      </c>
      <c r="AE1271" s="595">
        <v>212.52</v>
      </c>
      <c r="AF1271" s="597">
        <f t="shared" si="80"/>
        <v>-5.0139506820812141E-4</v>
      </c>
      <c r="AG1271" s="597">
        <f t="shared" si="81"/>
        <v>1.9329593135637424E-3</v>
      </c>
    </row>
    <row r="1272" spans="13:33" x14ac:dyDescent="0.35">
      <c r="M1272" s="555">
        <v>43516</v>
      </c>
      <c r="N1272" s="543" t="s">
        <v>449</v>
      </c>
      <c r="O1272" s="543">
        <v>40279.379999999997</v>
      </c>
      <c r="P1272" s="73" t="s">
        <v>431</v>
      </c>
      <c r="Q1272" s="158">
        <v>16.84</v>
      </c>
      <c r="R1272" s="563">
        <f t="shared" si="78"/>
        <v>8.0664072716041257E-3</v>
      </c>
      <c r="S1272" s="563">
        <f t="shared" si="79"/>
        <v>-1.7502917152858899E-2</v>
      </c>
      <c r="AA1272" s="594">
        <v>43514</v>
      </c>
      <c r="AB1272" s="595" t="s">
        <v>449</v>
      </c>
      <c r="AC1272" s="595">
        <v>40219.47</v>
      </c>
      <c r="AD1272" s="596" t="s">
        <v>395</v>
      </c>
      <c r="AE1272" s="595">
        <v>209.33</v>
      </c>
      <c r="AF1272" s="597">
        <f t="shared" si="80"/>
        <v>-6.5997030627610309E-3</v>
      </c>
      <c r="AG1272" s="597">
        <f t="shared" si="81"/>
        <v>-1.5010351966873725E-2</v>
      </c>
    </row>
    <row r="1273" spans="13:33" x14ac:dyDescent="0.35">
      <c r="M1273" s="555">
        <v>43517</v>
      </c>
      <c r="N1273" s="543" t="s">
        <v>449</v>
      </c>
      <c r="O1273" s="543">
        <v>40070.71</v>
      </c>
      <c r="P1273" s="73" t="s">
        <v>431</v>
      </c>
      <c r="Q1273" s="158">
        <v>16.489999999999998</v>
      </c>
      <c r="R1273" s="563">
        <f t="shared" si="78"/>
        <v>-5.1805663344370867E-3</v>
      </c>
      <c r="S1273" s="563">
        <f t="shared" si="79"/>
        <v>-2.0783847980997749E-2</v>
      </c>
      <c r="AA1273" s="594">
        <v>43515</v>
      </c>
      <c r="AB1273" s="595" t="s">
        <v>449</v>
      </c>
      <c r="AC1273" s="595">
        <v>39957.07</v>
      </c>
      <c r="AD1273" s="596" t="s">
        <v>395</v>
      </c>
      <c r="AE1273" s="595">
        <v>203.03</v>
      </c>
      <c r="AF1273" s="597">
        <f t="shared" si="80"/>
        <v>-6.5242033273934519E-3</v>
      </c>
      <c r="AG1273" s="597">
        <f t="shared" si="81"/>
        <v>-3.0096020637271348E-2</v>
      </c>
    </row>
    <row r="1274" spans="13:33" x14ac:dyDescent="0.35">
      <c r="M1274" s="555">
        <v>43518</v>
      </c>
      <c r="N1274" s="543" t="s">
        <v>449</v>
      </c>
      <c r="O1274" s="543">
        <v>40016.129999999997</v>
      </c>
      <c r="P1274" s="73" t="s">
        <v>431</v>
      </c>
      <c r="Q1274" s="158">
        <v>16.38</v>
      </c>
      <c r="R1274" s="563">
        <f t="shared" si="78"/>
        <v>-1.3620921615814519E-3</v>
      </c>
      <c r="S1274" s="563">
        <f t="shared" si="79"/>
        <v>-6.6707095209217471E-3</v>
      </c>
      <c r="AA1274" s="594">
        <v>43516</v>
      </c>
      <c r="AB1274" s="595" t="s">
        <v>449</v>
      </c>
      <c r="AC1274" s="595">
        <v>40279.379999999997</v>
      </c>
      <c r="AD1274" s="596" t="s">
        <v>395</v>
      </c>
      <c r="AE1274" s="595">
        <v>205.77</v>
      </c>
      <c r="AF1274" s="597">
        <f t="shared" si="80"/>
        <v>8.0664072716041257E-3</v>
      </c>
      <c r="AG1274" s="597">
        <f t="shared" si="81"/>
        <v>1.3495542530660432E-2</v>
      </c>
    </row>
    <row r="1275" spans="13:33" x14ac:dyDescent="0.35">
      <c r="M1275" s="555">
        <v>43521</v>
      </c>
      <c r="N1275" s="543" t="s">
        <v>449</v>
      </c>
      <c r="O1275" s="543">
        <v>39606.79</v>
      </c>
      <c r="P1275" s="73" t="s">
        <v>431</v>
      </c>
      <c r="Q1275" s="158">
        <v>16.34</v>
      </c>
      <c r="R1275" s="563">
        <f t="shared" si="78"/>
        <v>-1.0229375004529362E-2</v>
      </c>
      <c r="S1275" s="563">
        <f t="shared" si="79"/>
        <v>-2.4420024420024333E-3</v>
      </c>
      <c r="AA1275" s="594">
        <v>43517</v>
      </c>
      <c r="AB1275" s="595" t="s">
        <v>449</v>
      </c>
      <c r="AC1275" s="595">
        <v>40070.71</v>
      </c>
      <c r="AD1275" s="596" t="s">
        <v>395</v>
      </c>
      <c r="AE1275" s="595">
        <v>203</v>
      </c>
      <c r="AF1275" s="597">
        <f t="shared" si="80"/>
        <v>-5.1805663344370867E-3</v>
      </c>
      <c r="AG1275" s="597">
        <f t="shared" si="81"/>
        <v>-1.3461631919133077E-2</v>
      </c>
    </row>
    <row r="1276" spans="13:33" x14ac:dyDescent="0.35">
      <c r="M1276" s="555">
        <v>43522</v>
      </c>
      <c r="N1276" s="543" t="s">
        <v>449</v>
      </c>
      <c r="O1276" s="543">
        <v>38821.67</v>
      </c>
      <c r="P1276" s="73" t="s">
        <v>431</v>
      </c>
      <c r="Q1276" s="158">
        <v>15.53</v>
      </c>
      <c r="R1276" s="563">
        <f t="shared" si="78"/>
        <v>-1.9822863705945437E-2</v>
      </c>
      <c r="S1276" s="563">
        <f t="shared" si="79"/>
        <v>-4.9571603427172595E-2</v>
      </c>
      <c r="AA1276" s="594">
        <v>43518</v>
      </c>
      <c r="AB1276" s="595" t="s">
        <v>449</v>
      </c>
      <c r="AC1276" s="595">
        <v>40016.129999999997</v>
      </c>
      <c r="AD1276" s="596" t="s">
        <v>395</v>
      </c>
      <c r="AE1276" s="595">
        <v>203.45</v>
      </c>
      <c r="AF1276" s="597">
        <f t="shared" si="80"/>
        <v>-1.3620921615814519E-3</v>
      </c>
      <c r="AG1276" s="597">
        <f t="shared" si="81"/>
        <v>2.216748768472776E-3</v>
      </c>
    </row>
    <row r="1277" spans="13:33" x14ac:dyDescent="0.35">
      <c r="M1277" s="555">
        <v>43523</v>
      </c>
      <c r="N1277" s="543" t="s">
        <v>449</v>
      </c>
      <c r="O1277" s="543">
        <v>38692.69</v>
      </c>
      <c r="P1277" s="73" t="s">
        <v>431</v>
      </c>
      <c r="Q1277" s="158">
        <v>14.91</v>
      </c>
      <c r="R1277" s="563">
        <f t="shared" si="78"/>
        <v>-3.3223712426589946E-3</v>
      </c>
      <c r="S1277" s="563">
        <f t="shared" si="79"/>
        <v>-3.9922730199613565E-2</v>
      </c>
      <c r="AA1277" s="594">
        <v>43521</v>
      </c>
      <c r="AB1277" s="595" t="s">
        <v>449</v>
      </c>
      <c r="AC1277" s="595">
        <v>39606.79</v>
      </c>
      <c r="AD1277" s="596" t="s">
        <v>395</v>
      </c>
      <c r="AE1277" s="595">
        <v>197.04</v>
      </c>
      <c r="AF1277" s="597">
        <f t="shared" si="80"/>
        <v>-1.0229375004529362E-2</v>
      </c>
      <c r="AG1277" s="597">
        <f t="shared" si="81"/>
        <v>-3.150651265667237E-2</v>
      </c>
    </row>
    <row r="1278" spans="13:33" x14ac:dyDescent="0.35">
      <c r="M1278" s="555">
        <v>43524</v>
      </c>
      <c r="N1278" s="543" t="s">
        <v>449</v>
      </c>
      <c r="O1278" s="543">
        <v>39054.6</v>
      </c>
      <c r="P1278" s="73" t="s">
        <v>431</v>
      </c>
      <c r="Q1278" s="158">
        <v>15.33</v>
      </c>
      <c r="R1278" s="563">
        <f t="shared" si="78"/>
        <v>9.3534463486513175E-3</v>
      </c>
      <c r="S1278" s="563">
        <f t="shared" si="79"/>
        <v>2.8169014084507005E-2</v>
      </c>
      <c r="AA1278" s="594">
        <v>43522</v>
      </c>
      <c r="AB1278" s="595" t="s">
        <v>449</v>
      </c>
      <c r="AC1278" s="595">
        <v>38821.67</v>
      </c>
      <c r="AD1278" s="596" t="s">
        <v>395</v>
      </c>
      <c r="AE1278" s="595">
        <v>194.53</v>
      </c>
      <c r="AF1278" s="597">
        <f t="shared" si="80"/>
        <v>-1.9822863705945437E-2</v>
      </c>
      <c r="AG1278" s="597">
        <f t="shared" si="81"/>
        <v>-1.2738530247665358E-2</v>
      </c>
    </row>
    <row r="1279" spans="13:33" x14ac:dyDescent="0.35">
      <c r="M1279" s="555">
        <v>43525</v>
      </c>
      <c r="N1279" s="543" t="s">
        <v>449</v>
      </c>
      <c r="O1279" s="543">
        <v>39539.01</v>
      </c>
      <c r="P1279" s="73" t="s">
        <v>431</v>
      </c>
      <c r="Q1279" s="158">
        <v>16.09</v>
      </c>
      <c r="R1279" s="563">
        <f t="shared" si="78"/>
        <v>1.240340446451893E-2</v>
      </c>
      <c r="S1279" s="563">
        <f t="shared" si="79"/>
        <v>4.9575994781474231E-2</v>
      </c>
      <c r="AA1279" s="594">
        <v>43523</v>
      </c>
      <c r="AB1279" s="595" t="s">
        <v>449</v>
      </c>
      <c r="AC1279" s="595">
        <v>38692.69</v>
      </c>
      <c r="AD1279" s="596" t="s">
        <v>395</v>
      </c>
      <c r="AE1279" s="595">
        <v>193.85</v>
      </c>
      <c r="AF1279" s="597">
        <f t="shared" si="80"/>
        <v>-3.3223712426589946E-3</v>
      </c>
      <c r="AG1279" s="597">
        <f t="shared" si="81"/>
        <v>-3.4956047910348342E-3</v>
      </c>
    </row>
    <row r="1280" spans="13:33" x14ac:dyDescent="0.35">
      <c r="M1280" s="555">
        <v>43528</v>
      </c>
      <c r="N1280" s="543" t="s">
        <v>449</v>
      </c>
      <c r="O1280" s="543">
        <v>39749.74</v>
      </c>
      <c r="P1280" s="73" t="s">
        <v>431</v>
      </c>
      <c r="Q1280" s="158">
        <v>16.89</v>
      </c>
      <c r="R1280" s="563">
        <f t="shared" si="78"/>
        <v>5.3296731506426998E-3</v>
      </c>
      <c r="S1280" s="563">
        <f t="shared" si="79"/>
        <v>4.9720323182100623E-2</v>
      </c>
      <c r="AA1280" s="594">
        <v>43524</v>
      </c>
      <c r="AB1280" s="595" t="s">
        <v>449</v>
      </c>
      <c r="AC1280" s="595">
        <v>39054.6</v>
      </c>
      <c r="AD1280" s="596" t="s">
        <v>395</v>
      </c>
      <c r="AE1280" s="595">
        <v>193.25</v>
      </c>
      <c r="AF1280" s="597">
        <f t="shared" si="80"/>
        <v>9.3534463486513175E-3</v>
      </c>
      <c r="AG1280" s="597">
        <f t="shared" si="81"/>
        <v>-3.0951766830022986E-3</v>
      </c>
    </row>
    <row r="1281" spans="13:33" x14ac:dyDescent="0.35">
      <c r="M1281" s="555">
        <v>43529</v>
      </c>
      <c r="N1281" s="543" t="s">
        <v>449</v>
      </c>
      <c r="O1281" s="543">
        <v>39688.51</v>
      </c>
      <c r="P1281" s="73" t="s">
        <v>431</v>
      </c>
      <c r="Q1281" s="158">
        <v>17.73</v>
      </c>
      <c r="R1281" s="563">
        <f t="shared" si="78"/>
        <v>-1.5403874339805501E-3</v>
      </c>
      <c r="S1281" s="563">
        <f t="shared" si="79"/>
        <v>4.9733570159857798E-2</v>
      </c>
      <c r="AA1281" s="594">
        <v>43525</v>
      </c>
      <c r="AB1281" s="595" t="s">
        <v>449</v>
      </c>
      <c r="AC1281" s="595">
        <v>39539.01</v>
      </c>
      <c r="AD1281" s="596" t="s">
        <v>395</v>
      </c>
      <c r="AE1281" s="595">
        <v>196</v>
      </c>
      <c r="AF1281" s="597">
        <f t="shared" si="80"/>
        <v>1.240340446451893E-2</v>
      </c>
      <c r="AG1281" s="597">
        <f t="shared" si="81"/>
        <v>1.4230271668822736E-2</v>
      </c>
    </row>
    <row r="1282" spans="13:33" x14ac:dyDescent="0.35">
      <c r="M1282" s="555">
        <v>43530</v>
      </c>
      <c r="N1282" s="543" t="s">
        <v>449</v>
      </c>
      <c r="O1282" s="543">
        <v>39568.1</v>
      </c>
      <c r="P1282" s="73" t="s">
        <v>431</v>
      </c>
      <c r="Q1282" s="158">
        <v>17.41</v>
      </c>
      <c r="R1282" s="563">
        <f t="shared" si="78"/>
        <v>-3.0338755473562351E-3</v>
      </c>
      <c r="S1282" s="563">
        <f t="shared" si="79"/>
        <v>-1.8048505358150058E-2</v>
      </c>
      <c r="AA1282" s="594">
        <v>43528</v>
      </c>
      <c r="AB1282" s="595" t="s">
        <v>449</v>
      </c>
      <c r="AC1282" s="595">
        <v>39749.74</v>
      </c>
      <c r="AD1282" s="596" t="s">
        <v>395</v>
      </c>
      <c r="AE1282" s="595">
        <v>205.8</v>
      </c>
      <c r="AF1282" s="597">
        <f t="shared" si="80"/>
        <v>5.3296731506426998E-3</v>
      </c>
      <c r="AG1282" s="597">
        <f t="shared" si="81"/>
        <v>5.0000000000000044E-2</v>
      </c>
    </row>
    <row r="1283" spans="13:33" x14ac:dyDescent="0.35">
      <c r="M1283" s="555">
        <v>43531</v>
      </c>
      <c r="N1283" s="543" t="s">
        <v>449</v>
      </c>
      <c r="O1283" s="543">
        <v>39294.1</v>
      </c>
      <c r="P1283" s="73" t="s">
        <v>431</v>
      </c>
      <c r="Q1283" s="158">
        <v>16.95</v>
      </c>
      <c r="R1283" s="563">
        <f t="shared" si="78"/>
        <v>-6.9247702063025551E-3</v>
      </c>
      <c r="S1283" s="563">
        <f t="shared" si="79"/>
        <v>-2.642159678345779E-2</v>
      </c>
      <c r="AA1283" s="594">
        <v>43529</v>
      </c>
      <c r="AB1283" s="595" t="s">
        <v>449</v>
      </c>
      <c r="AC1283" s="595">
        <v>39688.51</v>
      </c>
      <c r="AD1283" s="596" t="s">
        <v>395</v>
      </c>
      <c r="AE1283" s="595">
        <v>215.4</v>
      </c>
      <c r="AF1283" s="597">
        <f t="shared" si="80"/>
        <v>-1.5403874339805501E-3</v>
      </c>
      <c r="AG1283" s="597">
        <f t="shared" si="81"/>
        <v>4.6647230320699729E-2</v>
      </c>
    </row>
    <row r="1284" spans="13:33" x14ac:dyDescent="0.35">
      <c r="M1284" s="555">
        <v>43532</v>
      </c>
      <c r="N1284" s="543" t="s">
        <v>449</v>
      </c>
      <c r="O1284" s="543">
        <v>38950.230000000003</v>
      </c>
      <c r="P1284" s="73" t="s">
        <v>431</v>
      </c>
      <c r="Q1284" s="158">
        <v>16.440000000000001</v>
      </c>
      <c r="R1284" s="563">
        <f t="shared" si="78"/>
        <v>-8.7511865649040343E-3</v>
      </c>
      <c r="S1284" s="563">
        <f t="shared" si="79"/>
        <v>-3.0088495575221086E-2</v>
      </c>
      <c r="AA1284" s="594">
        <v>43530</v>
      </c>
      <c r="AB1284" s="595" t="s">
        <v>449</v>
      </c>
      <c r="AC1284" s="595">
        <v>39568.1</v>
      </c>
      <c r="AD1284" s="596" t="s">
        <v>395</v>
      </c>
      <c r="AE1284" s="595">
        <v>205.25</v>
      </c>
      <c r="AF1284" s="597">
        <f t="shared" si="80"/>
        <v>-3.0338755473562351E-3</v>
      </c>
      <c r="AG1284" s="597">
        <f t="shared" si="81"/>
        <v>-4.7121634168987958E-2</v>
      </c>
    </row>
    <row r="1285" spans="13:33" x14ac:dyDescent="0.35">
      <c r="M1285" s="555">
        <v>43535</v>
      </c>
      <c r="N1285" s="543" t="s">
        <v>449</v>
      </c>
      <c r="O1285" s="543">
        <v>38924.11</v>
      </c>
      <c r="P1285" s="73" t="s">
        <v>431</v>
      </c>
      <c r="Q1285" s="158">
        <v>16.149999999999999</v>
      </c>
      <c r="R1285" s="563">
        <f t="shared" si="78"/>
        <v>-6.7059937771873912E-4</v>
      </c>
      <c r="S1285" s="563">
        <f t="shared" si="79"/>
        <v>-1.7639902676399144E-2</v>
      </c>
      <c r="AA1285" s="594">
        <v>43531</v>
      </c>
      <c r="AB1285" s="595" t="s">
        <v>449</v>
      </c>
      <c r="AC1285" s="595">
        <v>39294.1</v>
      </c>
      <c r="AD1285" s="596" t="s">
        <v>395</v>
      </c>
      <c r="AE1285" s="595">
        <v>205</v>
      </c>
      <c r="AF1285" s="597">
        <f t="shared" si="80"/>
        <v>-6.9247702063025551E-3</v>
      </c>
      <c r="AG1285" s="597">
        <f t="shared" si="81"/>
        <v>-1.2180267965895553E-3</v>
      </c>
    </row>
    <row r="1286" spans="13:33" x14ac:dyDescent="0.35">
      <c r="M1286" s="555">
        <v>43536</v>
      </c>
      <c r="N1286" s="543" t="s">
        <v>449</v>
      </c>
      <c r="O1286" s="543">
        <v>38896.49</v>
      </c>
      <c r="P1286" s="73" t="s">
        <v>431</v>
      </c>
      <c r="Q1286" s="158">
        <v>16.84</v>
      </c>
      <c r="R1286" s="563">
        <f t="shared" si="78"/>
        <v>-7.0958590960723544E-4</v>
      </c>
      <c r="S1286" s="563">
        <f t="shared" si="79"/>
        <v>4.2724458204334459E-2</v>
      </c>
      <c r="AA1286" s="594">
        <v>43532</v>
      </c>
      <c r="AB1286" s="595" t="s">
        <v>449</v>
      </c>
      <c r="AC1286" s="595">
        <v>38950.230000000003</v>
      </c>
      <c r="AD1286" s="596" t="s">
        <v>395</v>
      </c>
      <c r="AE1286" s="595">
        <v>204.88</v>
      </c>
      <c r="AF1286" s="597">
        <f t="shared" si="80"/>
        <v>-8.7511865649040343E-3</v>
      </c>
      <c r="AG1286" s="597">
        <f t="shared" si="81"/>
        <v>-5.8536585365853711E-4</v>
      </c>
    </row>
    <row r="1287" spans="13:33" x14ac:dyDescent="0.35">
      <c r="M1287" s="555">
        <v>43537</v>
      </c>
      <c r="N1287" s="543" t="s">
        <v>449</v>
      </c>
      <c r="O1287" s="543">
        <v>38928.93</v>
      </c>
      <c r="P1287" s="73" t="s">
        <v>431</v>
      </c>
      <c r="Q1287" s="158">
        <v>16.95</v>
      </c>
      <c r="R1287" s="563">
        <f t="shared" si="78"/>
        <v>8.3400841566949602E-4</v>
      </c>
      <c r="S1287" s="563">
        <f t="shared" si="79"/>
        <v>6.5320665083135054E-3</v>
      </c>
      <c r="AA1287" s="594">
        <v>43535</v>
      </c>
      <c r="AB1287" s="595" t="s">
        <v>449</v>
      </c>
      <c r="AC1287" s="595">
        <v>38924.11</v>
      </c>
      <c r="AD1287" s="596" t="s">
        <v>395</v>
      </c>
      <c r="AE1287" s="595">
        <v>202.44</v>
      </c>
      <c r="AF1287" s="597">
        <f t="shared" si="80"/>
        <v>-6.7059937771873912E-4</v>
      </c>
      <c r="AG1287" s="597">
        <f t="shared" si="81"/>
        <v>-1.1909410386567787E-2</v>
      </c>
    </row>
    <row r="1288" spans="13:33" x14ac:dyDescent="0.35">
      <c r="M1288" s="555">
        <v>43538</v>
      </c>
      <c r="N1288" s="543" t="s">
        <v>449</v>
      </c>
      <c r="O1288" s="543">
        <v>38808.61</v>
      </c>
      <c r="P1288" s="73" t="s">
        <v>431</v>
      </c>
      <c r="Q1288" s="158">
        <v>16.489999999999998</v>
      </c>
      <c r="R1288" s="563">
        <f t="shared" si="78"/>
        <v>-3.0907605218021272E-3</v>
      </c>
      <c r="S1288" s="563">
        <f t="shared" si="79"/>
        <v>-2.7138643067846635E-2</v>
      </c>
      <c r="AA1288" s="594">
        <v>43536</v>
      </c>
      <c r="AB1288" s="595" t="s">
        <v>449</v>
      </c>
      <c r="AC1288" s="595">
        <v>38896.49</v>
      </c>
      <c r="AD1288" s="596" t="s">
        <v>395</v>
      </c>
      <c r="AE1288" s="595">
        <v>200</v>
      </c>
      <c r="AF1288" s="597">
        <f t="shared" si="80"/>
        <v>-7.0958590960723544E-4</v>
      </c>
      <c r="AG1288" s="597">
        <f t="shared" si="81"/>
        <v>-1.2052953961667612E-2</v>
      </c>
    </row>
    <row r="1289" spans="13:33" x14ac:dyDescent="0.35">
      <c r="M1289" s="555">
        <v>43539</v>
      </c>
      <c r="N1289" s="543" t="s">
        <v>449</v>
      </c>
      <c r="O1289" s="543">
        <v>38306.949999999997</v>
      </c>
      <c r="P1289" s="73" t="s">
        <v>431</v>
      </c>
      <c r="Q1289" s="158">
        <v>15.96</v>
      </c>
      <c r="R1289" s="563">
        <f t="shared" si="78"/>
        <v>-1.2926512956789815E-2</v>
      </c>
      <c r="S1289" s="563">
        <f t="shared" si="79"/>
        <v>-3.2140691328077509E-2</v>
      </c>
      <c r="AA1289" s="594">
        <v>43537</v>
      </c>
      <c r="AB1289" s="595" t="s">
        <v>449</v>
      </c>
      <c r="AC1289" s="595">
        <v>38928.93</v>
      </c>
      <c r="AD1289" s="596" t="s">
        <v>395</v>
      </c>
      <c r="AE1289" s="595">
        <v>200</v>
      </c>
      <c r="AF1289" s="597">
        <f t="shared" si="80"/>
        <v>8.3400841566949602E-4</v>
      </c>
      <c r="AG1289" s="597">
        <f t="shared" si="81"/>
        <v>0</v>
      </c>
    </row>
    <row r="1290" spans="13:33" x14ac:dyDescent="0.35">
      <c r="M1290" s="555">
        <v>43542</v>
      </c>
      <c r="N1290" s="543" t="s">
        <v>449</v>
      </c>
      <c r="O1290" s="543">
        <v>38851.949999999997</v>
      </c>
      <c r="P1290" s="73" t="s">
        <v>431</v>
      </c>
      <c r="Q1290" s="158">
        <v>16.57</v>
      </c>
      <c r="R1290" s="563">
        <f t="shared" si="78"/>
        <v>1.4227183317909731E-2</v>
      </c>
      <c r="S1290" s="563">
        <f t="shared" si="79"/>
        <v>3.8220551378446155E-2</v>
      </c>
      <c r="AA1290" s="594">
        <v>43538</v>
      </c>
      <c r="AB1290" s="595" t="s">
        <v>449</v>
      </c>
      <c r="AC1290" s="595">
        <v>38808.61</v>
      </c>
      <c r="AD1290" s="596" t="s">
        <v>395</v>
      </c>
      <c r="AE1290" s="595">
        <v>200</v>
      </c>
      <c r="AF1290" s="597">
        <f t="shared" si="80"/>
        <v>-3.0907605218021272E-3</v>
      </c>
      <c r="AG1290" s="597">
        <f t="shared" si="81"/>
        <v>0</v>
      </c>
    </row>
    <row r="1291" spans="13:33" x14ac:dyDescent="0.35">
      <c r="M1291" s="555">
        <v>43543</v>
      </c>
      <c r="N1291" s="543" t="s">
        <v>449</v>
      </c>
      <c r="O1291" s="543">
        <v>38612.370000000003</v>
      </c>
      <c r="P1291" s="73" t="s">
        <v>431</v>
      </c>
      <c r="Q1291" s="158">
        <v>16.309999999999999</v>
      </c>
      <c r="R1291" s="563">
        <f t="shared" si="78"/>
        <v>-6.1664858520613652E-3</v>
      </c>
      <c r="S1291" s="563">
        <f t="shared" si="79"/>
        <v>-1.5691007845504035E-2</v>
      </c>
      <c r="AA1291" s="594">
        <v>43539</v>
      </c>
      <c r="AB1291" s="595" t="s">
        <v>449</v>
      </c>
      <c r="AC1291" s="595">
        <v>38306.949999999997</v>
      </c>
      <c r="AD1291" s="596" t="s">
        <v>395</v>
      </c>
      <c r="AE1291" s="595">
        <v>200</v>
      </c>
      <c r="AF1291" s="597">
        <f t="shared" si="80"/>
        <v>-1.2926512956789815E-2</v>
      </c>
      <c r="AG1291" s="597">
        <f t="shared" si="81"/>
        <v>0</v>
      </c>
    </row>
    <row r="1292" spans="13:33" x14ac:dyDescent="0.35">
      <c r="M1292" s="526">
        <v>43545</v>
      </c>
      <c r="N1292" s="524" t="s">
        <v>449</v>
      </c>
      <c r="O1292" s="524">
        <v>38384.71</v>
      </c>
      <c r="P1292" s="73" t="s">
        <v>431</v>
      </c>
      <c r="Q1292">
        <v>16.04</v>
      </c>
      <c r="R1292" s="563">
        <f t="shared" si="78"/>
        <v>-5.8960379795387485E-3</v>
      </c>
      <c r="S1292" s="563">
        <f t="shared" si="79"/>
        <v>-1.6554261189454245E-2</v>
      </c>
      <c r="AA1292" s="594">
        <v>43542</v>
      </c>
      <c r="AB1292" s="595" t="s">
        <v>449</v>
      </c>
      <c r="AC1292" s="595">
        <v>38851.949999999997</v>
      </c>
      <c r="AD1292" s="596" t="s">
        <v>395</v>
      </c>
      <c r="AE1292" s="595">
        <v>195.5</v>
      </c>
      <c r="AF1292" s="597">
        <f t="shared" si="80"/>
        <v>1.4227183317909731E-2</v>
      </c>
      <c r="AG1292" s="597">
        <f t="shared" si="81"/>
        <v>-2.2499999999999964E-2</v>
      </c>
    </row>
    <row r="1293" spans="13:33" x14ac:dyDescent="0.35">
      <c r="M1293" s="555">
        <v>43546</v>
      </c>
      <c r="N1293" s="543" t="s">
        <v>449</v>
      </c>
      <c r="O1293" s="543">
        <v>38531.870000000003</v>
      </c>
      <c r="P1293" s="73" t="s">
        <v>431</v>
      </c>
      <c r="Q1293" s="158">
        <v>16.05</v>
      </c>
      <c r="R1293" s="563">
        <f t="shared" si="78"/>
        <v>3.8338182052177761E-3</v>
      </c>
      <c r="S1293" s="563">
        <f t="shared" si="79"/>
        <v>6.2344139650871711E-4</v>
      </c>
      <c r="AA1293" s="594">
        <v>43543</v>
      </c>
      <c r="AB1293" s="595" t="s">
        <v>449</v>
      </c>
      <c r="AC1293" s="595">
        <v>38612.370000000003</v>
      </c>
      <c r="AD1293" s="596" t="s">
        <v>395</v>
      </c>
      <c r="AE1293" s="595">
        <v>193.47</v>
      </c>
      <c r="AF1293" s="597">
        <f t="shared" si="80"/>
        <v>-6.1664858520613652E-3</v>
      </c>
      <c r="AG1293" s="597">
        <f t="shared" si="81"/>
        <v>-1.0383631713554942E-2</v>
      </c>
    </row>
    <row r="1294" spans="13:33" x14ac:dyDescent="0.35">
      <c r="M1294" s="555">
        <v>43549</v>
      </c>
      <c r="N1294" s="543" t="s">
        <v>449</v>
      </c>
      <c r="O1294" s="543">
        <v>38128.660000000003</v>
      </c>
      <c r="P1294" s="73" t="s">
        <v>431</v>
      </c>
      <c r="Q1294" s="158">
        <v>15.89</v>
      </c>
      <c r="R1294" s="563">
        <f t="shared" si="78"/>
        <v>-1.0464324726518592E-2</v>
      </c>
      <c r="S1294" s="563">
        <f t="shared" si="79"/>
        <v>-9.9688473520249676E-3</v>
      </c>
      <c r="AA1294" s="594">
        <v>43545</v>
      </c>
      <c r="AB1294" s="595" t="s">
        <v>449</v>
      </c>
      <c r="AC1294" s="595">
        <v>38384.71</v>
      </c>
      <c r="AD1294" s="596" t="s">
        <v>395</v>
      </c>
      <c r="AE1294" s="595">
        <v>197.05</v>
      </c>
      <c r="AF1294" s="597">
        <f t="shared" si="80"/>
        <v>-5.8960379795387485E-3</v>
      </c>
      <c r="AG1294" s="597">
        <f t="shared" si="81"/>
        <v>1.8504160851811724E-2</v>
      </c>
    </row>
    <row r="1295" spans="13:33" x14ac:dyDescent="0.35">
      <c r="M1295" s="555">
        <v>43550</v>
      </c>
      <c r="N1295" s="543" t="s">
        <v>449</v>
      </c>
      <c r="O1295" s="543">
        <v>38329.129999999997</v>
      </c>
      <c r="P1295" s="73" t="s">
        <v>431</v>
      </c>
      <c r="Q1295" s="158">
        <v>15.96</v>
      </c>
      <c r="R1295" s="563">
        <f t="shared" si="78"/>
        <v>5.2577247666190097E-3</v>
      </c>
      <c r="S1295" s="563">
        <f t="shared" si="79"/>
        <v>4.405286343612369E-3</v>
      </c>
      <c r="AA1295" s="594">
        <v>43546</v>
      </c>
      <c r="AB1295" s="595" t="s">
        <v>449</v>
      </c>
      <c r="AC1295" s="595">
        <v>38531.870000000003</v>
      </c>
      <c r="AD1295" s="596" t="s">
        <v>395</v>
      </c>
      <c r="AE1295" s="595">
        <v>202</v>
      </c>
      <c r="AF1295" s="597">
        <f t="shared" si="80"/>
        <v>3.8338182052177761E-3</v>
      </c>
      <c r="AG1295" s="597">
        <f t="shared" si="81"/>
        <v>2.5120527784826097E-2</v>
      </c>
    </row>
    <row r="1296" spans="13:33" x14ac:dyDescent="0.35">
      <c r="M1296" s="555">
        <v>43551</v>
      </c>
      <c r="N1296" s="543" t="s">
        <v>449</v>
      </c>
      <c r="O1296" s="543">
        <v>38965.01</v>
      </c>
      <c r="P1296" s="73" t="s">
        <v>431</v>
      </c>
      <c r="Q1296" s="158">
        <v>16.61</v>
      </c>
      <c r="R1296" s="563">
        <f t="shared" si="78"/>
        <v>1.658999304184583E-2</v>
      </c>
      <c r="S1296" s="563">
        <f t="shared" si="79"/>
        <v>4.07268170426065E-2</v>
      </c>
      <c r="AA1296" s="594">
        <v>43549</v>
      </c>
      <c r="AB1296" s="595" t="s">
        <v>449</v>
      </c>
      <c r="AC1296" s="595">
        <v>38128.660000000003</v>
      </c>
      <c r="AD1296" s="596" t="s">
        <v>395</v>
      </c>
      <c r="AE1296" s="595">
        <v>201.17</v>
      </c>
      <c r="AF1296" s="597">
        <f t="shared" si="80"/>
        <v>-1.0464324726518592E-2</v>
      </c>
      <c r="AG1296" s="597">
        <f t="shared" si="81"/>
        <v>-4.1089108910892236E-3</v>
      </c>
    </row>
    <row r="1297" spans="13:33" x14ac:dyDescent="0.35">
      <c r="M1297" s="526">
        <v>43553</v>
      </c>
      <c r="N1297" s="524" t="s">
        <v>449</v>
      </c>
      <c r="O1297" s="524">
        <v>38649.339999999997</v>
      </c>
      <c r="P1297" s="73" t="s">
        <v>431</v>
      </c>
      <c r="Q1297">
        <v>15.93</v>
      </c>
      <c r="R1297" s="563">
        <f t="shared" si="78"/>
        <v>-8.1013709479351714E-3</v>
      </c>
      <c r="S1297" s="563">
        <f t="shared" si="79"/>
        <v>-4.0939193257074069E-2</v>
      </c>
      <c r="AA1297" s="594">
        <v>43550</v>
      </c>
      <c r="AB1297" s="595" t="s">
        <v>449</v>
      </c>
      <c r="AC1297" s="595">
        <v>38329.129999999997</v>
      </c>
      <c r="AD1297" s="596" t="s">
        <v>395</v>
      </c>
      <c r="AE1297" s="595">
        <v>203.99</v>
      </c>
      <c r="AF1297" s="597">
        <f t="shared" si="80"/>
        <v>5.2577247666190097E-3</v>
      </c>
      <c r="AG1297" s="597">
        <f t="shared" si="81"/>
        <v>1.4017994730824768E-2</v>
      </c>
    </row>
    <row r="1298" spans="13:33" x14ac:dyDescent="0.35">
      <c r="M1298" s="555">
        <v>43556</v>
      </c>
      <c r="N1298" s="543" t="s">
        <v>449</v>
      </c>
      <c r="O1298" s="543">
        <v>38354.85</v>
      </c>
      <c r="P1298" s="73" t="s">
        <v>431</v>
      </c>
      <c r="Q1298" s="158">
        <v>15.77</v>
      </c>
      <c r="R1298" s="563">
        <f t="shared" si="78"/>
        <v>-7.6195350295761299E-3</v>
      </c>
      <c r="S1298" s="563">
        <f t="shared" si="79"/>
        <v>-1.0043942247332072E-2</v>
      </c>
      <c r="AA1298" s="594">
        <v>43551</v>
      </c>
      <c r="AB1298" s="595" t="s">
        <v>449</v>
      </c>
      <c r="AC1298" s="595">
        <v>38965.01</v>
      </c>
      <c r="AD1298" s="596" t="s">
        <v>395</v>
      </c>
      <c r="AE1298" s="595">
        <v>203.99</v>
      </c>
      <c r="AF1298" s="597">
        <f t="shared" si="80"/>
        <v>1.658999304184583E-2</v>
      </c>
      <c r="AG1298" s="597">
        <f t="shared" si="81"/>
        <v>0</v>
      </c>
    </row>
    <row r="1299" spans="13:33" x14ac:dyDescent="0.35">
      <c r="M1299" s="555">
        <v>43557</v>
      </c>
      <c r="N1299" s="543" t="s">
        <v>449</v>
      </c>
      <c r="O1299" s="543">
        <v>38036.019999999997</v>
      </c>
      <c r="P1299" s="73" t="s">
        <v>431</v>
      </c>
      <c r="Q1299" s="158">
        <v>15.65</v>
      </c>
      <c r="R1299" s="563">
        <f t="shared" si="78"/>
        <v>-8.3126384277347753E-3</v>
      </c>
      <c r="S1299" s="563">
        <f t="shared" si="79"/>
        <v>-7.609384908053185E-3</v>
      </c>
      <c r="AA1299" s="594">
        <v>43553</v>
      </c>
      <c r="AB1299" s="595" t="s">
        <v>449</v>
      </c>
      <c r="AC1299" s="595">
        <v>38649.339999999997</v>
      </c>
      <c r="AD1299" s="596" t="s">
        <v>395</v>
      </c>
      <c r="AE1299" s="595">
        <v>197.08</v>
      </c>
      <c r="AF1299" s="597">
        <f t="shared" si="80"/>
        <v>-8.1013709479351714E-3</v>
      </c>
      <c r="AG1299" s="597">
        <f t="shared" si="81"/>
        <v>-3.3874209520074472E-2</v>
      </c>
    </row>
    <row r="1300" spans="13:33" x14ac:dyDescent="0.35">
      <c r="M1300" s="555">
        <v>43558</v>
      </c>
      <c r="N1300" s="543" t="s">
        <v>449</v>
      </c>
      <c r="O1300" s="543">
        <v>38022.800000000003</v>
      </c>
      <c r="P1300" s="73" t="s">
        <v>431</v>
      </c>
      <c r="Q1300" s="158">
        <v>15.59</v>
      </c>
      <c r="R1300" s="563">
        <f t="shared" si="78"/>
        <v>-3.4756528154089583E-4</v>
      </c>
      <c r="S1300" s="563">
        <f t="shared" si="79"/>
        <v>-3.8338658146964688E-3</v>
      </c>
      <c r="AA1300" s="594">
        <v>43556</v>
      </c>
      <c r="AB1300" s="595" t="s">
        <v>449</v>
      </c>
      <c r="AC1300" s="595">
        <v>38354.85</v>
      </c>
      <c r="AD1300" s="596" t="s">
        <v>395</v>
      </c>
      <c r="AE1300" s="595">
        <v>200</v>
      </c>
      <c r="AF1300" s="597">
        <f t="shared" si="80"/>
        <v>-7.6195350295761299E-3</v>
      </c>
      <c r="AG1300" s="597">
        <f t="shared" si="81"/>
        <v>1.4816318246397397E-2</v>
      </c>
    </row>
    <row r="1301" spans="13:33" x14ac:dyDescent="0.35">
      <c r="M1301" s="555">
        <v>43559</v>
      </c>
      <c r="N1301" s="543" t="s">
        <v>449</v>
      </c>
      <c r="O1301" s="543">
        <v>37516.11</v>
      </c>
      <c r="P1301" s="73" t="s">
        <v>431</v>
      </c>
      <c r="Q1301" s="158">
        <v>15.39</v>
      </c>
      <c r="R1301" s="563">
        <f t="shared" si="78"/>
        <v>-1.332595179734275E-2</v>
      </c>
      <c r="S1301" s="563">
        <f t="shared" si="79"/>
        <v>-1.2828736369467575E-2</v>
      </c>
      <c r="AA1301" s="594">
        <v>43557</v>
      </c>
      <c r="AB1301" s="595" t="s">
        <v>449</v>
      </c>
      <c r="AC1301" s="595">
        <v>38036.019999999997</v>
      </c>
      <c r="AD1301" s="596" t="s">
        <v>395</v>
      </c>
      <c r="AE1301" s="595">
        <v>200</v>
      </c>
      <c r="AF1301" s="597">
        <f t="shared" si="80"/>
        <v>-8.3126384277347753E-3</v>
      </c>
      <c r="AG1301" s="597">
        <f t="shared" si="81"/>
        <v>0</v>
      </c>
    </row>
    <row r="1302" spans="13:33" x14ac:dyDescent="0.35">
      <c r="M1302" s="555">
        <v>43560</v>
      </c>
      <c r="N1302" s="543" t="s">
        <v>449</v>
      </c>
      <c r="O1302" s="543">
        <v>37521.81</v>
      </c>
      <c r="P1302" s="73" t="s">
        <v>431</v>
      </c>
      <c r="Q1302" s="158">
        <v>15.56</v>
      </c>
      <c r="R1302" s="563">
        <f t="shared" si="78"/>
        <v>1.5193472884034165E-4</v>
      </c>
      <c r="S1302" s="563">
        <f t="shared" si="79"/>
        <v>1.1046133853151341E-2</v>
      </c>
      <c r="AA1302" s="594">
        <v>43558</v>
      </c>
      <c r="AB1302" s="595" t="s">
        <v>449</v>
      </c>
      <c r="AC1302" s="595">
        <v>38022.800000000003</v>
      </c>
      <c r="AD1302" s="596" t="s">
        <v>395</v>
      </c>
      <c r="AE1302" s="595">
        <v>195</v>
      </c>
      <c r="AF1302" s="597">
        <f t="shared" si="80"/>
        <v>-3.4756528154089583E-4</v>
      </c>
      <c r="AG1302" s="597">
        <f t="shared" si="81"/>
        <v>-2.5000000000000022E-2</v>
      </c>
    </row>
    <row r="1303" spans="13:33" x14ac:dyDescent="0.35">
      <c r="M1303" s="555">
        <v>43563</v>
      </c>
      <c r="N1303" s="543" t="s">
        <v>449</v>
      </c>
      <c r="O1303" s="543">
        <v>36921.910000000003</v>
      </c>
      <c r="P1303" s="73" t="s">
        <v>431</v>
      </c>
      <c r="Q1303" s="158">
        <v>14.88</v>
      </c>
      <c r="R1303" s="563">
        <f t="shared" si="78"/>
        <v>-1.5988034692356101E-2</v>
      </c>
      <c r="S1303" s="563">
        <f t="shared" si="79"/>
        <v>-4.370179948586117E-2</v>
      </c>
      <c r="AA1303" s="594">
        <v>43559</v>
      </c>
      <c r="AB1303" s="595" t="s">
        <v>449</v>
      </c>
      <c r="AC1303" s="595">
        <v>37516.11</v>
      </c>
      <c r="AD1303" s="596" t="s">
        <v>395</v>
      </c>
      <c r="AE1303" s="595">
        <v>195.98</v>
      </c>
      <c r="AF1303" s="597">
        <f t="shared" si="80"/>
        <v>-1.332595179734275E-2</v>
      </c>
      <c r="AG1303" s="597">
        <f t="shared" si="81"/>
        <v>5.02564102564107E-3</v>
      </c>
    </row>
    <row r="1304" spans="13:33" x14ac:dyDescent="0.35">
      <c r="M1304" s="555">
        <v>43564</v>
      </c>
      <c r="N1304" s="543" t="s">
        <v>449</v>
      </c>
      <c r="O1304" s="543">
        <v>37129.97</v>
      </c>
      <c r="P1304" s="73" t="s">
        <v>431</v>
      </c>
      <c r="Q1304" s="158">
        <v>14.78</v>
      </c>
      <c r="R1304" s="563">
        <f t="shared" si="78"/>
        <v>5.6351364271240989E-3</v>
      </c>
      <c r="S1304" s="563">
        <f t="shared" si="79"/>
        <v>-6.7204301075269868E-3</v>
      </c>
      <c r="AA1304" s="594">
        <v>43560</v>
      </c>
      <c r="AB1304" s="595" t="s">
        <v>449</v>
      </c>
      <c r="AC1304" s="595">
        <v>37521.81</v>
      </c>
      <c r="AD1304" s="596" t="s">
        <v>395</v>
      </c>
      <c r="AE1304" s="595">
        <v>205.11</v>
      </c>
      <c r="AF1304" s="597">
        <f t="shared" si="80"/>
        <v>1.5193472884034165E-4</v>
      </c>
      <c r="AG1304" s="597">
        <f t="shared" si="81"/>
        <v>4.6586386365955912E-2</v>
      </c>
    </row>
    <row r="1305" spans="13:33" x14ac:dyDescent="0.35">
      <c r="M1305" s="555">
        <v>43565</v>
      </c>
      <c r="N1305" s="543" t="s">
        <v>449</v>
      </c>
      <c r="O1305" s="543">
        <v>36579.32</v>
      </c>
      <c r="P1305" s="73" t="s">
        <v>431</v>
      </c>
      <c r="Q1305" s="158">
        <v>14.17</v>
      </c>
      <c r="R1305" s="563">
        <f t="shared" si="78"/>
        <v>-1.4830337864533694E-2</v>
      </c>
      <c r="S1305" s="563">
        <f t="shared" si="79"/>
        <v>-4.1271989174560209E-2</v>
      </c>
      <c r="AA1305" s="594">
        <v>43563</v>
      </c>
      <c r="AB1305" s="595" t="s">
        <v>449</v>
      </c>
      <c r="AC1305" s="595">
        <v>36921.910000000003</v>
      </c>
      <c r="AD1305" s="596" t="s">
        <v>395</v>
      </c>
      <c r="AE1305" s="595">
        <v>195</v>
      </c>
      <c r="AF1305" s="597">
        <f t="shared" si="80"/>
        <v>-1.5988034692356101E-2</v>
      </c>
      <c r="AG1305" s="597">
        <f t="shared" si="81"/>
        <v>-4.9290624542928207E-2</v>
      </c>
    </row>
    <row r="1306" spans="13:33" x14ac:dyDescent="0.35">
      <c r="M1306" s="555">
        <v>43566</v>
      </c>
      <c r="N1306" s="543" t="s">
        <v>449</v>
      </c>
      <c r="O1306" s="543">
        <v>36787.64</v>
      </c>
      <c r="P1306" s="73" t="s">
        <v>431</v>
      </c>
      <c r="Q1306" s="158">
        <v>14.36</v>
      </c>
      <c r="R1306" s="563">
        <f t="shared" ref="R1306:R1369" si="82">(O1306/O1305)-1</f>
        <v>5.6950211212236646E-3</v>
      </c>
      <c r="S1306" s="563">
        <f t="shared" ref="S1306:S1369" si="83">(Q1306/Q1305)-1</f>
        <v>1.3408609738885024E-2</v>
      </c>
      <c r="AA1306" s="594">
        <v>43564</v>
      </c>
      <c r="AB1306" s="595" t="s">
        <v>449</v>
      </c>
      <c r="AC1306" s="595">
        <v>37129.97</v>
      </c>
      <c r="AD1306" s="596" t="s">
        <v>395</v>
      </c>
      <c r="AE1306" s="595">
        <v>198</v>
      </c>
      <c r="AF1306" s="597">
        <f t="shared" si="80"/>
        <v>5.6351364271240989E-3</v>
      </c>
      <c r="AG1306" s="597">
        <f t="shared" si="81"/>
        <v>1.538461538461533E-2</v>
      </c>
    </row>
    <row r="1307" spans="13:33" x14ac:dyDescent="0.35">
      <c r="M1307" s="555">
        <v>43567</v>
      </c>
      <c r="N1307" s="543" t="s">
        <v>449</v>
      </c>
      <c r="O1307" s="543">
        <v>37337.870000000003</v>
      </c>
      <c r="P1307" s="73" t="s">
        <v>431</v>
      </c>
      <c r="Q1307" s="158">
        <v>15.09</v>
      </c>
      <c r="R1307" s="563">
        <f t="shared" si="82"/>
        <v>1.4956925750061689E-2</v>
      </c>
      <c r="S1307" s="563">
        <f t="shared" si="83"/>
        <v>5.0835654596100399E-2</v>
      </c>
      <c r="AA1307" s="594">
        <v>43565</v>
      </c>
      <c r="AB1307" s="595" t="s">
        <v>449</v>
      </c>
      <c r="AC1307" s="595">
        <v>36579.32</v>
      </c>
      <c r="AD1307" s="596" t="s">
        <v>395</v>
      </c>
      <c r="AE1307" s="595">
        <v>191</v>
      </c>
      <c r="AF1307" s="597">
        <f t="shared" si="80"/>
        <v>-1.4830337864533694E-2</v>
      </c>
      <c r="AG1307" s="597">
        <f t="shared" si="81"/>
        <v>-3.5353535353535359E-2</v>
      </c>
    </row>
    <row r="1308" spans="13:33" x14ac:dyDescent="0.35">
      <c r="M1308" s="526">
        <v>43571</v>
      </c>
      <c r="N1308" s="524" t="s">
        <v>449</v>
      </c>
      <c r="O1308" s="524">
        <v>37381.949999999997</v>
      </c>
      <c r="P1308" s="73" t="s">
        <v>431</v>
      </c>
      <c r="Q1308">
        <v>15.44</v>
      </c>
      <c r="R1308" s="563">
        <f t="shared" si="82"/>
        <v>1.1805708252772273E-3</v>
      </c>
      <c r="S1308" s="563">
        <f t="shared" si="83"/>
        <v>2.3194168323392939E-2</v>
      </c>
      <c r="AA1308" s="594">
        <v>43566</v>
      </c>
      <c r="AB1308" s="595" t="s">
        <v>449</v>
      </c>
      <c r="AC1308" s="595">
        <v>36787.64</v>
      </c>
      <c r="AD1308" s="596" t="s">
        <v>395</v>
      </c>
      <c r="AE1308" s="595">
        <v>190</v>
      </c>
      <c r="AF1308" s="597">
        <f t="shared" ref="AF1308:AF1371" si="84">(AC1308/AC1307)-1</f>
        <v>5.6950211212236646E-3</v>
      </c>
      <c r="AG1308" s="597">
        <f t="shared" ref="AG1308:AG1371" si="85">(AE1308/AE1307)-1</f>
        <v>-5.2356020942407877E-3</v>
      </c>
    </row>
    <row r="1309" spans="13:33" x14ac:dyDescent="0.35">
      <c r="M1309" s="555">
        <v>43572</v>
      </c>
      <c r="N1309" s="543" t="s">
        <v>449</v>
      </c>
      <c r="O1309" s="543">
        <v>36752.57</v>
      </c>
      <c r="P1309" s="73" t="s">
        <v>431</v>
      </c>
      <c r="Q1309" s="158">
        <v>14.91</v>
      </c>
      <c r="R1309" s="563">
        <f t="shared" si="82"/>
        <v>-1.6836467867513583E-2</v>
      </c>
      <c r="S1309" s="563">
        <f t="shared" si="83"/>
        <v>-3.4326424870466332E-2</v>
      </c>
      <c r="AA1309" s="594">
        <v>43567</v>
      </c>
      <c r="AB1309" s="595" t="s">
        <v>449</v>
      </c>
      <c r="AC1309" s="595">
        <v>37337.870000000003</v>
      </c>
      <c r="AD1309" s="596" t="s">
        <v>395</v>
      </c>
      <c r="AE1309" s="595">
        <v>190.58</v>
      </c>
      <c r="AF1309" s="597">
        <f t="shared" si="84"/>
        <v>1.4956925750061689E-2</v>
      </c>
      <c r="AG1309" s="597">
        <f t="shared" si="85"/>
        <v>3.0526315789474179E-3</v>
      </c>
    </row>
    <row r="1310" spans="13:33" x14ac:dyDescent="0.35">
      <c r="M1310" s="555">
        <v>43573</v>
      </c>
      <c r="N1310" s="543" t="s">
        <v>449</v>
      </c>
      <c r="O1310" s="543">
        <v>36811.86</v>
      </c>
      <c r="P1310" s="73" t="s">
        <v>431</v>
      </c>
      <c r="Q1310" s="158">
        <v>14.94</v>
      </c>
      <c r="R1310" s="563">
        <f t="shared" si="82"/>
        <v>1.6132205176400127E-3</v>
      </c>
      <c r="S1310" s="563">
        <f t="shared" si="83"/>
        <v>2.012072434607548E-3</v>
      </c>
      <c r="AA1310" s="594">
        <v>43571</v>
      </c>
      <c r="AB1310" s="595" t="s">
        <v>449</v>
      </c>
      <c r="AC1310" s="595">
        <v>37381.949999999997</v>
      </c>
      <c r="AD1310" s="596" t="s">
        <v>395</v>
      </c>
      <c r="AE1310" s="595">
        <v>190</v>
      </c>
      <c r="AF1310" s="597">
        <f t="shared" si="84"/>
        <v>1.1805708252772273E-3</v>
      </c>
      <c r="AG1310" s="597">
        <f t="shared" si="85"/>
        <v>-3.0433413789485719E-3</v>
      </c>
    </row>
    <row r="1311" spans="13:33" x14ac:dyDescent="0.35">
      <c r="M1311" s="555">
        <v>43574</v>
      </c>
      <c r="N1311" s="543" t="s">
        <v>449</v>
      </c>
      <c r="O1311" s="543">
        <v>37292.47</v>
      </c>
      <c r="P1311" s="73" t="s">
        <v>431</v>
      </c>
      <c r="Q1311" s="158">
        <v>15.29</v>
      </c>
      <c r="R1311" s="563">
        <f t="shared" si="82"/>
        <v>1.305584667550086E-2</v>
      </c>
      <c r="S1311" s="563">
        <f t="shared" si="83"/>
        <v>2.3427041499330725E-2</v>
      </c>
      <c r="AA1311" s="594">
        <v>43572</v>
      </c>
      <c r="AB1311" s="595" t="s">
        <v>449</v>
      </c>
      <c r="AC1311" s="595">
        <v>36752.57</v>
      </c>
      <c r="AD1311" s="596" t="s">
        <v>395</v>
      </c>
      <c r="AE1311" s="595">
        <v>182.01</v>
      </c>
      <c r="AF1311" s="597">
        <f t="shared" si="84"/>
        <v>-1.6836467867513583E-2</v>
      </c>
      <c r="AG1311" s="597">
        <f t="shared" si="85"/>
        <v>-4.2052631578947453E-2</v>
      </c>
    </row>
    <row r="1312" spans="13:33" x14ac:dyDescent="0.35">
      <c r="M1312" s="555">
        <v>43577</v>
      </c>
      <c r="N1312" s="543" t="s">
        <v>449</v>
      </c>
      <c r="O1312" s="543">
        <v>36901.69</v>
      </c>
      <c r="P1312" s="73" t="s">
        <v>431</v>
      </c>
      <c r="Q1312" s="158">
        <v>14.86</v>
      </c>
      <c r="R1312" s="563">
        <f t="shared" si="82"/>
        <v>-1.0478791026713896E-2</v>
      </c>
      <c r="S1312" s="563">
        <f t="shared" si="83"/>
        <v>-2.8122956180510084E-2</v>
      </c>
      <c r="AA1312" s="594">
        <v>43573</v>
      </c>
      <c r="AB1312" s="595" t="s">
        <v>449</v>
      </c>
      <c r="AC1312" s="595">
        <v>36811.86</v>
      </c>
      <c r="AD1312" s="596" t="s">
        <v>395</v>
      </c>
      <c r="AE1312" s="595">
        <v>184.95</v>
      </c>
      <c r="AF1312" s="597">
        <f t="shared" si="84"/>
        <v>1.6132205176400127E-3</v>
      </c>
      <c r="AG1312" s="597">
        <f t="shared" si="85"/>
        <v>1.6152958628646852E-2</v>
      </c>
    </row>
    <row r="1313" spans="13:33" x14ac:dyDescent="0.35">
      <c r="M1313" s="555">
        <v>43578</v>
      </c>
      <c r="N1313" s="543" t="s">
        <v>449</v>
      </c>
      <c r="O1313" s="543">
        <v>36404.03</v>
      </c>
      <c r="P1313" s="73" t="s">
        <v>431</v>
      </c>
      <c r="Q1313" s="158">
        <v>14.43</v>
      </c>
      <c r="R1313" s="563">
        <f t="shared" si="82"/>
        <v>-1.3486103210991196E-2</v>
      </c>
      <c r="S1313" s="563">
        <f t="shared" si="83"/>
        <v>-2.893674293405113E-2</v>
      </c>
      <c r="AA1313" s="594">
        <v>43574</v>
      </c>
      <c r="AB1313" s="595" t="s">
        <v>449</v>
      </c>
      <c r="AC1313" s="595">
        <v>37292.47</v>
      </c>
      <c r="AD1313" s="596" t="s">
        <v>395</v>
      </c>
      <c r="AE1313" s="595">
        <v>185.19</v>
      </c>
      <c r="AF1313" s="597">
        <f t="shared" si="84"/>
        <v>1.305584667550086E-2</v>
      </c>
      <c r="AG1313" s="597">
        <f t="shared" si="85"/>
        <v>1.2976480129764933E-3</v>
      </c>
    </row>
    <row r="1314" spans="13:33" x14ac:dyDescent="0.35">
      <c r="M1314" s="555">
        <v>43579</v>
      </c>
      <c r="N1314" s="543" t="s">
        <v>449</v>
      </c>
      <c r="O1314" s="543">
        <v>36504.25</v>
      </c>
      <c r="P1314" s="73" t="s">
        <v>431</v>
      </c>
      <c r="Q1314" s="158">
        <v>14.21</v>
      </c>
      <c r="R1314" s="563">
        <f t="shared" si="82"/>
        <v>2.752991907764013E-3</v>
      </c>
      <c r="S1314" s="563">
        <f t="shared" si="83"/>
        <v>-1.524601524601521E-2</v>
      </c>
      <c r="AA1314" s="594">
        <v>43577</v>
      </c>
      <c r="AB1314" s="595" t="s">
        <v>449</v>
      </c>
      <c r="AC1314" s="595">
        <v>36901.69</v>
      </c>
      <c r="AD1314" s="596" t="s">
        <v>395</v>
      </c>
      <c r="AE1314" s="595">
        <v>182.75</v>
      </c>
      <c r="AF1314" s="597">
        <f t="shared" si="84"/>
        <v>-1.0478791026713896E-2</v>
      </c>
      <c r="AG1314" s="597">
        <f t="shared" si="85"/>
        <v>-1.3175657432906718E-2</v>
      </c>
    </row>
    <row r="1315" spans="13:33" x14ac:dyDescent="0.35">
      <c r="M1315" s="555">
        <v>43580</v>
      </c>
      <c r="N1315" s="543" t="s">
        <v>449</v>
      </c>
      <c r="O1315" s="543">
        <v>36796.03</v>
      </c>
      <c r="P1315" s="73" t="s">
        <v>431</v>
      </c>
      <c r="Q1315" s="158">
        <v>14.25</v>
      </c>
      <c r="R1315" s="563">
        <f t="shared" si="82"/>
        <v>7.9930419060794122E-3</v>
      </c>
      <c r="S1315" s="563">
        <f t="shared" si="83"/>
        <v>2.8149190710766714E-3</v>
      </c>
      <c r="AA1315" s="594">
        <v>43578</v>
      </c>
      <c r="AB1315" s="595" t="s">
        <v>449</v>
      </c>
      <c r="AC1315" s="595">
        <v>36404.03</v>
      </c>
      <c r="AD1315" s="596" t="s">
        <v>395</v>
      </c>
      <c r="AE1315" s="595">
        <v>173.62</v>
      </c>
      <c r="AF1315" s="597">
        <f t="shared" si="84"/>
        <v>-1.3486103210991196E-2</v>
      </c>
      <c r="AG1315" s="597">
        <f t="shared" si="85"/>
        <v>-4.995896032831737E-2</v>
      </c>
    </row>
    <row r="1316" spans="13:33" x14ac:dyDescent="0.35">
      <c r="M1316" s="555">
        <v>43581</v>
      </c>
      <c r="N1316" s="543" t="s">
        <v>449</v>
      </c>
      <c r="O1316" s="543">
        <v>37130.629999999997</v>
      </c>
      <c r="P1316" s="73" t="s">
        <v>431</v>
      </c>
      <c r="Q1316" s="158">
        <v>14.19</v>
      </c>
      <c r="R1316" s="563">
        <f t="shared" si="82"/>
        <v>9.093372301305358E-3</v>
      </c>
      <c r="S1316" s="563">
        <f t="shared" si="83"/>
        <v>-4.2105263157895534E-3</v>
      </c>
      <c r="AA1316" s="594">
        <v>43579</v>
      </c>
      <c r="AB1316" s="595" t="s">
        <v>449</v>
      </c>
      <c r="AC1316" s="595">
        <v>36504.25</v>
      </c>
      <c r="AD1316" s="596" t="s">
        <v>395</v>
      </c>
      <c r="AE1316" s="595">
        <v>168</v>
      </c>
      <c r="AF1316" s="597">
        <f t="shared" si="84"/>
        <v>2.752991907764013E-3</v>
      </c>
      <c r="AG1316" s="597">
        <f t="shared" si="85"/>
        <v>-3.2369542679414831E-2</v>
      </c>
    </row>
    <row r="1317" spans="13:33" x14ac:dyDescent="0.35">
      <c r="M1317" s="555">
        <v>43584</v>
      </c>
      <c r="N1317" s="543" t="s">
        <v>449</v>
      </c>
      <c r="O1317" s="543">
        <v>37026.269999999997</v>
      </c>
      <c r="P1317" s="73" t="s">
        <v>431</v>
      </c>
      <c r="Q1317" s="158">
        <v>14.49</v>
      </c>
      <c r="R1317" s="563">
        <f t="shared" si="82"/>
        <v>-2.8106175413668E-3</v>
      </c>
      <c r="S1317" s="563">
        <f t="shared" si="83"/>
        <v>2.114164904862581E-2</v>
      </c>
      <c r="AA1317" s="594">
        <v>43580</v>
      </c>
      <c r="AB1317" s="595" t="s">
        <v>449</v>
      </c>
      <c r="AC1317" s="595">
        <v>36796.03</v>
      </c>
      <c r="AD1317" s="596" t="s">
        <v>395</v>
      </c>
      <c r="AE1317" s="595">
        <v>172.48</v>
      </c>
      <c r="AF1317" s="597">
        <f t="shared" si="84"/>
        <v>7.9930419060794122E-3</v>
      </c>
      <c r="AG1317" s="597">
        <f t="shared" si="85"/>
        <v>2.6666666666666616E-2</v>
      </c>
    </row>
    <row r="1318" spans="13:33" x14ac:dyDescent="0.35">
      <c r="M1318" s="555">
        <v>43585</v>
      </c>
      <c r="N1318" s="543" t="s">
        <v>449</v>
      </c>
      <c r="O1318" s="543">
        <v>36784.44</v>
      </c>
      <c r="P1318" s="73" t="s">
        <v>431</v>
      </c>
      <c r="Q1318" s="158">
        <v>14.41</v>
      </c>
      <c r="R1318" s="563">
        <f t="shared" si="82"/>
        <v>-6.5313087167568895E-3</v>
      </c>
      <c r="S1318" s="563">
        <f t="shared" si="83"/>
        <v>-5.52104899930983E-3</v>
      </c>
      <c r="AA1318" s="594">
        <v>43581</v>
      </c>
      <c r="AB1318" s="595" t="s">
        <v>449</v>
      </c>
      <c r="AC1318" s="595">
        <v>37130.629999999997</v>
      </c>
      <c r="AD1318" s="596" t="s">
        <v>395</v>
      </c>
      <c r="AE1318" s="595">
        <v>170</v>
      </c>
      <c r="AF1318" s="597">
        <f t="shared" si="84"/>
        <v>9.093372301305358E-3</v>
      </c>
      <c r="AG1318" s="597">
        <f t="shared" si="85"/>
        <v>-1.437847866419284E-2</v>
      </c>
    </row>
    <row r="1319" spans="13:33" x14ac:dyDescent="0.35">
      <c r="M1319" s="555">
        <v>43587</v>
      </c>
      <c r="N1319" s="543" t="s">
        <v>449</v>
      </c>
      <c r="O1319" s="543">
        <v>36547.629999999997</v>
      </c>
      <c r="P1319" s="73" t="s">
        <v>431</v>
      </c>
      <c r="Q1319" s="158">
        <v>14.25</v>
      </c>
      <c r="R1319" s="563">
        <f t="shared" si="82"/>
        <v>-6.4377764076333222E-3</v>
      </c>
      <c r="S1319" s="563">
        <f t="shared" si="83"/>
        <v>-1.1103400416377474E-2</v>
      </c>
      <c r="AA1319" s="594">
        <v>43584</v>
      </c>
      <c r="AB1319" s="595" t="s">
        <v>449</v>
      </c>
      <c r="AC1319" s="595">
        <v>37026.269999999997</v>
      </c>
      <c r="AD1319" s="596" t="s">
        <v>395</v>
      </c>
      <c r="AE1319" s="595">
        <v>168.3</v>
      </c>
      <c r="AF1319" s="597">
        <f t="shared" si="84"/>
        <v>-2.8106175413668E-3</v>
      </c>
      <c r="AG1319" s="597">
        <f t="shared" si="85"/>
        <v>-9.9999999999998979E-3</v>
      </c>
    </row>
    <row r="1320" spans="13:33" x14ac:dyDescent="0.35">
      <c r="M1320" s="555">
        <v>43588</v>
      </c>
      <c r="N1320" s="543" t="s">
        <v>449</v>
      </c>
      <c r="O1320" s="543">
        <v>36122.949999999997</v>
      </c>
      <c r="P1320" s="73" t="s">
        <v>431</v>
      </c>
      <c r="Q1320" s="158">
        <v>14.13</v>
      </c>
      <c r="R1320" s="563">
        <f t="shared" si="82"/>
        <v>-1.1619905312601708E-2</v>
      </c>
      <c r="S1320" s="563">
        <f t="shared" si="83"/>
        <v>-8.4210526315788847E-3</v>
      </c>
      <c r="AA1320" s="594">
        <v>43585</v>
      </c>
      <c r="AB1320" s="595" t="s">
        <v>449</v>
      </c>
      <c r="AC1320" s="595">
        <v>36784.44</v>
      </c>
      <c r="AD1320" s="596" t="s">
        <v>395</v>
      </c>
      <c r="AE1320" s="595">
        <v>172</v>
      </c>
      <c r="AF1320" s="597">
        <f t="shared" si="84"/>
        <v>-6.5313087167568895E-3</v>
      </c>
      <c r="AG1320" s="597">
        <f t="shared" si="85"/>
        <v>2.1984551396315943E-2</v>
      </c>
    </row>
    <row r="1321" spans="13:33" x14ac:dyDescent="0.35">
      <c r="M1321" s="555">
        <v>43591</v>
      </c>
      <c r="N1321" s="543" t="s">
        <v>449</v>
      </c>
      <c r="O1321" s="543">
        <v>35605.42</v>
      </c>
      <c r="P1321" s="73" t="s">
        <v>431</v>
      </c>
      <c r="Q1321" s="158">
        <v>13.84</v>
      </c>
      <c r="R1321" s="563">
        <f t="shared" si="82"/>
        <v>-1.432690297996142E-2</v>
      </c>
      <c r="S1321" s="563">
        <f t="shared" si="83"/>
        <v>-2.0523708421797626E-2</v>
      </c>
      <c r="AA1321" s="594">
        <v>43587</v>
      </c>
      <c r="AB1321" s="595" t="s">
        <v>449</v>
      </c>
      <c r="AC1321" s="595">
        <v>36547.629999999997</v>
      </c>
      <c r="AD1321" s="596" t="s">
        <v>395</v>
      </c>
      <c r="AE1321" s="595">
        <v>172.72</v>
      </c>
      <c r="AF1321" s="597">
        <f t="shared" si="84"/>
        <v>-6.4377764076333222E-3</v>
      </c>
      <c r="AG1321" s="597">
        <f t="shared" si="85"/>
        <v>4.1860465116279055E-3</v>
      </c>
    </row>
    <row r="1322" spans="13:33" x14ac:dyDescent="0.35">
      <c r="M1322" s="555">
        <v>43592</v>
      </c>
      <c r="N1322" s="543" t="s">
        <v>449</v>
      </c>
      <c r="O1322" s="543">
        <v>35631.06</v>
      </c>
      <c r="P1322" s="73" t="s">
        <v>431</v>
      </c>
      <c r="Q1322" s="158">
        <v>13.79</v>
      </c>
      <c r="R1322" s="563">
        <f t="shared" si="82"/>
        <v>7.2011508360247944E-4</v>
      </c>
      <c r="S1322" s="563">
        <f t="shared" si="83"/>
        <v>-3.6127167630057855E-3</v>
      </c>
      <c r="AA1322" s="594">
        <v>43588</v>
      </c>
      <c r="AB1322" s="595" t="s">
        <v>449</v>
      </c>
      <c r="AC1322" s="595">
        <v>36122.949999999997</v>
      </c>
      <c r="AD1322" s="596" t="s">
        <v>395</v>
      </c>
      <c r="AE1322" s="595">
        <v>173.77</v>
      </c>
      <c r="AF1322" s="597">
        <f t="shared" si="84"/>
        <v>-1.1619905312601708E-2</v>
      </c>
      <c r="AG1322" s="597">
        <f t="shared" si="85"/>
        <v>6.0792033348773256E-3</v>
      </c>
    </row>
    <row r="1323" spans="13:33" x14ac:dyDescent="0.35">
      <c r="M1323" s="555">
        <v>43593</v>
      </c>
      <c r="N1323" s="543" t="s">
        <v>449</v>
      </c>
      <c r="O1323" s="543">
        <v>35035.03</v>
      </c>
      <c r="P1323" s="73" t="s">
        <v>431</v>
      </c>
      <c r="Q1323" s="158">
        <v>13.1</v>
      </c>
      <c r="R1323" s="563">
        <f t="shared" si="82"/>
        <v>-1.6727821176243385E-2</v>
      </c>
      <c r="S1323" s="563">
        <f t="shared" si="83"/>
        <v>-5.0036258158085545E-2</v>
      </c>
      <c r="AA1323" s="594">
        <v>43591</v>
      </c>
      <c r="AB1323" s="595" t="s">
        <v>449</v>
      </c>
      <c r="AC1323" s="595">
        <v>35605.42</v>
      </c>
      <c r="AD1323" s="596" t="s">
        <v>395</v>
      </c>
      <c r="AE1323" s="595">
        <v>173.25</v>
      </c>
      <c r="AF1323" s="597">
        <f t="shared" si="84"/>
        <v>-1.432690297996142E-2</v>
      </c>
      <c r="AG1323" s="597">
        <f t="shared" si="85"/>
        <v>-2.9924612994188804E-3</v>
      </c>
    </row>
    <row r="1324" spans="13:33" x14ac:dyDescent="0.35">
      <c r="M1324" s="555">
        <v>43594</v>
      </c>
      <c r="N1324" s="543" t="s">
        <v>449</v>
      </c>
      <c r="O1324" s="543">
        <v>34887.64</v>
      </c>
      <c r="P1324" s="73" t="s">
        <v>431</v>
      </c>
      <c r="Q1324" s="158">
        <v>13.01</v>
      </c>
      <c r="R1324" s="563">
        <f t="shared" si="82"/>
        <v>-4.2069323188819174E-3</v>
      </c>
      <c r="S1324" s="563">
        <f t="shared" si="83"/>
        <v>-6.8702290076335659E-3</v>
      </c>
      <c r="AA1324" s="594">
        <v>43592</v>
      </c>
      <c r="AB1324" s="595" t="s">
        <v>449</v>
      </c>
      <c r="AC1324" s="595">
        <v>35631.06</v>
      </c>
      <c r="AD1324" s="596" t="s">
        <v>395</v>
      </c>
      <c r="AE1324" s="595">
        <v>173</v>
      </c>
      <c r="AF1324" s="597">
        <f t="shared" si="84"/>
        <v>7.2011508360247944E-4</v>
      </c>
      <c r="AG1324" s="597">
        <f t="shared" si="85"/>
        <v>-1.4430014430014682E-3</v>
      </c>
    </row>
    <row r="1325" spans="13:33" x14ac:dyDescent="0.35">
      <c r="M1325" s="555">
        <v>43595</v>
      </c>
      <c r="N1325" s="543" t="s">
        <v>449</v>
      </c>
      <c r="O1325" s="543">
        <v>34716.53</v>
      </c>
      <c r="P1325" s="73" t="s">
        <v>431</v>
      </c>
      <c r="Q1325" s="158">
        <v>12.75</v>
      </c>
      <c r="R1325" s="563">
        <f t="shared" si="82"/>
        <v>-4.9046023176116949E-3</v>
      </c>
      <c r="S1325" s="563">
        <f t="shared" si="83"/>
        <v>-1.9984627209838624E-2</v>
      </c>
      <c r="AA1325" s="594">
        <v>43593</v>
      </c>
      <c r="AB1325" s="595" t="s">
        <v>449</v>
      </c>
      <c r="AC1325" s="595">
        <v>35035.03</v>
      </c>
      <c r="AD1325" s="596" t="s">
        <v>395</v>
      </c>
      <c r="AE1325" s="595">
        <v>170</v>
      </c>
      <c r="AF1325" s="597">
        <f t="shared" si="84"/>
        <v>-1.6727821176243385E-2</v>
      </c>
      <c r="AG1325" s="597">
        <f t="shared" si="85"/>
        <v>-1.7341040462427793E-2</v>
      </c>
    </row>
    <row r="1326" spans="13:33" x14ac:dyDescent="0.35">
      <c r="M1326" s="555">
        <v>43598</v>
      </c>
      <c r="N1326" s="543" t="s">
        <v>449</v>
      </c>
      <c r="O1326" s="543">
        <v>33900.379999999997</v>
      </c>
      <c r="P1326" s="73" t="s">
        <v>431</v>
      </c>
      <c r="Q1326" s="158">
        <v>12.03</v>
      </c>
      <c r="R1326" s="563">
        <f t="shared" si="82"/>
        <v>-2.3508973967156344E-2</v>
      </c>
      <c r="S1326" s="563">
        <f t="shared" si="83"/>
        <v>-5.6470588235294161E-2</v>
      </c>
      <c r="AA1326" s="594">
        <v>43594</v>
      </c>
      <c r="AB1326" s="595" t="s">
        <v>449</v>
      </c>
      <c r="AC1326" s="595">
        <v>34887.64</v>
      </c>
      <c r="AD1326" s="596" t="s">
        <v>395</v>
      </c>
      <c r="AE1326" s="595">
        <v>169.5</v>
      </c>
      <c r="AF1326" s="597">
        <f t="shared" si="84"/>
        <v>-4.2069323188819174E-3</v>
      </c>
      <c r="AG1326" s="597">
        <f t="shared" si="85"/>
        <v>-2.9411764705882248E-3</v>
      </c>
    </row>
    <row r="1327" spans="13:33" x14ac:dyDescent="0.35">
      <c r="M1327" s="555">
        <v>43599</v>
      </c>
      <c r="N1327" s="543" t="s">
        <v>449</v>
      </c>
      <c r="O1327" s="543">
        <v>33885.089999999997</v>
      </c>
      <c r="P1327" s="73" t="s">
        <v>431</v>
      </c>
      <c r="Q1327" s="158">
        <v>11.52</v>
      </c>
      <c r="R1327" s="563">
        <f t="shared" si="82"/>
        <v>-4.5102739261337899E-4</v>
      </c>
      <c r="S1327" s="563">
        <f t="shared" si="83"/>
        <v>-4.239401496259354E-2</v>
      </c>
      <c r="AA1327" s="594">
        <v>43595</v>
      </c>
      <c r="AB1327" s="595" t="s">
        <v>449</v>
      </c>
      <c r="AC1327" s="595">
        <v>34716.53</v>
      </c>
      <c r="AD1327" s="596" t="s">
        <v>395</v>
      </c>
      <c r="AE1327" s="595">
        <v>174</v>
      </c>
      <c r="AF1327" s="597">
        <f t="shared" si="84"/>
        <v>-4.9046023176116949E-3</v>
      </c>
      <c r="AG1327" s="597">
        <f t="shared" si="85"/>
        <v>2.6548672566371723E-2</v>
      </c>
    </row>
    <row r="1328" spans="13:33" x14ac:dyDescent="0.35">
      <c r="M1328" s="555">
        <v>43600</v>
      </c>
      <c r="N1328" s="543" t="s">
        <v>449</v>
      </c>
      <c r="O1328" s="543">
        <v>34291.65</v>
      </c>
      <c r="P1328" s="73" t="s">
        <v>431</v>
      </c>
      <c r="Q1328" s="158">
        <v>11.7</v>
      </c>
      <c r="R1328" s="563">
        <f t="shared" si="82"/>
        <v>1.1998197437280034E-2</v>
      </c>
      <c r="S1328" s="563">
        <f t="shared" si="83"/>
        <v>1.5625E-2</v>
      </c>
      <c r="AA1328" s="594">
        <v>43598</v>
      </c>
      <c r="AB1328" s="595" t="s">
        <v>449</v>
      </c>
      <c r="AC1328" s="595">
        <v>33900.379999999997</v>
      </c>
      <c r="AD1328" s="596" t="s">
        <v>395</v>
      </c>
      <c r="AE1328" s="595">
        <v>170.27</v>
      </c>
      <c r="AF1328" s="597">
        <f t="shared" si="84"/>
        <v>-2.3508973967156344E-2</v>
      </c>
      <c r="AG1328" s="597">
        <f t="shared" si="85"/>
        <v>-2.1436781609195377E-2</v>
      </c>
    </row>
    <row r="1329" spans="13:33" x14ac:dyDescent="0.35">
      <c r="M1329" s="555">
        <v>43601</v>
      </c>
      <c r="N1329" s="543" t="s">
        <v>449</v>
      </c>
      <c r="O1329" s="543">
        <v>33971.120000000003</v>
      </c>
      <c r="P1329" s="73" t="s">
        <v>431</v>
      </c>
      <c r="Q1329" s="158">
        <v>10.97</v>
      </c>
      <c r="R1329" s="563">
        <f t="shared" si="82"/>
        <v>-9.3471734372653215E-3</v>
      </c>
      <c r="S1329" s="563">
        <f t="shared" si="83"/>
        <v>-6.2393162393162283E-2</v>
      </c>
      <c r="AA1329" s="594">
        <v>43599</v>
      </c>
      <c r="AB1329" s="595" t="s">
        <v>449</v>
      </c>
      <c r="AC1329" s="595">
        <v>33885.089999999997</v>
      </c>
      <c r="AD1329" s="596" t="s">
        <v>395</v>
      </c>
      <c r="AE1329" s="595">
        <v>172.63</v>
      </c>
      <c r="AF1329" s="597">
        <f t="shared" si="84"/>
        <v>-4.5102739261337899E-4</v>
      </c>
      <c r="AG1329" s="597">
        <f t="shared" si="85"/>
        <v>1.3860339460856297E-2</v>
      </c>
    </row>
    <row r="1330" spans="13:33" x14ac:dyDescent="0.35">
      <c r="M1330" s="555">
        <v>43602</v>
      </c>
      <c r="N1330" s="543" t="s">
        <v>449</v>
      </c>
      <c r="O1330" s="543">
        <v>33166.620000000003</v>
      </c>
      <c r="P1330" s="73" t="s">
        <v>431</v>
      </c>
      <c r="Q1330" s="158">
        <v>10.39</v>
      </c>
      <c r="R1330" s="563">
        <f t="shared" si="82"/>
        <v>-2.3681880373682129E-2</v>
      </c>
      <c r="S1330" s="563">
        <f t="shared" si="83"/>
        <v>-5.2871467639015512E-2</v>
      </c>
      <c r="AA1330" s="594">
        <v>43600</v>
      </c>
      <c r="AB1330" s="595" t="s">
        <v>449</v>
      </c>
      <c r="AC1330" s="595">
        <v>34291.65</v>
      </c>
      <c r="AD1330" s="596" t="s">
        <v>395</v>
      </c>
      <c r="AE1330" s="595">
        <v>171</v>
      </c>
      <c r="AF1330" s="597">
        <f t="shared" si="84"/>
        <v>1.1998197437280034E-2</v>
      </c>
      <c r="AG1330" s="597">
        <f t="shared" si="85"/>
        <v>-9.4421595319469365E-3</v>
      </c>
    </row>
    <row r="1331" spans="13:33" x14ac:dyDescent="0.35">
      <c r="M1331" s="555">
        <v>43605</v>
      </c>
      <c r="N1331" s="543" t="s">
        <v>449</v>
      </c>
      <c r="O1331" s="543">
        <v>33250.54</v>
      </c>
      <c r="P1331" s="73" t="s">
        <v>431</v>
      </c>
      <c r="Q1331" s="158">
        <v>10.77</v>
      </c>
      <c r="R1331" s="563">
        <f t="shared" si="82"/>
        <v>2.5302548164389815E-3</v>
      </c>
      <c r="S1331" s="563">
        <f t="shared" si="83"/>
        <v>3.6573628488931531E-2</v>
      </c>
      <c r="AA1331" s="594">
        <v>43601</v>
      </c>
      <c r="AB1331" s="595" t="s">
        <v>449</v>
      </c>
      <c r="AC1331" s="595">
        <v>33971.120000000003</v>
      </c>
      <c r="AD1331" s="596" t="s">
        <v>395</v>
      </c>
      <c r="AE1331" s="595">
        <v>166</v>
      </c>
      <c r="AF1331" s="597">
        <f t="shared" si="84"/>
        <v>-9.3471734372653215E-3</v>
      </c>
      <c r="AG1331" s="597">
        <f t="shared" si="85"/>
        <v>-2.9239766081871399E-2</v>
      </c>
    </row>
    <row r="1332" spans="13:33" x14ac:dyDescent="0.35">
      <c r="M1332" s="555">
        <v>43606</v>
      </c>
      <c r="N1332" s="543" t="s">
        <v>449</v>
      </c>
      <c r="O1332" s="543">
        <v>33442.1</v>
      </c>
      <c r="P1332" s="73" t="s">
        <v>431</v>
      </c>
      <c r="Q1332" s="158">
        <v>11.09</v>
      </c>
      <c r="R1332" s="563">
        <f t="shared" si="82"/>
        <v>5.7611094436360588E-3</v>
      </c>
      <c r="S1332" s="563">
        <f t="shared" si="83"/>
        <v>2.9712163416898862E-2</v>
      </c>
      <c r="AA1332" s="594">
        <v>43602</v>
      </c>
      <c r="AB1332" s="595" t="s">
        <v>449</v>
      </c>
      <c r="AC1332" s="595">
        <v>33166.620000000003</v>
      </c>
      <c r="AD1332" s="596" t="s">
        <v>395</v>
      </c>
      <c r="AE1332" s="595">
        <v>160</v>
      </c>
      <c r="AF1332" s="597">
        <f t="shared" si="84"/>
        <v>-2.3681880373682129E-2</v>
      </c>
      <c r="AG1332" s="597">
        <f t="shared" si="85"/>
        <v>-3.6144578313253017E-2</v>
      </c>
    </row>
    <row r="1333" spans="13:33" x14ac:dyDescent="0.35">
      <c r="M1333" s="555">
        <v>43607</v>
      </c>
      <c r="N1333" s="543" t="s">
        <v>449</v>
      </c>
      <c r="O1333" s="543">
        <v>34637.14</v>
      </c>
      <c r="P1333" s="73" t="s">
        <v>431</v>
      </c>
      <c r="Q1333" s="158">
        <v>11.82</v>
      </c>
      <c r="R1333" s="563">
        <f t="shared" si="82"/>
        <v>3.5734598006704088E-2</v>
      </c>
      <c r="S1333" s="563">
        <f t="shared" si="83"/>
        <v>6.582506762849416E-2</v>
      </c>
      <c r="AA1333" s="594">
        <v>43605</v>
      </c>
      <c r="AB1333" s="595" t="s">
        <v>449</v>
      </c>
      <c r="AC1333" s="595">
        <v>33250.54</v>
      </c>
      <c r="AD1333" s="596" t="s">
        <v>395</v>
      </c>
      <c r="AE1333" s="595">
        <v>160</v>
      </c>
      <c r="AF1333" s="597">
        <f t="shared" si="84"/>
        <v>2.5302548164389815E-3</v>
      </c>
      <c r="AG1333" s="597">
        <f t="shared" si="85"/>
        <v>0</v>
      </c>
    </row>
    <row r="1334" spans="13:33" x14ac:dyDescent="0.35">
      <c r="M1334" s="555">
        <v>43608</v>
      </c>
      <c r="N1334" s="543" t="s">
        <v>449</v>
      </c>
      <c r="O1334" s="543">
        <v>35581.339999999997</v>
      </c>
      <c r="P1334" s="73" t="s">
        <v>431</v>
      </c>
      <c r="Q1334" s="158">
        <v>12.55</v>
      </c>
      <c r="R1334" s="563">
        <f t="shared" si="82"/>
        <v>2.7259756434855786E-2</v>
      </c>
      <c r="S1334" s="563">
        <f t="shared" si="83"/>
        <v>6.1759729272419683E-2</v>
      </c>
      <c r="AA1334" s="594">
        <v>43606</v>
      </c>
      <c r="AB1334" s="595" t="s">
        <v>449</v>
      </c>
      <c r="AC1334" s="595">
        <v>33442.1</v>
      </c>
      <c r="AD1334" s="596" t="s">
        <v>395</v>
      </c>
      <c r="AE1334" s="595">
        <v>160</v>
      </c>
      <c r="AF1334" s="597">
        <f t="shared" si="84"/>
        <v>5.7611094436360588E-3</v>
      </c>
      <c r="AG1334" s="597">
        <f t="shared" si="85"/>
        <v>0</v>
      </c>
    </row>
    <row r="1335" spans="13:33" x14ac:dyDescent="0.35">
      <c r="M1335" s="555">
        <v>43609</v>
      </c>
      <c r="N1335" s="543" t="s">
        <v>449</v>
      </c>
      <c r="O1335" s="543">
        <v>35703.81</v>
      </c>
      <c r="P1335" s="73" t="s">
        <v>431</v>
      </c>
      <c r="Q1335" s="158">
        <v>13.18</v>
      </c>
      <c r="R1335" s="563">
        <f t="shared" si="82"/>
        <v>3.4419726744412404E-3</v>
      </c>
      <c r="S1335" s="563">
        <f t="shared" si="83"/>
        <v>5.0199203187250907E-2</v>
      </c>
      <c r="AA1335" s="594">
        <v>43607</v>
      </c>
      <c r="AB1335" s="595" t="s">
        <v>449</v>
      </c>
      <c r="AC1335" s="595">
        <v>34637.14</v>
      </c>
      <c r="AD1335" s="596" t="s">
        <v>395</v>
      </c>
      <c r="AE1335" s="595">
        <v>160.34</v>
      </c>
      <c r="AF1335" s="597">
        <f t="shared" si="84"/>
        <v>3.5734598006704088E-2</v>
      </c>
      <c r="AG1335" s="597">
        <f t="shared" si="85"/>
        <v>2.1249999999999325E-3</v>
      </c>
    </row>
    <row r="1336" spans="13:33" x14ac:dyDescent="0.35">
      <c r="M1336" s="555">
        <v>43612</v>
      </c>
      <c r="N1336" s="543" t="s">
        <v>449</v>
      </c>
      <c r="O1336" s="543">
        <v>35697.370000000003</v>
      </c>
      <c r="P1336" s="73" t="s">
        <v>431</v>
      </c>
      <c r="Q1336" s="158">
        <v>13.34</v>
      </c>
      <c r="R1336" s="563">
        <f t="shared" si="82"/>
        <v>-1.8037290698091901E-4</v>
      </c>
      <c r="S1336" s="563">
        <f t="shared" si="83"/>
        <v>1.2139605462822445E-2</v>
      </c>
      <c r="AA1336" s="594">
        <v>43608</v>
      </c>
      <c r="AB1336" s="595" t="s">
        <v>449</v>
      </c>
      <c r="AC1336" s="595">
        <v>35581.339999999997</v>
      </c>
      <c r="AD1336" s="596" t="s">
        <v>395</v>
      </c>
      <c r="AE1336" s="595">
        <v>164.89</v>
      </c>
      <c r="AF1336" s="597">
        <f t="shared" si="84"/>
        <v>2.7259756434855786E-2</v>
      </c>
      <c r="AG1336" s="597">
        <f t="shared" si="85"/>
        <v>2.8377198453286567E-2</v>
      </c>
    </row>
    <row r="1337" spans="13:33" x14ac:dyDescent="0.35">
      <c r="M1337" s="555">
        <v>43613</v>
      </c>
      <c r="N1337" s="543" t="s">
        <v>449</v>
      </c>
      <c r="O1337" s="543">
        <v>34949.279999999999</v>
      </c>
      <c r="P1337" s="73" t="s">
        <v>431</v>
      </c>
      <c r="Q1337" s="158">
        <v>12.64</v>
      </c>
      <c r="R1337" s="563">
        <f t="shared" si="82"/>
        <v>-2.0956445810993984E-2</v>
      </c>
      <c r="S1337" s="563">
        <f t="shared" si="83"/>
        <v>-5.2473763118440764E-2</v>
      </c>
      <c r="AA1337" s="594">
        <v>43609</v>
      </c>
      <c r="AB1337" s="595" t="s">
        <v>449</v>
      </c>
      <c r="AC1337" s="595">
        <v>35703.81</v>
      </c>
      <c r="AD1337" s="596" t="s">
        <v>395</v>
      </c>
      <c r="AE1337" s="595">
        <v>164</v>
      </c>
      <c r="AF1337" s="597">
        <f t="shared" si="84"/>
        <v>3.4419726744412404E-3</v>
      </c>
      <c r="AG1337" s="597">
        <f t="shared" si="85"/>
        <v>-5.3975377524408952E-3</v>
      </c>
    </row>
    <row r="1338" spans="13:33" x14ac:dyDescent="0.35">
      <c r="M1338" s="555">
        <v>43614</v>
      </c>
      <c r="N1338" s="543" t="s">
        <v>449</v>
      </c>
      <c r="O1338" s="543">
        <v>35959.43</v>
      </c>
      <c r="P1338" s="73" t="s">
        <v>431</v>
      </c>
      <c r="Q1338" s="158">
        <v>13.15</v>
      </c>
      <c r="R1338" s="563">
        <f t="shared" si="82"/>
        <v>2.8903313601882585E-2</v>
      </c>
      <c r="S1338" s="563">
        <f t="shared" si="83"/>
        <v>4.0348101265822667E-2</v>
      </c>
      <c r="AA1338" s="594">
        <v>43612</v>
      </c>
      <c r="AB1338" s="595" t="s">
        <v>449</v>
      </c>
      <c r="AC1338" s="595">
        <v>35697.370000000003</v>
      </c>
      <c r="AD1338" s="596" t="s">
        <v>395</v>
      </c>
      <c r="AE1338" s="595">
        <v>164</v>
      </c>
      <c r="AF1338" s="597">
        <f t="shared" si="84"/>
        <v>-1.8037290698091901E-4</v>
      </c>
      <c r="AG1338" s="597">
        <f t="shared" si="85"/>
        <v>0</v>
      </c>
    </row>
    <row r="1339" spans="13:33" x14ac:dyDescent="0.35">
      <c r="M1339" s="555">
        <v>43615</v>
      </c>
      <c r="N1339" s="543" t="s">
        <v>449</v>
      </c>
      <c r="O1339" s="543">
        <v>35974.79</v>
      </c>
      <c r="P1339" s="73" t="s">
        <v>431</v>
      </c>
      <c r="Q1339" s="158">
        <v>12.68</v>
      </c>
      <c r="R1339" s="563">
        <f t="shared" si="82"/>
        <v>4.2714803877585972E-4</v>
      </c>
      <c r="S1339" s="563">
        <f t="shared" si="83"/>
        <v>-3.5741444866920213E-2</v>
      </c>
      <c r="AA1339" s="594">
        <v>43613</v>
      </c>
      <c r="AB1339" s="595" t="s">
        <v>449</v>
      </c>
      <c r="AC1339" s="595">
        <v>34949.279999999999</v>
      </c>
      <c r="AD1339" s="596" t="s">
        <v>395</v>
      </c>
      <c r="AE1339" s="595">
        <v>164</v>
      </c>
      <c r="AF1339" s="597">
        <f t="shared" si="84"/>
        <v>-2.0956445810993984E-2</v>
      </c>
      <c r="AG1339" s="597">
        <f t="shared" si="85"/>
        <v>0</v>
      </c>
    </row>
    <row r="1340" spans="13:33" x14ac:dyDescent="0.35">
      <c r="M1340" s="555">
        <v>43619</v>
      </c>
      <c r="N1340" s="543" t="s">
        <v>449</v>
      </c>
      <c r="O1340" s="543">
        <v>35505.29</v>
      </c>
      <c r="P1340" s="73" t="s">
        <v>431</v>
      </c>
      <c r="Q1340" s="158">
        <v>12.32</v>
      </c>
      <c r="R1340" s="563">
        <f t="shared" si="82"/>
        <v>-1.3050805855989722E-2</v>
      </c>
      <c r="S1340" s="563">
        <f t="shared" si="83"/>
        <v>-2.8391167192428957E-2</v>
      </c>
      <c r="AA1340" s="594">
        <v>43614</v>
      </c>
      <c r="AB1340" s="595" t="s">
        <v>449</v>
      </c>
      <c r="AC1340" s="595">
        <v>35959.43</v>
      </c>
      <c r="AD1340" s="596" t="s">
        <v>395</v>
      </c>
      <c r="AE1340" s="595">
        <v>165.67</v>
      </c>
      <c r="AF1340" s="597">
        <f t="shared" si="84"/>
        <v>2.8903313601882585E-2</v>
      </c>
      <c r="AG1340" s="597">
        <f t="shared" si="85"/>
        <v>1.0182926829268135E-2</v>
      </c>
    </row>
    <row r="1341" spans="13:33" x14ac:dyDescent="0.35">
      <c r="M1341" s="555">
        <v>43626</v>
      </c>
      <c r="N1341" s="543" t="s">
        <v>449</v>
      </c>
      <c r="O1341" s="543">
        <v>34567.550000000003</v>
      </c>
      <c r="P1341" s="73" t="s">
        <v>431</v>
      </c>
      <c r="Q1341" s="158">
        <v>11.79</v>
      </c>
      <c r="R1341" s="563">
        <f t="shared" si="82"/>
        <v>-2.6411275615549012E-2</v>
      </c>
      <c r="S1341" s="563">
        <f t="shared" si="83"/>
        <v>-4.3019480519480569E-2</v>
      </c>
      <c r="AA1341" s="594">
        <v>43615</v>
      </c>
      <c r="AB1341" s="595" t="s">
        <v>449</v>
      </c>
      <c r="AC1341" s="595">
        <v>35974.79</v>
      </c>
      <c r="AD1341" s="596" t="s">
        <v>395</v>
      </c>
      <c r="AE1341" s="595">
        <v>167.27</v>
      </c>
      <c r="AF1341" s="597">
        <f t="shared" si="84"/>
        <v>4.2714803877585972E-4</v>
      </c>
      <c r="AG1341" s="597">
        <f t="shared" si="85"/>
        <v>9.6577533651236447E-3</v>
      </c>
    </row>
    <row r="1342" spans="13:33" x14ac:dyDescent="0.35">
      <c r="M1342" s="526">
        <v>43628</v>
      </c>
      <c r="N1342" s="524" t="s">
        <v>449</v>
      </c>
      <c r="O1342" s="524">
        <v>34937.93</v>
      </c>
      <c r="P1342" s="73" t="s">
        <v>431</v>
      </c>
      <c r="Q1342">
        <v>12.71</v>
      </c>
      <c r="R1342" s="563">
        <f t="shared" si="82"/>
        <v>1.0714673154446741E-2</v>
      </c>
      <c r="S1342" s="563">
        <f t="shared" si="83"/>
        <v>7.8032230703986682E-2</v>
      </c>
      <c r="AA1342" s="594">
        <v>43619</v>
      </c>
      <c r="AB1342" s="595" t="s">
        <v>449</v>
      </c>
      <c r="AC1342" s="595">
        <v>35505.29</v>
      </c>
      <c r="AD1342" s="596" t="s">
        <v>395</v>
      </c>
      <c r="AE1342" s="595">
        <v>174.53</v>
      </c>
      <c r="AF1342" s="597">
        <f t="shared" si="84"/>
        <v>-1.3050805855989722E-2</v>
      </c>
      <c r="AG1342" s="597">
        <f t="shared" si="85"/>
        <v>4.3402881568721075E-2</v>
      </c>
    </row>
    <row r="1343" spans="13:33" x14ac:dyDescent="0.35">
      <c r="M1343" s="555">
        <v>43629</v>
      </c>
      <c r="N1343" s="543" t="s">
        <v>449</v>
      </c>
      <c r="O1343" s="543">
        <v>35403.07</v>
      </c>
      <c r="P1343" s="73" t="s">
        <v>431</v>
      </c>
      <c r="Q1343" s="158">
        <v>13.09</v>
      </c>
      <c r="R1343" s="563">
        <f t="shared" si="82"/>
        <v>1.3313324515791258E-2</v>
      </c>
      <c r="S1343" s="563">
        <f t="shared" si="83"/>
        <v>2.9897718332021928E-2</v>
      </c>
      <c r="AA1343" s="594">
        <v>43626</v>
      </c>
      <c r="AB1343" s="595" t="s">
        <v>449</v>
      </c>
      <c r="AC1343" s="595">
        <v>34567.550000000003</v>
      </c>
      <c r="AD1343" s="596" t="s">
        <v>395</v>
      </c>
      <c r="AE1343" s="595">
        <v>169</v>
      </c>
      <c r="AF1343" s="597">
        <f t="shared" si="84"/>
        <v>-2.6411275615549012E-2</v>
      </c>
      <c r="AG1343" s="597">
        <f t="shared" si="85"/>
        <v>-3.1685097117973959E-2</v>
      </c>
    </row>
    <row r="1344" spans="13:33" x14ac:dyDescent="0.35">
      <c r="M1344" s="555">
        <v>43630</v>
      </c>
      <c r="N1344" s="543" t="s">
        <v>449</v>
      </c>
      <c r="O1344" s="543">
        <v>35572.949999999997</v>
      </c>
      <c r="P1344" s="73" t="s">
        <v>431</v>
      </c>
      <c r="Q1344" s="158">
        <v>12.96</v>
      </c>
      <c r="R1344" s="563">
        <f t="shared" si="82"/>
        <v>4.7984539193917097E-3</v>
      </c>
      <c r="S1344" s="563">
        <f t="shared" si="83"/>
        <v>-9.931245225362817E-3</v>
      </c>
      <c r="AA1344" s="594">
        <v>43628</v>
      </c>
      <c r="AB1344" s="595" t="s">
        <v>449</v>
      </c>
      <c r="AC1344" s="595">
        <v>34937.93</v>
      </c>
      <c r="AD1344" s="596" t="s">
        <v>395</v>
      </c>
      <c r="AE1344" s="595">
        <v>169</v>
      </c>
      <c r="AF1344" s="597">
        <f t="shared" si="84"/>
        <v>1.0714673154446741E-2</v>
      </c>
      <c r="AG1344" s="597">
        <f t="shared" si="85"/>
        <v>0</v>
      </c>
    </row>
    <row r="1345" spans="13:33" x14ac:dyDescent="0.35">
      <c r="M1345" s="555">
        <v>43633</v>
      </c>
      <c r="N1345" s="543" t="s">
        <v>449</v>
      </c>
      <c r="O1345" s="543">
        <v>35168.82</v>
      </c>
      <c r="P1345" s="73" t="s">
        <v>431</v>
      </c>
      <c r="Q1345" s="158">
        <v>12.7</v>
      </c>
      <c r="R1345" s="563">
        <f t="shared" si="82"/>
        <v>-1.1360598432235691E-2</v>
      </c>
      <c r="S1345" s="563">
        <f t="shared" si="83"/>
        <v>-2.0061728395061817E-2</v>
      </c>
      <c r="AA1345" s="594">
        <v>43629</v>
      </c>
      <c r="AB1345" s="595" t="s">
        <v>449</v>
      </c>
      <c r="AC1345" s="595">
        <v>35403.07</v>
      </c>
      <c r="AD1345" s="596" t="s">
        <v>395</v>
      </c>
      <c r="AE1345" s="595">
        <v>177.4</v>
      </c>
      <c r="AF1345" s="597">
        <f t="shared" si="84"/>
        <v>1.3313324515791258E-2</v>
      </c>
      <c r="AG1345" s="597">
        <f t="shared" si="85"/>
        <v>4.9704142011834263E-2</v>
      </c>
    </row>
    <row r="1346" spans="13:33" x14ac:dyDescent="0.35">
      <c r="M1346" s="526">
        <v>43636</v>
      </c>
      <c r="N1346" s="524" t="s">
        <v>449</v>
      </c>
      <c r="O1346" s="524">
        <v>34995.910000000003</v>
      </c>
      <c r="P1346" s="73" t="s">
        <v>431</v>
      </c>
      <c r="Q1346">
        <v>12.64</v>
      </c>
      <c r="R1346" s="563">
        <f t="shared" si="82"/>
        <v>-4.9165709853215001E-3</v>
      </c>
      <c r="S1346" s="563">
        <f t="shared" si="83"/>
        <v>-4.7244094488188004E-3</v>
      </c>
      <c r="AA1346" s="594">
        <v>43630</v>
      </c>
      <c r="AB1346" s="595" t="s">
        <v>449</v>
      </c>
      <c r="AC1346" s="595">
        <v>35572.949999999997</v>
      </c>
      <c r="AD1346" s="596" t="s">
        <v>395</v>
      </c>
      <c r="AE1346" s="595">
        <v>172</v>
      </c>
      <c r="AF1346" s="597">
        <f t="shared" si="84"/>
        <v>4.7984539193917097E-3</v>
      </c>
      <c r="AG1346" s="597">
        <f t="shared" si="85"/>
        <v>-3.0439684329199634E-2</v>
      </c>
    </row>
    <row r="1347" spans="13:33" x14ac:dyDescent="0.35">
      <c r="M1347" s="555">
        <v>43637</v>
      </c>
      <c r="N1347" s="543" t="s">
        <v>449</v>
      </c>
      <c r="O1347" s="543">
        <v>35125.25</v>
      </c>
      <c r="P1347" s="73" t="s">
        <v>431</v>
      </c>
      <c r="Q1347" s="158">
        <v>12.5</v>
      </c>
      <c r="R1347" s="563">
        <f t="shared" si="82"/>
        <v>3.69586045912218E-3</v>
      </c>
      <c r="S1347" s="563">
        <f t="shared" si="83"/>
        <v>-1.1075949367088667E-2</v>
      </c>
      <c r="AA1347" s="594">
        <v>43633</v>
      </c>
      <c r="AB1347" s="595" t="s">
        <v>449</v>
      </c>
      <c r="AC1347" s="595">
        <v>35168.82</v>
      </c>
      <c r="AD1347" s="596" t="s">
        <v>395</v>
      </c>
      <c r="AE1347" s="595">
        <v>175</v>
      </c>
      <c r="AF1347" s="597">
        <f t="shared" si="84"/>
        <v>-1.1360598432235691E-2</v>
      </c>
      <c r="AG1347" s="597">
        <f t="shared" si="85"/>
        <v>1.744186046511631E-2</v>
      </c>
    </row>
    <row r="1348" spans="13:33" x14ac:dyDescent="0.35">
      <c r="M1348" s="555">
        <v>43640</v>
      </c>
      <c r="N1348" s="543" t="s">
        <v>449</v>
      </c>
      <c r="O1348" s="543">
        <v>34471.949999999997</v>
      </c>
      <c r="P1348" s="73" t="s">
        <v>431</v>
      </c>
      <c r="Q1348" s="158">
        <v>11.94</v>
      </c>
      <c r="R1348" s="563">
        <f t="shared" si="82"/>
        <v>-1.859915587789418E-2</v>
      </c>
      <c r="S1348" s="563">
        <f t="shared" si="83"/>
        <v>-4.4800000000000062E-2</v>
      </c>
      <c r="AA1348" s="594">
        <v>43636</v>
      </c>
      <c r="AB1348" s="595" t="s">
        <v>449</v>
      </c>
      <c r="AC1348" s="595">
        <v>34995.910000000003</v>
      </c>
      <c r="AD1348" s="596" t="s">
        <v>395</v>
      </c>
      <c r="AE1348" s="595">
        <v>175</v>
      </c>
      <c r="AF1348" s="597">
        <f t="shared" si="84"/>
        <v>-4.9165709853215001E-3</v>
      </c>
      <c r="AG1348" s="597">
        <f t="shared" si="85"/>
        <v>0</v>
      </c>
    </row>
    <row r="1349" spans="13:33" x14ac:dyDescent="0.35">
      <c r="M1349" s="555">
        <v>43641</v>
      </c>
      <c r="N1349" s="543" t="s">
        <v>449</v>
      </c>
      <c r="O1349" s="543">
        <v>34190.620000000003</v>
      </c>
      <c r="P1349" s="73" t="s">
        <v>431</v>
      </c>
      <c r="Q1349" s="158">
        <v>12</v>
      </c>
      <c r="R1349" s="563">
        <f t="shared" si="82"/>
        <v>-8.1611281056045426E-3</v>
      </c>
      <c r="S1349" s="563">
        <f t="shared" si="83"/>
        <v>5.0251256281408363E-3</v>
      </c>
      <c r="AA1349" s="594">
        <v>43637</v>
      </c>
      <c r="AB1349" s="595" t="s">
        <v>449</v>
      </c>
      <c r="AC1349" s="595">
        <v>35125.25</v>
      </c>
      <c r="AD1349" s="596" t="s">
        <v>395</v>
      </c>
      <c r="AE1349" s="595">
        <v>175</v>
      </c>
      <c r="AF1349" s="597">
        <f t="shared" si="84"/>
        <v>3.69586045912218E-3</v>
      </c>
      <c r="AG1349" s="597">
        <f t="shared" si="85"/>
        <v>0</v>
      </c>
    </row>
    <row r="1350" spans="13:33" x14ac:dyDescent="0.35">
      <c r="M1350" s="555">
        <v>43642</v>
      </c>
      <c r="N1350" s="543" t="s">
        <v>449</v>
      </c>
      <c r="O1350" s="543">
        <v>34088.559999999998</v>
      </c>
      <c r="P1350" s="73" t="s">
        <v>431</v>
      </c>
      <c r="Q1350" s="158">
        <v>11.7</v>
      </c>
      <c r="R1350" s="563">
        <f t="shared" si="82"/>
        <v>-2.985029227314584E-3</v>
      </c>
      <c r="S1350" s="563">
        <f t="shared" si="83"/>
        <v>-2.5000000000000022E-2</v>
      </c>
      <c r="AA1350" s="594">
        <v>43640</v>
      </c>
      <c r="AB1350" s="595" t="s">
        <v>449</v>
      </c>
      <c r="AC1350" s="595">
        <v>34471.949999999997</v>
      </c>
      <c r="AD1350" s="596" t="s">
        <v>395</v>
      </c>
      <c r="AE1350" s="595">
        <v>169.25</v>
      </c>
      <c r="AF1350" s="597">
        <f t="shared" si="84"/>
        <v>-1.859915587789418E-2</v>
      </c>
      <c r="AG1350" s="597">
        <f t="shared" si="85"/>
        <v>-3.2857142857142807E-2</v>
      </c>
    </row>
    <row r="1351" spans="13:33" x14ac:dyDescent="0.35">
      <c r="M1351" s="555">
        <v>43643</v>
      </c>
      <c r="N1351" s="543" t="s">
        <v>449</v>
      </c>
      <c r="O1351" s="543">
        <v>33774.42</v>
      </c>
      <c r="P1351" s="73" t="s">
        <v>431</v>
      </c>
      <c r="Q1351" s="158">
        <v>11.76</v>
      </c>
      <c r="R1351" s="563">
        <f t="shared" si="82"/>
        <v>-9.2154083364037742E-3</v>
      </c>
      <c r="S1351" s="563">
        <f t="shared" si="83"/>
        <v>5.12820512820511E-3</v>
      </c>
      <c r="AA1351" s="594">
        <v>43641</v>
      </c>
      <c r="AB1351" s="595" t="s">
        <v>449</v>
      </c>
      <c r="AC1351" s="595">
        <v>34190.620000000003</v>
      </c>
      <c r="AD1351" s="596" t="s">
        <v>395</v>
      </c>
      <c r="AE1351" s="595">
        <v>168</v>
      </c>
      <c r="AF1351" s="597">
        <f t="shared" si="84"/>
        <v>-8.1611281056045426E-3</v>
      </c>
      <c r="AG1351" s="597">
        <f t="shared" si="85"/>
        <v>-7.3855243722303898E-3</v>
      </c>
    </row>
    <row r="1352" spans="13:33" x14ac:dyDescent="0.35">
      <c r="M1352" s="555">
        <v>43644</v>
      </c>
      <c r="N1352" s="543" t="s">
        <v>449</v>
      </c>
      <c r="O1352" s="543">
        <v>33901.58</v>
      </c>
      <c r="P1352" s="73" t="s">
        <v>431</v>
      </c>
      <c r="Q1352" s="158">
        <v>11.76</v>
      </c>
      <c r="R1352" s="563">
        <f t="shared" si="82"/>
        <v>3.764979531847068E-3</v>
      </c>
      <c r="S1352" s="563">
        <f t="shared" si="83"/>
        <v>0</v>
      </c>
      <c r="AA1352" s="594">
        <v>43642</v>
      </c>
      <c r="AB1352" s="595" t="s">
        <v>449</v>
      </c>
      <c r="AC1352" s="595">
        <v>34088.559999999998</v>
      </c>
      <c r="AD1352" s="596" t="s">
        <v>395</v>
      </c>
      <c r="AE1352" s="595">
        <v>169</v>
      </c>
      <c r="AF1352" s="597">
        <f t="shared" si="84"/>
        <v>-2.985029227314584E-3</v>
      </c>
      <c r="AG1352" s="597">
        <f t="shared" si="85"/>
        <v>5.9523809523809312E-3</v>
      </c>
    </row>
    <row r="1353" spans="13:33" x14ac:dyDescent="0.35">
      <c r="M1353" s="555">
        <v>43647</v>
      </c>
      <c r="N1353" s="543" t="s">
        <v>449</v>
      </c>
      <c r="O1353" s="543">
        <v>33996.33</v>
      </c>
      <c r="P1353" s="73" t="s">
        <v>431</v>
      </c>
      <c r="Q1353" s="158">
        <v>11.67</v>
      </c>
      <c r="R1353" s="563">
        <f t="shared" si="82"/>
        <v>2.7948549890595142E-3</v>
      </c>
      <c r="S1353" s="563">
        <f t="shared" si="83"/>
        <v>-7.6530612244898322E-3</v>
      </c>
      <c r="AA1353" s="594">
        <v>43643</v>
      </c>
      <c r="AB1353" s="595" t="s">
        <v>449</v>
      </c>
      <c r="AC1353" s="595">
        <v>33774.42</v>
      </c>
      <c r="AD1353" s="596" t="s">
        <v>395</v>
      </c>
      <c r="AE1353" s="595">
        <v>161.07</v>
      </c>
      <c r="AF1353" s="597">
        <f t="shared" si="84"/>
        <v>-9.2154083364037742E-3</v>
      </c>
      <c r="AG1353" s="597">
        <f t="shared" si="85"/>
        <v>-4.6923076923076956E-2</v>
      </c>
    </row>
    <row r="1354" spans="13:33" x14ac:dyDescent="0.35">
      <c r="M1354" s="555">
        <v>43648</v>
      </c>
      <c r="N1354" s="543" t="s">
        <v>449</v>
      </c>
      <c r="O1354" s="543">
        <v>34307.11</v>
      </c>
      <c r="P1354" s="73" t="s">
        <v>431</v>
      </c>
      <c r="Q1354" s="158">
        <v>12.24</v>
      </c>
      <c r="R1354" s="563">
        <f t="shared" si="82"/>
        <v>9.1415749876531116E-3</v>
      </c>
      <c r="S1354" s="563">
        <f t="shared" si="83"/>
        <v>4.8843187660668308E-2</v>
      </c>
      <c r="AA1354" s="594">
        <v>43644</v>
      </c>
      <c r="AB1354" s="595" t="s">
        <v>449</v>
      </c>
      <c r="AC1354" s="595">
        <v>33901.58</v>
      </c>
      <c r="AD1354" s="596" t="s">
        <v>395</v>
      </c>
      <c r="AE1354" s="595">
        <v>160.5</v>
      </c>
      <c r="AF1354" s="597">
        <f t="shared" si="84"/>
        <v>3.764979531847068E-3</v>
      </c>
      <c r="AG1354" s="597">
        <f t="shared" si="85"/>
        <v>-3.5388340473085922E-3</v>
      </c>
    </row>
    <row r="1355" spans="13:33" x14ac:dyDescent="0.35">
      <c r="M1355" s="555">
        <v>43649</v>
      </c>
      <c r="N1355" s="543" t="s">
        <v>449</v>
      </c>
      <c r="O1355" s="543">
        <v>34896.550000000003</v>
      </c>
      <c r="P1355" s="73" t="s">
        <v>431</v>
      </c>
      <c r="Q1355" s="158">
        <v>12.49</v>
      </c>
      <c r="R1355" s="563">
        <f t="shared" si="82"/>
        <v>1.7181278166537473E-2</v>
      </c>
      <c r="S1355" s="563">
        <f t="shared" si="83"/>
        <v>2.0424836601307117E-2</v>
      </c>
      <c r="AA1355" s="594">
        <v>43647</v>
      </c>
      <c r="AB1355" s="595" t="s">
        <v>449</v>
      </c>
      <c r="AC1355" s="595">
        <v>33996.33</v>
      </c>
      <c r="AD1355" s="596" t="s">
        <v>395</v>
      </c>
      <c r="AE1355" s="595">
        <v>164.9</v>
      </c>
      <c r="AF1355" s="597">
        <f t="shared" si="84"/>
        <v>2.7948549890595142E-3</v>
      </c>
      <c r="AG1355" s="597">
        <f t="shared" si="85"/>
        <v>2.7414330218068494E-2</v>
      </c>
    </row>
    <row r="1356" spans="13:33" x14ac:dyDescent="0.35">
      <c r="M1356" s="555">
        <v>43650</v>
      </c>
      <c r="N1356" s="543" t="s">
        <v>449</v>
      </c>
      <c r="O1356" s="543">
        <v>34570.620000000003</v>
      </c>
      <c r="P1356" s="73" t="s">
        <v>431</v>
      </c>
      <c r="Q1356" s="158">
        <v>12.21</v>
      </c>
      <c r="R1356" s="563">
        <f t="shared" si="82"/>
        <v>-9.3398917658049641E-3</v>
      </c>
      <c r="S1356" s="563">
        <f t="shared" si="83"/>
        <v>-2.2417934347477964E-2</v>
      </c>
      <c r="AA1356" s="594">
        <v>43648</v>
      </c>
      <c r="AB1356" s="595" t="s">
        <v>449</v>
      </c>
      <c r="AC1356" s="595">
        <v>34307.11</v>
      </c>
      <c r="AD1356" s="596" t="s">
        <v>395</v>
      </c>
      <c r="AE1356" s="595">
        <v>170.91</v>
      </c>
      <c r="AF1356" s="597">
        <f t="shared" si="84"/>
        <v>9.1415749876531116E-3</v>
      </c>
      <c r="AG1356" s="597">
        <f t="shared" si="85"/>
        <v>3.6446331109763364E-2</v>
      </c>
    </row>
    <row r="1357" spans="13:33" x14ac:dyDescent="0.35">
      <c r="M1357" s="555">
        <v>43651</v>
      </c>
      <c r="N1357" s="543" t="s">
        <v>449</v>
      </c>
      <c r="O1357" s="543">
        <v>34190.019999999997</v>
      </c>
      <c r="P1357" s="73" t="s">
        <v>431</v>
      </c>
      <c r="Q1357" s="158">
        <v>11.94</v>
      </c>
      <c r="R1357" s="563">
        <f t="shared" si="82"/>
        <v>-1.1009348400462748E-2</v>
      </c>
      <c r="S1357" s="563">
        <f t="shared" si="83"/>
        <v>-2.211302211302224E-2</v>
      </c>
      <c r="AA1357" s="594">
        <v>43649</v>
      </c>
      <c r="AB1357" s="595" t="s">
        <v>449</v>
      </c>
      <c r="AC1357" s="595">
        <v>34896.550000000003</v>
      </c>
      <c r="AD1357" s="596" t="s">
        <v>395</v>
      </c>
      <c r="AE1357" s="595">
        <v>170.91</v>
      </c>
      <c r="AF1357" s="597">
        <f t="shared" si="84"/>
        <v>1.7181278166537473E-2</v>
      </c>
      <c r="AG1357" s="597">
        <f t="shared" si="85"/>
        <v>0</v>
      </c>
    </row>
    <row r="1358" spans="13:33" x14ac:dyDescent="0.35">
      <c r="M1358" s="555">
        <v>43654</v>
      </c>
      <c r="N1358" s="543" t="s">
        <v>449</v>
      </c>
      <c r="O1358" s="543">
        <v>33742.68</v>
      </c>
      <c r="P1358" s="73" t="s">
        <v>431</v>
      </c>
      <c r="Q1358" s="158">
        <v>11.52</v>
      </c>
      <c r="R1358" s="563">
        <f t="shared" si="82"/>
        <v>-1.308393501963423E-2</v>
      </c>
      <c r="S1358" s="563">
        <f t="shared" si="83"/>
        <v>-3.5175879396984966E-2</v>
      </c>
      <c r="AA1358" s="594">
        <v>43650</v>
      </c>
      <c r="AB1358" s="595" t="s">
        <v>449</v>
      </c>
      <c r="AC1358" s="595">
        <v>34570.620000000003</v>
      </c>
      <c r="AD1358" s="596" t="s">
        <v>395</v>
      </c>
      <c r="AE1358" s="595">
        <v>178.54</v>
      </c>
      <c r="AF1358" s="597">
        <f t="shared" si="84"/>
        <v>-9.3398917658049641E-3</v>
      </c>
      <c r="AG1358" s="597">
        <f t="shared" si="85"/>
        <v>4.464337955649178E-2</v>
      </c>
    </row>
    <row r="1359" spans="13:33" x14ac:dyDescent="0.35">
      <c r="M1359" s="526">
        <v>43661</v>
      </c>
      <c r="N1359" s="524" t="s">
        <v>449</v>
      </c>
      <c r="O1359" s="524">
        <v>32958.35</v>
      </c>
      <c r="P1359" s="73" t="s">
        <v>431</v>
      </c>
      <c r="Q1359">
        <v>11.09</v>
      </c>
      <c r="R1359" s="563">
        <f t="shared" si="82"/>
        <v>-2.3244448870095691E-2</v>
      </c>
      <c r="S1359" s="563">
        <f t="shared" si="83"/>
        <v>-3.732638888888884E-2</v>
      </c>
      <c r="AA1359" s="594">
        <v>43651</v>
      </c>
      <c r="AB1359" s="595" t="s">
        <v>449</v>
      </c>
      <c r="AC1359" s="595">
        <v>34190.019999999997</v>
      </c>
      <c r="AD1359" s="596" t="s">
        <v>395</v>
      </c>
      <c r="AE1359" s="595">
        <v>177</v>
      </c>
      <c r="AF1359" s="597">
        <f t="shared" si="84"/>
        <v>-1.1009348400462748E-2</v>
      </c>
      <c r="AG1359" s="597">
        <f t="shared" si="85"/>
        <v>-8.625518091184059E-3</v>
      </c>
    </row>
    <row r="1360" spans="13:33" x14ac:dyDescent="0.35">
      <c r="M1360" s="526">
        <v>43663</v>
      </c>
      <c r="N1360" s="524" t="s">
        <v>449</v>
      </c>
      <c r="O1360" s="524">
        <v>32981.99</v>
      </c>
      <c r="P1360" s="73" t="s">
        <v>431</v>
      </c>
      <c r="Q1360">
        <v>11.25</v>
      </c>
      <c r="R1360" s="563">
        <f t="shared" si="82"/>
        <v>7.1726891667811543E-4</v>
      </c>
      <c r="S1360" s="563">
        <f t="shared" si="83"/>
        <v>1.4427412082957725E-2</v>
      </c>
      <c r="AA1360" s="589">
        <v>43654</v>
      </c>
      <c r="AB1360" s="590" t="s">
        <v>449</v>
      </c>
      <c r="AC1360" s="590">
        <v>33742.68</v>
      </c>
      <c r="AD1360" s="591" t="s">
        <v>395</v>
      </c>
      <c r="AE1360" s="590">
        <v>172</v>
      </c>
      <c r="AF1360" s="592">
        <f t="shared" si="84"/>
        <v>-1.308393501963423E-2</v>
      </c>
      <c r="AG1360" s="592">
        <f t="shared" si="85"/>
        <v>-2.8248587570621431E-2</v>
      </c>
    </row>
    <row r="1361" spans="13:33" x14ac:dyDescent="0.35">
      <c r="M1361" s="555">
        <v>43664</v>
      </c>
      <c r="N1361" s="543" t="s">
        <v>449</v>
      </c>
      <c r="O1361" s="543">
        <v>32309.54</v>
      </c>
      <c r="P1361" s="73" t="s">
        <v>431</v>
      </c>
      <c r="Q1361" s="158">
        <v>10.53</v>
      </c>
      <c r="R1361" s="563">
        <f t="shared" si="82"/>
        <v>-2.0388399850948868E-2</v>
      </c>
      <c r="S1361" s="563">
        <f t="shared" si="83"/>
        <v>-6.4000000000000057E-2</v>
      </c>
      <c r="AA1361" s="589">
        <v>43661</v>
      </c>
      <c r="AB1361" s="590" t="s">
        <v>449</v>
      </c>
      <c r="AC1361" s="590">
        <v>32958.35</v>
      </c>
      <c r="AD1361" s="591" t="s">
        <v>395</v>
      </c>
      <c r="AE1361" s="590">
        <v>165.1</v>
      </c>
      <c r="AF1361" s="592">
        <f t="shared" si="84"/>
        <v>-2.3244448870095691E-2</v>
      </c>
      <c r="AG1361" s="592">
        <f t="shared" si="85"/>
        <v>-4.0116279069767447E-2</v>
      </c>
    </row>
    <row r="1362" spans="13:33" x14ac:dyDescent="0.35">
      <c r="M1362" s="555">
        <v>43665</v>
      </c>
      <c r="N1362" s="543" t="s">
        <v>449</v>
      </c>
      <c r="O1362" s="543">
        <v>32458.77</v>
      </c>
      <c r="P1362" s="73" t="s">
        <v>431</v>
      </c>
      <c r="Q1362" s="158">
        <v>10.5</v>
      </c>
      <c r="R1362" s="563">
        <f t="shared" si="82"/>
        <v>4.6187596604594372E-3</v>
      </c>
      <c r="S1362" s="563">
        <f t="shared" si="83"/>
        <v>-2.8490028490028019E-3</v>
      </c>
      <c r="AA1362" s="589">
        <v>43663</v>
      </c>
      <c r="AB1362" s="590" t="s">
        <v>449</v>
      </c>
      <c r="AC1362" s="590">
        <v>32981.99</v>
      </c>
      <c r="AD1362" s="591" t="s">
        <v>395</v>
      </c>
      <c r="AE1362" s="590">
        <v>168.5</v>
      </c>
      <c r="AF1362" s="592">
        <f t="shared" si="84"/>
        <v>7.1726891667811543E-4</v>
      </c>
      <c r="AG1362" s="592">
        <f t="shared" si="85"/>
        <v>2.0593579648697791E-2</v>
      </c>
    </row>
    <row r="1363" spans="13:33" x14ac:dyDescent="0.35">
      <c r="M1363" s="526">
        <v>43669</v>
      </c>
      <c r="N1363" s="524" t="s">
        <v>449</v>
      </c>
      <c r="O1363" s="524">
        <v>32715.88</v>
      </c>
      <c r="P1363" s="73" t="s">
        <v>431</v>
      </c>
      <c r="Q1363">
        <v>10.69</v>
      </c>
      <c r="R1363" s="563">
        <f t="shared" si="82"/>
        <v>7.9211257851115047E-3</v>
      </c>
      <c r="S1363" s="563">
        <f t="shared" si="83"/>
        <v>1.8095238095237942E-2</v>
      </c>
      <c r="AA1363" s="594">
        <v>43664</v>
      </c>
      <c r="AB1363" s="595" t="s">
        <v>449</v>
      </c>
      <c r="AC1363" s="595">
        <v>32309.54</v>
      </c>
      <c r="AD1363" s="596" t="s">
        <v>395</v>
      </c>
      <c r="AE1363" s="595">
        <v>165</v>
      </c>
      <c r="AF1363" s="597">
        <f t="shared" si="84"/>
        <v>-2.0388399850948868E-2</v>
      </c>
      <c r="AG1363" s="597">
        <f t="shared" si="85"/>
        <v>-2.0771513353115778E-2</v>
      </c>
    </row>
    <row r="1364" spans="13:33" x14ac:dyDescent="0.35">
      <c r="M1364" s="526">
        <v>43672</v>
      </c>
      <c r="N1364" s="524" t="s">
        <v>449</v>
      </c>
      <c r="O1364" s="524">
        <v>32103.27</v>
      </c>
      <c r="P1364" s="73" t="s">
        <v>431</v>
      </c>
      <c r="Q1364">
        <v>10.09</v>
      </c>
      <c r="R1364" s="563">
        <f t="shared" si="82"/>
        <v>-1.8725157324210762E-2</v>
      </c>
      <c r="S1364" s="563">
        <f t="shared" si="83"/>
        <v>-5.6127221702525709E-2</v>
      </c>
      <c r="AA1364" s="594">
        <v>43665</v>
      </c>
      <c r="AB1364" s="595" t="s">
        <v>449</v>
      </c>
      <c r="AC1364" s="595">
        <v>32458.77</v>
      </c>
      <c r="AD1364" s="596" t="s">
        <v>395</v>
      </c>
      <c r="AE1364" s="595">
        <v>161</v>
      </c>
      <c r="AF1364" s="597">
        <f t="shared" si="84"/>
        <v>4.6187596604594372E-3</v>
      </c>
      <c r="AG1364" s="597">
        <f t="shared" si="85"/>
        <v>-2.4242424242424288E-2</v>
      </c>
    </row>
    <row r="1365" spans="13:33" x14ac:dyDescent="0.35">
      <c r="M1365" s="555">
        <v>43675</v>
      </c>
      <c r="N1365" s="543" t="s">
        <v>449</v>
      </c>
      <c r="O1365" s="543">
        <v>31734.23</v>
      </c>
      <c r="P1365" s="73" t="s">
        <v>431</v>
      </c>
      <c r="Q1365" s="158">
        <v>9.8800000000000008</v>
      </c>
      <c r="R1365" s="563">
        <f t="shared" si="82"/>
        <v>-1.1495402181771586E-2</v>
      </c>
      <c r="S1365" s="563">
        <f t="shared" si="83"/>
        <v>-2.0812685827551913E-2</v>
      </c>
      <c r="AA1365" s="594">
        <v>43669</v>
      </c>
      <c r="AB1365" s="595" t="s">
        <v>449</v>
      </c>
      <c r="AC1365" s="595">
        <v>32715.88</v>
      </c>
      <c r="AD1365" s="596" t="s">
        <v>395</v>
      </c>
      <c r="AE1365" s="595">
        <v>165</v>
      </c>
      <c r="AF1365" s="597">
        <f t="shared" si="84"/>
        <v>7.9211257851115047E-3</v>
      </c>
      <c r="AG1365" s="597">
        <f t="shared" si="85"/>
        <v>2.4844720496894457E-2</v>
      </c>
    </row>
    <row r="1366" spans="13:33" x14ac:dyDescent="0.35">
      <c r="M1366" s="526">
        <v>43677</v>
      </c>
      <c r="N1366" s="524" t="s">
        <v>449</v>
      </c>
      <c r="O1366" s="524">
        <v>31938.48</v>
      </c>
      <c r="P1366" s="73" t="s">
        <v>431</v>
      </c>
      <c r="Q1366">
        <v>9.85</v>
      </c>
      <c r="R1366" s="563">
        <f t="shared" si="82"/>
        <v>6.4362677147042913E-3</v>
      </c>
      <c r="S1366" s="563">
        <f t="shared" si="83"/>
        <v>-3.0364372469636747E-3</v>
      </c>
      <c r="AA1366" s="594">
        <v>43672</v>
      </c>
      <c r="AB1366" s="595" t="s">
        <v>449</v>
      </c>
      <c r="AC1366" s="595">
        <v>32103.27</v>
      </c>
      <c r="AD1366" s="596" t="s">
        <v>395</v>
      </c>
      <c r="AE1366" s="595">
        <v>170</v>
      </c>
      <c r="AF1366" s="597">
        <f t="shared" si="84"/>
        <v>-1.8725157324210762E-2</v>
      </c>
      <c r="AG1366" s="597">
        <f t="shared" si="85"/>
        <v>3.0303030303030276E-2</v>
      </c>
    </row>
    <row r="1367" spans="13:33" x14ac:dyDescent="0.35">
      <c r="M1367" s="555">
        <v>43678</v>
      </c>
      <c r="N1367" s="543" t="s">
        <v>449</v>
      </c>
      <c r="O1367" s="543">
        <v>31839.11</v>
      </c>
      <c r="P1367" s="73" t="s">
        <v>431</v>
      </c>
      <c r="Q1367" s="158">
        <v>9.67</v>
      </c>
      <c r="R1367" s="563">
        <f t="shared" si="82"/>
        <v>-3.1112939626432023E-3</v>
      </c>
      <c r="S1367" s="563">
        <f t="shared" si="83"/>
        <v>-1.8274111675126825E-2</v>
      </c>
      <c r="AA1367" s="594">
        <v>43675</v>
      </c>
      <c r="AB1367" s="595" t="s">
        <v>449</v>
      </c>
      <c r="AC1367" s="595">
        <v>31734.23</v>
      </c>
      <c r="AD1367" s="596" t="s">
        <v>395</v>
      </c>
      <c r="AE1367" s="595">
        <v>164.57</v>
      </c>
      <c r="AF1367" s="597">
        <f t="shared" si="84"/>
        <v>-1.1495402181771586E-2</v>
      </c>
      <c r="AG1367" s="597">
        <f t="shared" si="85"/>
        <v>-3.1941176470588251E-2</v>
      </c>
    </row>
    <row r="1368" spans="13:33" x14ac:dyDescent="0.35">
      <c r="M1368" s="555">
        <v>43679</v>
      </c>
      <c r="N1368" s="543" t="s">
        <v>449</v>
      </c>
      <c r="O1368" s="543">
        <v>31666.41</v>
      </c>
      <c r="P1368" s="73" t="s">
        <v>431</v>
      </c>
      <c r="Q1368" s="158">
        <v>9.6199999999999992</v>
      </c>
      <c r="R1368" s="563">
        <f t="shared" si="82"/>
        <v>-5.4241465920372711E-3</v>
      </c>
      <c r="S1368" s="563">
        <f t="shared" si="83"/>
        <v>-5.170630816959787E-3</v>
      </c>
      <c r="AA1368" s="589">
        <v>43677</v>
      </c>
      <c r="AB1368" s="590" t="s">
        <v>449</v>
      </c>
      <c r="AC1368" s="590">
        <v>31938.48</v>
      </c>
      <c r="AD1368" s="591" t="s">
        <v>395</v>
      </c>
      <c r="AE1368" s="590">
        <v>158.08000000000001</v>
      </c>
      <c r="AF1368" s="592">
        <f t="shared" si="84"/>
        <v>6.4362677147042913E-3</v>
      </c>
      <c r="AG1368" s="592">
        <f t="shared" si="85"/>
        <v>-3.943610621619964E-2</v>
      </c>
    </row>
    <row r="1369" spans="13:33" x14ac:dyDescent="0.35">
      <c r="M1369" s="526">
        <v>43683</v>
      </c>
      <c r="N1369" s="524" t="s">
        <v>449</v>
      </c>
      <c r="O1369" s="524">
        <v>31000.67</v>
      </c>
      <c r="P1369" s="73" t="s">
        <v>431</v>
      </c>
      <c r="Q1369">
        <v>9.58</v>
      </c>
      <c r="R1369" s="563">
        <f t="shared" si="82"/>
        <v>-2.1023538822367294E-2</v>
      </c>
      <c r="S1369" s="563">
        <f t="shared" si="83"/>
        <v>-4.1580041580040472E-3</v>
      </c>
      <c r="AA1369" s="589">
        <v>43678</v>
      </c>
      <c r="AB1369" s="590" t="s">
        <v>449</v>
      </c>
      <c r="AC1369" s="590">
        <v>31839.11</v>
      </c>
      <c r="AD1369" s="591" t="s">
        <v>395</v>
      </c>
      <c r="AE1369" s="590">
        <v>158.05000000000001</v>
      </c>
      <c r="AF1369" s="592">
        <f t="shared" si="84"/>
        <v>-3.1112939626432023E-3</v>
      </c>
      <c r="AG1369" s="592">
        <f t="shared" si="85"/>
        <v>-1.8977732793523661E-4</v>
      </c>
    </row>
    <row r="1370" spans="13:33" x14ac:dyDescent="0.35">
      <c r="M1370" s="555">
        <v>43684</v>
      </c>
      <c r="N1370" s="543" t="s">
        <v>449</v>
      </c>
      <c r="O1370" s="543">
        <v>30277.45</v>
      </c>
      <c r="P1370" s="73" t="s">
        <v>431</v>
      </c>
      <c r="Q1370" s="158">
        <v>9.34</v>
      </c>
      <c r="R1370" s="563">
        <f t="shared" ref="R1370:R1433" si="86">(O1370/O1369)-1</f>
        <v>-2.3329173208191833E-2</v>
      </c>
      <c r="S1370" s="563">
        <f t="shared" ref="S1370:S1433" si="87">(Q1370/Q1369)-1</f>
        <v>-2.5052192066805867E-2</v>
      </c>
      <c r="AA1370" s="594">
        <v>43679</v>
      </c>
      <c r="AB1370" s="595" t="s">
        <v>449</v>
      </c>
      <c r="AC1370" s="595">
        <v>31666.41</v>
      </c>
      <c r="AD1370" s="596" t="s">
        <v>395</v>
      </c>
      <c r="AE1370" s="595">
        <v>161.69999999999999</v>
      </c>
      <c r="AF1370" s="597">
        <f t="shared" si="84"/>
        <v>-5.4241465920372711E-3</v>
      </c>
      <c r="AG1370" s="597">
        <f t="shared" si="85"/>
        <v>2.3093957608351534E-2</v>
      </c>
    </row>
    <row r="1371" spans="13:33" x14ac:dyDescent="0.35">
      <c r="M1371" s="555">
        <v>43685</v>
      </c>
      <c r="N1371" s="543" t="s">
        <v>449</v>
      </c>
      <c r="O1371" s="543">
        <v>29737.98</v>
      </c>
      <c r="P1371" s="73" t="s">
        <v>431</v>
      </c>
      <c r="Q1371" s="158">
        <v>9.26</v>
      </c>
      <c r="R1371" s="563">
        <f t="shared" si="86"/>
        <v>-1.7817550685411132E-2</v>
      </c>
      <c r="S1371" s="563">
        <f t="shared" si="87"/>
        <v>-8.565310492505307E-3</v>
      </c>
      <c r="AA1371" s="594">
        <v>43683</v>
      </c>
      <c r="AB1371" s="595" t="s">
        <v>449</v>
      </c>
      <c r="AC1371" s="595">
        <v>31000.67</v>
      </c>
      <c r="AD1371" s="596" t="s">
        <v>395</v>
      </c>
      <c r="AE1371" s="595">
        <v>162.5</v>
      </c>
      <c r="AF1371" s="597">
        <f t="shared" si="84"/>
        <v>-2.1023538822367294E-2</v>
      </c>
      <c r="AG1371" s="597">
        <f t="shared" si="85"/>
        <v>4.9474335188621765E-3</v>
      </c>
    </row>
    <row r="1372" spans="13:33" x14ac:dyDescent="0.35">
      <c r="M1372" s="555">
        <v>43686</v>
      </c>
      <c r="N1372" s="543" t="s">
        <v>449</v>
      </c>
      <c r="O1372" s="543">
        <v>29429.07</v>
      </c>
      <c r="P1372" s="73" t="s">
        <v>431</v>
      </c>
      <c r="Q1372" s="158">
        <v>8.98</v>
      </c>
      <c r="R1372" s="563">
        <f t="shared" si="86"/>
        <v>-1.0387726402398489E-2</v>
      </c>
      <c r="S1372" s="563">
        <f t="shared" si="87"/>
        <v>-3.0237580993520474E-2</v>
      </c>
      <c r="AA1372" s="594">
        <v>43684</v>
      </c>
      <c r="AB1372" s="595" t="s">
        <v>449</v>
      </c>
      <c r="AC1372" s="595">
        <v>30277.45</v>
      </c>
      <c r="AD1372" s="596" t="s">
        <v>395</v>
      </c>
      <c r="AE1372" s="595">
        <v>162.5</v>
      </c>
      <c r="AF1372" s="597">
        <f t="shared" ref="AF1372:AF1435" si="88">(AC1372/AC1371)-1</f>
        <v>-2.3329173208191833E-2</v>
      </c>
      <c r="AG1372" s="597">
        <f t="shared" ref="AG1372:AG1435" si="89">(AE1372/AE1371)-1</f>
        <v>0</v>
      </c>
    </row>
    <row r="1373" spans="13:33" x14ac:dyDescent="0.35">
      <c r="M1373" s="555">
        <v>43693</v>
      </c>
      <c r="N1373" s="543" t="s">
        <v>449</v>
      </c>
      <c r="O1373" s="543">
        <v>28764.63</v>
      </c>
      <c r="P1373" s="73" t="s">
        <v>431</v>
      </c>
      <c r="Q1373" s="158">
        <v>8.73</v>
      </c>
      <c r="R1373" s="563">
        <f t="shared" si="86"/>
        <v>-2.2577675747143866E-2</v>
      </c>
      <c r="S1373" s="563">
        <f t="shared" si="87"/>
        <v>-2.7839643652561197E-2</v>
      </c>
      <c r="AA1373" s="589">
        <v>43685</v>
      </c>
      <c r="AB1373" s="590" t="s">
        <v>449</v>
      </c>
      <c r="AC1373" s="590">
        <v>29737.98</v>
      </c>
      <c r="AD1373" s="591" t="s">
        <v>395</v>
      </c>
      <c r="AE1373" s="590">
        <v>154.38</v>
      </c>
      <c r="AF1373" s="592">
        <f t="shared" si="88"/>
        <v>-1.7817550685411132E-2</v>
      </c>
      <c r="AG1373" s="592">
        <f t="shared" si="89"/>
        <v>-4.9969230769230766E-2</v>
      </c>
    </row>
    <row r="1374" spans="13:33" x14ac:dyDescent="0.35">
      <c r="M1374" s="555">
        <v>43696</v>
      </c>
      <c r="N1374" s="543" t="s">
        <v>449</v>
      </c>
      <c r="O1374" s="543">
        <v>29562.42</v>
      </c>
      <c r="P1374" s="73" t="s">
        <v>431</v>
      </c>
      <c r="Q1374" s="158">
        <v>8.92</v>
      </c>
      <c r="R1374" s="563">
        <f t="shared" si="86"/>
        <v>2.7735103841071362E-2</v>
      </c>
      <c r="S1374" s="563">
        <f t="shared" si="87"/>
        <v>2.1764032073310347E-2</v>
      </c>
      <c r="AA1374" s="589">
        <v>43686</v>
      </c>
      <c r="AB1374" s="590" t="s">
        <v>449</v>
      </c>
      <c r="AC1374" s="590">
        <v>29429.07</v>
      </c>
      <c r="AD1374" s="591" t="s">
        <v>395</v>
      </c>
      <c r="AE1374" s="590">
        <v>151</v>
      </c>
      <c r="AF1374" s="592">
        <f t="shared" si="88"/>
        <v>-1.0387726402398489E-2</v>
      </c>
      <c r="AG1374" s="592">
        <f t="shared" si="89"/>
        <v>-2.1894027723798337E-2</v>
      </c>
    </row>
    <row r="1375" spans="13:33" x14ac:dyDescent="0.35">
      <c r="M1375" s="555">
        <v>43697</v>
      </c>
      <c r="N1375" s="543" t="s">
        <v>449</v>
      </c>
      <c r="O1375" s="543">
        <v>30419.22</v>
      </c>
      <c r="P1375" s="73" t="s">
        <v>431</v>
      </c>
      <c r="Q1375" s="158">
        <v>9.19</v>
      </c>
      <c r="R1375" s="563">
        <f t="shared" si="86"/>
        <v>2.8982742278879758E-2</v>
      </c>
      <c r="S1375" s="563">
        <f t="shared" si="87"/>
        <v>3.0269058295964157E-2</v>
      </c>
      <c r="AA1375" s="594">
        <v>43693</v>
      </c>
      <c r="AB1375" s="595" t="s">
        <v>449</v>
      </c>
      <c r="AC1375" s="595">
        <v>28764.63</v>
      </c>
      <c r="AD1375" s="596" t="s">
        <v>395</v>
      </c>
      <c r="AE1375" s="595">
        <v>153</v>
      </c>
      <c r="AF1375" s="597">
        <f t="shared" si="88"/>
        <v>-2.2577675747143866E-2</v>
      </c>
      <c r="AG1375" s="597">
        <f t="shared" si="89"/>
        <v>1.3245033112582849E-2</v>
      </c>
    </row>
    <row r="1376" spans="13:33" x14ac:dyDescent="0.35">
      <c r="M1376" s="555">
        <v>43698</v>
      </c>
      <c r="N1376" s="543" t="s">
        <v>449</v>
      </c>
      <c r="O1376" s="543">
        <v>30972.75</v>
      </c>
      <c r="P1376" s="73" t="s">
        <v>431</v>
      </c>
      <c r="Q1376" s="158">
        <v>9.57</v>
      </c>
      <c r="R1376" s="563">
        <f t="shared" si="86"/>
        <v>1.819671904802278E-2</v>
      </c>
      <c r="S1376" s="563">
        <f t="shared" si="87"/>
        <v>4.1349292709466967E-2</v>
      </c>
      <c r="AA1376" s="594">
        <v>43696</v>
      </c>
      <c r="AB1376" s="595" t="s">
        <v>449</v>
      </c>
      <c r="AC1376" s="595">
        <v>29562.42</v>
      </c>
      <c r="AD1376" s="596" t="s">
        <v>395</v>
      </c>
      <c r="AE1376" s="595">
        <v>153</v>
      </c>
      <c r="AF1376" s="597">
        <f t="shared" si="88"/>
        <v>2.7735103841071362E-2</v>
      </c>
      <c r="AG1376" s="597">
        <f t="shared" si="89"/>
        <v>0</v>
      </c>
    </row>
    <row r="1377" spans="13:33" x14ac:dyDescent="0.35">
      <c r="M1377" s="555">
        <v>43699</v>
      </c>
      <c r="N1377" s="543" t="s">
        <v>449</v>
      </c>
      <c r="O1377" s="543">
        <v>31884.45</v>
      </c>
      <c r="P1377" s="73" t="s">
        <v>431</v>
      </c>
      <c r="Q1377" s="158">
        <v>10.3</v>
      </c>
      <c r="R1377" s="563">
        <f t="shared" si="86"/>
        <v>2.9435552219289507E-2</v>
      </c>
      <c r="S1377" s="563">
        <f t="shared" si="87"/>
        <v>7.6280041797283316E-2</v>
      </c>
      <c r="AA1377" s="594">
        <v>43697</v>
      </c>
      <c r="AB1377" s="595" t="s">
        <v>449</v>
      </c>
      <c r="AC1377" s="595">
        <v>30419.22</v>
      </c>
      <c r="AD1377" s="596" t="s">
        <v>395</v>
      </c>
      <c r="AE1377" s="595">
        <v>151.97999999999999</v>
      </c>
      <c r="AF1377" s="597">
        <f t="shared" si="88"/>
        <v>2.8982742278879758E-2</v>
      </c>
      <c r="AG1377" s="597">
        <f t="shared" si="89"/>
        <v>-6.6666666666667096E-3</v>
      </c>
    </row>
    <row r="1378" spans="13:33" x14ac:dyDescent="0.35">
      <c r="M1378" s="555">
        <v>43700</v>
      </c>
      <c r="N1378" s="543" t="s">
        <v>449</v>
      </c>
      <c r="O1378" s="543">
        <v>31350.01</v>
      </c>
      <c r="P1378" s="73" t="s">
        <v>431</v>
      </c>
      <c r="Q1378" s="158">
        <v>10.130000000000001</v>
      </c>
      <c r="R1378" s="563">
        <f t="shared" si="86"/>
        <v>-1.6761775724530414E-2</v>
      </c>
      <c r="S1378" s="563">
        <f t="shared" si="87"/>
        <v>-1.6504854368932009E-2</v>
      </c>
      <c r="AA1378" s="594">
        <v>43698</v>
      </c>
      <c r="AB1378" s="595" t="s">
        <v>449</v>
      </c>
      <c r="AC1378" s="595">
        <v>30972.75</v>
      </c>
      <c r="AD1378" s="596" t="s">
        <v>395</v>
      </c>
      <c r="AE1378" s="595">
        <v>150.09</v>
      </c>
      <c r="AF1378" s="597">
        <f t="shared" si="88"/>
        <v>1.819671904802278E-2</v>
      </c>
      <c r="AG1378" s="597">
        <f t="shared" si="89"/>
        <v>-1.2435846821950203E-2</v>
      </c>
    </row>
    <row r="1379" spans="13:33" x14ac:dyDescent="0.35">
      <c r="M1379" s="555">
        <v>43703</v>
      </c>
      <c r="N1379" s="543" t="s">
        <v>449</v>
      </c>
      <c r="O1379" s="543">
        <v>30520.6</v>
      </c>
      <c r="P1379" s="73" t="s">
        <v>431</v>
      </c>
      <c r="Q1379" s="158">
        <v>9.52</v>
      </c>
      <c r="R1379" s="563">
        <f t="shared" si="86"/>
        <v>-2.6456450891084282E-2</v>
      </c>
      <c r="S1379" s="563">
        <f t="shared" si="87"/>
        <v>-6.0217176702862862E-2</v>
      </c>
      <c r="AA1379" s="594">
        <v>43699</v>
      </c>
      <c r="AB1379" s="595" t="s">
        <v>449</v>
      </c>
      <c r="AC1379" s="595">
        <v>31884.45</v>
      </c>
      <c r="AD1379" s="596" t="s">
        <v>395</v>
      </c>
      <c r="AE1379" s="595">
        <v>156.1</v>
      </c>
      <c r="AF1379" s="597">
        <f t="shared" si="88"/>
        <v>2.9435552219289507E-2</v>
      </c>
      <c r="AG1379" s="597">
        <f t="shared" si="89"/>
        <v>4.0042641082017383E-2</v>
      </c>
    </row>
    <row r="1380" spans="13:33" x14ac:dyDescent="0.35">
      <c r="M1380" s="555">
        <v>43704</v>
      </c>
      <c r="N1380" s="543" t="s">
        <v>449</v>
      </c>
      <c r="O1380" s="543">
        <v>30584.85</v>
      </c>
      <c r="P1380" s="73" t="s">
        <v>431</v>
      </c>
      <c r="Q1380" s="158">
        <v>9.7899999999999991</v>
      </c>
      <c r="R1380" s="563">
        <f t="shared" si="86"/>
        <v>2.1051355477939016E-3</v>
      </c>
      <c r="S1380" s="563">
        <f t="shared" si="87"/>
        <v>2.8361344537815025E-2</v>
      </c>
      <c r="AA1380" s="594">
        <v>43700</v>
      </c>
      <c r="AB1380" s="595" t="s">
        <v>449</v>
      </c>
      <c r="AC1380" s="595">
        <v>31350.01</v>
      </c>
      <c r="AD1380" s="596" t="s">
        <v>395</v>
      </c>
      <c r="AE1380" s="595">
        <v>151.35</v>
      </c>
      <c r="AF1380" s="597">
        <f t="shared" si="88"/>
        <v>-1.6761775724530414E-2</v>
      </c>
      <c r="AG1380" s="597">
        <f t="shared" si="89"/>
        <v>-3.042921204356186E-2</v>
      </c>
    </row>
    <row r="1381" spans="13:33" x14ac:dyDescent="0.35">
      <c r="M1381" s="555">
        <v>43705</v>
      </c>
      <c r="N1381" s="543" t="s">
        <v>449</v>
      </c>
      <c r="O1381" s="543">
        <v>30637.71</v>
      </c>
      <c r="P1381" s="73" t="s">
        <v>431</v>
      </c>
      <c r="Q1381" s="158">
        <v>9.7799999999999994</v>
      </c>
      <c r="R1381" s="563">
        <f t="shared" si="86"/>
        <v>1.7283066616315956E-3</v>
      </c>
      <c r="S1381" s="563">
        <f t="shared" si="87"/>
        <v>-1.0214504596527396E-3</v>
      </c>
      <c r="AA1381" s="594">
        <v>43703</v>
      </c>
      <c r="AB1381" s="595" t="s">
        <v>449</v>
      </c>
      <c r="AC1381" s="595">
        <v>30520.6</v>
      </c>
      <c r="AD1381" s="596" t="s">
        <v>395</v>
      </c>
      <c r="AE1381" s="595">
        <v>157</v>
      </c>
      <c r="AF1381" s="597">
        <f t="shared" si="88"/>
        <v>-2.6456450891084282E-2</v>
      </c>
      <c r="AG1381" s="597">
        <f t="shared" si="89"/>
        <v>3.7330690452593407E-2</v>
      </c>
    </row>
    <row r="1382" spans="13:33" x14ac:dyDescent="0.35">
      <c r="M1382" s="526">
        <v>43707</v>
      </c>
      <c r="N1382" s="524" t="s">
        <v>449</v>
      </c>
      <c r="O1382" s="524">
        <v>29672.12</v>
      </c>
      <c r="P1382" s="73" t="s">
        <v>431</v>
      </c>
      <c r="Q1382">
        <v>9.19</v>
      </c>
      <c r="R1382" s="563">
        <f t="shared" si="86"/>
        <v>-3.1516389442944659E-2</v>
      </c>
      <c r="S1382" s="563">
        <f t="shared" si="87"/>
        <v>-6.0327198364008128E-2</v>
      </c>
      <c r="AA1382" s="594">
        <v>43704</v>
      </c>
      <c r="AB1382" s="595" t="s">
        <v>449</v>
      </c>
      <c r="AC1382" s="595">
        <v>30584.85</v>
      </c>
      <c r="AD1382" s="596" t="s">
        <v>395</v>
      </c>
      <c r="AE1382" s="595">
        <v>157</v>
      </c>
      <c r="AF1382" s="597">
        <f t="shared" si="88"/>
        <v>2.1051355477939016E-3</v>
      </c>
      <c r="AG1382" s="597">
        <f t="shared" si="89"/>
        <v>0</v>
      </c>
    </row>
    <row r="1383" spans="13:33" x14ac:dyDescent="0.35">
      <c r="M1383" s="555">
        <v>43710</v>
      </c>
      <c r="N1383" s="543" t="s">
        <v>449</v>
      </c>
      <c r="O1383" s="543">
        <v>30057.29</v>
      </c>
      <c r="P1383" s="73" t="s">
        <v>431</v>
      </c>
      <c r="Q1383" s="158">
        <v>9.43</v>
      </c>
      <c r="R1383" s="563">
        <f t="shared" si="86"/>
        <v>1.2980872280106803E-2</v>
      </c>
      <c r="S1383" s="563">
        <f t="shared" si="87"/>
        <v>2.6115342763873839E-2</v>
      </c>
      <c r="AA1383" s="594">
        <v>43705</v>
      </c>
      <c r="AB1383" s="595" t="s">
        <v>449</v>
      </c>
      <c r="AC1383" s="595">
        <v>30637.71</v>
      </c>
      <c r="AD1383" s="596" t="s">
        <v>395</v>
      </c>
      <c r="AE1383" s="595">
        <v>157</v>
      </c>
      <c r="AF1383" s="597">
        <f t="shared" si="88"/>
        <v>1.7283066616315956E-3</v>
      </c>
      <c r="AG1383" s="597">
        <f t="shared" si="89"/>
        <v>0</v>
      </c>
    </row>
    <row r="1384" spans="13:33" x14ac:dyDescent="0.35">
      <c r="M1384" s="526">
        <v>43713</v>
      </c>
      <c r="N1384" s="524" t="s">
        <v>449</v>
      </c>
      <c r="O1384" s="524">
        <v>30214.77</v>
      </c>
      <c r="P1384" s="73" t="s">
        <v>431</v>
      </c>
      <c r="Q1384">
        <v>9.17</v>
      </c>
      <c r="R1384" s="563">
        <f t="shared" si="86"/>
        <v>5.2393279633660139E-3</v>
      </c>
      <c r="S1384" s="563">
        <f t="shared" si="87"/>
        <v>-2.7571580063626699E-2</v>
      </c>
      <c r="AA1384" s="594">
        <v>43707</v>
      </c>
      <c r="AB1384" s="595" t="s">
        <v>449</v>
      </c>
      <c r="AC1384" s="595">
        <v>29672.12</v>
      </c>
      <c r="AD1384" s="596" t="s">
        <v>395</v>
      </c>
      <c r="AE1384" s="595">
        <v>155.16999999999999</v>
      </c>
      <c r="AF1384" s="597">
        <f t="shared" si="88"/>
        <v>-3.1516389442944659E-2</v>
      </c>
      <c r="AG1384" s="597">
        <f t="shared" si="89"/>
        <v>-1.165605095541411E-2</v>
      </c>
    </row>
    <row r="1385" spans="13:33" x14ac:dyDescent="0.35">
      <c r="M1385" s="555">
        <v>43714</v>
      </c>
      <c r="N1385" s="543" t="s">
        <v>449</v>
      </c>
      <c r="O1385" s="543">
        <v>30467.200000000001</v>
      </c>
      <c r="P1385" s="73" t="s">
        <v>431</v>
      </c>
      <c r="Q1385" s="158">
        <v>9.11</v>
      </c>
      <c r="R1385" s="563">
        <f t="shared" si="86"/>
        <v>8.3545233010213771E-3</v>
      </c>
      <c r="S1385" s="563">
        <f t="shared" si="87"/>
        <v>-6.5430752453653485E-3</v>
      </c>
      <c r="AA1385" s="594">
        <v>43710</v>
      </c>
      <c r="AB1385" s="595" t="s">
        <v>449</v>
      </c>
      <c r="AC1385" s="595">
        <v>30057.29</v>
      </c>
      <c r="AD1385" s="596" t="s">
        <v>395</v>
      </c>
      <c r="AE1385" s="595">
        <v>155.16999999999999</v>
      </c>
      <c r="AF1385" s="597">
        <f t="shared" si="88"/>
        <v>1.2980872280106803E-2</v>
      </c>
      <c r="AG1385" s="597">
        <f t="shared" si="89"/>
        <v>0</v>
      </c>
    </row>
    <row r="1386" spans="13:33" x14ac:dyDescent="0.35">
      <c r="M1386" s="555">
        <v>43719</v>
      </c>
      <c r="N1386" s="543" t="s">
        <v>449</v>
      </c>
      <c r="O1386" s="543">
        <v>30954.83</v>
      </c>
      <c r="P1386" s="73" t="s">
        <v>431</v>
      </c>
      <c r="Q1386" s="158">
        <v>8.89</v>
      </c>
      <c r="R1386" s="563">
        <f t="shared" si="86"/>
        <v>1.600508087385788E-2</v>
      </c>
      <c r="S1386" s="563">
        <f t="shared" si="87"/>
        <v>-2.4149286498353351E-2</v>
      </c>
      <c r="AA1386" s="594">
        <v>43713</v>
      </c>
      <c r="AB1386" s="595" t="s">
        <v>449</v>
      </c>
      <c r="AC1386" s="595">
        <v>30214.77</v>
      </c>
      <c r="AD1386" s="596" t="s">
        <v>395</v>
      </c>
      <c r="AE1386" s="595">
        <v>155</v>
      </c>
      <c r="AF1386" s="597">
        <f t="shared" si="88"/>
        <v>5.2393279633660139E-3</v>
      </c>
      <c r="AG1386" s="597">
        <f t="shared" si="89"/>
        <v>-1.095572597795913E-3</v>
      </c>
    </row>
    <row r="1387" spans="13:33" x14ac:dyDescent="0.35">
      <c r="M1387" s="555">
        <v>43720</v>
      </c>
      <c r="N1387" s="543" t="s">
        <v>449</v>
      </c>
      <c r="O1387" s="543">
        <v>31546.61</v>
      </c>
      <c r="P1387" s="73" t="s">
        <v>431</v>
      </c>
      <c r="Q1387" s="158">
        <v>8.94</v>
      </c>
      <c r="R1387" s="563">
        <f t="shared" si="86"/>
        <v>1.9117533515771168E-2</v>
      </c>
      <c r="S1387" s="563">
        <f t="shared" si="87"/>
        <v>5.6242969628794715E-3</v>
      </c>
      <c r="AA1387" s="594">
        <v>43714</v>
      </c>
      <c r="AB1387" s="595" t="s">
        <v>449</v>
      </c>
      <c r="AC1387" s="595">
        <v>30467.200000000001</v>
      </c>
      <c r="AD1387" s="596" t="s">
        <v>395</v>
      </c>
      <c r="AE1387" s="595">
        <v>155</v>
      </c>
      <c r="AF1387" s="597">
        <f t="shared" si="88"/>
        <v>8.3545233010213771E-3</v>
      </c>
      <c r="AG1387" s="597">
        <f t="shared" si="89"/>
        <v>0</v>
      </c>
    </row>
    <row r="1388" spans="13:33" x14ac:dyDescent="0.35">
      <c r="M1388" s="555">
        <v>43721</v>
      </c>
      <c r="N1388" s="543" t="s">
        <v>449</v>
      </c>
      <c r="O1388" s="543">
        <v>31481.31</v>
      </c>
      <c r="P1388" s="73" t="s">
        <v>431</v>
      </c>
      <c r="Q1388" s="158">
        <v>8.89</v>
      </c>
      <c r="R1388" s="563">
        <f t="shared" si="86"/>
        <v>-2.0699529997042498E-3</v>
      </c>
      <c r="S1388" s="563">
        <f t="shared" si="87"/>
        <v>-5.5928411633108244E-3</v>
      </c>
      <c r="AA1388" s="594">
        <v>43719</v>
      </c>
      <c r="AB1388" s="595" t="s">
        <v>449</v>
      </c>
      <c r="AC1388" s="595">
        <v>30954.83</v>
      </c>
      <c r="AD1388" s="596" t="s">
        <v>395</v>
      </c>
      <c r="AE1388" s="595">
        <v>157</v>
      </c>
      <c r="AF1388" s="597">
        <f t="shared" si="88"/>
        <v>1.600508087385788E-2</v>
      </c>
      <c r="AG1388" s="597">
        <f t="shared" si="89"/>
        <v>1.2903225806451646E-2</v>
      </c>
    </row>
    <row r="1389" spans="13:33" x14ac:dyDescent="0.35">
      <c r="M1389" s="555">
        <v>43724</v>
      </c>
      <c r="N1389" s="543" t="s">
        <v>449</v>
      </c>
      <c r="O1389" s="543">
        <v>31928.55</v>
      </c>
      <c r="P1389" s="73" t="s">
        <v>431</v>
      </c>
      <c r="Q1389" s="158">
        <v>9.6199999999999992</v>
      </c>
      <c r="R1389" s="563">
        <f t="shared" si="86"/>
        <v>1.4206524442597734E-2</v>
      </c>
      <c r="S1389" s="563">
        <f t="shared" si="87"/>
        <v>8.2114735658042504E-2</v>
      </c>
      <c r="AA1389" s="594">
        <v>43720</v>
      </c>
      <c r="AB1389" s="595" t="s">
        <v>449</v>
      </c>
      <c r="AC1389" s="595">
        <v>31546.61</v>
      </c>
      <c r="AD1389" s="596" t="s">
        <v>395</v>
      </c>
      <c r="AE1389" s="595">
        <v>159.29</v>
      </c>
      <c r="AF1389" s="597">
        <f t="shared" si="88"/>
        <v>1.9117533515771168E-2</v>
      </c>
      <c r="AG1389" s="597">
        <f t="shared" si="89"/>
        <v>1.458598726114646E-2</v>
      </c>
    </row>
    <row r="1390" spans="13:33" x14ac:dyDescent="0.35">
      <c r="M1390" s="555">
        <v>43725</v>
      </c>
      <c r="N1390" s="543" t="s">
        <v>449</v>
      </c>
      <c r="O1390" s="543">
        <v>31908.92</v>
      </c>
      <c r="P1390" s="73" t="s">
        <v>431</v>
      </c>
      <c r="Q1390" s="158">
        <v>10.31</v>
      </c>
      <c r="R1390" s="563">
        <f t="shared" si="86"/>
        <v>-6.1481025602483363E-4</v>
      </c>
      <c r="S1390" s="563">
        <f t="shared" si="87"/>
        <v>7.1725571725571813E-2</v>
      </c>
      <c r="AA1390" s="594">
        <v>43721</v>
      </c>
      <c r="AB1390" s="595" t="s">
        <v>449</v>
      </c>
      <c r="AC1390" s="595">
        <v>31481.31</v>
      </c>
      <c r="AD1390" s="596" t="s">
        <v>395</v>
      </c>
      <c r="AE1390" s="595">
        <v>155.6</v>
      </c>
      <c r="AF1390" s="597">
        <f t="shared" si="88"/>
        <v>-2.0699529997042498E-3</v>
      </c>
      <c r="AG1390" s="597">
        <f t="shared" si="89"/>
        <v>-2.3165296001004476E-2</v>
      </c>
    </row>
    <row r="1391" spans="13:33" x14ac:dyDescent="0.35">
      <c r="M1391" s="555">
        <v>43726</v>
      </c>
      <c r="N1391" s="543" t="s">
        <v>449</v>
      </c>
      <c r="O1391" s="543">
        <v>31555.47</v>
      </c>
      <c r="P1391" s="73" t="s">
        <v>431</v>
      </c>
      <c r="Q1391" s="158">
        <v>9.86</v>
      </c>
      <c r="R1391" s="563">
        <f t="shared" si="86"/>
        <v>-1.1076839955723838E-2</v>
      </c>
      <c r="S1391" s="563">
        <f t="shared" si="87"/>
        <v>-4.3646944713870095E-2</v>
      </c>
      <c r="AA1391" s="594">
        <v>43724</v>
      </c>
      <c r="AB1391" s="595" t="s">
        <v>449</v>
      </c>
      <c r="AC1391" s="595">
        <v>31928.55</v>
      </c>
      <c r="AD1391" s="596" t="s">
        <v>395</v>
      </c>
      <c r="AE1391" s="595">
        <v>160</v>
      </c>
      <c r="AF1391" s="597">
        <f t="shared" si="88"/>
        <v>1.4206524442597734E-2</v>
      </c>
      <c r="AG1391" s="597">
        <f t="shared" si="89"/>
        <v>2.8277634961439535E-2</v>
      </c>
    </row>
    <row r="1392" spans="13:33" x14ac:dyDescent="0.35">
      <c r="M1392" s="555">
        <v>43727</v>
      </c>
      <c r="N1392" s="543" t="s">
        <v>449</v>
      </c>
      <c r="O1392" s="543">
        <v>32184.03</v>
      </c>
      <c r="P1392" s="73" t="s">
        <v>431</v>
      </c>
      <c r="Q1392" s="158">
        <v>10.119999999999999</v>
      </c>
      <c r="R1392" s="563">
        <f t="shared" si="86"/>
        <v>1.9919208935883281E-2</v>
      </c>
      <c r="S1392" s="563">
        <f t="shared" si="87"/>
        <v>2.6369168356997985E-2</v>
      </c>
      <c r="AA1392" s="594">
        <v>43725</v>
      </c>
      <c r="AB1392" s="595" t="s">
        <v>449</v>
      </c>
      <c r="AC1392" s="595">
        <v>31908.92</v>
      </c>
      <c r="AD1392" s="596" t="s">
        <v>395</v>
      </c>
      <c r="AE1392" s="595">
        <v>159.4</v>
      </c>
      <c r="AF1392" s="597">
        <f t="shared" si="88"/>
        <v>-6.1481025602483363E-4</v>
      </c>
      <c r="AG1392" s="597">
        <f t="shared" si="89"/>
        <v>-3.7499999999999201E-3</v>
      </c>
    </row>
    <row r="1393" spans="13:33" x14ac:dyDescent="0.35">
      <c r="M1393" s="555">
        <v>43728</v>
      </c>
      <c r="N1393" s="543" t="s">
        <v>449</v>
      </c>
      <c r="O1393" s="543">
        <v>32111.1</v>
      </c>
      <c r="P1393" s="73" t="s">
        <v>431</v>
      </c>
      <c r="Q1393" s="158">
        <v>9.85</v>
      </c>
      <c r="R1393" s="563">
        <f t="shared" si="86"/>
        <v>-2.2660306990764933E-3</v>
      </c>
      <c r="S1393" s="563">
        <f t="shared" si="87"/>
        <v>-2.6679841897233159E-2</v>
      </c>
      <c r="AA1393" s="594">
        <v>43726</v>
      </c>
      <c r="AB1393" s="595" t="s">
        <v>449</v>
      </c>
      <c r="AC1393" s="595">
        <v>31555.47</v>
      </c>
      <c r="AD1393" s="596" t="s">
        <v>395</v>
      </c>
      <c r="AE1393" s="595">
        <v>159</v>
      </c>
      <c r="AF1393" s="597">
        <f t="shared" si="88"/>
        <v>-1.1076839955723838E-2</v>
      </c>
      <c r="AG1393" s="597">
        <f t="shared" si="89"/>
        <v>-2.5094102885822034E-3</v>
      </c>
    </row>
    <row r="1394" spans="13:33" x14ac:dyDescent="0.35">
      <c r="M1394" s="555">
        <v>43731</v>
      </c>
      <c r="N1394" s="543" t="s">
        <v>449</v>
      </c>
      <c r="O1394" s="543">
        <v>31751.21</v>
      </c>
      <c r="P1394" s="73" t="s">
        <v>431</v>
      </c>
      <c r="Q1394" s="158">
        <v>9.6199999999999992</v>
      </c>
      <c r="R1394" s="563">
        <f t="shared" si="86"/>
        <v>-1.1207650936903457E-2</v>
      </c>
      <c r="S1394" s="563">
        <f t="shared" si="87"/>
        <v>-2.3350253807106647E-2</v>
      </c>
      <c r="AA1394" s="594">
        <v>43727</v>
      </c>
      <c r="AB1394" s="595" t="s">
        <v>449</v>
      </c>
      <c r="AC1394" s="595">
        <v>32184.03</v>
      </c>
      <c r="AD1394" s="596" t="s">
        <v>395</v>
      </c>
      <c r="AE1394" s="595">
        <v>159.99</v>
      </c>
      <c r="AF1394" s="597">
        <f t="shared" si="88"/>
        <v>1.9919208935883281E-2</v>
      </c>
      <c r="AG1394" s="597">
        <f t="shared" si="89"/>
        <v>6.2264150943396324E-3</v>
      </c>
    </row>
    <row r="1395" spans="13:33" x14ac:dyDescent="0.35">
      <c r="M1395" s="555">
        <v>43732</v>
      </c>
      <c r="N1395" s="543" t="s">
        <v>449</v>
      </c>
      <c r="O1395" s="543">
        <v>31829.24</v>
      </c>
      <c r="P1395" s="73" t="s">
        <v>431</v>
      </c>
      <c r="Q1395" s="158">
        <v>9.48</v>
      </c>
      <c r="R1395" s="563">
        <f t="shared" si="86"/>
        <v>2.4575441376879503E-3</v>
      </c>
      <c r="S1395" s="563">
        <f t="shared" si="87"/>
        <v>-1.4553014553014387E-2</v>
      </c>
      <c r="AA1395" s="589">
        <v>43728</v>
      </c>
      <c r="AB1395" s="590" t="s">
        <v>449</v>
      </c>
      <c r="AC1395" s="590">
        <v>32111.1</v>
      </c>
      <c r="AD1395" s="591" t="s">
        <v>395</v>
      </c>
      <c r="AE1395" s="590">
        <v>158.16999999999999</v>
      </c>
      <c r="AF1395" s="592">
        <f t="shared" si="88"/>
        <v>-2.2660306990764933E-3</v>
      </c>
      <c r="AG1395" s="592">
        <f t="shared" si="89"/>
        <v>-1.137571098193646E-2</v>
      </c>
    </row>
    <row r="1396" spans="13:33" x14ac:dyDescent="0.35">
      <c r="M1396" s="555">
        <v>43733</v>
      </c>
      <c r="N1396" s="543" t="s">
        <v>449</v>
      </c>
      <c r="O1396" s="543">
        <v>31565.21</v>
      </c>
      <c r="P1396" s="73" t="s">
        <v>431</v>
      </c>
      <c r="Q1396" s="158">
        <v>9.5299999999999994</v>
      </c>
      <c r="R1396" s="563">
        <f t="shared" si="86"/>
        <v>-8.2952027758125269E-3</v>
      </c>
      <c r="S1396" s="563">
        <f t="shared" si="87"/>
        <v>5.2742616033754075E-3</v>
      </c>
      <c r="AA1396" s="589">
        <v>43731</v>
      </c>
      <c r="AB1396" s="590" t="s">
        <v>449</v>
      </c>
      <c r="AC1396" s="590">
        <v>31751.21</v>
      </c>
      <c r="AD1396" s="591" t="s">
        <v>395</v>
      </c>
      <c r="AE1396" s="590">
        <v>157.13</v>
      </c>
      <c r="AF1396" s="592">
        <f t="shared" si="88"/>
        <v>-1.1207650936903457E-2</v>
      </c>
      <c r="AG1396" s="592">
        <f t="shared" si="89"/>
        <v>-6.5752038945438018E-3</v>
      </c>
    </row>
    <row r="1397" spans="13:33" x14ac:dyDescent="0.35">
      <c r="M1397" s="555">
        <v>43734</v>
      </c>
      <c r="N1397" s="543" t="s">
        <v>449</v>
      </c>
      <c r="O1397" s="543">
        <v>31433.89</v>
      </c>
      <c r="P1397" s="73" t="s">
        <v>431</v>
      </c>
      <c r="Q1397" s="158">
        <v>9.58</v>
      </c>
      <c r="R1397" s="563">
        <f t="shared" si="86"/>
        <v>-4.1602764562630457E-3</v>
      </c>
      <c r="S1397" s="563">
        <f t="shared" si="87"/>
        <v>5.2465897166842357E-3</v>
      </c>
      <c r="AA1397" s="594">
        <v>43732</v>
      </c>
      <c r="AB1397" s="595" t="s">
        <v>449</v>
      </c>
      <c r="AC1397" s="595">
        <v>31829.24</v>
      </c>
      <c r="AD1397" s="596" t="s">
        <v>395</v>
      </c>
      <c r="AE1397" s="595">
        <v>157.1</v>
      </c>
      <c r="AF1397" s="597">
        <f t="shared" si="88"/>
        <v>2.4575441376879503E-3</v>
      </c>
      <c r="AG1397" s="597">
        <f t="shared" si="89"/>
        <v>-1.9092471202186712E-4</v>
      </c>
    </row>
    <row r="1398" spans="13:33" x14ac:dyDescent="0.35">
      <c r="M1398" s="555">
        <v>43735</v>
      </c>
      <c r="N1398" s="543" t="s">
        <v>449</v>
      </c>
      <c r="O1398" s="543">
        <v>32070.81</v>
      </c>
      <c r="P1398" s="73" t="s">
        <v>431</v>
      </c>
      <c r="Q1398" s="158">
        <v>9.7200000000000006</v>
      </c>
      <c r="R1398" s="563">
        <f t="shared" si="86"/>
        <v>2.0262207445530978E-2</v>
      </c>
      <c r="S1398" s="563">
        <f t="shared" si="87"/>
        <v>1.4613778705636848E-2</v>
      </c>
      <c r="AA1398" s="594">
        <v>43733</v>
      </c>
      <c r="AB1398" s="595" t="s">
        <v>449</v>
      </c>
      <c r="AC1398" s="595">
        <v>31565.21</v>
      </c>
      <c r="AD1398" s="596" t="s">
        <v>395</v>
      </c>
      <c r="AE1398" s="595">
        <v>155.69999999999999</v>
      </c>
      <c r="AF1398" s="597">
        <f t="shared" si="88"/>
        <v>-8.2952027758125269E-3</v>
      </c>
      <c r="AG1398" s="597">
        <f t="shared" si="89"/>
        <v>-8.9115213239975288E-3</v>
      </c>
    </row>
    <row r="1399" spans="13:33" x14ac:dyDescent="0.35">
      <c r="M1399" s="555">
        <v>43738</v>
      </c>
      <c r="N1399" s="543" t="s">
        <v>449</v>
      </c>
      <c r="O1399" s="543">
        <v>32078.85</v>
      </c>
      <c r="P1399" s="73" t="s">
        <v>431</v>
      </c>
      <c r="Q1399" s="158">
        <v>9.64</v>
      </c>
      <c r="R1399" s="563">
        <f t="shared" si="86"/>
        <v>2.5069525839849227E-4</v>
      </c>
      <c r="S1399" s="563">
        <f t="shared" si="87"/>
        <v>-8.2304526748970819E-3</v>
      </c>
      <c r="AA1399" s="594">
        <v>43734</v>
      </c>
      <c r="AB1399" s="595" t="s">
        <v>449</v>
      </c>
      <c r="AC1399" s="595">
        <v>31433.89</v>
      </c>
      <c r="AD1399" s="596" t="s">
        <v>395</v>
      </c>
      <c r="AE1399" s="595">
        <v>155.6</v>
      </c>
      <c r="AF1399" s="597">
        <f t="shared" si="88"/>
        <v>-4.1602764562630457E-3</v>
      </c>
      <c r="AG1399" s="597">
        <f t="shared" si="89"/>
        <v>-6.4226075786766312E-4</v>
      </c>
    </row>
    <row r="1400" spans="13:33" x14ac:dyDescent="0.35">
      <c r="M1400" s="555">
        <v>43739</v>
      </c>
      <c r="N1400" s="543" t="s">
        <v>449</v>
      </c>
      <c r="O1400" s="543">
        <v>32254.32</v>
      </c>
      <c r="P1400" s="73" t="s">
        <v>431</v>
      </c>
      <c r="Q1400" s="158">
        <v>9.86</v>
      </c>
      <c r="R1400" s="563">
        <f t="shared" si="86"/>
        <v>5.4699591787112922E-3</v>
      </c>
      <c r="S1400" s="563">
        <f t="shared" si="87"/>
        <v>2.2821576763485396E-2</v>
      </c>
      <c r="AA1400" s="594">
        <v>43735</v>
      </c>
      <c r="AB1400" s="595" t="s">
        <v>449</v>
      </c>
      <c r="AC1400" s="595">
        <v>32070.81</v>
      </c>
      <c r="AD1400" s="596" t="s">
        <v>395</v>
      </c>
      <c r="AE1400" s="595">
        <v>157.99</v>
      </c>
      <c r="AF1400" s="597">
        <f t="shared" si="88"/>
        <v>2.0262207445530978E-2</v>
      </c>
      <c r="AG1400" s="597">
        <f t="shared" si="89"/>
        <v>1.5359897172236625E-2</v>
      </c>
    </row>
    <row r="1401" spans="13:33" x14ac:dyDescent="0.35">
      <c r="M1401" s="555">
        <v>43740</v>
      </c>
      <c r="N1401" s="543" t="s">
        <v>449</v>
      </c>
      <c r="O1401" s="543">
        <v>32363.35</v>
      </c>
      <c r="P1401" s="73" t="s">
        <v>431</v>
      </c>
      <c r="Q1401" s="158">
        <v>9.98</v>
      </c>
      <c r="R1401" s="563">
        <f t="shared" si="86"/>
        <v>3.3803223878228206E-3</v>
      </c>
      <c r="S1401" s="563">
        <f t="shared" si="87"/>
        <v>1.2170385395537719E-2</v>
      </c>
      <c r="AA1401" s="594">
        <v>43738</v>
      </c>
      <c r="AB1401" s="595" t="s">
        <v>449</v>
      </c>
      <c r="AC1401" s="595">
        <v>32078.85</v>
      </c>
      <c r="AD1401" s="596" t="s">
        <v>395</v>
      </c>
      <c r="AE1401" s="595">
        <v>157.5</v>
      </c>
      <c r="AF1401" s="597">
        <f t="shared" si="88"/>
        <v>2.5069525839849227E-4</v>
      </c>
      <c r="AG1401" s="597">
        <f t="shared" si="89"/>
        <v>-3.1014621178556689E-3</v>
      </c>
    </row>
    <row r="1402" spans="13:33" x14ac:dyDescent="0.35">
      <c r="M1402" s="555">
        <v>43741</v>
      </c>
      <c r="N1402" s="543" t="s">
        <v>449</v>
      </c>
      <c r="O1402" s="543">
        <v>32752.25</v>
      </c>
      <c r="P1402" s="73" t="s">
        <v>431</v>
      </c>
      <c r="Q1402" s="158">
        <v>10.55</v>
      </c>
      <c r="R1402" s="563">
        <f t="shared" si="86"/>
        <v>1.2016679361067428E-2</v>
      </c>
      <c r="S1402" s="563">
        <f t="shared" si="87"/>
        <v>5.711422845691394E-2</v>
      </c>
      <c r="AA1402" s="594">
        <v>43739</v>
      </c>
      <c r="AB1402" s="595" t="s">
        <v>449</v>
      </c>
      <c r="AC1402" s="595">
        <v>32254.32</v>
      </c>
      <c r="AD1402" s="596" t="s">
        <v>395</v>
      </c>
      <c r="AE1402" s="595">
        <v>156.97</v>
      </c>
      <c r="AF1402" s="597">
        <f t="shared" si="88"/>
        <v>5.4699591787112922E-3</v>
      </c>
      <c r="AG1402" s="597">
        <f t="shared" si="89"/>
        <v>-3.3650793650793487E-3</v>
      </c>
    </row>
    <row r="1403" spans="13:33" x14ac:dyDescent="0.35">
      <c r="M1403" s="555">
        <v>43742</v>
      </c>
      <c r="N1403" s="543" t="s">
        <v>449</v>
      </c>
      <c r="O1403" s="543">
        <v>33033.32</v>
      </c>
      <c r="P1403" s="73" t="s">
        <v>431</v>
      </c>
      <c r="Q1403" s="158">
        <v>10.63</v>
      </c>
      <c r="R1403" s="563">
        <f t="shared" si="86"/>
        <v>8.5817004938590902E-3</v>
      </c>
      <c r="S1403" s="563">
        <f t="shared" si="87"/>
        <v>7.5829383886256707E-3</v>
      </c>
      <c r="AA1403" s="594">
        <v>43740</v>
      </c>
      <c r="AB1403" s="595" t="s">
        <v>449</v>
      </c>
      <c r="AC1403" s="595">
        <v>32363.35</v>
      </c>
      <c r="AD1403" s="596" t="s">
        <v>395</v>
      </c>
      <c r="AE1403" s="595">
        <v>157</v>
      </c>
      <c r="AF1403" s="597">
        <f t="shared" si="88"/>
        <v>3.3803223878228206E-3</v>
      </c>
      <c r="AG1403" s="597">
        <f t="shared" si="89"/>
        <v>1.9111932216353544E-4</v>
      </c>
    </row>
    <row r="1404" spans="13:33" x14ac:dyDescent="0.35">
      <c r="M1404" s="555">
        <v>43745</v>
      </c>
      <c r="N1404" s="543" t="s">
        <v>449</v>
      </c>
      <c r="O1404" s="543">
        <v>33636.82</v>
      </c>
      <c r="P1404" s="73" t="s">
        <v>431</v>
      </c>
      <c r="Q1404" s="158">
        <v>11.36</v>
      </c>
      <c r="R1404" s="563">
        <f t="shared" si="86"/>
        <v>1.8269432197550728E-2</v>
      </c>
      <c r="S1404" s="563">
        <f t="shared" si="87"/>
        <v>6.8673565380997115E-2</v>
      </c>
      <c r="AA1404" s="594">
        <v>43741</v>
      </c>
      <c r="AB1404" s="595" t="s">
        <v>449</v>
      </c>
      <c r="AC1404" s="595">
        <v>32752.25</v>
      </c>
      <c r="AD1404" s="596" t="s">
        <v>395</v>
      </c>
      <c r="AE1404" s="595">
        <v>161.9</v>
      </c>
      <c r="AF1404" s="597">
        <f t="shared" si="88"/>
        <v>1.2016679361067428E-2</v>
      </c>
      <c r="AG1404" s="597">
        <f t="shared" si="89"/>
        <v>3.1210191082802652E-2</v>
      </c>
    </row>
    <row r="1405" spans="13:33" x14ac:dyDescent="0.35">
      <c r="M1405" s="555">
        <v>43746</v>
      </c>
      <c r="N1405" s="543" t="s">
        <v>449</v>
      </c>
      <c r="O1405" s="543">
        <v>33476.620000000003</v>
      </c>
      <c r="P1405" s="73" t="s">
        <v>431</v>
      </c>
      <c r="Q1405" s="158">
        <v>11.08</v>
      </c>
      <c r="R1405" s="563">
        <f t="shared" si="86"/>
        <v>-4.7626380852885397E-3</v>
      </c>
      <c r="S1405" s="563">
        <f t="shared" si="87"/>
        <v>-2.4647887323943629E-2</v>
      </c>
      <c r="AA1405" s="594">
        <v>43742</v>
      </c>
      <c r="AB1405" s="595" t="s">
        <v>449</v>
      </c>
      <c r="AC1405" s="595">
        <v>33033.32</v>
      </c>
      <c r="AD1405" s="596" t="s">
        <v>395</v>
      </c>
      <c r="AE1405" s="595">
        <v>164.31</v>
      </c>
      <c r="AF1405" s="597">
        <f t="shared" si="88"/>
        <v>8.5817004938590902E-3</v>
      </c>
      <c r="AG1405" s="597">
        <f t="shared" si="89"/>
        <v>1.4885731933292234E-2</v>
      </c>
    </row>
    <row r="1406" spans="13:33" x14ac:dyDescent="0.35">
      <c r="M1406" s="555">
        <v>43747</v>
      </c>
      <c r="N1406" s="543" t="s">
        <v>449</v>
      </c>
      <c r="O1406" s="543">
        <v>33523.74</v>
      </c>
      <c r="P1406" s="73" t="s">
        <v>431</v>
      </c>
      <c r="Q1406" s="158">
        <v>11.26</v>
      </c>
      <c r="R1406" s="563">
        <f t="shared" si="86"/>
        <v>1.4075495076861788E-3</v>
      </c>
      <c r="S1406" s="563">
        <f t="shared" si="87"/>
        <v>1.6245487364620947E-2</v>
      </c>
      <c r="AA1406" s="594">
        <v>43745</v>
      </c>
      <c r="AB1406" s="595" t="s">
        <v>449</v>
      </c>
      <c r="AC1406" s="595">
        <v>33636.82</v>
      </c>
      <c r="AD1406" s="596" t="s">
        <v>395</v>
      </c>
      <c r="AE1406" s="595">
        <v>172.44</v>
      </c>
      <c r="AF1406" s="597">
        <f t="shared" si="88"/>
        <v>1.8269432197550728E-2</v>
      </c>
      <c r="AG1406" s="597">
        <f t="shared" si="89"/>
        <v>4.947964213985756E-2</v>
      </c>
    </row>
    <row r="1407" spans="13:33" x14ac:dyDescent="0.35">
      <c r="M1407" s="555">
        <v>43748</v>
      </c>
      <c r="N1407" s="543" t="s">
        <v>449</v>
      </c>
      <c r="O1407" s="543">
        <v>34027.699999999997</v>
      </c>
      <c r="P1407" s="73" t="s">
        <v>431</v>
      </c>
      <c r="Q1407" s="158">
        <v>11.59</v>
      </c>
      <c r="R1407" s="563">
        <f t="shared" si="86"/>
        <v>1.5032928903517373E-2</v>
      </c>
      <c r="S1407" s="563">
        <f t="shared" si="87"/>
        <v>2.9307282415630631E-2</v>
      </c>
      <c r="AA1407" s="594">
        <v>43746</v>
      </c>
      <c r="AB1407" s="595" t="s">
        <v>449</v>
      </c>
      <c r="AC1407" s="595">
        <v>33476.620000000003</v>
      </c>
      <c r="AD1407" s="596" t="s">
        <v>395</v>
      </c>
      <c r="AE1407" s="595">
        <v>172.92</v>
      </c>
      <c r="AF1407" s="597">
        <f t="shared" si="88"/>
        <v>-4.7626380852885397E-3</v>
      </c>
      <c r="AG1407" s="597">
        <f t="shared" si="89"/>
        <v>2.7835768963115903E-3</v>
      </c>
    </row>
    <row r="1408" spans="13:33" x14ac:dyDescent="0.35">
      <c r="M1408" s="555">
        <v>43749</v>
      </c>
      <c r="N1408" s="543" t="s">
        <v>449</v>
      </c>
      <c r="O1408" s="543">
        <v>34475.69</v>
      </c>
      <c r="P1408" s="73" t="s">
        <v>431</v>
      </c>
      <c r="Q1408" s="158">
        <v>11.16</v>
      </c>
      <c r="R1408" s="563">
        <f t="shared" si="86"/>
        <v>1.3165450500621789E-2</v>
      </c>
      <c r="S1408" s="563">
        <f t="shared" si="87"/>
        <v>-3.7100949094046598E-2</v>
      </c>
      <c r="AA1408" s="594">
        <v>43747</v>
      </c>
      <c r="AB1408" s="595" t="s">
        <v>449</v>
      </c>
      <c r="AC1408" s="595">
        <v>33523.74</v>
      </c>
      <c r="AD1408" s="596" t="s">
        <v>395</v>
      </c>
      <c r="AE1408" s="595">
        <v>173.03</v>
      </c>
      <c r="AF1408" s="597">
        <f t="shared" si="88"/>
        <v>1.4075495076861788E-3</v>
      </c>
      <c r="AG1408" s="597">
        <f t="shared" si="89"/>
        <v>6.3613231552173133E-4</v>
      </c>
    </row>
    <row r="1409" spans="13:33" x14ac:dyDescent="0.35">
      <c r="M1409" s="555">
        <v>43752</v>
      </c>
      <c r="N1409" s="543" t="s">
        <v>449</v>
      </c>
      <c r="O1409" s="543">
        <v>34186.26</v>
      </c>
      <c r="P1409" s="73" t="s">
        <v>431</v>
      </c>
      <c r="Q1409" s="158">
        <v>10.62</v>
      </c>
      <c r="R1409" s="563">
        <f t="shared" si="86"/>
        <v>-8.3951909301888117E-3</v>
      </c>
      <c r="S1409" s="563">
        <f t="shared" si="87"/>
        <v>-4.8387096774193616E-2</v>
      </c>
      <c r="AA1409" s="594">
        <v>43748</v>
      </c>
      <c r="AB1409" s="595" t="s">
        <v>449</v>
      </c>
      <c r="AC1409" s="595">
        <v>34027.699999999997</v>
      </c>
      <c r="AD1409" s="596" t="s">
        <v>395</v>
      </c>
      <c r="AE1409" s="595">
        <v>181.68</v>
      </c>
      <c r="AF1409" s="597">
        <f t="shared" si="88"/>
        <v>1.5032928903517373E-2</v>
      </c>
      <c r="AG1409" s="597">
        <f t="shared" si="89"/>
        <v>4.9991330983066629E-2</v>
      </c>
    </row>
    <row r="1410" spans="13:33" x14ac:dyDescent="0.35">
      <c r="M1410" s="555">
        <v>43753</v>
      </c>
      <c r="N1410" s="543" t="s">
        <v>449</v>
      </c>
      <c r="O1410" s="543">
        <v>34083.53</v>
      </c>
      <c r="P1410" s="73" t="s">
        <v>431</v>
      </c>
      <c r="Q1410" s="158">
        <v>10.93</v>
      </c>
      <c r="R1410" s="563">
        <f t="shared" si="86"/>
        <v>-3.0050084449133596E-3</v>
      </c>
      <c r="S1410" s="563">
        <f t="shared" si="87"/>
        <v>2.9190207156308823E-2</v>
      </c>
      <c r="AA1410" s="594">
        <v>43749</v>
      </c>
      <c r="AB1410" s="595" t="s">
        <v>449</v>
      </c>
      <c r="AC1410" s="595">
        <v>34475.69</v>
      </c>
      <c r="AD1410" s="596" t="s">
        <v>395</v>
      </c>
      <c r="AE1410" s="595">
        <v>187.6</v>
      </c>
      <c r="AF1410" s="597">
        <f t="shared" si="88"/>
        <v>1.3165450500621789E-2</v>
      </c>
      <c r="AG1410" s="597">
        <f t="shared" si="89"/>
        <v>3.2584764420959811E-2</v>
      </c>
    </row>
    <row r="1411" spans="13:33" x14ac:dyDescent="0.35">
      <c r="M1411" s="555">
        <v>43754</v>
      </c>
      <c r="N1411" s="543" t="s">
        <v>449</v>
      </c>
      <c r="O1411" s="543">
        <v>34281.089999999997</v>
      </c>
      <c r="P1411" s="73" t="s">
        <v>431</v>
      </c>
      <c r="Q1411" s="158">
        <v>10.93</v>
      </c>
      <c r="R1411" s="563">
        <f t="shared" si="86"/>
        <v>5.7963479721729882E-3</v>
      </c>
      <c r="S1411" s="563">
        <f t="shared" si="87"/>
        <v>0</v>
      </c>
      <c r="AA1411" s="594">
        <v>43752</v>
      </c>
      <c r="AB1411" s="595" t="s">
        <v>449</v>
      </c>
      <c r="AC1411" s="595">
        <v>34186.26</v>
      </c>
      <c r="AD1411" s="596" t="s">
        <v>395</v>
      </c>
      <c r="AE1411" s="595">
        <v>154.13999999999999</v>
      </c>
      <c r="AF1411" s="597">
        <f t="shared" si="88"/>
        <v>-8.3951909301888117E-3</v>
      </c>
      <c r="AG1411" s="597">
        <f t="shared" si="89"/>
        <v>-0.17835820895522392</v>
      </c>
    </row>
    <row r="1412" spans="13:33" x14ac:dyDescent="0.35">
      <c r="M1412" s="555">
        <v>43755</v>
      </c>
      <c r="N1412" s="543" t="s">
        <v>449</v>
      </c>
      <c r="O1412" s="543">
        <v>33898.559999999998</v>
      </c>
      <c r="P1412" s="73" t="s">
        <v>431</v>
      </c>
      <c r="Q1412" s="158">
        <v>10.64</v>
      </c>
      <c r="R1412" s="563">
        <f t="shared" si="86"/>
        <v>-1.1158630020223992E-2</v>
      </c>
      <c r="S1412" s="563">
        <f t="shared" si="87"/>
        <v>-2.6532479414455579E-2</v>
      </c>
      <c r="AA1412" s="594">
        <v>43753</v>
      </c>
      <c r="AB1412" s="595" t="s">
        <v>449</v>
      </c>
      <c r="AC1412" s="595">
        <v>34083.53</v>
      </c>
      <c r="AD1412" s="596" t="s">
        <v>395</v>
      </c>
      <c r="AE1412" s="595">
        <v>152.13</v>
      </c>
      <c r="AF1412" s="597">
        <f t="shared" si="88"/>
        <v>-3.0050084449133596E-3</v>
      </c>
      <c r="AG1412" s="597">
        <f t="shared" si="89"/>
        <v>-1.3040093421564758E-2</v>
      </c>
    </row>
    <row r="1413" spans="13:33" x14ac:dyDescent="0.35">
      <c r="M1413" s="555">
        <v>43756</v>
      </c>
      <c r="N1413" s="543" t="s">
        <v>449</v>
      </c>
      <c r="O1413" s="543">
        <v>33870.15</v>
      </c>
      <c r="P1413" s="73" t="s">
        <v>431</v>
      </c>
      <c r="Q1413" s="158">
        <v>10.85</v>
      </c>
      <c r="R1413" s="563">
        <f t="shared" si="86"/>
        <v>-8.3808869757284743E-4</v>
      </c>
      <c r="S1413" s="563">
        <f t="shared" si="87"/>
        <v>1.9736842105263053E-2</v>
      </c>
      <c r="AA1413" s="594">
        <v>43754</v>
      </c>
      <c r="AB1413" s="595" t="s">
        <v>449</v>
      </c>
      <c r="AC1413" s="595">
        <v>34281.089999999997</v>
      </c>
      <c r="AD1413" s="596" t="s">
        <v>395</v>
      </c>
      <c r="AE1413" s="595">
        <v>152.6</v>
      </c>
      <c r="AF1413" s="597">
        <f t="shared" si="88"/>
        <v>5.7963479721729882E-3</v>
      </c>
      <c r="AG1413" s="597">
        <f t="shared" si="89"/>
        <v>3.0894629593110068E-3</v>
      </c>
    </row>
    <row r="1414" spans="13:33" x14ac:dyDescent="0.35">
      <c r="M1414" s="555">
        <v>43759</v>
      </c>
      <c r="N1414" s="543" t="s">
        <v>449</v>
      </c>
      <c r="O1414" s="543">
        <v>33084.730000000003</v>
      </c>
      <c r="P1414" s="73" t="s">
        <v>431</v>
      </c>
      <c r="Q1414" s="158">
        <v>10.43</v>
      </c>
      <c r="R1414" s="563">
        <f t="shared" si="86"/>
        <v>-2.3189150328534081E-2</v>
      </c>
      <c r="S1414" s="563">
        <f t="shared" si="87"/>
        <v>-3.8709677419354827E-2</v>
      </c>
      <c r="AA1414" s="594">
        <v>43755</v>
      </c>
      <c r="AB1414" s="595" t="s">
        <v>449</v>
      </c>
      <c r="AC1414" s="595">
        <v>33898.559999999998</v>
      </c>
      <c r="AD1414" s="596" t="s">
        <v>395</v>
      </c>
      <c r="AE1414" s="595">
        <v>150.68</v>
      </c>
      <c r="AF1414" s="597">
        <f t="shared" si="88"/>
        <v>-1.1158630020223992E-2</v>
      </c>
      <c r="AG1414" s="597">
        <f t="shared" si="89"/>
        <v>-1.2581913499344566E-2</v>
      </c>
    </row>
    <row r="1415" spans="13:33" x14ac:dyDescent="0.35">
      <c r="M1415" s="555">
        <v>43760</v>
      </c>
      <c r="N1415" s="543" t="s">
        <v>449</v>
      </c>
      <c r="O1415" s="543">
        <v>33198.959999999999</v>
      </c>
      <c r="P1415" s="73" t="s">
        <v>431</v>
      </c>
      <c r="Q1415" s="158">
        <v>11.16</v>
      </c>
      <c r="R1415" s="563">
        <f t="shared" si="86"/>
        <v>3.4526502105349799E-3</v>
      </c>
      <c r="S1415" s="563">
        <f t="shared" si="87"/>
        <v>6.9990412272291413E-2</v>
      </c>
      <c r="AA1415" s="594">
        <v>43756</v>
      </c>
      <c r="AB1415" s="595" t="s">
        <v>449</v>
      </c>
      <c r="AC1415" s="595">
        <v>33870.15</v>
      </c>
      <c r="AD1415" s="596" t="s">
        <v>395</v>
      </c>
      <c r="AE1415" s="595">
        <v>152</v>
      </c>
      <c r="AF1415" s="597">
        <f t="shared" si="88"/>
        <v>-8.3808869757284743E-4</v>
      </c>
      <c r="AG1415" s="597">
        <f t="shared" si="89"/>
        <v>8.7602867002920526E-3</v>
      </c>
    </row>
    <row r="1416" spans="13:33" x14ac:dyDescent="0.35">
      <c r="M1416" s="555">
        <v>43761</v>
      </c>
      <c r="N1416" s="543" t="s">
        <v>449</v>
      </c>
      <c r="O1416" s="543">
        <v>33439.69</v>
      </c>
      <c r="P1416" s="73" t="s">
        <v>431</v>
      </c>
      <c r="Q1416" s="158">
        <v>11.89</v>
      </c>
      <c r="R1416" s="563">
        <f t="shared" si="86"/>
        <v>7.2511307583129625E-3</v>
      </c>
      <c r="S1416" s="563">
        <f t="shared" si="87"/>
        <v>6.5412186379928405E-2</v>
      </c>
      <c r="AA1416" s="594">
        <v>43759</v>
      </c>
      <c r="AB1416" s="595" t="s">
        <v>449</v>
      </c>
      <c r="AC1416" s="595">
        <v>33084.730000000003</v>
      </c>
      <c r="AD1416" s="596" t="s">
        <v>395</v>
      </c>
      <c r="AE1416" s="595">
        <v>148.15</v>
      </c>
      <c r="AF1416" s="597">
        <f t="shared" si="88"/>
        <v>-2.3189150328534081E-2</v>
      </c>
      <c r="AG1416" s="597">
        <f t="shared" si="89"/>
        <v>-2.5328947368421062E-2</v>
      </c>
    </row>
    <row r="1417" spans="13:33" x14ac:dyDescent="0.35">
      <c r="M1417" s="555">
        <v>43762</v>
      </c>
      <c r="N1417" s="543" t="s">
        <v>449</v>
      </c>
      <c r="O1417" s="543">
        <v>33762.480000000003</v>
      </c>
      <c r="P1417" s="73" t="s">
        <v>431</v>
      </c>
      <c r="Q1417" s="158">
        <v>11.8</v>
      </c>
      <c r="R1417" s="563">
        <f t="shared" si="86"/>
        <v>9.6529004904053473E-3</v>
      </c>
      <c r="S1417" s="563">
        <f t="shared" si="87"/>
        <v>-7.569386038687953E-3</v>
      </c>
      <c r="AA1417" s="594">
        <v>43760</v>
      </c>
      <c r="AB1417" s="595" t="s">
        <v>449</v>
      </c>
      <c r="AC1417" s="595">
        <v>33198.959999999999</v>
      </c>
      <c r="AD1417" s="596" t="s">
        <v>395</v>
      </c>
      <c r="AE1417" s="595">
        <v>149.44999999999999</v>
      </c>
      <c r="AF1417" s="597">
        <f t="shared" si="88"/>
        <v>3.4526502105349799E-3</v>
      </c>
      <c r="AG1417" s="597">
        <f t="shared" si="89"/>
        <v>8.7748903138709089E-3</v>
      </c>
    </row>
    <row r="1418" spans="13:33" x14ac:dyDescent="0.35">
      <c r="M1418" s="555">
        <v>43763</v>
      </c>
      <c r="N1418" s="543" t="s">
        <v>449</v>
      </c>
      <c r="O1418" s="543">
        <v>33657.46</v>
      </c>
      <c r="P1418" s="73" t="s">
        <v>431</v>
      </c>
      <c r="Q1418" s="158">
        <v>11.56</v>
      </c>
      <c r="R1418" s="563">
        <f t="shared" si="86"/>
        <v>-3.1105534901465504E-3</v>
      </c>
      <c r="S1418" s="563">
        <f t="shared" si="87"/>
        <v>-2.033898305084747E-2</v>
      </c>
      <c r="AA1418" s="594">
        <v>43761</v>
      </c>
      <c r="AB1418" s="595" t="s">
        <v>449</v>
      </c>
      <c r="AC1418" s="595">
        <v>33439.69</v>
      </c>
      <c r="AD1418" s="596" t="s">
        <v>395</v>
      </c>
      <c r="AE1418" s="595">
        <v>151.43</v>
      </c>
      <c r="AF1418" s="597">
        <f t="shared" si="88"/>
        <v>7.2511307583129625E-3</v>
      </c>
      <c r="AG1418" s="597">
        <f t="shared" si="89"/>
        <v>1.3248578119772647E-2</v>
      </c>
    </row>
    <row r="1419" spans="13:33" x14ac:dyDescent="0.35">
      <c r="M1419" s="555">
        <v>43766</v>
      </c>
      <c r="N1419" s="543" t="s">
        <v>449</v>
      </c>
      <c r="O1419" s="543">
        <v>33861.589999999997</v>
      </c>
      <c r="P1419" s="73" t="s">
        <v>431</v>
      </c>
      <c r="Q1419" s="158">
        <v>11.84</v>
      </c>
      <c r="R1419" s="563">
        <f t="shared" si="86"/>
        <v>6.0649258737883738E-3</v>
      </c>
      <c r="S1419" s="563">
        <f t="shared" si="87"/>
        <v>2.4221453287197159E-2</v>
      </c>
      <c r="AA1419" s="594">
        <v>43762</v>
      </c>
      <c r="AB1419" s="595" t="s">
        <v>449</v>
      </c>
      <c r="AC1419" s="595">
        <v>33762.480000000003</v>
      </c>
      <c r="AD1419" s="596" t="s">
        <v>395</v>
      </c>
      <c r="AE1419" s="595">
        <v>151.99</v>
      </c>
      <c r="AF1419" s="597">
        <f t="shared" si="88"/>
        <v>9.6529004904053473E-3</v>
      </c>
      <c r="AG1419" s="597">
        <f t="shared" si="89"/>
        <v>3.6980783200157852E-3</v>
      </c>
    </row>
    <row r="1420" spans="13:33" x14ac:dyDescent="0.35">
      <c r="M1420" s="555">
        <v>43767</v>
      </c>
      <c r="N1420" s="543" t="s">
        <v>449</v>
      </c>
      <c r="O1420" s="543">
        <v>33797.51</v>
      </c>
      <c r="P1420" s="73" t="s">
        <v>431</v>
      </c>
      <c r="Q1420" s="158">
        <v>12.47</v>
      </c>
      <c r="R1420" s="563">
        <f t="shared" si="86"/>
        <v>-1.8924096594399309E-3</v>
      </c>
      <c r="S1420" s="563">
        <f t="shared" si="87"/>
        <v>5.3209459459459429E-2</v>
      </c>
      <c r="AA1420" s="594">
        <v>43763</v>
      </c>
      <c r="AB1420" s="595" t="s">
        <v>449</v>
      </c>
      <c r="AC1420" s="595">
        <v>33657.46</v>
      </c>
      <c r="AD1420" s="596" t="s">
        <v>395</v>
      </c>
      <c r="AE1420" s="595">
        <v>149.69999999999999</v>
      </c>
      <c r="AF1420" s="597">
        <f t="shared" si="88"/>
        <v>-3.1105534901465504E-3</v>
      </c>
      <c r="AG1420" s="597">
        <f t="shared" si="89"/>
        <v>-1.5066780709257377E-2</v>
      </c>
    </row>
    <row r="1421" spans="13:33" x14ac:dyDescent="0.35">
      <c r="M1421" s="555">
        <v>43768</v>
      </c>
      <c r="N1421" s="543" t="s">
        <v>449</v>
      </c>
      <c r="O1421" s="543">
        <v>33761.410000000003</v>
      </c>
      <c r="P1421" s="73" t="s">
        <v>431</v>
      </c>
      <c r="Q1421" s="158">
        <v>13.2</v>
      </c>
      <c r="R1421" s="563">
        <f t="shared" si="86"/>
        <v>-1.0681260246686586E-3</v>
      </c>
      <c r="S1421" s="563">
        <f t="shared" si="87"/>
        <v>5.8540497193263707E-2</v>
      </c>
      <c r="AA1421" s="594">
        <v>43766</v>
      </c>
      <c r="AB1421" s="595" t="s">
        <v>449</v>
      </c>
      <c r="AC1421" s="595">
        <v>33861.589999999997</v>
      </c>
      <c r="AD1421" s="596" t="s">
        <v>395</v>
      </c>
      <c r="AE1421" s="595">
        <v>149.35</v>
      </c>
      <c r="AF1421" s="597">
        <f t="shared" si="88"/>
        <v>6.0649258737883738E-3</v>
      </c>
      <c r="AG1421" s="597">
        <f t="shared" si="89"/>
        <v>-2.338009352037318E-3</v>
      </c>
    </row>
    <row r="1422" spans="13:33" x14ac:dyDescent="0.35">
      <c r="M1422" s="555">
        <v>43769</v>
      </c>
      <c r="N1422" s="543" t="s">
        <v>449</v>
      </c>
      <c r="O1422" s="543">
        <v>34203.68</v>
      </c>
      <c r="P1422" s="73" t="s">
        <v>431</v>
      </c>
      <c r="Q1422" s="158">
        <v>13.58</v>
      </c>
      <c r="R1422" s="563">
        <f t="shared" si="86"/>
        <v>1.309986757069681E-2</v>
      </c>
      <c r="S1422" s="563">
        <f t="shared" si="87"/>
        <v>2.8787878787878807E-2</v>
      </c>
      <c r="AA1422" s="594">
        <v>43767</v>
      </c>
      <c r="AB1422" s="595" t="s">
        <v>449</v>
      </c>
      <c r="AC1422" s="595">
        <v>33797.51</v>
      </c>
      <c r="AD1422" s="596" t="s">
        <v>395</v>
      </c>
      <c r="AE1422" s="595">
        <v>148.1</v>
      </c>
      <c r="AF1422" s="597">
        <f t="shared" si="88"/>
        <v>-1.8924096594399309E-3</v>
      </c>
      <c r="AG1422" s="597">
        <f t="shared" si="89"/>
        <v>-8.3696016069635393E-3</v>
      </c>
    </row>
    <row r="1423" spans="13:33" x14ac:dyDescent="0.35">
      <c r="M1423" s="555">
        <v>43770</v>
      </c>
      <c r="N1423" s="543" t="s">
        <v>449</v>
      </c>
      <c r="O1423" s="543">
        <v>34377.61</v>
      </c>
      <c r="P1423" s="73" t="s">
        <v>431</v>
      </c>
      <c r="Q1423" s="158">
        <v>13.2</v>
      </c>
      <c r="R1423" s="563">
        <f t="shared" si="86"/>
        <v>5.0851253432380172E-3</v>
      </c>
      <c r="S1423" s="563">
        <f t="shared" si="87"/>
        <v>-2.7982326951399128E-2</v>
      </c>
      <c r="AA1423" s="594">
        <v>43768</v>
      </c>
      <c r="AB1423" s="595" t="s">
        <v>449</v>
      </c>
      <c r="AC1423" s="595">
        <v>33761.410000000003</v>
      </c>
      <c r="AD1423" s="596" t="s">
        <v>395</v>
      </c>
      <c r="AE1423" s="595">
        <v>148.04</v>
      </c>
      <c r="AF1423" s="597">
        <f t="shared" si="88"/>
        <v>-1.0681260246686586E-3</v>
      </c>
      <c r="AG1423" s="597">
        <f t="shared" si="89"/>
        <v>-4.0513166779210241E-4</v>
      </c>
    </row>
    <row r="1424" spans="13:33" x14ac:dyDescent="0.35">
      <c r="M1424" s="555">
        <v>43773</v>
      </c>
      <c r="N1424" s="543" t="s">
        <v>449</v>
      </c>
      <c r="O1424" s="543">
        <v>35277.46</v>
      </c>
      <c r="P1424" s="73" t="s">
        <v>431</v>
      </c>
      <c r="Q1424" s="158">
        <v>13.46</v>
      </c>
      <c r="R1424" s="563">
        <f t="shared" si="86"/>
        <v>2.6175467113624284E-2</v>
      </c>
      <c r="S1424" s="563">
        <f t="shared" si="87"/>
        <v>1.9696969696969768E-2</v>
      </c>
      <c r="AA1424" s="594">
        <v>43769</v>
      </c>
      <c r="AB1424" s="595" t="s">
        <v>449</v>
      </c>
      <c r="AC1424" s="595">
        <v>34203.68</v>
      </c>
      <c r="AD1424" s="596" t="s">
        <v>395</v>
      </c>
      <c r="AE1424" s="595">
        <v>147</v>
      </c>
      <c r="AF1424" s="597">
        <f t="shared" si="88"/>
        <v>1.309986757069681E-2</v>
      </c>
      <c r="AG1424" s="597">
        <f t="shared" si="89"/>
        <v>-7.0251283436908452E-3</v>
      </c>
    </row>
    <row r="1425" spans="13:33" x14ac:dyDescent="0.35">
      <c r="M1425" s="555">
        <v>43774</v>
      </c>
      <c r="N1425" s="543" t="s">
        <v>449</v>
      </c>
      <c r="O1425" s="543">
        <v>35358.31</v>
      </c>
      <c r="P1425" s="73" t="s">
        <v>431</v>
      </c>
      <c r="Q1425" s="158">
        <v>14.19</v>
      </c>
      <c r="R1425" s="563">
        <f t="shared" si="86"/>
        <v>2.2918316681528328E-3</v>
      </c>
      <c r="S1425" s="563">
        <f t="shared" si="87"/>
        <v>5.4234769687964146E-2</v>
      </c>
      <c r="AA1425" s="594">
        <v>43770</v>
      </c>
      <c r="AB1425" s="595" t="s">
        <v>449</v>
      </c>
      <c r="AC1425" s="595">
        <v>34377.61</v>
      </c>
      <c r="AD1425" s="596" t="s">
        <v>395</v>
      </c>
      <c r="AE1425" s="595">
        <v>146.65</v>
      </c>
      <c r="AF1425" s="597">
        <f t="shared" si="88"/>
        <v>5.0851253432380172E-3</v>
      </c>
      <c r="AG1425" s="597">
        <f t="shared" si="89"/>
        <v>-2.3809523809523725E-3</v>
      </c>
    </row>
    <row r="1426" spans="13:33" x14ac:dyDescent="0.35">
      <c r="M1426" s="555">
        <v>43775</v>
      </c>
      <c r="N1426" s="543" t="s">
        <v>449</v>
      </c>
      <c r="O1426" s="543">
        <v>35653.33</v>
      </c>
      <c r="P1426" s="73" t="s">
        <v>431</v>
      </c>
      <c r="Q1426" s="158">
        <v>14.9</v>
      </c>
      <c r="R1426" s="563">
        <f t="shared" si="86"/>
        <v>8.3437245728090748E-3</v>
      </c>
      <c r="S1426" s="563">
        <f t="shared" si="87"/>
        <v>5.0035236081747758E-2</v>
      </c>
      <c r="AA1426" s="594">
        <v>43773</v>
      </c>
      <c r="AB1426" s="595" t="s">
        <v>449</v>
      </c>
      <c r="AC1426" s="595">
        <v>35277.46</v>
      </c>
      <c r="AD1426" s="596" t="s">
        <v>395</v>
      </c>
      <c r="AE1426" s="595">
        <v>148</v>
      </c>
      <c r="AF1426" s="597">
        <f t="shared" si="88"/>
        <v>2.6175467113624284E-2</v>
      </c>
      <c r="AG1426" s="597">
        <f t="shared" si="89"/>
        <v>9.2055915444937408E-3</v>
      </c>
    </row>
    <row r="1427" spans="13:33" x14ac:dyDescent="0.35">
      <c r="M1427" s="555">
        <v>43776</v>
      </c>
      <c r="N1427" s="543" t="s">
        <v>449</v>
      </c>
      <c r="O1427" s="543">
        <v>35758.519999999997</v>
      </c>
      <c r="P1427" s="73" t="s">
        <v>431</v>
      </c>
      <c r="Q1427" s="158">
        <v>14.68</v>
      </c>
      <c r="R1427" s="563">
        <f t="shared" si="86"/>
        <v>2.9503555488363808E-3</v>
      </c>
      <c r="S1427" s="563">
        <f t="shared" si="87"/>
        <v>-1.4765100671141007E-2</v>
      </c>
      <c r="AA1427" s="594">
        <v>43774</v>
      </c>
      <c r="AB1427" s="595" t="s">
        <v>449</v>
      </c>
      <c r="AC1427" s="595">
        <v>35358.31</v>
      </c>
      <c r="AD1427" s="596" t="s">
        <v>395</v>
      </c>
      <c r="AE1427" s="595">
        <v>149</v>
      </c>
      <c r="AF1427" s="597">
        <f t="shared" si="88"/>
        <v>2.2918316681528328E-3</v>
      </c>
      <c r="AG1427" s="597">
        <f t="shared" si="89"/>
        <v>6.7567567567567988E-3</v>
      </c>
    </row>
    <row r="1428" spans="13:33" x14ac:dyDescent="0.35">
      <c r="M1428" s="555">
        <v>43777</v>
      </c>
      <c r="N1428" s="543" t="s">
        <v>449</v>
      </c>
      <c r="O1428" s="543">
        <v>35978.160000000003</v>
      </c>
      <c r="P1428" s="73" t="s">
        <v>431</v>
      </c>
      <c r="Q1428" s="158">
        <v>15.02</v>
      </c>
      <c r="R1428" s="563">
        <f t="shared" si="86"/>
        <v>6.1423123775818933E-3</v>
      </c>
      <c r="S1428" s="563">
        <f t="shared" si="87"/>
        <v>2.3160762942779245E-2</v>
      </c>
      <c r="AA1428" s="594">
        <v>43775</v>
      </c>
      <c r="AB1428" s="595" t="s">
        <v>449</v>
      </c>
      <c r="AC1428" s="595">
        <v>35653.33</v>
      </c>
      <c r="AD1428" s="596" t="s">
        <v>395</v>
      </c>
      <c r="AE1428" s="595">
        <v>147.25</v>
      </c>
      <c r="AF1428" s="597">
        <f t="shared" si="88"/>
        <v>8.3437245728090748E-3</v>
      </c>
      <c r="AG1428" s="597">
        <f t="shared" si="89"/>
        <v>-1.1744966442952975E-2</v>
      </c>
    </row>
    <row r="1429" spans="13:33" x14ac:dyDescent="0.35">
      <c r="M1429" s="555">
        <v>43780</v>
      </c>
      <c r="N1429" s="543" t="s">
        <v>449</v>
      </c>
      <c r="O1429" s="543">
        <v>36803.1</v>
      </c>
      <c r="P1429" s="73" t="s">
        <v>431</v>
      </c>
      <c r="Q1429" s="158">
        <v>15.43</v>
      </c>
      <c r="R1429" s="563">
        <f t="shared" si="86"/>
        <v>2.2928910205524566E-2</v>
      </c>
      <c r="S1429" s="563">
        <f t="shared" si="87"/>
        <v>2.7296937416777745E-2</v>
      </c>
      <c r="AA1429" s="594">
        <v>43776</v>
      </c>
      <c r="AB1429" s="595" t="s">
        <v>449</v>
      </c>
      <c r="AC1429" s="595">
        <v>35758.519999999997</v>
      </c>
      <c r="AD1429" s="596" t="s">
        <v>395</v>
      </c>
      <c r="AE1429" s="595">
        <v>149.49</v>
      </c>
      <c r="AF1429" s="597">
        <f t="shared" si="88"/>
        <v>2.9503555488363808E-3</v>
      </c>
      <c r="AG1429" s="597">
        <f t="shared" si="89"/>
        <v>1.5212224108658745E-2</v>
      </c>
    </row>
    <row r="1430" spans="13:33" x14ac:dyDescent="0.35">
      <c r="M1430" s="555">
        <v>43781</v>
      </c>
      <c r="N1430" s="543" t="s">
        <v>449</v>
      </c>
      <c r="O1430" s="543">
        <v>36765.56</v>
      </c>
      <c r="P1430" s="73" t="s">
        <v>431</v>
      </c>
      <c r="Q1430" s="158">
        <v>15.5</v>
      </c>
      <c r="R1430" s="563">
        <f t="shared" si="86"/>
        <v>-1.0200227698210496E-3</v>
      </c>
      <c r="S1430" s="563">
        <f t="shared" si="87"/>
        <v>4.5366169799092582E-3</v>
      </c>
      <c r="AA1430" s="594">
        <v>43777</v>
      </c>
      <c r="AB1430" s="595" t="s">
        <v>449</v>
      </c>
      <c r="AC1430" s="595">
        <v>35978.160000000003</v>
      </c>
      <c r="AD1430" s="596" t="s">
        <v>395</v>
      </c>
      <c r="AE1430" s="595">
        <v>150.04</v>
      </c>
      <c r="AF1430" s="597">
        <f t="shared" si="88"/>
        <v>6.1423123775818933E-3</v>
      </c>
      <c r="AG1430" s="597">
        <f t="shared" si="89"/>
        <v>3.6791758646061989E-3</v>
      </c>
    </row>
    <row r="1431" spans="13:33" x14ac:dyDescent="0.35">
      <c r="M1431" s="555">
        <v>43782</v>
      </c>
      <c r="N1431" s="543" t="s">
        <v>449</v>
      </c>
      <c r="O1431" s="543">
        <v>37166.959999999999</v>
      </c>
      <c r="P1431" s="73" t="s">
        <v>431</v>
      </c>
      <c r="Q1431" s="158">
        <v>15.18</v>
      </c>
      <c r="R1431" s="563">
        <f t="shared" si="86"/>
        <v>1.091782635705818E-2</v>
      </c>
      <c r="S1431" s="563">
        <f t="shared" si="87"/>
        <v>-2.0645161290322567E-2</v>
      </c>
      <c r="AA1431" s="594">
        <v>43780</v>
      </c>
      <c r="AB1431" s="595" t="s">
        <v>449</v>
      </c>
      <c r="AC1431" s="595">
        <v>36803.1</v>
      </c>
      <c r="AD1431" s="596" t="s">
        <v>395</v>
      </c>
      <c r="AE1431" s="595">
        <v>152</v>
      </c>
      <c r="AF1431" s="597">
        <f t="shared" si="88"/>
        <v>2.2928910205524566E-2</v>
      </c>
      <c r="AG1431" s="597">
        <f t="shared" si="89"/>
        <v>1.3063183151159841E-2</v>
      </c>
    </row>
    <row r="1432" spans="13:33" x14ac:dyDescent="0.35">
      <c r="M1432" s="555">
        <v>43783</v>
      </c>
      <c r="N1432" s="543" t="s">
        <v>449</v>
      </c>
      <c r="O1432" s="543">
        <v>37243.199999999997</v>
      </c>
      <c r="P1432" s="73" t="s">
        <v>431</v>
      </c>
      <c r="Q1432" s="158">
        <v>15.7</v>
      </c>
      <c r="R1432" s="563">
        <f t="shared" si="86"/>
        <v>2.0512842589224256E-3</v>
      </c>
      <c r="S1432" s="563">
        <f t="shared" si="87"/>
        <v>3.4255599472990728E-2</v>
      </c>
      <c r="AA1432" s="594">
        <v>43781</v>
      </c>
      <c r="AB1432" s="595" t="s">
        <v>449</v>
      </c>
      <c r="AC1432" s="595">
        <v>36765.56</v>
      </c>
      <c r="AD1432" s="596" t="s">
        <v>395</v>
      </c>
      <c r="AE1432" s="595">
        <v>155</v>
      </c>
      <c r="AF1432" s="597">
        <f t="shared" si="88"/>
        <v>-1.0200227698210496E-3</v>
      </c>
      <c r="AG1432" s="597">
        <f t="shared" si="89"/>
        <v>1.9736842105263053E-2</v>
      </c>
    </row>
    <row r="1433" spans="13:33" x14ac:dyDescent="0.35">
      <c r="M1433" s="555">
        <v>43784</v>
      </c>
      <c r="N1433" s="543" t="s">
        <v>449</v>
      </c>
      <c r="O1433" s="543">
        <v>37583.89</v>
      </c>
      <c r="P1433" s="73" t="s">
        <v>431</v>
      </c>
      <c r="Q1433" s="158">
        <v>16.010000000000002</v>
      </c>
      <c r="R1433" s="563">
        <f t="shared" si="86"/>
        <v>9.1477101860206744E-3</v>
      </c>
      <c r="S1433" s="563">
        <f t="shared" si="87"/>
        <v>1.9745222929936412E-2</v>
      </c>
      <c r="AA1433" s="594">
        <v>43782</v>
      </c>
      <c r="AB1433" s="595" t="s">
        <v>449</v>
      </c>
      <c r="AC1433" s="595">
        <v>37166.959999999999</v>
      </c>
      <c r="AD1433" s="596" t="s">
        <v>395</v>
      </c>
      <c r="AE1433" s="595">
        <v>150.05000000000001</v>
      </c>
      <c r="AF1433" s="597">
        <f t="shared" si="88"/>
        <v>1.091782635705818E-2</v>
      </c>
      <c r="AG1433" s="597">
        <f t="shared" si="89"/>
        <v>-3.1935483870967674E-2</v>
      </c>
    </row>
    <row r="1434" spans="13:33" x14ac:dyDescent="0.35">
      <c r="M1434" s="555">
        <v>43787</v>
      </c>
      <c r="N1434" s="543" t="s">
        <v>449</v>
      </c>
      <c r="O1434" s="543">
        <v>38411.56</v>
      </c>
      <c r="P1434" s="73" t="s">
        <v>431</v>
      </c>
      <c r="Q1434" s="158">
        <v>15.92</v>
      </c>
      <c r="R1434" s="563">
        <f t="shared" ref="R1434:R1497" si="90">(O1434/O1433)-1</f>
        <v>2.2021935462241959E-2</v>
      </c>
      <c r="S1434" s="563">
        <f t="shared" ref="S1434:S1497" si="91">(Q1434/Q1433)-1</f>
        <v>-5.6214865708933415E-3</v>
      </c>
      <c r="AA1434" s="594">
        <v>43783</v>
      </c>
      <c r="AB1434" s="595" t="s">
        <v>449</v>
      </c>
      <c r="AC1434" s="595">
        <v>37243.199999999997</v>
      </c>
      <c r="AD1434" s="596" t="s">
        <v>395</v>
      </c>
      <c r="AE1434" s="595">
        <v>153.78</v>
      </c>
      <c r="AF1434" s="597">
        <f t="shared" si="88"/>
        <v>2.0512842589224256E-3</v>
      </c>
      <c r="AG1434" s="597">
        <f t="shared" si="89"/>
        <v>2.4858380539819924E-2</v>
      </c>
    </row>
    <row r="1435" spans="13:33" x14ac:dyDescent="0.35">
      <c r="M1435" s="555">
        <v>43788</v>
      </c>
      <c r="N1435" s="543" t="s">
        <v>449</v>
      </c>
      <c r="O1435" s="543">
        <v>38564.370000000003</v>
      </c>
      <c r="P1435" s="73" t="s">
        <v>431</v>
      </c>
      <c r="Q1435" s="158">
        <v>15.19</v>
      </c>
      <c r="R1435" s="563">
        <f t="shared" si="90"/>
        <v>3.9782294705033028E-3</v>
      </c>
      <c r="S1435" s="563">
        <f t="shared" si="91"/>
        <v>-4.5854271356783993E-2</v>
      </c>
      <c r="AA1435" s="594">
        <v>43784</v>
      </c>
      <c r="AB1435" s="595" t="s">
        <v>449</v>
      </c>
      <c r="AC1435" s="595">
        <v>37583.89</v>
      </c>
      <c r="AD1435" s="596" t="s">
        <v>395</v>
      </c>
      <c r="AE1435" s="595">
        <v>159.91999999999999</v>
      </c>
      <c r="AF1435" s="597">
        <f t="shared" si="88"/>
        <v>9.1477101860206744E-3</v>
      </c>
      <c r="AG1435" s="597">
        <f t="shared" si="89"/>
        <v>3.9927168682533321E-2</v>
      </c>
    </row>
    <row r="1436" spans="13:33" x14ac:dyDescent="0.35">
      <c r="M1436" s="555">
        <v>43789</v>
      </c>
      <c r="N1436" s="543" t="s">
        <v>449</v>
      </c>
      <c r="O1436" s="543">
        <v>38037.68</v>
      </c>
      <c r="P1436" s="73" t="s">
        <v>431</v>
      </c>
      <c r="Q1436" s="158">
        <v>15.29</v>
      </c>
      <c r="R1436" s="563">
        <f t="shared" si="90"/>
        <v>-1.3657425234743892E-2</v>
      </c>
      <c r="S1436" s="563">
        <f t="shared" si="91"/>
        <v>6.5832784726793658E-3</v>
      </c>
      <c r="AA1436" s="594">
        <v>43787</v>
      </c>
      <c r="AB1436" s="595" t="s">
        <v>449</v>
      </c>
      <c r="AC1436" s="595">
        <v>38411.56</v>
      </c>
      <c r="AD1436" s="596" t="s">
        <v>395</v>
      </c>
      <c r="AE1436" s="595">
        <v>160.13</v>
      </c>
      <c r="AF1436" s="597">
        <f t="shared" ref="AF1436:AF1499" si="92">(AC1436/AC1435)-1</f>
        <v>2.2021935462241959E-2</v>
      </c>
      <c r="AG1436" s="597">
        <f t="shared" ref="AG1436:AG1499" si="93">(AE1436/AE1435)-1</f>
        <v>1.3131565782891208E-3</v>
      </c>
    </row>
    <row r="1437" spans="13:33" x14ac:dyDescent="0.35">
      <c r="M1437" s="555">
        <v>43790</v>
      </c>
      <c r="N1437" s="543" t="s">
        <v>449</v>
      </c>
      <c r="O1437" s="543">
        <v>37101.31</v>
      </c>
      <c r="P1437" s="73" t="s">
        <v>431</v>
      </c>
      <c r="Q1437" s="158">
        <v>14.54</v>
      </c>
      <c r="R1437" s="563">
        <f t="shared" si="90"/>
        <v>-2.4616906183552834E-2</v>
      </c>
      <c r="S1437" s="563">
        <f t="shared" si="91"/>
        <v>-4.9051667756703776E-2</v>
      </c>
      <c r="AA1437" s="594">
        <v>43788</v>
      </c>
      <c r="AB1437" s="595" t="s">
        <v>449</v>
      </c>
      <c r="AC1437" s="595">
        <v>38564.370000000003</v>
      </c>
      <c r="AD1437" s="596" t="s">
        <v>395</v>
      </c>
      <c r="AE1437" s="595">
        <v>168.13</v>
      </c>
      <c r="AF1437" s="597">
        <f t="shared" si="92"/>
        <v>3.9782294705033028E-3</v>
      </c>
      <c r="AG1437" s="597">
        <f t="shared" si="93"/>
        <v>4.9959407981015502E-2</v>
      </c>
    </row>
    <row r="1438" spans="13:33" x14ac:dyDescent="0.35">
      <c r="M1438" s="555">
        <v>43791</v>
      </c>
      <c r="N1438" s="543" t="s">
        <v>449</v>
      </c>
      <c r="O1438" s="543">
        <v>37925.79</v>
      </c>
      <c r="P1438" s="73" t="s">
        <v>431</v>
      </c>
      <c r="Q1438" s="158">
        <v>14.72</v>
      </c>
      <c r="R1438" s="563">
        <f t="shared" si="90"/>
        <v>2.2222395920791005E-2</v>
      </c>
      <c r="S1438" s="563">
        <f t="shared" si="91"/>
        <v>1.2379642365887289E-2</v>
      </c>
      <c r="AA1438" s="589">
        <v>43789</v>
      </c>
      <c r="AB1438" s="590" t="s">
        <v>449</v>
      </c>
      <c r="AC1438" s="590">
        <v>38037.68</v>
      </c>
      <c r="AD1438" s="591" t="s">
        <v>395</v>
      </c>
      <c r="AE1438" s="590">
        <v>169.97</v>
      </c>
      <c r="AF1438" s="592">
        <f t="shared" si="92"/>
        <v>-1.3657425234743892E-2</v>
      </c>
      <c r="AG1438" s="592">
        <f t="shared" si="93"/>
        <v>1.0943912448700521E-2</v>
      </c>
    </row>
    <row r="1439" spans="13:33" x14ac:dyDescent="0.35">
      <c r="M1439" s="555">
        <v>43794</v>
      </c>
      <c r="N1439" s="543" t="s">
        <v>449</v>
      </c>
      <c r="O1439" s="543">
        <v>38212.28</v>
      </c>
      <c r="P1439" s="73" t="s">
        <v>431</v>
      </c>
      <c r="Q1439" s="158">
        <v>15.34</v>
      </c>
      <c r="R1439" s="563">
        <f t="shared" si="90"/>
        <v>7.5539626201588383E-3</v>
      </c>
      <c r="S1439" s="563">
        <f t="shared" si="91"/>
        <v>4.2119565217391353E-2</v>
      </c>
      <c r="AA1439" s="589">
        <v>43790</v>
      </c>
      <c r="AB1439" s="590" t="s">
        <v>449</v>
      </c>
      <c r="AC1439" s="590">
        <v>37101.31</v>
      </c>
      <c r="AD1439" s="591" t="s">
        <v>395</v>
      </c>
      <c r="AE1439" s="590">
        <v>162.04</v>
      </c>
      <c r="AF1439" s="592">
        <f t="shared" si="92"/>
        <v>-2.4616906183552834E-2</v>
      </c>
      <c r="AG1439" s="592">
        <f t="shared" si="93"/>
        <v>-4.6655292110372448E-2</v>
      </c>
    </row>
    <row r="1440" spans="13:33" x14ac:dyDescent="0.35">
      <c r="M1440" s="555">
        <v>43795</v>
      </c>
      <c r="N1440" s="543" t="s">
        <v>449</v>
      </c>
      <c r="O1440" s="543">
        <v>37795.050000000003</v>
      </c>
      <c r="P1440" s="73" t="s">
        <v>431</v>
      </c>
      <c r="Q1440" s="158">
        <v>14.88</v>
      </c>
      <c r="R1440" s="563">
        <f t="shared" si="90"/>
        <v>-1.0918741305151025E-2</v>
      </c>
      <c r="S1440" s="563">
        <f t="shared" si="91"/>
        <v>-2.9986962190351907E-2</v>
      </c>
      <c r="AA1440" s="594">
        <v>43791</v>
      </c>
      <c r="AB1440" s="595" t="s">
        <v>449</v>
      </c>
      <c r="AC1440" s="595">
        <v>37925.79</v>
      </c>
      <c r="AD1440" s="596" t="s">
        <v>395</v>
      </c>
      <c r="AE1440" s="595">
        <v>163.82</v>
      </c>
      <c r="AF1440" s="597">
        <f t="shared" si="92"/>
        <v>2.2222395920791005E-2</v>
      </c>
      <c r="AG1440" s="597">
        <f t="shared" si="93"/>
        <v>1.098494198963218E-2</v>
      </c>
    </row>
    <row r="1441" spans="13:33" x14ac:dyDescent="0.35">
      <c r="M1441" s="555">
        <v>43796</v>
      </c>
      <c r="N1441" s="543" t="s">
        <v>449</v>
      </c>
      <c r="O1441" s="543">
        <v>38122.720000000001</v>
      </c>
      <c r="P1441" s="73" t="s">
        <v>431</v>
      </c>
      <c r="Q1441" s="158">
        <v>15.13</v>
      </c>
      <c r="R1441" s="563">
        <f t="shared" si="90"/>
        <v>8.6696538303296933E-3</v>
      </c>
      <c r="S1441" s="563">
        <f t="shared" si="91"/>
        <v>1.6801075268817245E-2</v>
      </c>
      <c r="AA1441" s="594">
        <v>43794</v>
      </c>
      <c r="AB1441" s="595" t="s">
        <v>449</v>
      </c>
      <c r="AC1441" s="595">
        <v>38212.28</v>
      </c>
      <c r="AD1441" s="596" t="s">
        <v>395</v>
      </c>
      <c r="AE1441" s="595">
        <v>166.11</v>
      </c>
      <c r="AF1441" s="597">
        <f t="shared" si="92"/>
        <v>7.5539626201588383E-3</v>
      </c>
      <c r="AG1441" s="597">
        <f t="shared" si="93"/>
        <v>1.3978757172506517E-2</v>
      </c>
    </row>
    <row r="1442" spans="13:33" x14ac:dyDescent="0.35">
      <c r="M1442" s="555">
        <v>43797</v>
      </c>
      <c r="N1442" s="543" t="s">
        <v>449</v>
      </c>
      <c r="O1442" s="543">
        <v>38706.269999999997</v>
      </c>
      <c r="P1442" s="73" t="s">
        <v>431</v>
      </c>
      <c r="Q1442" s="158">
        <v>15.69</v>
      </c>
      <c r="R1442" s="563">
        <f t="shared" si="90"/>
        <v>1.5307144925650551E-2</v>
      </c>
      <c r="S1442" s="563">
        <f t="shared" si="91"/>
        <v>3.7012557832121429E-2</v>
      </c>
      <c r="AA1442" s="594">
        <v>43795</v>
      </c>
      <c r="AB1442" s="595" t="s">
        <v>449</v>
      </c>
      <c r="AC1442" s="595">
        <v>37795.050000000003</v>
      </c>
      <c r="AD1442" s="596" t="s">
        <v>395</v>
      </c>
      <c r="AE1442" s="595">
        <v>170.42</v>
      </c>
      <c r="AF1442" s="597">
        <f t="shared" si="92"/>
        <v>-1.0918741305151025E-2</v>
      </c>
      <c r="AG1442" s="597">
        <f t="shared" si="93"/>
        <v>2.594666185058081E-2</v>
      </c>
    </row>
    <row r="1443" spans="13:33" x14ac:dyDescent="0.35">
      <c r="M1443" s="555">
        <v>43798</v>
      </c>
      <c r="N1443" s="543" t="s">
        <v>449</v>
      </c>
      <c r="O1443" s="543">
        <v>39287.65</v>
      </c>
      <c r="P1443" s="73" t="s">
        <v>431</v>
      </c>
      <c r="Q1443" s="158">
        <v>16.47</v>
      </c>
      <c r="R1443" s="563">
        <f t="shared" si="90"/>
        <v>1.5020305495724751E-2</v>
      </c>
      <c r="S1443" s="563">
        <f t="shared" si="91"/>
        <v>4.9713193116634802E-2</v>
      </c>
      <c r="AA1443" s="594">
        <v>43796</v>
      </c>
      <c r="AB1443" s="595" t="s">
        <v>449</v>
      </c>
      <c r="AC1443" s="595">
        <v>38122.720000000001</v>
      </c>
      <c r="AD1443" s="596" t="s">
        <v>395</v>
      </c>
      <c r="AE1443" s="595">
        <v>170.88</v>
      </c>
      <c r="AF1443" s="597">
        <f t="shared" si="92"/>
        <v>8.6696538303296933E-3</v>
      </c>
      <c r="AG1443" s="597">
        <f t="shared" si="93"/>
        <v>2.6992137073114097E-3</v>
      </c>
    </row>
    <row r="1444" spans="13:33" x14ac:dyDescent="0.35">
      <c r="M1444" s="555">
        <v>43801</v>
      </c>
      <c r="N1444" s="543" t="s">
        <v>449</v>
      </c>
      <c r="O1444" s="543">
        <v>40124.22</v>
      </c>
      <c r="P1444" s="73" t="s">
        <v>431</v>
      </c>
      <c r="Q1444" s="158">
        <v>17.29</v>
      </c>
      <c r="R1444" s="563">
        <f t="shared" si="90"/>
        <v>2.1293459904066614E-2</v>
      </c>
      <c r="S1444" s="563">
        <f t="shared" si="91"/>
        <v>4.9787492410443335E-2</v>
      </c>
      <c r="AA1444" s="589">
        <v>43797</v>
      </c>
      <c r="AB1444" s="590" t="s">
        <v>449</v>
      </c>
      <c r="AC1444" s="590">
        <v>38706.269999999997</v>
      </c>
      <c r="AD1444" s="591" t="s">
        <v>395</v>
      </c>
      <c r="AE1444" s="590">
        <v>176.43</v>
      </c>
      <c r="AF1444" s="592">
        <f t="shared" si="92"/>
        <v>1.5307144925650551E-2</v>
      </c>
      <c r="AG1444" s="592">
        <f t="shared" si="93"/>
        <v>3.2478932584269815E-2</v>
      </c>
    </row>
    <row r="1445" spans="13:33" x14ac:dyDescent="0.35">
      <c r="M1445" s="555">
        <v>43802</v>
      </c>
      <c r="N1445" s="543" t="s">
        <v>449</v>
      </c>
      <c r="O1445" s="543">
        <v>39788.730000000003</v>
      </c>
      <c r="P1445" s="73" t="s">
        <v>431</v>
      </c>
      <c r="Q1445" s="158">
        <v>18.149999999999999</v>
      </c>
      <c r="R1445" s="563">
        <f t="shared" si="90"/>
        <v>-8.3612840324371884E-3</v>
      </c>
      <c r="S1445" s="563">
        <f t="shared" si="91"/>
        <v>4.9739733950260323E-2</v>
      </c>
      <c r="AA1445" s="589">
        <v>43798</v>
      </c>
      <c r="AB1445" s="590" t="s">
        <v>449</v>
      </c>
      <c r="AC1445" s="590">
        <v>39287.65</v>
      </c>
      <c r="AD1445" s="591" t="s">
        <v>395</v>
      </c>
      <c r="AE1445" s="590">
        <v>181.07</v>
      </c>
      <c r="AF1445" s="592">
        <f t="shared" si="92"/>
        <v>1.5020305495724751E-2</v>
      </c>
      <c r="AG1445" s="592">
        <f t="shared" si="93"/>
        <v>2.6299382191237175E-2</v>
      </c>
    </row>
    <row r="1446" spans="13:33" x14ac:dyDescent="0.35">
      <c r="M1446" s="555">
        <v>43803</v>
      </c>
      <c r="N1446" s="543" t="s">
        <v>449</v>
      </c>
      <c r="O1446" s="543">
        <v>40270.519999999997</v>
      </c>
      <c r="P1446" s="73" t="s">
        <v>431</v>
      </c>
      <c r="Q1446" s="158">
        <v>19.059999999999999</v>
      </c>
      <c r="R1446" s="563">
        <f t="shared" si="90"/>
        <v>1.2108705153444088E-2</v>
      </c>
      <c r="S1446" s="563">
        <f t="shared" si="91"/>
        <v>5.0137741046831996E-2</v>
      </c>
      <c r="AA1446" s="594">
        <v>43801</v>
      </c>
      <c r="AB1446" s="595" t="s">
        <v>449</v>
      </c>
      <c r="AC1446" s="595">
        <v>40124.22</v>
      </c>
      <c r="AD1446" s="596" t="s">
        <v>395</v>
      </c>
      <c r="AE1446" s="595">
        <v>177.59</v>
      </c>
      <c r="AF1446" s="597">
        <f t="shared" si="92"/>
        <v>2.1293459904066614E-2</v>
      </c>
      <c r="AG1446" s="597">
        <f t="shared" si="93"/>
        <v>-1.9219086541116592E-2</v>
      </c>
    </row>
    <row r="1447" spans="13:33" x14ac:dyDescent="0.35">
      <c r="M1447" s="555">
        <v>43804</v>
      </c>
      <c r="N1447" s="543" t="s">
        <v>449</v>
      </c>
      <c r="O1447" s="543">
        <v>40641.1</v>
      </c>
      <c r="P1447" s="73" t="s">
        <v>431</v>
      </c>
      <c r="Q1447" s="158">
        <v>20</v>
      </c>
      <c r="R1447" s="563">
        <f t="shared" si="90"/>
        <v>9.2022650812555451E-3</v>
      </c>
      <c r="S1447" s="563">
        <f t="shared" si="91"/>
        <v>4.9317943336831149E-2</v>
      </c>
      <c r="AA1447" s="594">
        <v>43802</v>
      </c>
      <c r="AB1447" s="595" t="s">
        <v>449</v>
      </c>
      <c r="AC1447" s="595">
        <v>39788.730000000003</v>
      </c>
      <c r="AD1447" s="596" t="s">
        <v>395</v>
      </c>
      <c r="AE1447" s="595">
        <v>173.38</v>
      </c>
      <c r="AF1447" s="597">
        <f t="shared" si="92"/>
        <v>-8.3612840324371884E-3</v>
      </c>
      <c r="AG1447" s="597">
        <f t="shared" si="93"/>
        <v>-2.3706289768568145E-2</v>
      </c>
    </row>
    <row r="1448" spans="13:33" x14ac:dyDescent="0.35">
      <c r="M1448" s="555">
        <v>43805</v>
      </c>
      <c r="N1448" s="543" t="s">
        <v>449</v>
      </c>
      <c r="O1448" s="543">
        <v>40732.25</v>
      </c>
      <c r="P1448" s="73" t="s">
        <v>431</v>
      </c>
      <c r="Q1448" s="158">
        <v>20.48</v>
      </c>
      <c r="R1448" s="563">
        <f t="shared" si="90"/>
        <v>2.2428034674257802E-3</v>
      </c>
      <c r="S1448" s="563">
        <f t="shared" si="91"/>
        <v>2.4000000000000021E-2</v>
      </c>
      <c r="AA1448" s="594">
        <v>43803</v>
      </c>
      <c r="AB1448" s="595" t="s">
        <v>449</v>
      </c>
      <c r="AC1448" s="595">
        <v>40270.519999999997</v>
      </c>
      <c r="AD1448" s="596" t="s">
        <v>395</v>
      </c>
      <c r="AE1448" s="595">
        <v>174.72</v>
      </c>
      <c r="AF1448" s="597">
        <f t="shared" si="92"/>
        <v>1.2108705153444088E-2</v>
      </c>
      <c r="AG1448" s="597">
        <f t="shared" si="93"/>
        <v>7.7286884300380443E-3</v>
      </c>
    </row>
    <row r="1449" spans="13:33" x14ac:dyDescent="0.35">
      <c r="M1449" s="555">
        <v>43808</v>
      </c>
      <c r="N1449" s="543" t="s">
        <v>449</v>
      </c>
      <c r="O1449" s="543">
        <v>40442.800000000003</v>
      </c>
      <c r="P1449" s="73" t="s">
        <v>431</v>
      </c>
      <c r="Q1449" s="158">
        <v>19.46</v>
      </c>
      <c r="R1449" s="563">
        <f t="shared" si="90"/>
        <v>-7.1061628071121818E-3</v>
      </c>
      <c r="S1449" s="563">
        <f t="shared" si="91"/>
        <v>-4.98046875E-2</v>
      </c>
      <c r="AA1449" s="594">
        <v>43804</v>
      </c>
      <c r="AB1449" s="595" t="s">
        <v>449</v>
      </c>
      <c r="AC1449" s="595">
        <v>40641.1</v>
      </c>
      <c r="AD1449" s="596" t="s">
        <v>395</v>
      </c>
      <c r="AE1449" s="595">
        <v>170.22</v>
      </c>
      <c r="AF1449" s="597">
        <f t="shared" si="92"/>
        <v>9.2022650812555451E-3</v>
      </c>
      <c r="AG1449" s="597">
        <f t="shared" si="93"/>
        <v>-2.5755494505494525E-2</v>
      </c>
    </row>
    <row r="1450" spans="13:33" x14ac:dyDescent="0.35">
      <c r="M1450" s="555">
        <v>43809</v>
      </c>
      <c r="N1450" s="543" t="s">
        <v>449</v>
      </c>
      <c r="O1450" s="543">
        <v>40664.6</v>
      </c>
      <c r="P1450" s="73" t="s">
        <v>431</v>
      </c>
      <c r="Q1450" s="158">
        <v>18.98</v>
      </c>
      <c r="R1450" s="563">
        <f t="shared" si="90"/>
        <v>5.4842889216373258E-3</v>
      </c>
      <c r="S1450" s="563">
        <f t="shared" si="91"/>
        <v>-2.4665981500513912E-2</v>
      </c>
      <c r="AA1450" s="594">
        <v>43805</v>
      </c>
      <c r="AB1450" s="595" t="s">
        <v>449</v>
      </c>
      <c r="AC1450" s="595">
        <v>40732.25</v>
      </c>
      <c r="AD1450" s="596" t="s">
        <v>395</v>
      </c>
      <c r="AE1450" s="595">
        <v>175.78</v>
      </c>
      <c r="AF1450" s="597">
        <f t="shared" si="92"/>
        <v>2.2428034674257802E-3</v>
      </c>
      <c r="AG1450" s="597">
        <f t="shared" si="93"/>
        <v>3.2663611796498682E-2</v>
      </c>
    </row>
    <row r="1451" spans="13:33" x14ac:dyDescent="0.35">
      <c r="M1451" s="555">
        <v>43810</v>
      </c>
      <c r="N1451" s="543" t="s">
        <v>449</v>
      </c>
      <c r="O1451" s="543">
        <v>40531.42</v>
      </c>
      <c r="P1451" s="73" t="s">
        <v>431</v>
      </c>
      <c r="Q1451" s="158">
        <v>18.04</v>
      </c>
      <c r="R1451" s="563">
        <f t="shared" si="90"/>
        <v>-3.2750844715059291E-3</v>
      </c>
      <c r="S1451" s="563">
        <f t="shared" si="91"/>
        <v>-4.9525816649104382E-2</v>
      </c>
      <c r="AA1451" s="594">
        <v>43808</v>
      </c>
      <c r="AB1451" s="595" t="s">
        <v>449</v>
      </c>
      <c r="AC1451" s="595">
        <v>40442.800000000003</v>
      </c>
      <c r="AD1451" s="596" t="s">
        <v>395</v>
      </c>
      <c r="AE1451" s="595">
        <v>184.56</v>
      </c>
      <c r="AF1451" s="597">
        <f t="shared" si="92"/>
        <v>-7.1061628071121818E-3</v>
      </c>
      <c r="AG1451" s="597">
        <f t="shared" si="93"/>
        <v>4.9948799635908481E-2</v>
      </c>
    </row>
    <row r="1452" spans="13:33" x14ac:dyDescent="0.35">
      <c r="M1452" s="555">
        <v>43811</v>
      </c>
      <c r="N1452" s="543" t="s">
        <v>449</v>
      </c>
      <c r="O1452" s="543">
        <v>40514.17</v>
      </c>
      <c r="P1452" s="73" t="s">
        <v>431</v>
      </c>
      <c r="Q1452" s="158">
        <v>17.350000000000001</v>
      </c>
      <c r="R1452" s="563">
        <f t="shared" si="90"/>
        <v>-4.2559574769396313E-4</v>
      </c>
      <c r="S1452" s="563">
        <f t="shared" si="91"/>
        <v>-3.8248337028824686E-2</v>
      </c>
      <c r="AA1452" s="594">
        <v>43809</v>
      </c>
      <c r="AB1452" s="595" t="s">
        <v>449</v>
      </c>
      <c r="AC1452" s="595">
        <v>40664.6</v>
      </c>
      <c r="AD1452" s="596" t="s">
        <v>395</v>
      </c>
      <c r="AE1452" s="595">
        <v>183.82</v>
      </c>
      <c r="AF1452" s="597">
        <f t="shared" si="92"/>
        <v>5.4842889216373258E-3</v>
      </c>
      <c r="AG1452" s="597">
        <f t="shared" si="93"/>
        <v>-4.009536194191643E-3</v>
      </c>
    </row>
    <row r="1453" spans="13:33" x14ac:dyDescent="0.35">
      <c r="M1453" s="555">
        <v>43812</v>
      </c>
      <c r="N1453" s="543" t="s">
        <v>449</v>
      </c>
      <c r="O1453" s="543">
        <v>40916.589999999997</v>
      </c>
      <c r="P1453" s="73" t="s">
        <v>431</v>
      </c>
      <c r="Q1453" s="158">
        <v>18.04</v>
      </c>
      <c r="R1453" s="563">
        <f t="shared" si="90"/>
        <v>9.9328210352080948E-3</v>
      </c>
      <c r="S1453" s="563">
        <f t="shared" si="91"/>
        <v>3.9769452449567533E-2</v>
      </c>
      <c r="AA1453" s="594">
        <v>43810</v>
      </c>
      <c r="AB1453" s="595" t="s">
        <v>449</v>
      </c>
      <c r="AC1453" s="595">
        <v>40531.42</v>
      </c>
      <c r="AD1453" s="596" t="s">
        <v>395</v>
      </c>
      <c r="AE1453" s="595">
        <v>179.5</v>
      </c>
      <c r="AF1453" s="597">
        <f t="shared" si="92"/>
        <v>-3.2750844715059291E-3</v>
      </c>
      <c r="AG1453" s="597">
        <f t="shared" si="93"/>
        <v>-2.3501251224023467E-2</v>
      </c>
    </row>
    <row r="1454" spans="13:33" x14ac:dyDescent="0.35">
      <c r="M1454" s="555">
        <v>43815</v>
      </c>
      <c r="N1454" s="543" t="s">
        <v>449</v>
      </c>
      <c r="O1454" s="543">
        <v>41644.879999999997</v>
      </c>
      <c r="P1454" s="73" t="s">
        <v>431</v>
      </c>
      <c r="Q1454" s="158">
        <v>18.440000000000001</v>
      </c>
      <c r="R1454" s="563">
        <f t="shared" si="90"/>
        <v>1.7799381620022592E-2</v>
      </c>
      <c r="S1454" s="563">
        <f t="shared" si="91"/>
        <v>2.2172949002217335E-2</v>
      </c>
      <c r="AA1454" s="594">
        <v>43811</v>
      </c>
      <c r="AB1454" s="595" t="s">
        <v>449</v>
      </c>
      <c r="AC1454" s="595">
        <v>40514.17</v>
      </c>
      <c r="AD1454" s="596" t="s">
        <v>395</v>
      </c>
      <c r="AE1454" s="595">
        <v>175.97</v>
      </c>
      <c r="AF1454" s="597">
        <f t="shared" si="92"/>
        <v>-4.2559574769396313E-4</v>
      </c>
      <c r="AG1454" s="597">
        <f t="shared" si="93"/>
        <v>-1.966573816155992E-2</v>
      </c>
    </row>
    <row r="1455" spans="13:33" x14ac:dyDescent="0.35">
      <c r="M1455" s="555">
        <v>43816</v>
      </c>
      <c r="N1455" s="543" t="s">
        <v>449</v>
      </c>
      <c r="O1455" s="543">
        <v>41768.660000000003</v>
      </c>
      <c r="P1455" s="73" t="s">
        <v>431</v>
      </c>
      <c r="Q1455" s="158">
        <v>17.63</v>
      </c>
      <c r="R1455" s="563">
        <f t="shared" si="90"/>
        <v>2.9722741427038457E-3</v>
      </c>
      <c r="S1455" s="563">
        <f t="shared" si="91"/>
        <v>-4.3926247288503362E-2</v>
      </c>
      <c r="AA1455" s="594">
        <v>43812</v>
      </c>
      <c r="AB1455" s="595" t="s">
        <v>449</v>
      </c>
      <c r="AC1455" s="595">
        <v>40916.589999999997</v>
      </c>
      <c r="AD1455" s="596" t="s">
        <v>395</v>
      </c>
      <c r="AE1455" s="595">
        <v>179.63</v>
      </c>
      <c r="AF1455" s="597">
        <f t="shared" si="92"/>
        <v>9.9328210352080948E-3</v>
      </c>
      <c r="AG1455" s="597">
        <f t="shared" si="93"/>
        <v>2.0798999829516385E-2</v>
      </c>
    </row>
    <row r="1456" spans="13:33" x14ac:dyDescent="0.35">
      <c r="M1456" s="555">
        <v>43817</v>
      </c>
      <c r="N1456" s="543" t="s">
        <v>449</v>
      </c>
      <c r="O1456" s="543">
        <v>41603.71</v>
      </c>
      <c r="P1456" s="73" t="s">
        <v>431</v>
      </c>
      <c r="Q1456" s="158">
        <v>16.84</v>
      </c>
      <c r="R1456" s="563">
        <f t="shared" si="90"/>
        <v>-3.9491331539006636E-3</v>
      </c>
      <c r="S1456" s="563">
        <f t="shared" si="91"/>
        <v>-4.4809982983550767E-2</v>
      </c>
      <c r="AA1456" s="589">
        <v>43815</v>
      </c>
      <c r="AB1456" s="590" t="s">
        <v>449</v>
      </c>
      <c r="AC1456" s="590">
        <v>41644.879999999997</v>
      </c>
      <c r="AD1456" s="591" t="s">
        <v>395</v>
      </c>
      <c r="AE1456" s="590">
        <v>182.54</v>
      </c>
      <c r="AF1456" s="592">
        <f t="shared" si="92"/>
        <v>1.7799381620022592E-2</v>
      </c>
      <c r="AG1456" s="592">
        <f t="shared" si="93"/>
        <v>1.6199966598007043E-2</v>
      </c>
    </row>
    <row r="1457" spans="13:33" x14ac:dyDescent="0.35">
      <c r="M1457" s="555">
        <v>43818</v>
      </c>
      <c r="N1457" s="543" t="s">
        <v>449</v>
      </c>
      <c r="O1457" s="543">
        <v>40655.370000000003</v>
      </c>
      <c r="P1457" s="73" t="s">
        <v>431</v>
      </c>
      <c r="Q1457" s="158">
        <v>16.010000000000002</v>
      </c>
      <c r="R1457" s="563">
        <f t="shared" si="90"/>
        <v>-2.2794601731431996E-2</v>
      </c>
      <c r="S1457" s="563">
        <f t="shared" si="91"/>
        <v>-4.9287410926365682E-2</v>
      </c>
      <c r="AA1457" s="589">
        <v>43816</v>
      </c>
      <c r="AB1457" s="590" t="s">
        <v>449</v>
      </c>
      <c r="AC1457" s="590">
        <v>41768.660000000003</v>
      </c>
      <c r="AD1457" s="591" t="s">
        <v>395</v>
      </c>
      <c r="AE1457" s="590">
        <v>179.66</v>
      </c>
      <c r="AF1457" s="592">
        <f t="shared" si="92"/>
        <v>2.9722741427038457E-3</v>
      </c>
      <c r="AG1457" s="592">
        <f t="shared" si="93"/>
        <v>-1.5777363865454141E-2</v>
      </c>
    </row>
    <row r="1458" spans="13:33" x14ac:dyDescent="0.35">
      <c r="M1458" s="555">
        <v>43819</v>
      </c>
      <c r="N1458" s="543" t="s">
        <v>449</v>
      </c>
      <c r="O1458" s="543">
        <v>40832.99</v>
      </c>
      <c r="P1458" s="73" t="s">
        <v>431</v>
      </c>
      <c r="Q1458" s="158">
        <v>15.36</v>
      </c>
      <c r="R1458" s="563">
        <f t="shared" si="90"/>
        <v>4.3689185463076097E-3</v>
      </c>
      <c r="S1458" s="563">
        <f t="shared" si="91"/>
        <v>-4.0599625234228776E-2</v>
      </c>
      <c r="AA1458" s="594">
        <v>43817</v>
      </c>
      <c r="AB1458" s="595" t="s">
        <v>449</v>
      </c>
      <c r="AC1458" s="595">
        <v>41603.71</v>
      </c>
      <c r="AD1458" s="596" t="s">
        <v>395</v>
      </c>
      <c r="AE1458" s="595">
        <v>179.64</v>
      </c>
      <c r="AF1458" s="597">
        <f t="shared" si="92"/>
        <v>-3.9491331539006636E-3</v>
      </c>
      <c r="AG1458" s="597">
        <f t="shared" si="93"/>
        <v>-1.1132138483804788E-4</v>
      </c>
    </row>
    <row r="1459" spans="13:33" x14ac:dyDescent="0.35">
      <c r="M1459" s="555">
        <v>43822</v>
      </c>
      <c r="N1459" s="543" t="s">
        <v>449</v>
      </c>
      <c r="O1459" s="543">
        <v>40008.29</v>
      </c>
      <c r="P1459" s="73" t="s">
        <v>431</v>
      </c>
      <c r="Q1459" s="158">
        <v>14.59</v>
      </c>
      <c r="R1459" s="563">
        <f t="shared" si="90"/>
        <v>-2.0196904512748026E-2</v>
      </c>
      <c r="S1459" s="563">
        <f t="shared" si="91"/>
        <v>-5.0130208333333259E-2</v>
      </c>
      <c r="AA1459" s="594">
        <v>43818</v>
      </c>
      <c r="AB1459" s="595" t="s">
        <v>449</v>
      </c>
      <c r="AC1459" s="595">
        <v>40655.370000000003</v>
      </c>
      <c r="AD1459" s="596" t="s">
        <v>395</v>
      </c>
      <c r="AE1459" s="595">
        <v>177.5</v>
      </c>
      <c r="AF1459" s="597">
        <f t="shared" si="92"/>
        <v>-2.2794601731431996E-2</v>
      </c>
      <c r="AG1459" s="597">
        <f t="shared" si="93"/>
        <v>-1.1912714317523831E-2</v>
      </c>
    </row>
    <row r="1460" spans="13:33" x14ac:dyDescent="0.35">
      <c r="M1460" s="555">
        <v>43823</v>
      </c>
      <c r="N1460" s="543" t="s">
        <v>449</v>
      </c>
      <c r="O1460" s="543">
        <v>40328.32</v>
      </c>
      <c r="P1460" s="73" t="s">
        <v>431</v>
      </c>
      <c r="Q1460" s="158">
        <v>13.95</v>
      </c>
      <c r="R1460" s="563">
        <f t="shared" si="90"/>
        <v>7.9990921881438748E-3</v>
      </c>
      <c r="S1460" s="563">
        <f t="shared" si="91"/>
        <v>-4.3865661411926049E-2</v>
      </c>
      <c r="AA1460" s="594">
        <v>43819</v>
      </c>
      <c r="AB1460" s="595" t="s">
        <v>449</v>
      </c>
      <c r="AC1460" s="595">
        <v>40832.99</v>
      </c>
      <c r="AD1460" s="596" t="s">
        <v>395</v>
      </c>
      <c r="AE1460" s="595">
        <v>176.3</v>
      </c>
      <c r="AF1460" s="597">
        <f t="shared" si="92"/>
        <v>4.3689185463076097E-3</v>
      </c>
      <c r="AG1460" s="597">
        <f t="shared" si="93"/>
        <v>-6.7605633802816367E-3</v>
      </c>
    </row>
    <row r="1461" spans="13:33" x14ac:dyDescent="0.35">
      <c r="M1461" s="555">
        <v>43825</v>
      </c>
      <c r="N1461" s="543" t="s">
        <v>449</v>
      </c>
      <c r="O1461" s="543">
        <v>41127.79</v>
      </c>
      <c r="P1461" s="73" t="s">
        <v>431</v>
      </c>
      <c r="Q1461" s="158">
        <v>14.68</v>
      </c>
      <c r="R1461" s="563">
        <f t="shared" si="90"/>
        <v>1.9824034326250128E-2</v>
      </c>
      <c r="S1461" s="563">
        <f t="shared" si="91"/>
        <v>5.2329749103942724E-2</v>
      </c>
      <c r="AA1461" s="594">
        <v>43822</v>
      </c>
      <c r="AB1461" s="595" t="s">
        <v>449</v>
      </c>
      <c r="AC1461" s="595">
        <v>40008.29</v>
      </c>
      <c r="AD1461" s="596" t="s">
        <v>395</v>
      </c>
      <c r="AE1461" s="595">
        <v>175</v>
      </c>
      <c r="AF1461" s="597">
        <f t="shared" si="92"/>
        <v>-2.0196904512748026E-2</v>
      </c>
      <c r="AG1461" s="597">
        <f t="shared" si="93"/>
        <v>-7.3737946681793343E-3</v>
      </c>
    </row>
    <row r="1462" spans="13:33" x14ac:dyDescent="0.35">
      <c r="M1462" s="555">
        <v>43826</v>
      </c>
      <c r="N1462" s="543" t="s">
        <v>449</v>
      </c>
      <c r="O1462" s="543">
        <v>40848.53</v>
      </c>
      <c r="P1462" s="73" t="s">
        <v>431</v>
      </c>
      <c r="Q1462" s="158">
        <v>14.46</v>
      </c>
      <c r="R1462" s="563">
        <f t="shared" si="90"/>
        <v>-6.7900560667131238E-3</v>
      </c>
      <c r="S1462" s="563">
        <f t="shared" si="91"/>
        <v>-1.4986376021798309E-2</v>
      </c>
      <c r="AA1462" s="594">
        <v>43823</v>
      </c>
      <c r="AB1462" s="595" t="s">
        <v>449</v>
      </c>
      <c r="AC1462" s="595">
        <v>40328.32</v>
      </c>
      <c r="AD1462" s="596" t="s">
        <v>395</v>
      </c>
      <c r="AE1462" s="595">
        <v>174.37</v>
      </c>
      <c r="AF1462" s="597">
        <f t="shared" si="92"/>
        <v>7.9990921881438748E-3</v>
      </c>
      <c r="AG1462" s="597">
        <f t="shared" si="93"/>
        <v>-3.5999999999999366E-3</v>
      </c>
    </row>
    <row r="1463" spans="13:33" x14ac:dyDescent="0.35">
      <c r="M1463" s="555">
        <v>43829</v>
      </c>
      <c r="N1463" s="543" t="s">
        <v>449</v>
      </c>
      <c r="O1463" s="543">
        <v>40887.620000000003</v>
      </c>
      <c r="P1463" s="73" t="s">
        <v>431</v>
      </c>
      <c r="Q1463" s="158">
        <v>14.5</v>
      </c>
      <c r="R1463" s="563">
        <f t="shared" si="90"/>
        <v>9.5694998081952143E-4</v>
      </c>
      <c r="S1463" s="563">
        <f t="shared" si="91"/>
        <v>2.7662517289073207E-3</v>
      </c>
      <c r="AA1463" s="594">
        <v>43825</v>
      </c>
      <c r="AB1463" s="595" t="s">
        <v>449</v>
      </c>
      <c r="AC1463" s="595">
        <v>41127.79</v>
      </c>
      <c r="AD1463" s="596" t="s">
        <v>395</v>
      </c>
      <c r="AE1463" s="595">
        <v>177.17</v>
      </c>
      <c r="AF1463" s="597">
        <f t="shared" si="92"/>
        <v>1.9824034326250128E-2</v>
      </c>
      <c r="AG1463" s="597">
        <f t="shared" si="93"/>
        <v>1.6057808109193106E-2</v>
      </c>
    </row>
    <row r="1464" spans="13:33" x14ac:dyDescent="0.35">
      <c r="M1464" s="555">
        <v>43830</v>
      </c>
      <c r="N1464" s="543" t="s">
        <v>449</v>
      </c>
      <c r="O1464" s="543">
        <v>40735.08</v>
      </c>
      <c r="P1464" s="73" t="s">
        <v>431</v>
      </c>
      <c r="Q1464" s="158">
        <v>15.23</v>
      </c>
      <c r="R1464" s="563">
        <f t="shared" si="90"/>
        <v>-3.7307135998623231E-3</v>
      </c>
      <c r="S1464" s="563">
        <f t="shared" si="91"/>
        <v>5.0344827586206842E-2</v>
      </c>
      <c r="AA1464" s="594">
        <v>43826</v>
      </c>
      <c r="AB1464" s="595" t="s">
        <v>449</v>
      </c>
      <c r="AC1464" s="595">
        <v>40848.53</v>
      </c>
      <c r="AD1464" s="596" t="s">
        <v>395</v>
      </c>
      <c r="AE1464" s="595">
        <v>175.56</v>
      </c>
      <c r="AF1464" s="597">
        <f t="shared" si="92"/>
        <v>-6.7900560667131238E-3</v>
      </c>
      <c r="AG1464" s="597">
        <f t="shared" si="93"/>
        <v>-9.0873172659027279E-3</v>
      </c>
    </row>
    <row r="1465" spans="13:33" x14ac:dyDescent="0.35">
      <c r="M1465" s="555">
        <v>43831</v>
      </c>
      <c r="N1465" s="543" t="s">
        <v>449</v>
      </c>
      <c r="O1465" s="543">
        <v>41400</v>
      </c>
      <c r="P1465" s="73" t="s">
        <v>431</v>
      </c>
      <c r="Q1465" s="158">
        <v>15.98</v>
      </c>
      <c r="R1465" s="563">
        <f t="shared" si="90"/>
        <v>1.6323031647415442E-2</v>
      </c>
      <c r="S1465" s="563">
        <f t="shared" si="91"/>
        <v>4.9244911359159538E-2</v>
      </c>
      <c r="AA1465" s="594">
        <v>43829</v>
      </c>
      <c r="AB1465" s="595" t="s">
        <v>449</v>
      </c>
      <c r="AC1465" s="595">
        <v>40887.620000000003</v>
      </c>
      <c r="AD1465" s="596" t="s">
        <v>395</v>
      </c>
      <c r="AE1465" s="595">
        <v>175.2</v>
      </c>
      <c r="AF1465" s="597">
        <f t="shared" si="92"/>
        <v>9.5694998081952143E-4</v>
      </c>
      <c r="AG1465" s="597">
        <f t="shared" si="93"/>
        <v>-2.0505809979495249E-3</v>
      </c>
    </row>
    <row r="1466" spans="13:33" x14ac:dyDescent="0.35">
      <c r="M1466" s="555">
        <v>43832</v>
      </c>
      <c r="N1466" s="543" t="s">
        <v>449</v>
      </c>
      <c r="O1466" s="543">
        <v>42480.76</v>
      </c>
      <c r="P1466" s="73" t="s">
        <v>431</v>
      </c>
      <c r="Q1466" s="158">
        <v>16.78</v>
      </c>
      <c r="R1466" s="563">
        <f t="shared" si="90"/>
        <v>2.6105314009661873E-2</v>
      </c>
      <c r="S1466" s="563">
        <f t="shared" si="91"/>
        <v>5.0062578222778598E-2</v>
      </c>
      <c r="AA1466" s="594">
        <v>43830</v>
      </c>
      <c r="AB1466" s="595" t="s">
        <v>449</v>
      </c>
      <c r="AC1466" s="595">
        <v>40735.08</v>
      </c>
      <c r="AD1466" s="596" t="s">
        <v>395</v>
      </c>
      <c r="AE1466" s="595">
        <v>174.52</v>
      </c>
      <c r="AF1466" s="597">
        <f t="shared" si="92"/>
        <v>-3.7307135998623231E-3</v>
      </c>
      <c r="AG1466" s="597">
        <f t="shared" si="93"/>
        <v>-3.8812785388127047E-3</v>
      </c>
    </row>
    <row r="1467" spans="13:33" x14ac:dyDescent="0.35">
      <c r="M1467" s="555">
        <v>43833</v>
      </c>
      <c r="N1467" s="543" t="s">
        <v>449</v>
      </c>
      <c r="O1467" s="543">
        <v>42323.3</v>
      </c>
      <c r="P1467" s="73" t="s">
        <v>431</v>
      </c>
      <c r="Q1467" s="158">
        <v>17.14</v>
      </c>
      <c r="R1467" s="563">
        <f t="shared" si="90"/>
        <v>-3.706619184779214E-3</v>
      </c>
      <c r="S1467" s="563">
        <f t="shared" si="91"/>
        <v>2.1454112038140627E-2</v>
      </c>
      <c r="AA1467" s="594">
        <v>43831</v>
      </c>
      <c r="AB1467" s="595" t="s">
        <v>449</v>
      </c>
      <c r="AC1467" s="595">
        <v>41400</v>
      </c>
      <c r="AD1467" s="596" t="s">
        <v>395</v>
      </c>
      <c r="AE1467" s="595">
        <v>175.57</v>
      </c>
      <c r="AF1467" s="597">
        <f t="shared" si="92"/>
        <v>1.6323031647415442E-2</v>
      </c>
      <c r="AG1467" s="597">
        <f t="shared" si="93"/>
        <v>6.0165024066007877E-3</v>
      </c>
    </row>
    <row r="1468" spans="13:33" x14ac:dyDescent="0.35">
      <c r="M1468" s="555">
        <v>43836</v>
      </c>
      <c r="N1468" s="543" t="s">
        <v>449</v>
      </c>
      <c r="O1468" s="543">
        <v>41296.239999999998</v>
      </c>
      <c r="P1468" s="73" t="s">
        <v>431</v>
      </c>
      <c r="Q1468" s="158">
        <v>16.29</v>
      </c>
      <c r="R1468" s="563">
        <f t="shared" si="90"/>
        <v>-2.4267011315280307E-2</v>
      </c>
      <c r="S1468" s="563">
        <f t="shared" si="91"/>
        <v>-4.9591598599766695E-2</v>
      </c>
      <c r="AA1468" s="594">
        <v>43832</v>
      </c>
      <c r="AB1468" s="595" t="s">
        <v>449</v>
      </c>
      <c r="AC1468" s="595">
        <v>42480.76</v>
      </c>
      <c r="AD1468" s="596" t="s">
        <v>395</v>
      </c>
      <c r="AE1468" s="595">
        <v>177.27</v>
      </c>
      <c r="AF1468" s="597">
        <f t="shared" si="92"/>
        <v>2.6105314009661873E-2</v>
      </c>
      <c r="AG1468" s="597">
        <f t="shared" si="93"/>
        <v>9.6827476220311404E-3</v>
      </c>
    </row>
    <row r="1469" spans="13:33" x14ac:dyDescent="0.35">
      <c r="M1469" s="555">
        <v>43837</v>
      </c>
      <c r="N1469" s="543" t="s">
        <v>449</v>
      </c>
      <c r="O1469" s="543">
        <v>41904.47</v>
      </c>
      <c r="P1469" s="73" t="s">
        <v>431</v>
      </c>
      <c r="Q1469" s="158">
        <v>17.100000000000001</v>
      </c>
      <c r="R1469" s="563">
        <f t="shared" si="90"/>
        <v>1.4728459540142236E-2</v>
      </c>
      <c r="S1469" s="563">
        <f t="shared" si="91"/>
        <v>4.9723756906077554E-2</v>
      </c>
      <c r="AA1469" s="594">
        <v>43833</v>
      </c>
      <c r="AB1469" s="595" t="s">
        <v>449</v>
      </c>
      <c r="AC1469" s="595">
        <v>42323.3</v>
      </c>
      <c r="AD1469" s="596" t="s">
        <v>395</v>
      </c>
      <c r="AE1469" s="595">
        <v>176.05</v>
      </c>
      <c r="AF1469" s="597">
        <f t="shared" si="92"/>
        <v>-3.706619184779214E-3</v>
      </c>
      <c r="AG1469" s="597">
        <f t="shared" si="93"/>
        <v>-6.8821571613921773E-3</v>
      </c>
    </row>
    <row r="1470" spans="13:33" x14ac:dyDescent="0.35">
      <c r="M1470" s="555">
        <v>43838</v>
      </c>
      <c r="N1470" s="543" t="s">
        <v>449</v>
      </c>
      <c r="O1470" s="543">
        <v>41357.56</v>
      </c>
      <c r="P1470" s="73" t="s">
        <v>431</v>
      </c>
      <c r="Q1470" s="158">
        <v>16.52</v>
      </c>
      <c r="R1470" s="563">
        <f t="shared" si="90"/>
        <v>-1.3051352278169892E-2</v>
      </c>
      <c r="S1470" s="563">
        <f t="shared" si="91"/>
        <v>-3.3918128654970903E-2</v>
      </c>
      <c r="AA1470" s="594">
        <v>43836</v>
      </c>
      <c r="AB1470" s="595" t="s">
        <v>449</v>
      </c>
      <c r="AC1470" s="595">
        <v>41296.239999999998</v>
      </c>
      <c r="AD1470" s="596" t="s">
        <v>395</v>
      </c>
      <c r="AE1470" s="595">
        <v>173.39</v>
      </c>
      <c r="AF1470" s="597">
        <f t="shared" si="92"/>
        <v>-2.4267011315280307E-2</v>
      </c>
      <c r="AG1470" s="597">
        <f t="shared" si="93"/>
        <v>-1.5109343936381858E-2</v>
      </c>
    </row>
    <row r="1471" spans="13:33" x14ac:dyDescent="0.35">
      <c r="M1471" s="555">
        <v>43839</v>
      </c>
      <c r="N1471" s="543" t="s">
        <v>449</v>
      </c>
      <c r="O1471" s="543">
        <v>42523.07</v>
      </c>
      <c r="P1471" s="73" t="s">
        <v>431</v>
      </c>
      <c r="Q1471" s="158">
        <v>17.34</v>
      </c>
      <c r="R1471" s="563">
        <f t="shared" si="90"/>
        <v>2.8181304699793852E-2</v>
      </c>
      <c r="S1471" s="563">
        <f t="shared" si="91"/>
        <v>4.9636803874091973E-2</v>
      </c>
      <c r="AA1471" s="594">
        <v>43837</v>
      </c>
      <c r="AB1471" s="595" t="s">
        <v>449</v>
      </c>
      <c r="AC1471" s="595">
        <v>41904.47</v>
      </c>
      <c r="AD1471" s="596" t="s">
        <v>395</v>
      </c>
      <c r="AE1471" s="595">
        <v>173.5</v>
      </c>
      <c r="AF1471" s="597">
        <f t="shared" si="92"/>
        <v>1.4728459540142236E-2</v>
      </c>
      <c r="AG1471" s="597">
        <f t="shared" si="93"/>
        <v>6.3440798200598003E-4</v>
      </c>
    </row>
    <row r="1472" spans="13:33" x14ac:dyDescent="0.35">
      <c r="M1472" s="555">
        <v>43840</v>
      </c>
      <c r="N1472" s="543" t="s">
        <v>449</v>
      </c>
      <c r="O1472" s="543">
        <v>43207.05</v>
      </c>
      <c r="P1472" s="73" t="s">
        <v>431</v>
      </c>
      <c r="Q1472" s="158">
        <v>17.21</v>
      </c>
      <c r="R1472" s="563">
        <f t="shared" si="90"/>
        <v>1.6084915788065146E-2</v>
      </c>
      <c r="S1472" s="563">
        <f t="shared" si="91"/>
        <v>-7.4971164936562529E-3</v>
      </c>
      <c r="AA1472" s="594">
        <v>43838</v>
      </c>
      <c r="AB1472" s="595" t="s">
        <v>449</v>
      </c>
      <c r="AC1472" s="595">
        <v>41357.56</v>
      </c>
      <c r="AD1472" s="596" t="s">
        <v>395</v>
      </c>
      <c r="AE1472" s="595">
        <v>170.44</v>
      </c>
      <c r="AF1472" s="597">
        <f t="shared" si="92"/>
        <v>-1.3051352278169892E-2</v>
      </c>
      <c r="AG1472" s="597">
        <f t="shared" si="93"/>
        <v>-1.7636887608069141E-2</v>
      </c>
    </row>
    <row r="1473" spans="13:33" x14ac:dyDescent="0.35">
      <c r="M1473" s="555">
        <v>43843</v>
      </c>
      <c r="N1473" s="543" t="s">
        <v>449</v>
      </c>
      <c r="O1473" s="543">
        <v>43218.67</v>
      </c>
      <c r="P1473" s="73" t="s">
        <v>431</v>
      </c>
      <c r="Q1473" s="158">
        <v>17.05</v>
      </c>
      <c r="R1473" s="563">
        <f t="shared" si="90"/>
        <v>2.6893759236035208E-4</v>
      </c>
      <c r="S1473" s="563">
        <f t="shared" si="91"/>
        <v>-9.2969203951190904E-3</v>
      </c>
      <c r="AA1473" s="594">
        <v>43839</v>
      </c>
      <c r="AB1473" s="595" t="s">
        <v>449</v>
      </c>
      <c r="AC1473" s="595">
        <v>42523.07</v>
      </c>
      <c r="AD1473" s="596" t="s">
        <v>395</v>
      </c>
      <c r="AE1473" s="595">
        <v>176.65</v>
      </c>
      <c r="AF1473" s="597">
        <f t="shared" si="92"/>
        <v>2.8181304699793852E-2</v>
      </c>
      <c r="AG1473" s="597">
        <f t="shared" si="93"/>
        <v>3.6435109129312471E-2</v>
      </c>
    </row>
    <row r="1474" spans="13:33" x14ac:dyDescent="0.35">
      <c r="M1474" s="555">
        <v>43844</v>
      </c>
      <c r="N1474" s="543" t="s">
        <v>449</v>
      </c>
      <c r="O1474" s="543">
        <v>43207.040000000001</v>
      </c>
      <c r="P1474" s="73" t="s">
        <v>431</v>
      </c>
      <c r="Q1474" s="158">
        <v>16.91</v>
      </c>
      <c r="R1474" s="563">
        <f t="shared" si="90"/>
        <v>-2.6909666586216741E-4</v>
      </c>
      <c r="S1474" s="563">
        <f t="shared" si="91"/>
        <v>-8.2111436950147443E-3</v>
      </c>
      <c r="AA1474" s="594">
        <v>43840</v>
      </c>
      <c r="AB1474" s="595" t="s">
        <v>449</v>
      </c>
      <c r="AC1474" s="595">
        <v>43207.05</v>
      </c>
      <c r="AD1474" s="596" t="s">
        <v>395</v>
      </c>
      <c r="AE1474" s="595">
        <v>176.32</v>
      </c>
      <c r="AF1474" s="597">
        <f t="shared" si="92"/>
        <v>1.6084915788065146E-2</v>
      </c>
      <c r="AG1474" s="597">
        <f t="shared" si="93"/>
        <v>-1.8681007642230574E-3</v>
      </c>
    </row>
    <row r="1475" spans="13:33" x14ac:dyDescent="0.35">
      <c r="M1475" s="555">
        <v>43845</v>
      </c>
      <c r="N1475" s="543" t="s">
        <v>449</v>
      </c>
      <c r="O1475" s="543">
        <v>42993.03</v>
      </c>
      <c r="P1475" s="73" t="s">
        <v>431</v>
      </c>
      <c r="Q1475" s="158">
        <v>16.57</v>
      </c>
      <c r="R1475" s="563">
        <f t="shared" si="90"/>
        <v>-4.9531280087690144E-3</v>
      </c>
      <c r="S1475" s="563">
        <f t="shared" si="91"/>
        <v>-2.0106445890005875E-2</v>
      </c>
      <c r="AA1475" s="594">
        <v>43843</v>
      </c>
      <c r="AB1475" s="595" t="s">
        <v>449</v>
      </c>
      <c r="AC1475" s="595">
        <v>43218.67</v>
      </c>
      <c r="AD1475" s="596" t="s">
        <v>395</v>
      </c>
      <c r="AE1475" s="595">
        <v>174.6</v>
      </c>
      <c r="AF1475" s="597">
        <f t="shared" si="92"/>
        <v>2.6893759236035208E-4</v>
      </c>
      <c r="AG1475" s="597">
        <f t="shared" si="93"/>
        <v>-9.7549909255898459E-3</v>
      </c>
    </row>
    <row r="1476" spans="13:33" x14ac:dyDescent="0.35">
      <c r="M1476" s="555">
        <v>43846</v>
      </c>
      <c r="N1476" s="543" t="s">
        <v>449</v>
      </c>
      <c r="O1476" s="543">
        <v>43065.1</v>
      </c>
      <c r="P1476" s="73" t="s">
        <v>431</v>
      </c>
      <c r="Q1476" s="158">
        <v>16.38</v>
      </c>
      <c r="R1476" s="563">
        <f t="shared" si="90"/>
        <v>1.6763182311179126E-3</v>
      </c>
      <c r="S1476" s="563">
        <f t="shared" si="91"/>
        <v>-1.1466505733252919E-2</v>
      </c>
      <c r="AA1476" s="594">
        <v>43844</v>
      </c>
      <c r="AB1476" s="595" t="s">
        <v>449</v>
      </c>
      <c r="AC1476" s="595">
        <v>43207.040000000001</v>
      </c>
      <c r="AD1476" s="596" t="s">
        <v>395</v>
      </c>
      <c r="AE1476" s="595">
        <v>174.51</v>
      </c>
      <c r="AF1476" s="597">
        <f t="shared" si="92"/>
        <v>-2.6909666586216741E-4</v>
      </c>
      <c r="AG1476" s="597">
        <f t="shared" si="93"/>
        <v>-5.1546391752577136E-4</v>
      </c>
    </row>
    <row r="1477" spans="13:33" x14ac:dyDescent="0.35">
      <c r="M1477" s="555">
        <v>43847</v>
      </c>
      <c r="N1477" s="543" t="s">
        <v>449</v>
      </c>
      <c r="O1477" s="543">
        <v>43167.77</v>
      </c>
      <c r="P1477" s="73" t="s">
        <v>431</v>
      </c>
      <c r="Q1477" s="158">
        <v>16.329999999999998</v>
      </c>
      <c r="R1477" s="563">
        <f t="shared" si="90"/>
        <v>2.3840650549979969E-3</v>
      </c>
      <c r="S1477" s="563">
        <f t="shared" si="91"/>
        <v>-3.0525030525030417E-3</v>
      </c>
      <c r="AA1477" s="594">
        <v>43845</v>
      </c>
      <c r="AB1477" s="595" t="s">
        <v>449</v>
      </c>
      <c r="AC1477" s="595">
        <v>42993.03</v>
      </c>
      <c r="AD1477" s="596" t="s">
        <v>395</v>
      </c>
      <c r="AE1477" s="595">
        <v>179.34</v>
      </c>
      <c r="AF1477" s="597">
        <f t="shared" si="92"/>
        <v>-4.9531280087690144E-3</v>
      </c>
      <c r="AG1477" s="597">
        <f t="shared" si="93"/>
        <v>2.7677496991576511E-2</v>
      </c>
    </row>
    <row r="1478" spans="13:33" x14ac:dyDescent="0.35">
      <c r="M1478" s="555">
        <v>43850</v>
      </c>
      <c r="N1478" s="543" t="s">
        <v>449</v>
      </c>
      <c r="O1478" s="543">
        <v>42747.63</v>
      </c>
      <c r="P1478" s="73" t="s">
        <v>431</v>
      </c>
      <c r="Q1478" s="158">
        <v>16.09</v>
      </c>
      <c r="R1478" s="563">
        <f t="shared" si="90"/>
        <v>-9.7327242060454289E-3</v>
      </c>
      <c r="S1478" s="563">
        <f t="shared" si="91"/>
        <v>-1.4696876913655732E-2</v>
      </c>
      <c r="AA1478" s="594">
        <v>43846</v>
      </c>
      <c r="AB1478" s="595" t="s">
        <v>449</v>
      </c>
      <c r="AC1478" s="595">
        <v>43065.1</v>
      </c>
      <c r="AD1478" s="596" t="s">
        <v>395</v>
      </c>
      <c r="AE1478" s="595">
        <v>179.71</v>
      </c>
      <c r="AF1478" s="597">
        <f t="shared" si="92"/>
        <v>1.6763182311179126E-3</v>
      </c>
      <c r="AG1478" s="597">
        <f t="shared" si="93"/>
        <v>2.0631203300993661E-3</v>
      </c>
    </row>
    <row r="1479" spans="13:33" x14ac:dyDescent="0.35">
      <c r="M1479" s="555">
        <v>43851</v>
      </c>
      <c r="N1479" s="543" t="s">
        <v>449</v>
      </c>
      <c r="O1479" s="543">
        <v>42626.48</v>
      </c>
      <c r="P1479" s="73" t="s">
        <v>431</v>
      </c>
      <c r="Q1479" s="158">
        <v>15.89</v>
      </c>
      <c r="R1479" s="563">
        <f t="shared" si="90"/>
        <v>-2.8340752458088092E-3</v>
      </c>
      <c r="S1479" s="563">
        <f t="shared" si="91"/>
        <v>-1.24300807955251E-2</v>
      </c>
      <c r="AA1479" s="594">
        <v>43847</v>
      </c>
      <c r="AB1479" s="595" t="s">
        <v>449</v>
      </c>
      <c r="AC1479" s="595">
        <v>43167.77</v>
      </c>
      <c r="AD1479" s="596" t="s">
        <v>395</v>
      </c>
      <c r="AE1479" s="595">
        <v>176.05</v>
      </c>
      <c r="AF1479" s="597">
        <f t="shared" si="92"/>
        <v>2.3840650549979969E-3</v>
      </c>
      <c r="AG1479" s="597">
        <f t="shared" si="93"/>
        <v>-2.0366145456568896E-2</v>
      </c>
    </row>
    <row r="1480" spans="13:33" x14ac:dyDescent="0.35">
      <c r="M1480" s="555">
        <v>43852</v>
      </c>
      <c r="N1480" s="543" t="s">
        <v>449</v>
      </c>
      <c r="O1480" s="543">
        <v>42561.27</v>
      </c>
      <c r="P1480" s="73" t="s">
        <v>431</v>
      </c>
      <c r="Q1480" s="158">
        <v>15.99</v>
      </c>
      <c r="R1480" s="563">
        <f t="shared" si="90"/>
        <v>-1.5298002556158874E-3</v>
      </c>
      <c r="S1480" s="563">
        <f t="shared" si="91"/>
        <v>6.2932662051604638E-3</v>
      </c>
      <c r="AA1480" s="594">
        <v>43850</v>
      </c>
      <c r="AB1480" s="595" t="s">
        <v>449</v>
      </c>
      <c r="AC1480" s="595">
        <v>42747.63</v>
      </c>
      <c r="AD1480" s="596" t="s">
        <v>395</v>
      </c>
      <c r="AE1480" s="595">
        <v>180.93</v>
      </c>
      <c r="AF1480" s="597">
        <f t="shared" si="92"/>
        <v>-9.7327242060454289E-3</v>
      </c>
      <c r="AG1480" s="597">
        <f t="shared" si="93"/>
        <v>2.7719397898324338E-2</v>
      </c>
    </row>
    <row r="1481" spans="13:33" x14ac:dyDescent="0.35">
      <c r="M1481" s="555">
        <v>43853</v>
      </c>
      <c r="N1481" s="543" t="s">
        <v>449</v>
      </c>
      <c r="O1481" s="543">
        <v>42506.95</v>
      </c>
      <c r="P1481" s="73" t="s">
        <v>431</v>
      </c>
      <c r="Q1481" s="158">
        <v>15.97</v>
      </c>
      <c r="R1481" s="563">
        <f t="shared" si="90"/>
        <v>-1.2762777050591145E-3</v>
      </c>
      <c r="S1481" s="563">
        <f t="shared" si="91"/>
        <v>-1.2507817385866149E-3</v>
      </c>
      <c r="AA1481" s="594">
        <v>43851</v>
      </c>
      <c r="AB1481" s="595" t="s">
        <v>449</v>
      </c>
      <c r="AC1481" s="595">
        <v>42626.48</v>
      </c>
      <c r="AD1481" s="596" t="s">
        <v>395</v>
      </c>
      <c r="AE1481" s="595">
        <v>180.4</v>
      </c>
      <c r="AF1481" s="597">
        <f t="shared" si="92"/>
        <v>-2.8340752458088092E-3</v>
      </c>
      <c r="AG1481" s="597">
        <f t="shared" si="93"/>
        <v>-2.9293096777759375E-3</v>
      </c>
    </row>
    <row r="1482" spans="13:33" x14ac:dyDescent="0.35">
      <c r="M1482" s="555">
        <v>43854</v>
      </c>
      <c r="N1482" s="543" t="s">
        <v>449</v>
      </c>
      <c r="O1482" s="543">
        <v>42633.03</v>
      </c>
      <c r="P1482" s="73" t="s">
        <v>431</v>
      </c>
      <c r="Q1482" s="158">
        <v>16.600000000000001</v>
      </c>
      <c r="R1482" s="563">
        <f t="shared" si="90"/>
        <v>2.9661031901841994E-3</v>
      </c>
      <c r="S1482" s="563">
        <f t="shared" si="91"/>
        <v>3.9448966812773989E-2</v>
      </c>
      <c r="AA1482" s="594">
        <v>43852</v>
      </c>
      <c r="AB1482" s="595" t="s">
        <v>449</v>
      </c>
      <c r="AC1482" s="595">
        <v>42561.27</v>
      </c>
      <c r="AD1482" s="596" t="s">
        <v>395</v>
      </c>
      <c r="AE1482" s="595">
        <v>177.78</v>
      </c>
      <c r="AF1482" s="597">
        <f t="shared" si="92"/>
        <v>-1.5298002556158874E-3</v>
      </c>
      <c r="AG1482" s="597">
        <f t="shared" si="93"/>
        <v>-1.4523281596452331E-2</v>
      </c>
    </row>
    <row r="1483" spans="13:33" x14ac:dyDescent="0.35">
      <c r="M1483" s="555">
        <v>43857</v>
      </c>
      <c r="N1483" s="543" t="s">
        <v>449</v>
      </c>
      <c r="O1483" s="543">
        <v>42539.23</v>
      </c>
      <c r="P1483" s="73" t="s">
        <v>431</v>
      </c>
      <c r="Q1483" s="158">
        <v>16.25</v>
      </c>
      <c r="R1483" s="563">
        <f t="shared" si="90"/>
        <v>-2.2001720262434521E-3</v>
      </c>
      <c r="S1483" s="563">
        <f t="shared" si="91"/>
        <v>-2.108433734939763E-2</v>
      </c>
      <c r="AA1483" s="594">
        <v>43853</v>
      </c>
      <c r="AB1483" s="595" t="s">
        <v>449</v>
      </c>
      <c r="AC1483" s="595">
        <v>42506.95</v>
      </c>
      <c r="AD1483" s="596" t="s">
        <v>395</v>
      </c>
      <c r="AE1483" s="595">
        <v>180</v>
      </c>
      <c r="AF1483" s="597">
        <f t="shared" si="92"/>
        <v>-1.2762777050591145E-3</v>
      </c>
      <c r="AG1483" s="597">
        <f t="shared" si="93"/>
        <v>1.2487343908201165E-2</v>
      </c>
    </row>
    <row r="1484" spans="13:33" x14ac:dyDescent="0.35">
      <c r="M1484" s="555">
        <v>43858</v>
      </c>
      <c r="N1484" s="543" t="s">
        <v>449</v>
      </c>
      <c r="O1484" s="543">
        <v>42299.19</v>
      </c>
      <c r="P1484" s="73" t="s">
        <v>431</v>
      </c>
      <c r="Q1484" s="158">
        <v>16.28</v>
      </c>
      <c r="R1484" s="563">
        <f t="shared" si="90"/>
        <v>-5.6427913716351474E-3</v>
      </c>
      <c r="S1484" s="563">
        <f t="shared" si="91"/>
        <v>1.8461538461538307E-3</v>
      </c>
      <c r="AA1484" s="594">
        <v>43854</v>
      </c>
      <c r="AB1484" s="595" t="s">
        <v>449</v>
      </c>
      <c r="AC1484" s="595">
        <v>42633.03</v>
      </c>
      <c r="AD1484" s="596" t="s">
        <v>395</v>
      </c>
      <c r="AE1484" s="595">
        <v>177.14</v>
      </c>
      <c r="AF1484" s="597">
        <f t="shared" si="92"/>
        <v>2.9661031901841994E-3</v>
      </c>
      <c r="AG1484" s="597">
        <f t="shared" si="93"/>
        <v>-1.5888888888888952E-2</v>
      </c>
    </row>
    <row r="1485" spans="13:33" x14ac:dyDescent="0.35">
      <c r="M1485" s="555">
        <v>43859</v>
      </c>
      <c r="N1485" s="543" t="s">
        <v>449</v>
      </c>
      <c r="O1485" s="543">
        <v>41898.699999999997</v>
      </c>
      <c r="P1485" s="73" t="s">
        <v>431</v>
      </c>
      <c r="Q1485" s="158">
        <v>16.47</v>
      </c>
      <c r="R1485" s="563">
        <f t="shared" si="90"/>
        <v>-9.468030002465877E-3</v>
      </c>
      <c r="S1485" s="563">
        <f t="shared" si="91"/>
        <v>1.167076167076142E-2</v>
      </c>
      <c r="AA1485" s="594">
        <v>43857</v>
      </c>
      <c r="AB1485" s="595" t="s">
        <v>449</v>
      </c>
      <c r="AC1485" s="595">
        <v>42539.23</v>
      </c>
      <c r="AD1485" s="596" t="s">
        <v>395</v>
      </c>
      <c r="AE1485" s="595">
        <v>180.39</v>
      </c>
      <c r="AF1485" s="597">
        <f t="shared" si="92"/>
        <v>-2.2001720262434521E-3</v>
      </c>
      <c r="AG1485" s="597">
        <f t="shared" si="93"/>
        <v>1.8347070114034025E-2</v>
      </c>
    </row>
    <row r="1486" spans="13:33" x14ac:dyDescent="0.35">
      <c r="M1486" s="555">
        <v>43860</v>
      </c>
      <c r="N1486" s="543" t="s">
        <v>449</v>
      </c>
      <c r="O1486" s="543">
        <v>41903.51</v>
      </c>
      <c r="P1486" s="73" t="s">
        <v>431</v>
      </c>
      <c r="Q1486" s="158">
        <v>16.23</v>
      </c>
      <c r="R1486" s="563">
        <f t="shared" si="90"/>
        <v>1.1480069787372926E-4</v>
      </c>
      <c r="S1486" s="563">
        <f t="shared" si="91"/>
        <v>-1.4571948998178375E-2</v>
      </c>
      <c r="AA1486" s="594">
        <v>43858</v>
      </c>
      <c r="AB1486" s="595" t="s">
        <v>449</v>
      </c>
      <c r="AC1486" s="595">
        <v>42299.19</v>
      </c>
      <c r="AD1486" s="596" t="s">
        <v>395</v>
      </c>
      <c r="AE1486" s="595">
        <v>177.9</v>
      </c>
      <c r="AF1486" s="597">
        <f t="shared" si="92"/>
        <v>-5.6427913716351474E-3</v>
      </c>
      <c r="AG1486" s="597">
        <f t="shared" si="93"/>
        <v>-1.3803425910527078E-2</v>
      </c>
    </row>
    <row r="1487" spans="13:33" x14ac:dyDescent="0.35">
      <c r="M1487" s="555">
        <v>43861</v>
      </c>
      <c r="N1487" s="543" t="s">
        <v>449</v>
      </c>
      <c r="O1487" s="543">
        <v>41630.94</v>
      </c>
      <c r="P1487" s="73" t="s">
        <v>431</v>
      </c>
      <c r="Q1487" s="158">
        <v>15.76</v>
      </c>
      <c r="R1487" s="563">
        <f t="shared" si="90"/>
        <v>-6.5047056917189039E-3</v>
      </c>
      <c r="S1487" s="563">
        <f t="shared" si="91"/>
        <v>-2.8958718422674057E-2</v>
      </c>
      <c r="AA1487" s="594">
        <v>43859</v>
      </c>
      <c r="AB1487" s="595" t="s">
        <v>449</v>
      </c>
      <c r="AC1487" s="595">
        <v>41898.699999999997</v>
      </c>
      <c r="AD1487" s="596" t="s">
        <v>395</v>
      </c>
      <c r="AE1487" s="595">
        <v>176.18</v>
      </c>
      <c r="AF1487" s="597">
        <f t="shared" si="92"/>
        <v>-9.468030002465877E-3</v>
      </c>
      <c r="AG1487" s="597">
        <f t="shared" si="93"/>
        <v>-9.6683530073075064E-3</v>
      </c>
    </row>
    <row r="1488" spans="13:33" x14ac:dyDescent="0.35">
      <c r="M1488" s="555">
        <v>43864</v>
      </c>
      <c r="N1488" s="543" t="s">
        <v>449</v>
      </c>
      <c r="O1488" s="543">
        <v>40409.379999999997</v>
      </c>
      <c r="P1488" s="73" t="s">
        <v>431</v>
      </c>
      <c r="Q1488" s="158">
        <v>14.83</v>
      </c>
      <c r="R1488" s="563">
        <f t="shared" si="90"/>
        <v>-2.9342599518531243E-2</v>
      </c>
      <c r="S1488" s="563">
        <f t="shared" si="91"/>
        <v>-5.9010152284263984E-2</v>
      </c>
      <c r="AA1488" s="594">
        <v>43860</v>
      </c>
      <c r="AB1488" s="595" t="s">
        <v>449</v>
      </c>
      <c r="AC1488" s="595">
        <v>41903.51</v>
      </c>
      <c r="AD1488" s="596" t="s">
        <v>395</v>
      </c>
      <c r="AE1488" s="595">
        <v>175</v>
      </c>
      <c r="AF1488" s="597">
        <f t="shared" si="92"/>
        <v>1.1480069787372926E-4</v>
      </c>
      <c r="AG1488" s="597">
        <f t="shared" si="93"/>
        <v>-6.6976955386537362E-3</v>
      </c>
    </row>
    <row r="1489" spans="13:33" x14ac:dyDescent="0.35">
      <c r="M1489" s="555">
        <v>43865</v>
      </c>
      <c r="N1489" s="543" t="s">
        <v>449</v>
      </c>
      <c r="O1489" s="543">
        <v>40884.25</v>
      </c>
      <c r="P1489" s="73" t="s">
        <v>431</v>
      </c>
      <c r="Q1489" s="158">
        <v>14.86</v>
      </c>
      <c r="R1489" s="563">
        <f t="shared" si="90"/>
        <v>1.1751479483228966E-2</v>
      </c>
      <c r="S1489" s="563">
        <f t="shared" si="91"/>
        <v>2.0229265003370855E-3</v>
      </c>
      <c r="AA1489" s="594">
        <v>43861</v>
      </c>
      <c r="AB1489" s="595" t="s">
        <v>449</v>
      </c>
      <c r="AC1489" s="595">
        <v>41630.94</v>
      </c>
      <c r="AD1489" s="596" t="s">
        <v>395</v>
      </c>
      <c r="AE1489" s="595">
        <v>180.42</v>
      </c>
      <c r="AF1489" s="597">
        <f t="shared" si="92"/>
        <v>-6.5047056917189039E-3</v>
      </c>
      <c r="AG1489" s="597">
        <f t="shared" si="93"/>
        <v>3.0971428571428428E-2</v>
      </c>
    </row>
    <row r="1490" spans="13:33" x14ac:dyDescent="0.35">
      <c r="M1490" s="555">
        <v>43867</v>
      </c>
      <c r="N1490" s="543" t="s">
        <v>449</v>
      </c>
      <c r="O1490" s="543">
        <v>40724.410000000003</v>
      </c>
      <c r="P1490" s="73" t="s">
        <v>431</v>
      </c>
      <c r="Q1490" s="158">
        <v>14.67</v>
      </c>
      <c r="R1490" s="563">
        <f t="shared" si="90"/>
        <v>-3.9095739802000873E-3</v>
      </c>
      <c r="S1490" s="563">
        <f t="shared" si="91"/>
        <v>-1.2786002691789977E-2</v>
      </c>
      <c r="AA1490" s="594">
        <v>43864</v>
      </c>
      <c r="AB1490" s="595" t="s">
        <v>449</v>
      </c>
      <c r="AC1490" s="595">
        <v>40409.379999999997</v>
      </c>
      <c r="AD1490" s="596" t="s">
        <v>395</v>
      </c>
      <c r="AE1490" s="595">
        <v>177.75</v>
      </c>
      <c r="AF1490" s="597">
        <f t="shared" si="92"/>
        <v>-2.9342599518531243E-2</v>
      </c>
      <c r="AG1490" s="597">
        <f t="shared" si="93"/>
        <v>-1.479880279348178E-2</v>
      </c>
    </row>
    <row r="1491" spans="13:33" x14ac:dyDescent="0.35">
      <c r="M1491" s="555">
        <v>43868</v>
      </c>
      <c r="N1491" s="543" t="s">
        <v>449</v>
      </c>
      <c r="O1491" s="543">
        <v>40143.629999999997</v>
      </c>
      <c r="P1491" s="73" t="s">
        <v>431</v>
      </c>
      <c r="Q1491" s="158">
        <v>13.81</v>
      </c>
      <c r="R1491" s="563">
        <f t="shared" si="90"/>
        <v>-1.4261225638382613E-2</v>
      </c>
      <c r="S1491" s="563">
        <f t="shared" si="91"/>
        <v>-5.862304021813225E-2</v>
      </c>
      <c r="AA1491" s="589">
        <v>43865</v>
      </c>
      <c r="AB1491" s="590" t="s">
        <v>449</v>
      </c>
      <c r="AC1491" s="590">
        <v>40884.25</v>
      </c>
      <c r="AD1491" s="591" t="s">
        <v>395</v>
      </c>
      <c r="AE1491" s="590">
        <v>180</v>
      </c>
      <c r="AF1491" s="592">
        <f t="shared" si="92"/>
        <v>1.1751479483228966E-2</v>
      </c>
      <c r="AG1491" s="592">
        <f t="shared" si="93"/>
        <v>1.2658227848101333E-2</v>
      </c>
    </row>
    <row r="1492" spans="13:33" x14ac:dyDescent="0.35">
      <c r="M1492" s="555">
        <v>43871</v>
      </c>
      <c r="N1492" s="543" t="s">
        <v>449</v>
      </c>
      <c r="O1492" s="543">
        <v>39296.699999999997</v>
      </c>
      <c r="P1492" s="73" t="s">
        <v>431</v>
      </c>
      <c r="Q1492" s="158">
        <v>12.99</v>
      </c>
      <c r="R1492" s="563">
        <f t="shared" si="90"/>
        <v>-2.1097494172799047E-2</v>
      </c>
      <c r="S1492" s="563">
        <f t="shared" si="91"/>
        <v>-5.9377262853005042E-2</v>
      </c>
      <c r="AA1492" s="589">
        <v>43867</v>
      </c>
      <c r="AB1492" s="590" t="s">
        <v>449</v>
      </c>
      <c r="AC1492" s="590">
        <v>40724.410000000003</v>
      </c>
      <c r="AD1492" s="591" t="s">
        <v>395</v>
      </c>
      <c r="AE1492" s="590">
        <v>179.38</v>
      </c>
      <c r="AF1492" s="592">
        <f t="shared" si="92"/>
        <v>-3.9095739802000873E-3</v>
      </c>
      <c r="AG1492" s="592">
        <f t="shared" si="93"/>
        <v>-3.4444444444444722E-3</v>
      </c>
    </row>
    <row r="1493" spans="13:33" x14ac:dyDescent="0.35">
      <c r="M1493" s="555">
        <v>43872</v>
      </c>
      <c r="N1493" s="543" t="s">
        <v>449</v>
      </c>
      <c r="O1493" s="543">
        <v>39714.46</v>
      </c>
      <c r="P1493" s="73" t="s">
        <v>431</v>
      </c>
      <c r="Q1493" s="158">
        <v>13.76</v>
      </c>
      <c r="R1493" s="563">
        <f t="shared" si="90"/>
        <v>1.0630918117806365E-2</v>
      </c>
      <c r="S1493" s="563">
        <f t="shared" si="91"/>
        <v>5.9276366435719652E-2</v>
      </c>
      <c r="AA1493" s="594">
        <v>43868</v>
      </c>
      <c r="AB1493" s="595" t="s">
        <v>449</v>
      </c>
      <c r="AC1493" s="595">
        <v>40143.629999999997</v>
      </c>
      <c r="AD1493" s="596" t="s">
        <v>395</v>
      </c>
      <c r="AE1493" s="595">
        <v>176.21</v>
      </c>
      <c r="AF1493" s="597">
        <f t="shared" si="92"/>
        <v>-1.4261225638382613E-2</v>
      </c>
      <c r="AG1493" s="597">
        <f t="shared" si="93"/>
        <v>-1.7671981268814752E-2</v>
      </c>
    </row>
    <row r="1494" spans="13:33" x14ac:dyDescent="0.35">
      <c r="M1494" s="555">
        <v>43873</v>
      </c>
      <c r="N1494" s="543" t="s">
        <v>449</v>
      </c>
      <c r="O1494" s="543">
        <v>40531.129999999997</v>
      </c>
      <c r="P1494" s="73" t="s">
        <v>431</v>
      </c>
      <c r="Q1494" s="158">
        <v>14.59</v>
      </c>
      <c r="R1494" s="563">
        <f t="shared" si="90"/>
        <v>2.0563542850639216E-2</v>
      </c>
      <c r="S1494" s="563">
        <f t="shared" si="91"/>
        <v>6.0319767441860517E-2</v>
      </c>
      <c r="AA1494" s="594">
        <v>43871</v>
      </c>
      <c r="AB1494" s="595" t="s">
        <v>449</v>
      </c>
      <c r="AC1494" s="595">
        <v>39296.699999999997</v>
      </c>
      <c r="AD1494" s="596" t="s">
        <v>395</v>
      </c>
      <c r="AE1494" s="595">
        <v>165.64</v>
      </c>
      <c r="AF1494" s="597">
        <f t="shared" si="92"/>
        <v>-2.1097494172799047E-2</v>
      </c>
      <c r="AG1494" s="597">
        <f t="shared" si="93"/>
        <v>-5.9985244878270394E-2</v>
      </c>
    </row>
    <row r="1495" spans="13:33" x14ac:dyDescent="0.35">
      <c r="M1495" s="555">
        <v>43874</v>
      </c>
      <c r="N1495" s="543" t="s">
        <v>449</v>
      </c>
      <c r="O1495" s="543">
        <v>40455.440000000002</v>
      </c>
      <c r="P1495" s="73" t="s">
        <v>431</v>
      </c>
      <c r="Q1495" s="158">
        <v>15.46</v>
      </c>
      <c r="R1495" s="563">
        <f t="shared" si="90"/>
        <v>-1.8674534857526792E-3</v>
      </c>
      <c r="S1495" s="563">
        <f t="shared" si="91"/>
        <v>5.9629883481836954E-2</v>
      </c>
      <c r="AA1495" s="594">
        <v>43872</v>
      </c>
      <c r="AB1495" s="595" t="s">
        <v>449</v>
      </c>
      <c r="AC1495" s="595">
        <v>39714.46</v>
      </c>
      <c r="AD1495" s="596" t="s">
        <v>395</v>
      </c>
      <c r="AE1495" s="595">
        <v>169.75</v>
      </c>
      <c r="AF1495" s="597">
        <f t="shared" si="92"/>
        <v>1.0630918117806365E-2</v>
      </c>
      <c r="AG1495" s="597">
        <f t="shared" si="93"/>
        <v>2.4812847138372396E-2</v>
      </c>
    </row>
    <row r="1496" spans="13:33" x14ac:dyDescent="0.35">
      <c r="M1496" s="526">
        <v>43878</v>
      </c>
      <c r="N1496" s="524" t="s">
        <v>449</v>
      </c>
      <c r="O1496" s="524">
        <v>40276.93</v>
      </c>
      <c r="P1496" s="73" t="s">
        <v>431</v>
      </c>
      <c r="Q1496">
        <v>16.13</v>
      </c>
      <c r="R1496" s="563">
        <f t="shared" si="90"/>
        <v>-4.4125091705837782E-3</v>
      </c>
      <c r="S1496" s="563">
        <f t="shared" si="91"/>
        <v>4.3337645536869251E-2</v>
      </c>
      <c r="AA1496" s="589">
        <v>43873</v>
      </c>
      <c r="AB1496" s="590" t="s">
        <v>449</v>
      </c>
      <c r="AC1496" s="590">
        <v>40531.129999999997</v>
      </c>
      <c r="AD1496" s="591" t="s">
        <v>395</v>
      </c>
      <c r="AE1496" s="590">
        <v>176.31</v>
      </c>
      <c r="AF1496" s="592">
        <f t="shared" si="92"/>
        <v>2.0563542850639216E-2</v>
      </c>
      <c r="AG1496" s="592">
        <f t="shared" si="93"/>
        <v>3.864506627393216E-2</v>
      </c>
    </row>
    <row r="1497" spans="13:33" x14ac:dyDescent="0.35">
      <c r="M1497" s="555">
        <v>43879</v>
      </c>
      <c r="N1497" s="543" t="s">
        <v>449</v>
      </c>
      <c r="O1497" s="543">
        <v>40175.35</v>
      </c>
      <c r="P1497" s="73" t="s">
        <v>431</v>
      </c>
      <c r="Q1497" s="158">
        <v>15.67</v>
      </c>
      <c r="R1497" s="563">
        <f t="shared" si="90"/>
        <v>-2.5220392914753198E-3</v>
      </c>
      <c r="S1497" s="563">
        <f t="shared" si="91"/>
        <v>-2.8518288902665834E-2</v>
      </c>
      <c r="AA1497" s="589">
        <v>43874</v>
      </c>
      <c r="AB1497" s="590" t="s">
        <v>449</v>
      </c>
      <c r="AC1497" s="590">
        <v>40455.440000000002</v>
      </c>
      <c r="AD1497" s="591" t="s">
        <v>395</v>
      </c>
      <c r="AE1497" s="590">
        <v>179.03</v>
      </c>
      <c r="AF1497" s="592">
        <f t="shared" si="92"/>
        <v>-1.8674534857526792E-3</v>
      </c>
      <c r="AG1497" s="592">
        <f t="shared" si="93"/>
        <v>1.5427372242073689E-2</v>
      </c>
    </row>
    <row r="1498" spans="13:33" x14ac:dyDescent="0.35">
      <c r="M1498" s="555">
        <v>43880</v>
      </c>
      <c r="N1498" s="543" t="s">
        <v>449</v>
      </c>
      <c r="O1498" s="543">
        <v>40574.519999999997</v>
      </c>
      <c r="P1498" s="73" t="s">
        <v>431</v>
      </c>
      <c r="Q1498" s="158">
        <v>16</v>
      </c>
      <c r="R1498" s="563">
        <f t="shared" ref="R1498:R1561" si="94">(O1498/O1497)-1</f>
        <v>9.9356943996753433E-3</v>
      </c>
      <c r="S1498" s="563">
        <f t="shared" ref="S1498:S1561" si="95">(Q1498/Q1497)-1</f>
        <v>2.105934907466489E-2</v>
      </c>
      <c r="AA1498" s="589">
        <v>43878</v>
      </c>
      <c r="AB1498" s="590" t="s">
        <v>449</v>
      </c>
      <c r="AC1498" s="590">
        <v>40276.93</v>
      </c>
      <c r="AD1498" s="591" t="s">
        <v>395</v>
      </c>
      <c r="AE1498" s="590">
        <v>176.06</v>
      </c>
      <c r="AF1498" s="592">
        <f t="shared" si="92"/>
        <v>-4.4125091705837782E-3</v>
      </c>
      <c r="AG1498" s="592">
        <f t="shared" si="93"/>
        <v>-1.658939842484497E-2</v>
      </c>
    </row>
    <row r="1499" spans="13:33" x14ac:dyDescent="0.35">
      <c r="M1499" s="555">
        <v>43881</v>
      </c>
      <c r="N1499" s="543" t="s">
        <v>449</v>
      </c>
      <c r="O1499" s="543">
        <v>40481.65</v>
      </c>
      <c r="P1499" s="73" t="s">
        <v>431</v>
      </c>
      <c r="Q1499" s="158">
        <v>15.82</v>
      </c>
      <c r="R1499" s="563">
        <f t="shared" si="94"/>
        <v>-2.288874889955439E-3</v>
      </c>
      <c r="S1499" s="563">
        <f t="shared" si="95"/>
        <v>-1.1249999999999982E-2</v>
      </c>
      <c r="AA1499" s="594">
        <v>43879</v>
      </c>
      <c r="AB1499" s="595" t="s">
        <v>449</v>
      </c>
      <c r="AC1499" s="595">
        <v>40175.35</v>
      </c>
      <c r="AD1499" s="596" t="s">
        <v>395</v>
      </c>
      <c r="AE1499" s="595">
        <v>164.62</v>
      </c>
      <c r="AF1499" s="597">
        <f t="shared" si="92"/>
        <v>-2.5220392914753198E-3</v>
      </c>
      <c r="AG1499" s="597">
        <f t="shared" si="93"/>
        <v>-6.4977848460752052E-2</v>
      </c>
    </row>
    <row r="1500" spans="13:33" x14ac:dyDescent="0.35">
      <c r="M1500" s="555">
        <v>43882</v>
      </c>
      <c r="N1500" s="543" t="s">
        <v>449</v>
      </c>
      <c r="O1500" s="543">
        <v>40249.22</v>
      </c>
      <c r="P1500" s="73" t="s">
        <v>431</v>
      </c>
      <c r="Q1500" s="158">
        <v>15.85</v>
      </c>
      <c r="R1500" s="563">
        <f t="shared" si="94"/>
        <v>-5.7416137929160449E-3</v>
      </c>
      <c r="S1500" s="563">
        <f t="shared" si="95"/>
        <v>1.8963337547408532E-3</v>
      </c>
      <c r="AA1500" s="594">
        <v>43880</v>
      </c>
      <c r="AB1500" s="595" t="s">
        <v>449</v>
      </c>
      <c r="AC1500" s="595">
        <v>40574.519999999997</v>
      </c>
      <c r="AD1500" s="596" t="s">
        <v>395</v>
      </c>
      <c r="AE1500" s="595">
        <v>169.35</v>
      </c>
      <c r="AF1500" s="597">
        <f t="shared" ref="AF1500:AF1563" si="96">(AC1500/AC1499)-1</f>
        <v>9.9356943996753433E-3</v>
      </c>
      <c r="AG1500" s="597">
        <f t="shared" ref="AG1500:AG1563" si="97">(AE1500/AE1499)-1</f>
        <v>2.8732839266188748E-2</v>
      </c>
    </row>
    <row r="1501" spans="13:33" x14ac:dyDescent="0.35">
      <c r="M1501" s="555">
        <v>43885</v>
      </c>
      <c r="N1501" s="543" t="s">
        <v>449</v>
      </c>
      <c r="O1501" s="543">
        <v>39143.730000000003</v>
      </c>
      <c r="P1501" s="73" t="s">
        <v>431</v>
      </c>
      <c r="Q1501" s="158">
        <v>14.97</v>
      </c>
      <c r="R1501" s="563">
        <f t="shared" si="94"/>
        <v>-2.7466122324854902E-2</v>
      </c>
      <c r="S1501" s="563">
        <f t="shared" si="95"/>
        <v>-5.5520504731861098E-2</v>
      </c>
      <c r="AA1501" s="594">
        <v>43881</v>
      </c>
      <c r="AB1501" s="595" t="s">
        <v>449</v>
      </c>
      <c r="AC1501" s="595">
        <v>40481.65</v>
      </c>
      <c r="AD1501" s="596" t="s">
        <v>395</v>
      </c>
      <c r="AE1501" s="595">
        <v>165.17</v>
      </c>
      <c r="AF1501" s="597">
        <f t="shared" si="96"/>
        <v>-2.288874889955439E-3</v>
      </c>
      <c r="AG1501" s="597">
        <f t="shared" si="97"/>
        <v>-2.4682609979332804E-2</v>
      </c>
    </row>
    <row r="1502" spans="13:33" x14ac:dyDescent="0.35">
      <c r="M1502" s="555">
        <v>43886</v>
      </c>
      <c r="N1502" s="543" t="s">
        <v>449</v>
      </c>
      <c r="O1502" s="543">
        <v>38858.449999999997</v>
      </c>
      <c r="P1502" s="73" t="s">
        <v>431</v>
      </c>
      <c r="Q1502" s="158">
        <v>14.91</v>
      </c>
      <c r="R1502" s="563">
        <f t="shared" si="94"/>
        <v>-7.2880126651192478E-3</v>
      </c>
      <c r="S1502" s="563">
        <f t="shared" si="95"/>
        <v>-4.0080160320641323E-3</v>
      </c>
      <c r="AA1502" s="594">
        <v>43882</v>
      </c>
      <c r="AB1502" s="595" t="s">
        <v>449</v>
      </c>
      <c r="AC1502" s="595">
        <v>40249.22</v>
      </c>
      <c r="AD1502" s="596" t="s">
        <v>395</v>
      </c>
      <c r="AE1502" s="595">
        <v>165.05</v>
      </c>
      <c r="AF1502" s="597">
        <f t="shared" si="96"/>
        <v>-5.7416137929160449E-3</v>
      </c>
      <c r="AG1502" s="597">
        <f t="shared" si="97"/>
        <v>-7.2652418720087208E-4</v>
      </c>
    </row>
    <row r="1503" spans="13:33" x14ac:dyDescent="0.35">
      <c r="M1503" s="555">
        <v>43887</v>
      </c>
      <c r="N1503" s="543" t="s">
        <v>449</v>
      </c>
      <c r="O1503" s="543">
        <v>38338.33</v>
      </c>
      <c r="P1503" s="73" t="s">
        <v>431</v>
      </c>
      <c r="Q1503" s="158">
        <v>15.76</v>
      </c>
      <c r="R1503" s="563">
        <f t="shared" si="94"/>
        <v>-1.3384990909312999E-2</v>
      </c>
      <c r="S1503" s="563">
        <f t="shared" si="95"/>
        <v>5.7008718980549933E-2</v>
      </c>
      <c r="AA1503" s="594">
        <v>43885</v>
      </c>
      <c r="AB1503" s="595" t="s">
        <v>449</v>
      </c>
      <c r="AC1503" s="595">
        <v>39143.730000000003</v>
      </c>
      <c r="AD1503" s="596" t="s">
        <v>395</v>
      </c>
      <c r="AE1503" s="595">
        <v>163.26</v>
      </c>
      <c r="AF1503" s="597">
        <f t="shared" si="96"/>
        <v>-2.7466122324854902E-2</v>
      </c>
      <c r="AG1503" s="597">
        <f t="shared" si="97"/>
        <v>-1.0845198424719871E-2</v>
      </c>
    </row>
    <row r="1504" spans="13:33" x14ac:dyDescent="0.35">
      <c r="M1504" s="555">
        <v>43888</v>
      </c>
      <c r="N1504" s="543" t="s">
        <v>449</v>
      </c>
      <c r="O1504" s="543">
        <v>38087.32</v>
      </c>
      <c r="P1504" s="73" t="s">
        <v>431</v>
      </c>
      <c r="Q1504" s="158">
        <v>15.27</v>
      </c>
      <c r="R1504" s="563">
        <f t="shared" si="94"/>
        <v>-6.5472335388631064E-3</v>
      </c>
      <c r="S1504" s="563">
        <f t="shared" si="95"/>
        <v>-3.1091370558375631E-2</v>
      </c>
      <c r="AA1504" s="594">
        <v>43886</v>
      </c>
      <c r="AB1504" s="595" t="s">
        <v>449</v>
      </c>
      <c r="AC1504" s="595">
        <v>38858.449999999997</v>
      </c>
      <c r="AD1504" s="596" t="s">
        <v>395</v>
      </c>
      <c r="AE1504" s="595">
        <v>167.6</v>
      </c>
      <c r="AF1504" s="597">
        <f t="shared" si="96"/>
        <v>-7.2880126651192478E-3</v>
      </c>
      <c r="AG1504" s="597">
        <f t="shared" si="97"/>
        <v>2.6583363959328699E-2</v>
      </c>
    </row>
    <row r="1505" spans="13:33" x14ac:dyDescent="0.35">
      <c r="M1505" s="555">
        <v>43889</v>
      </c>
      <c r="N1505" s="543" t="s">
        <v>449</v>
      </c>
      <c r="O1505" s="543">
        <v>37983.620000000003</v>
      </c>
      <c r="P1505" s="73" t="s">
        <v>431</v>
      </c>
      <c r="Q1505" s="158">
        <v>15.19</v>
      </c>
      <c r="R1505" s="563">
        <f t="shared" si="94"/>
        <v>-2.7226909113058362E-3</v>
      </c>
      <c r="S1505" s="563">
        <f t="shared" si="95"/>
        <v>-5.2390307793058755E-3</v>
      </c>
      <c r="AA1505" s="594">
        <v>43887</v>
      </c>
      <c r="AB1505" s="595" t="s">
        <v>449</v>
      </c>
      <c r="AC1505" s="595">
        <v>38338.33</v>
      </c>
      <c r="AD1505" s="596" t="s">
        <v>395</v>
      </c>
      <c r="AE1505" s="595">
        <v>167.18</v>
      </c>
      <c r="AF1505" s="597">
        <f t="shared" si="96"/>
        <v>-1.3384990909312999E-2</v>
      </c>
      <c r="AG1505" s="597">
        <f t="shared" si="97"/>
        <v>-2.5059665871121073E-3</v>
      </c>
    </row>
    <row r="1506" spans="13:33" x14ac:dyDescent="0.35">
      <c r="M1506" s="555">
        <v>43892</v>
      </c>
      <c r="N1506" s="543" t="s">
        <v>449</v>
      </c>
      <c r="O1506" s="543">
        <v>39296.300000000003</v>
      </c>
      <c r="P1506" s="73" t="s">
        <v>431</v>
      </c>
      <c r="Q1506" s="158">
        <v>15.97</v>
      </c>
      <c r="R1506" s="563">
        <f t="shared" si="94"/>
        <v>3.4559107320471405E-2</v>
      </c>
      <c r="S1506" s="563">
        <f t="shared" si="95"/>
        <v>5.1349572086899276E-2</v>
      </c>
      <c r="AA1506" s="594">
        <v>43888</v>
      </c>
      <c r="AB1506" s="595" t="s">
        <v>449</v>
      </c>
      <c r="AC1506" s="595">
        <v>38087.32</v>
      </c>
      <c r="AD1506" s="596" t="s">
        <v>395</v>
      </c>
      <c r="AE1506" s="595">
        <v>166.5</v>
      </c>
      <c r="AF1506" s="597">
        <f t="shared" si="96"/>
        <v>-6.5472335388631064E-3</v>
      </c>
      <c r="AG1506" s="597">
        <f t="shared" si="97"/>
        <v>-4.0674721856681639E-3</v>
      </c>
    </row>
    <row r="1507" spans="13:33" x14ac:dyDescent="0.35">
      <c r="M1507" s="555">
        <v>43893</v>
      </c>
      <c r="N1507" s="543" t="s">
        <v>449</v>
      </c>
      <c r="O1507" s="543">
        <v>39199.68</v>
      </c>
      <c r="P1507" s="73" t="s">
        <v>431</v>
      </c>
      <c r="Q1507" s="158">
        <v>17.079999999999998</v>
      </c>
      <c r="R1507" s="563">
        <f t="shared" si="94"/>
        <v>-2.4587556589298343E-3</v>
      </c>
      <c r="S1507" s="563">
        <f t="shared" si="95"/>
        <v>6.9505322479649134E-2</v>
      </c>
      <c r="AA1507" s="594">
        <v>43889</v>
      </c>
      <c r="AB1507" s="595" t="s">
        <v>449</v>
      </c>
      <c r="AC1507" s="595">
        <v>37983.620000000003</v>
      </c>
      <c r="AD1507" s="596" t="s">
        <v>395</v>
      </c>
      <c r="AE1507" s="595">
        <v>165</v>
      </c>
      <c r="AF1507" s="597">
        <f t="shared" si="96"/>
        <v>-2.7226909113058362E-3</v>
      </c>
      <c r="AG1507" s="597">
        <f t="shared" si="97"/>
        <v>-9.009009009009028E-3</v>
      </c>
    </row>
    <row r="1508" spans="13:33" x14ac:dyDescent="0.35">
      <c r="M1508" s="555">
        <v>43894</v>
      </c>
      <c r="N1508" s="543" t="s">
        <v>449</v>
      </c>
      <c r="O1508" s="543">
        <v>38906.400000000001</v>
      </c>
      <c r="P1508" s="73" t="s">
        <v>431</v>
      </c>
      <c r="Q1508" s="158">
        <v>17.05</v>
      </c>
      <c r="R1508" s="563">
        <f t="shared" si="94"/>
        <v>-7.4816937281120266E-3</v>
      </c>
      <c r="S1508" s="563">
        <f t="shared" si="95"/>
        <v>-1.7564402810302804E-3</v>
      </c>
      <c r="AA1508" s="594">
        <v>43892</v>
      </c>
      <c r="AB1508" s="595" t="s">
        <v>449</v>
      </c>
      <c r="AC1508" s="595">
        <v>39296.300000000003</v>
      </c>
      <c r="AD1508" s="596" t="s">
        <v>395</v>
      </c>
      <c r="AE1508" s="595">
        <v>172</v>
      </c>
      <c r="AF1508" s="597">
        <f t="shared" si="96"/>
        <v>3.4559107320471405E-2</v>
      </c>
      <c r="AG1508" s="597">
        <f t="shared" si="97"/>
        <v>4.2424242424242475E-2</v>
      </c>
    </row>
    <row r="1509" spans="13:33" x14ac:dyDescent="0.35">
      <c r="M1509" s="555">
        <v>43895</v>
      </c>
      <c r="N1509" s="543" t="s">
        <v>449</v>
      </c>
      <c r="O1509" s="543">
        <v>39382.11</v>
      </c>
      <c r="P1509" s="73" t="s">
        <v>431</v>
      </c>
      <c r="Q1509" s="158">
        <v>16.850000000000001</v>
      </c>
      <c r="R1509" s="563">
        <f t="shared" si="94"/>
        <v>1.2227037196965052E-2</v>
      </c>
      <c r="S1509" s="563">
        <f t="shared" si="95"/>
        <v>-1.1730205278592365E-2</v>
      </c>
      <c r="AA1509" s="594">
        <v>43893</v>
      </c>
      <c r="AB1509" s="595" t="s">
        <v>449</v>
      </c>
      <c r="AC1509" s="595">
        <v>39199.68</v>
      </c>
      <c r="AD1509" s="596" t="s">
        <v>395</v>
      </c>
      <c r="AE1509" s="595">
        <v>171.96</v>
      </c>
      <c r="AF1509" s="597">
        <f t="shared" si="96"/>
        <v>-2.4587556589298343E-3</v>
      </c>
      <c r="AG1509" s="597">
        <f t="shared" si="97"/>
        <v>-2.3255813953482196E-4</v>
      </c>
    </row>
    <row r="1510" spans="13:33" x14ac:dyDescent="0.35">
      <c r="M1510" s="555">
        <v>43896</v>
      </c>
      <c r="N1510" s="543" t="s">
        <v>449</v>
      </c>
      <c r="O1510" s="543">
        <v>38219.67</v>
      </c>
      <c r="P1510" s="73" t="s">
        <v>431</v>
      </c>
      <c r="Q1510" s="158">
        <v>16.11</v>
      </c>
      <c r="R1510" s="563">
        <f t="shared" si="94"/>
        <v>-2.9516955795410693E-2</v>
      </c>
      <c r="S1510" s="563">
        <f t="shared" si="95"/>
        <v>-4.3916913946587699E-2</v>
      </c>
      <c r="AA1510" s="594">
        <v>43894</v>
      </c>
      <c r="AB1510" s="595" t="s">
        <v>449</v>
      </c>
      <c r="AC1510" s="595">
        <v>38906.400000000001</v>
      </c>
      <c r="AD1510" s="596" t="s">
        <v>395</v>
      </c>
      <c r="AE1510" s="595">
        <v>168.45</v>
      </c>
      <c r="AF1510" s="597">
        <f t="shared" si="96"/>
        <v>-7.4816937281120266E-3</v>
      </c>
      <c r="AG1510" s="597">
        <f t="shared" si="97"/>
        <v>-2.0411723656664438E-2</v>
      </c>
    </row>
    <row r="1511" spans="13:33" x14ac:dyDescent="0.35">
      <c r="M1511" s="555">
        <v>43899</v>
      </c>
      <c r="N1511" s="543" t="s">
        <v>449</v>
      </c>
      <c r="O1511" s="543">
        <v>37058.949999999997</v>
      </c>
      <c r="P1511" s="73" t="s">
        <v>431</v>
      </c>
      <c r="Q1511" s="158">
        <v>16.52</v>
      </c>
      <c r="R1511" s="563">
        <f t="shared" si="94"/>
        <v>-3.0369702302505575E-2</v>
      </c>
      <c r="S1511" s="563">
        <f t="shared" si="95"/>
        <v>2.5450031036623244E-2</v>
      </c>
      <c r="AA1511" s="589">
        <v>43895</v>
      </c>
      <c r="AB1511" s="590" t="s">
        <v>449</v>
      </c>
      <c r="AC1511" s="590">
        <v>39382.11</v>
      </c>
      <c r="AD1511" s="591" t="s">
        <v>395</v>
      </c>
      <c r="AE1511" s="590">
        <v>171.99</v>
      </c>
      <c r="AF1511" s="592">
        <f t="shared" si="96"/>
        <v>1.2227037196965052E-2</v>
      </c>
      <c r="AG1511" s="592">
        <f t="shared" si="97"/>
        <v>2.1015138023152469E-2</v>
      </c>
    </row>
    <row r="1512" spans="13:33" x14ac:dyDescent="0.35">
      <c r="M1512" s="555">
        <v>43900</v>
      </c>
      <c r="N1512" s="543" t="s">
        <v>449</v>
      </c>
      <c r="O1512" s="543">
        <v>37695.75</v>
      </c>
      <c r="P1512" s="73" t="s">
        <v>431</v>
      </c>
      <c r="Q1512" s="158">
        <v>16.47</v>
      </c>
      <c r="R1512" s="563">
        <f t="shared" si="94"/>
        <v>1.7183433421616101E-2</v>
      </c>
      <c r="S1512" s="563">
        <f t="shared" si="95"/>
        <v>-3.0266343825666731E-3</v>
      </c>
      <c r="AA1512" s="589">
        <v>43896</v>
      </c>
      <c r="AB1512" s="590" t="s">
        <v>449</v>
      </c>
      <c r="AC1512" s="590">
        <v>38219.67</v>
      </c>
      <c r="AD1512" s="591" t="s">
        <v>395</v>
      </c>
      <c r="AE1512" s="590">
        <v>171.27</v>
      </c>
      <c r="AF1512" s="592">
        <f t="shared" si="96"/>
        <v>-2.9516955795410693E-2</v>
      </c>
      <c r="AG1512" s="592">
        <f t="shared" si="97"/>
        <v>-4.1862899005755683E-3</v>
      </c>
    </row>
    <row r="1513" spans="13:33" x14ac:dyDescent="0.35">
      <c r="M1513" s="555">
        <v>43901</v>
      </c>
      <c r="N1513" s="543" t="s">
        <v>449</v>
      </c>
      <c r="O1513" s="543">
        <v>37673.25</v>
      </c>
      <c r="P1513" s="73" t="s">
        <v>431</v>
      </c>
      <c r="Q1513" s="158">
        <v>15.78</v>
      </c>
      <c r="R1513" s="563">
        <f t="shared" si="94"/>
        <v>-5.9688426414117313E-4</v>
      </c>
      <c r="S1513" s="563">
        <f t="shared" si="95"/>
        <v>-4.1894353369763215E-2</v>
      </c>
      <c r="AA1513" s="589">
        <v>43899</v>
      </c>
      <c r="AB1513" s="590" t="s">
        <v>449</v>
      </c>
      <c r="AC1513" s="590">
        <v>37058.949999999997</v>
      </c>
      <c r="AD1513" s="591" t="s">
        <v>395</v>
      </c>
      <c r="AE1513" s="590">
        <v>154.91</v>
      </c>
      <c r="AF1513" s="592">
        <f t="shared" si="96"/>
        <v>-3.0369702302505575E-2</v>
      </c>
      <c r="AG1513" s="592">
        <f t="shared" si="97"/>
        <v>-9.5521690897413469E-2</v>
      </c>
    </row>
    <row r="1514" spans="13:33" x14ac:dyDescent="0.35">
      <c r="M1514" s="555">
        <v>43902</v>
      </c>
      <c r="N1514" s="543" t="s">
        <v>449</v>
      </c>
      <c r="O1514" s="543">
        <v>35956.69</v>
      </c>
      <c r="P1514" s="73" t="s">
        <v>431</v>
      </c>
      <c r="Q1514" s="158">
        <v>14.71</v>
      </c>
      <c r="R1514" s="563">
        <f t="shared" si="94"/>
        <v>-4.5564425686660859E-2</v>
      </c>
      <c r="S1514" s="563">
        <f t="shared" si="95"/>
        <v>-6.780735107731295E-2</v>
      </c>
      <c r="AA1514" s="589">
        <v>43900</v>
      </c>
      <c r="AB1514" s="590" t="s">
        <v>449</v>
      </c>
      <c r="AC1514" s="590">
        <v>37695.75</v>
      </c>
      <c r="AD1514" s="591" t="s">
        <v>395</v>
      </c>
      <c r="AE1514" s="590">
        <v>155.38</v>
      </c>
      <c r="AF1514" s="592">
        <f t="shared" si="96"/>
        <v>1.7183433421616101E-2</v>
      </c>
      <c r="AG1514" s="592">
        <f t="shared" si="97"/>
        <v>3.034019753405115E-3</v>
      </c>
    </row>
    <row r="1515" spans="13:33" x14ac:dyDescent="0.35">
      <c r="M1515" s="555">
        <v>43903</v>
      </c>
      <c r="N1515" s="543" t="s">
        <v>449</v>
      </c>
      <c r="O1515" s="543">
        <v>36060.879999999997</v>
      </c>
      <c r="P1515" s="73" t="s">
        <v>431</v>
      </c>
      <c r="Q1515" s="158">
        <v>14.19</v>
      </c>
      <c r="R1515" s="563">
        <f t="shared" si="94"/>
        <v>2.8976527038500066E-3</v>
      </c>
      <c r="S1515" s="563">
        <f t="shared" si="95"/>
        <v>-3.5350101971448056E-2</v>
      </c>
      <c r="AA1515" s="589">
        <v>43901</v>
      </c>
      <c r="AB1515" s="590" t="s">
        <v>449</v>
      </c>
      <c r="AC1515" s="590">
        <v>37673.25</v>
      </c>
      <c r="AD1515" s="591" t="s">
        <v>395</v>
      </c>
      <c r="AE1515" s="590">
        <v>150.69</v>
      </c>
      <c r="AF1515" s="592">
        <f t="shared" si="96"/>
        <v>-5.9688426414117313E-4</v>
      </c>
      <c r="AG1515" s="592">
        <f t="shared" si="97"/>
        <v>-3.0184064873214012E-2</v>
      </c>
    </row>
    <row r="1516" spans="13:33" x14ac:dyDescent="0.35">
      <c r="M1516" s="555">
        <v>43906</v>
      </c>
      <c r="N1516" s="543" t="s">
        <v>449</v>
      </c>
      <c r="O1516" s="543">
        <v>33684.910000000003</v>
      </c>
      <c r="P1516" s="73" t="s">
        <v>431</v>
      </c>
      <c r="Q1516" s="158">
        <v>13.13</v>
      </c>
      <c r="R1516" s="563">
        <f t="shared" si="94"/>
        <v>-6.5887743172102109E-2</v>
      </c>
      <c r="S1516" s="563">
        <f t="shared" si="95"/>
        <v>-7.4700493305144389E-2</v>
      </c>
      <c r="AA1516" s="589">
        <v>43902</v>
      </c>
      <c r="AB1516" s="590" t="s">
        <v>449</v>
      </c>
      <c r="AC1516" s="590">
        <v>35956.69</v>
      </c>
      <c r="AD1516" s="591" t="s">
        <v>395</v>
      </c>
      <c r="AE1516" s="590">
        <v>149</v>
      </c>
      <c r="AF1516" s="592">
        <f t="shared" si="96"/>
        <v>-4.5564425686660859E-2</v>
      </c>
      <c r="AG1516" s="592">
        <f t="shared" si="97"/>
        <v>-1.1215077311035881E-2</v>
      </c>
    </row>
    <row r="1517" spans="13:33" x14ac:dyDescent="0.35">
      <c r="M1517" s="555">
        <v>43907</v>
      </c>
      <c r="N1517" s="543" t="s">
        <v>449</v>
      </c>
      <c r="O1517" s="543">
        <v>32616.93</v>
      </c>
      <c r="P1517" s="73" t="s">
        <v>431</v>
      </c>
      <c r="Q1517" s="158">
        <v>12.91</v>
      </c>
      <c r="R1517" s="563">
        <f t="shared" si="94"/>
        <v>-3.1704997875903529E-2</v>
      </c>
      <c r="S1517" s="563">
        <f t="shared" si="95"/>
        <v>-1.6755521706016796E-2</v>
      </c>
      <c r="AA1517" s="589">
        <v>43903</v>
      </c>
      <c r="AB1517" s="590" t="s">
        <v>449</v>
      </c>
      <c r="AC1517" s="590">
        <v>36060.879999999997</v>
      </c>
      <c r="AD1517" s="591" t="s">
        <v>395</v>
      </c>
      <c r="AE1517" s="590">
        <v>146.02000000000001</v>
      </c>
      <c r="AF1517" s="592">
        <f t="shared" si="96"/>
        <v>2.8976527038500066E-3</v>
      </c>
      <c r="AG1517" s="592">
        <f t="shared" si="97"/>
        <v>-1.9999999999999907E-2</v>
      </c>
    </row>
    <row r="1518" spans="13:33" x14ac:dyDescent="0.35">
      <c r="M1518" s="555">
        <v>43908</v>
      </c>
      <c r="N1518" s="543" t="s">
        <v>449</v>
      </c>
      <c r="O1518" s="543">
        <v>30416.05</v>
      </c>
      <c r="P1518" s="73" t="s">
        <v>431</v>
      </c>
      <c r="Q1518" s="158">
        <v>11.91</v>
      </c>
      <c r="R1518" s="563">
        <f t="shared" si="94"/>
        <v>-6.7476614138731073E-2</v>
      </c>
      <c r="S1518" s="563">
        <f t="shared" si="95"/>
        <v>-7.7459333849728917E-2</v>
      </c>
      <c r="AA1518" s="594">
        <v>43906</v>
      </c>
      <c r="AB1518" s="595" t="s">
        <v>449</v>
      </c>
      <c r="AC1518" s="595">
        <v>33684.910000000003</v>
      </c>
      <c r="AD1518" s="596" t="s">
        <v>395</v>
      </c>
      <c r="AE1518" s="595">
        <v>138.15</v>
      </c>
      <c r="AF1518" s="597">
        <f t="shared" si="96"/>
        <v>-6.5887743172102109E-2</v>
      </c>
      <c r="AG1518" s="597">
        <f t="shared" si="97"/>
        <v>-5.3896726475825218E-2</v>
      </c>
    </row>
    <row r="1519" spans="13:33" x14ac:dyDescent="0.35">
      <c r="M1519" s="555">
        <v>43909</v>
      </c>
      <c r="N1519" s="543" t="s">
        <v>449</v>
      </c>
      <c r="O1519" s="543">
        <v>30129.83</v>
      </c>
      <c r="P1519" s="73" t="s">
        <v>431</v>
      </c>
      <c r="Q1519" s="158">
        <v>11.01</v>
      </c>
      <c r="R1519" s="563">
        <f t="shared" si="94"/>
        <v>-9.4101633841342514E-3</v>
      </c>
      <c r="S1519" s="563">
        <f t="shared" si="95"/>
        <v>-7.5566750629722956E-2</v>
      </c>
      <c r="AA1519" s="594">
        <v>43907</v>
      </c>
      <c r="AB1519" s="595" t="s">
        <v>449</v>
      </c>
      <c r="AC1519" s="595">
        <v>32616.93</v>
      </c>
      <c r="AD1519" s="596" t="s">
        <v>395</v>
      </c>
      <c r="AE1519" s="595">
        <v>137</v>
      </c>
      <c r="AF1519" s="597">
        <f t="shared" si="96"/>
        <v>-3.1704997875903529E-2</v>
      </c>
      <c r="AG1519" s="597">
        <f t="shared" si="97"/>
        <v>-8.3242851972493703E-3</v>
      </c>
    </row>
    <row r="1520" spans="13:33" x14ac:dyDescent="0.35">
      <c r="M1520" s="555">
        <v>43910</v>
      </c>
      <c r="N1520" s="543" t="s">
        <v>449</v>
      </c>
      <c r="O1520" s="543">
        <v>30667.41</v>
      </c>
      <c r="P1520" s="73" t="s">
        <v>431</v>
      </c>
      <c r="Q1520" s="158">
        <v>11.37</v>
      </c>
      <c r="R1520" s="563">
        <f t="shared" si="94"/>
        <v>1.7842118591442357E-2</v>
      </c>
      <c r="S1520" s="563">
        <f t="shared" si="95"/>
        <v>3.2697547683923744E-2</v>
      </c>
      <c r="AA1520" s="589">
        <v>43908</v>
      </c>
      <c r="AB1520" s="590" t="s">
        <v>449</v>
      </c>
      <c r="AC1520" s="590">
        <v>30416.05</v>
      </c>
      <c r="AD1520" s="591" t="s">
        <v>395</v>
      </c>
      <c r="AE1520" s="590">
        <v>126.73</v>
      </c>
      <c r="AF1520" s="592">
        <f t="shared" si="96"/>
        <v>-6.7476614138731073E-2</v>
      </c>
      <c r="AG1520" s="592">
        <f t="shared" si="97"/>
        <v>-7.4963503649634999E-2</v>
      </c>
    </row>
    <row r="1521" spans="13:33" x14ac:dyDescent="0.35">
      <c r="M1521" s="555">
        <v>43914</v>
      </c>
      <c r="N1521" s="543" t="s">
        <v>449</v>
      </c>
      <c r="O1521" s="543">
        <v>28564.83</v>
      </c>
      <c r="P1521" s="73" t="s">
        <v>431</v>
      </c>
      <c r="Q1521" s="158">
        <v>10.37</v>
      </c>
      <c r="R1521" s="563">
        <f t="shared" si="94"/>
        <v>-6.8560729451883851E-2</v>
      </c>
      <c r="S1521" s="563">
        <f t="shared" si="95"/>
        <v>-8.795074758135446E-2</v>
      </c>
      <c r="AA1521" s="589">
        <v>43909</v>
      </c>
      <c r="AB1521" s="590" t="s">
        <v>449</v>
      </c>
      <c r="AC1521" s="590">
        <v>30129.83</v>
      </c>
      <c r="AD1521" s="591" t="s">
        <v>395</v>
      </c>
      <c r="AE1521" s="590">
        <v>120</v>
      </c>
      <c r="AF1521" s="592">
        <f t="shared" si="96"/>
        <v>-9.4101633841342514E-3</v>
      </c>
      <c r="AG1521" s="592">
        <f t="shared" si="97"/>
        <v>-5.3105026434151381E-2</v>
      </c>
    </row>
    <row r="1522" spans="13:33" x14ac:dyDescent="0.35">
      <c r="M1522" s="555">
        <v>43915</v>
      </c>
      <c r="N1522" s="543" t="s">
        <v>449</v>
      </c>
      <c r="O1522" s="543">
        <v>27228.799999999999</v>
      </c>
      <c r="P1522" s="73" t="s">
        <v>431</v>
      </c>
      <c r="Q1522" s="158">
        <v>9.5</v>
      </c>
      <c r="R1522" s="563">
        <f t="shared" si="94"/>
        <v>-4.6771851959210076E-2</v>
      </c>
      <c r="S1522" s="563">
        <f t="shared" si="95"/>
        <v>-8.3895853423336497E-2</v>
      </c>
      <c r="AA1522" s="589">
        <v>43910</v>
      </c>
      <c r="AB1522" s="590" t="s">
        <v>449</v>
      </c>
      <c r="AC1522" s="590">
        <v>30667.41</v>
      </c>
      <c r="AD1522" s="591" t="s">
        <v>395</v>
      </c>
      <c r="AE1522" s="590">
        <v>122.1</v>
      </c>
      <c r="AF1522" s="592">
        <f t="shared" si="96"/>
        <v>1.7842118591442357E-2</v>
      </c>
      <c r="AG1522" s="592">
        <f t="shared" si="97"/>
        <v>1.7499999999999849E-2</v>
      </c>
    </row>
    <row r="1523" spans="13:33" x14ac:dyDescent="0.35">
      <c r="M1523" s="555">
        <v>43916</v>
      </c>
      <c r="N1523" s="543" t="s">
        <v>449</v>
      </c>
      <c r="O1523" s="543">
        <v>27267.200000000001</v>
      </c>
      <c r="P1523" s="73" t="s">
        <v>431</v>
      </c>
      <c r="Q1523" s="158">
        <v>9.5299999999999994</v>
      </c>
      <c r="R1523" s="563">
        <f t="shared" si="94"/>
        <v>1.4102714772594727E-3</v>
      </c>
      <c r="S1523" s="563">
        <f t="shared" si="95"/>
        <v>3.1578947368420263E-3</v>
      </c>
      <c r="AA1523" s="589">
        <v>43914</v>
      </c>
      <c r="AB1523" s="590" t="s">
        <v>449</v>
      </c>
      <c r="AC1523" s="590">
        <v>28564.83</v>
      </c>
      <c r="AD1523" s="591" t="s">
        <v>395</v>
      </c>
      <c r="AE1523" s="590">
        <v>112.98</v>
      </c>
      <c r="AF1523" s="592">
        <f t="shared" si="96"/>
        <v>-6.8560729451883851E-2</v>
      </c>
      <c r="AG1523" s="592">
        <f t="shared" si="97"/>
        <v>-7.4692874692874667E-2</v>
      </c>
    </row>
    <row r="1524" spans="13:33" x14ac:dyDescent="0.35">
      <c r="M1524" s="555">
        <v>43917</v>
      </c>
      <c r="N1524" s="543" t="s">
        <v>449</v>
      </c>
      <c r="O1524" s="543">
        <v>28109.57</v>
      </c>
      <c r="P1524" s="73" t="s">
        <v>431</v>
      </c>
      <c r="Q1524" s="158">
        <v>9.8800000000000008</v>
      </c>
      <c r="R1524" s="563">
        <f t="shared" si="94"/>
        <v>3.0893161013965553E-2</v>
      </c>
      <c r="S1524" s="563">
        <f t="shared" si="95"/>
        <v>3.6726128016789206E-2</v>
      </c>
      <c r="AA1524" s="589">
        <v>43915</v>
      </c>
      <c r="AB1524" s="590" t="s">
        <v>449</v>
      </c>
      <c r="AC1524" s="590">
        <v>27228.799999999999</v>
      </c>
      <c r="AD1524" s="591" t="s">
        <v>395</v>
      </c>
      <c r="AE1524" s="590">
        <v>111.35</v>
      </c>
      <c r="AF1524" s="592">
        <f t="shared" si="96"/>
        <v>-4.6771851959210076E-2</v>
      </c>
      <c r="AG1524" s="592">
        <f t="shared" si="97"/>
        <v>-1.4427332271198523E-2</v>
      </c>
    </row>
    <row r="1525" spans="13:33" x14ac:dyDescent="0.35">
      <c r="M1525" s="555">
        <v>43920</v>
      </c>
      <c r="N1525" s="543" t="s">
        <v>449</v>
      </c>
      <c r="O1525" s="543">
        <v>28023.39</v>
      </c>
      <c r="P1525" s="73" t="s">
        <v>431</v>
      </c>
      <c r="Q1525" s="158">
        <v>9.73</v>
      </c>
      <c r="R1525" s="563">
        <f t="shared" si="94"/>
        <v>-3.0658597765814699E-3</v>
      </c>
      <c r="S1525" s="563">
        <f t="shared" si="95"/>
        <v>-1.5182186234817818E-2</v>
      </c>
      <c r="AA1525" s="594">
        <v>43916</v>
      </c>
      <c r="AB1525" s="595" t="s">
        <v>449</v>
      </c>
      <c r="AC1525" s="595">
        <v>27267.200000000001</v>
      </c>
      <c r="AD1525" s="596" t="s">
        <v>395</v>
      </c>
      <c r="AE1525" s="595">
        <v>112</v>
      </c>
      <c r="AF1525" s="597">
        <f t="shared" si="96"/>
        <v>1.4102714772594727E-3</v>
      </c>
      <c r="AG1525" s="597">
        <f t="shared" si="97"/>
        <v>5.837449483610202E-3</v>
      </c>
    </row>
    <row r="1526" spans="13:33" x14ac:dyDescent="0.35">
      <c r="M1526" s="555">
        <v>43921</v>
      </c>
      <c r="N1526" s="543" t="s">
        <v>449</v>
      </c>
      <c r="O1526" s="543">
        <v>29231.63</v>
      </c>
      <c r="P1526" s="73" t="s">
        <v>431</v>
      </c>
      <c r="Q1526" s="158">
        <v>10.62</v>
      </c>
      <c r="R1526" s="563">
        <f t="shared" si="94"/>
        <v>4.3115411804210746E-2</v>
      </c>
      <c r="S1526" s="563">
        <f t="shared" si="95"/>
        <v>9.1469681397738922E-2</v>
      </c>
      <c r="AA1526" s="589">
        <v>43917</v>
      </c>
      <c r="AB1526" s="590" t="s">
        <v>449</v>
      </c>
      <c r="AC1526" s="590">
        <v>28109.57</v>
      </c>
      <c r="AD1526" s="591" t="s">
        <v>395</v>
      </c>
      <c r="AE1526" s="590">
        <v>118.61</v>
      </c>
      <c r="AF1526" s="592">
        <f t="shared" si="96"/>
        <v>3.0893161013965553E-2</v>
      </c>
      <c r="AG1526" s="592">
        <f t="shared" si="97"/>
        <v>5.9017857142857233E-2</v>
      </c>
    </row>
    <row r="1527" spans="13:33" x14ac:dyDescent="0.35">
      <c r="M1527" s="555">
        <v>43922</v>
      </c>
      <c r="N1527" s="543" t="s">
        <v>449</v>
      </c>
      <c r="O1527" s="543">
        <v>29505.57</v>
      </c>
      <c r="P1527" s="73" t="s">
        <v>431</v>
      </c>
      <c r="Q1527" s="158">
        <v>11.24</v>
      </c>
      <c r="R1527" s="563">
        <f t="shared" si="94"/>
        <v>9.3713556171859391E-3</v>
      </c>
      <c r="S1527" s="563">
        <f t="shared" si="95"/>
        <v>5.8380414312617868E-2</v>
      </c>
      <c r="AA1527" s="589">
        <v>43920</v>
      </c>
      <c r="AB1527" s="590" t="s">
        <v>449</v>
      </c>
      <c r="AC1527" s="590">
        <v>28023.39</v>
      </c>
      <c r="AD1527" s="591" t="s">
        <v>395</v>
      </c>
      <c r="AE1527" s="590">
        <v>120.13</v>
      </c>
      <c r="AF1527" s="592">
        <f t="shared" si="96"/>
        <v>-3.0658597765814699E-3</v>
      </c>
      <c r="AG1527" s="592">
        <f t="shared" si="97"/>
        <v>1.281510833825128E-2</v>
      </c>
    </row>
    <row r="1528" spans="13:33" x14ac:dyDescent="0.35">
      <c r="M1528" s="555">
        <v>43923</v>
      </c>
      <c r="N1528" s="543" t="s">
        <v>449</v>
      </c>
      <c r="O1528" s="543">
        <v>30782.66</v>
      </c>
      <c r="P1528" s="73" t="s">
        <v>431</v>
      </c>
      <c r="Q1528" s="158">
        <v>12.24</v>
      </c>
      <c r="R1528" s="563">
        <f t="shared" si="94"/>
        <v>4.3283014020742527E-2</v>
      </c>
      <c r="S1528" s="563">
        <f t="shared" si="95"/>
        <v>8.8967971530249157E-2</v>
      </c>
      <c r="AA1528" s="594">
        <v>43921</v>
      </c>
      <c r="AB1528" s="595" t="s">
        <v>449</v>
      </c>
      <c r="AC1528" s="595">
        <v>29231.63</v>
      </c>
      <c r="AD1528" s="596" t="s">
        <v>395</v>
      </c>
      <c r="AE1528" s="595">
        <v>124.99</v>
      </c>
      <c r="AF1528" s="597">
        <f t="shared" si="96"/>
        <v>4.3115411804210746E-2</v>
      </c>
      <c r="AG1528" s="597">
        <f t="shared" si="97"/>
        <v>4.045617247981359E-2</v>
      </c>
    </row>
    <row r="1529" spans="13:33" x14ac:dyDescent="0.35">
      <c r="M1529" s="555">
        <v>43924</v>
      </c>
      <c r="N1529" s="543" t="s">
        <v>449</v>
      </c>
      <c r="O1529" s="543">
        <v>31621.79</v>
      </c>
      <c r="P1529" s="73" t="s">
        <v>431</v>
      </c>
      <c r="Q1529" s="158">
        <v>12.83</v>
      </c>
      <c r="R1529" s="563">
        <f t="shared" si="94"/>
        <v>2.7259827448310237E-2</v>
      </c>
      <c r="S1529" s="563">
        <f t="shared" si="95"/>
        <v>4.8202614379085018E-2</v>
      </c>
      <c r="AA1529" s="594">
        <v>43922</v>
      </c>
      <c r="AB1529" s="595" t="s">
        <v>449</v>
      </c>
      <c r="AC1529" s="595">
        <v>29505.57</v>
      </c>
      <c r="AD1529" s="596" t="s">
        <v>395</v>
      </c>
      <c r="AE1529" s="595">
        <v>124.58</v>
      </c>
      <c r="AF1529" s="597">
        <f t="shared" si="96"/>
        <v>9.3713556171859391E-3</v>
      </c>
      <c r="AG1529" s="597">
        <f t="shared" si="97"/>
        <v>-3.2802624209936626E-3</v>
      </c>
    </row>
    <row r="1530" spans="13:33" x14ac:dyDescent="0.35">
      <c r="M1530" s="555">
        <v>43927</v>
      </c>
      <c r="N1530" s="543" t="s">
        <v>449</v>
      </c>
      <c r="O1530" s="543">
        <v>30579.15</v>
      </c>
      <c r="P1530" s="73" t="s">
        <v>431</v>
      </c>
      <c r="Q1530" s="158">
        <v>12.04</v>
      </c>
      <c r="R1530" s="563">
        <f t="shared" si="94"/>
        <v>-3.297220049845373E-2</v>
      </c>
      <c r="S1530" s="563">
        <f t="shared" si="95"/>
        <v>-6.1574434918160614E-2</v>
      </c>
      <c r="AA1530" s="589">
        <v>43923</v>
      </c>
      <c r="AB1530" s="590" t="s">
        <v>449</v>
      </c>
      <c r="AC1530" s="590">
        <v>30782.66</v>
      </c>
      <c r="AD1530" s="591" t="s">
        <v>395</v>
      </c>
      <c r="AE1530" s="590">
        <v>129.72</v>
      </c>
      <c r="AF1530" s="592">
        <f t="shared" si="96"/>
        <v>4.3283014020742527E-2</v>
      </c>
      <c r="AG1530" s="592">
        <f t="shared" si="97"/>
        <v>4.1258628993417812E-2</v>
      </c>
    </row>
    <row r="1531" spans="13:33" x14ac:dyDescent="0.35">
      <c r="M1531" s="555">
        <v>43928</v>
      </c>
      <c r="N1531" s="543" t="s">
        <v>449</v>
      </c>
      <c r="O1531" s="543">
        <v>31231.55</v>
      </c>
      <c r="P1531" s="73" t="s">
        <v>431</v>
      </c>
      <c r="Q1531" s="158">
        <v>12.37</v>
      </c>
      <c r="R1531" s="563">
        <f t="shared" si="94"/>
        <v>2.1334798383866094E-2</v>
      </c>
      <c r="S1531" s="563">
        <f t="shared" si="95"/>
        <v>2.7408637873754138E-2</v>
      </c>
      <c r="AA1531" s="589">
        <v>43924</v>
      </c>
      <c r="AB1531" s="590" t="s">
        <v>449</v>
      </c>
      <c r="AC1531" s="590">
        <v>31621.79</v>
      </c>
      <c r="AD1531" s="591" t="s">
        <v>395</v>
      </c>
      <c r="AE1531" s="590">
        <v>130.96</v>
      </c>
      <c r="AF1531" s="592">
        <f t="shared" si="96"/>
        <v>2.7259827448310237E-2</v>
      </c>
      <c r="AG1531" s="592">
        <f t="shared" si="97"/>
        <v>9.5590502621030193E-3</v>
      </c>
    </row>
    <row r="1532" spans="13:33" x14ac:dyDescent="0.35">
      <c r="M1532" s="555">
        <v>43929</v>
      </c>
      <c r="N1532" s="543" t="s">
        <v>449</v>
      </c>
      <c r="O1532" s="543">
        <v>30971.27</v>
      </c>
      <c r="P1532" s="73" t="s">
        <v>431</v>
      </c>
      <c r="Q1532" s="158">
        <v>12.1</v>
      </c>
      <c r="R1532" s="563">
        <f t="shared" si="94"/>
        <v>-8.3338803229425773E-3</v>
      </c>
      <c r="S1532" s="563">
        <f t="shared" si="95"/>
        <v>-2.1827000808407382E-2</v>
      </c>
      <c r="AA1532" s="594">
        <v>43927</v>
      </c>
      <c r="AB1532" s="595" t="s">
        <v>449</v>
      </c>
      <c r="AC1532" s="595">
        <v>30579.15</v>
      </c>
      <c r="AD1532" s="596" t="s">
        <v>395</v>
      </c>
      <c r="AE1532" s="595">
        <v>124.77</v>
      </c>
      <c r="AF1532" s="597">
        <f t="shared" si="96"/>
        <v>-3.297220049845373E-2</v>
      </c>
      <c r="AG1532" s="597">
        <f t="shared" si="97"/>
        <v>-4.7266340867440526E-2</v>
      </c>
    </row>
    <row r="1533" spans="13:33" x14ac:dyDescent="0.35">
      <c r="M1533" s="555">
        <v>43930</v>
      </c>
      <c r="N1533" s="543" t="s">
        <v>449</v>
      </c>
      <c r="O1533" s="543">
        <v>31837.3</v>
      </c>
      <c r="P1533" s="73" t="s">
        <v>431</v>
      </c>
      <c r="Q1533" s="158">
        <v>12.58</v>
      </c>
      <c r="R1533" s="563">
        <f t="shared" si="94"/>
        <v>2.796236641248484E-2</v>
      </c>
      <c r="S1533" s="563">
        <f t="shared" si="95"/>
        <v>3.966942148760344E-2</v>
      </c>
      <c r="AA1533" s="594">
        <v>43928</v>
      </c>
      <c r="AB1533" s="595" t="s">
        <v>449</v>
      </c>
      <c r="AC1533" s="595">
        <v>31231.55</v>
      </c>
      <c r="AD1533" s="596" t="s">
        <v>395</v>
      </c>
      <c r="AE1533" s="595">
        <v>125.4</v>
      </c>
      <c r="AF1533" s="597">
        <f t="shared" si="96"/>
        <v>2.1334798383866094E-2</v>
      </c>
      <c r="AG1533" s="597">
        <f t="shared" si="97"/>
        <v>5.0492906948786942E-3</v>
      </c>
    </row>
    <row r="1534" spans="13:33" x14ac:dyDescent="0.35">
      <c r="M1534" s="555">
        <v>43931</v>
      </c>
      <c r="N1534" s="543" t="s">
        <v>449</v>
      </c>
      <c r="O1534" s="543">
        <v>32033.200000000001</v>
      </c>
      <c r="P1534" s="73" t="s">
        <v>431</v>
      </c>
      <c r="Q1534" s="158">
        <v>12.94</v>
      </c>
      <c r="R1534" s="563">
        <f t="shared" si="94"/>
        <v>6.1531599727364661E-3</v>
      </c>
      <c r="S1534" s="563">
        <f t="shared" si="95"/>
        <v>2.8616852146263971E-2</v>
      </c>
      <c r="AA1534" s="594">
        <v>43929</v>
      </c>
      <c r="AB1534" s="595" t="s">
        <v>449</v>
      </c>
      <c r="AC1534" s="595">
        <v>30971.27</v>
      </c>
      <c r="AD1534" s="596" t="s">
        <v>395</v>
      </c>
      <c r="AE1534" s="595">
        <v>123.68</v>
      </c>
      <c r="AF1534" s="597">
        <f t="shared" si="96"/>
        <v>-8.3338803229425773E-3</v>
      </c>
      <c r="AG1534" s="597">
        <f t="shared" si="97"/>
        <v>-1.3716108452950571E-2</v>
      </c>
    </row>
    <row r="1535" spans="13:33" x14ac:dyDescent="0.35">
      <c r="M1535" s="555">
        <v>43934</v>
      </c>
      <c r="N1535" s="543" t="s">
        <v>449</v>
      </c>
      <c r="O1535" s="543">
        <v>31032.99</v>
      </c>
      <c r="P1535" s="73" t="s">
        <v>431</v>
      </c>
      <c r="Q1535" s="158">
        <v>12.29</v>
      </c>
      <c r="R1535" s="563">
        <f t="shared" si="94"/>
        <v>-3.1224167426295191E-2</v>
      </c>
      <c r="S1535" s="563">
        <f t="shared" si="95"/>
        <v>-5.0231839258114364E-2</v>
      </c>
      <c r="AA1535" s="594">
        <v>43930</v>
      </c>
      <c r="AB1535" s="595" t="s">
        <v>449</v>
      </c>
      <c r="AC1535" s="595">
        <v>31837.3</v>
      </c>
      <c r="AD1535" s="596" t="s">
        <v>395</v>
      </c>
      <c r="AE1535" s="595">
        <v>128</v>
      </c>
      <c r="AF1535" s="597">
        <f t="shared" si="96"/>
        <v>2.796236641248484E-2</v>
      </c>
      <c r="AG1535" s="597">
        <f t="shared" si="97"/>
        <v>3.4928848641655907E-2</v>
      </c>
    </row>
    <row r="1536" spans="13:33" x14ac:dyDescent="0.35">
      <c r="M1536" s="555">
        <v>43935</v>
      </c>
      <c r="N1536" s="543" t="s">
        <v>449</v>
      </c>
      <c r="O1536" s="543">
        <v>31222.74</v>
      </c>
      <c r="P1536" s="73" t="s">
        <v>431</v>
      </c>
      <c r="Q1536" s="158">
        <v>12.3</v>
      </c>
      <c r="R1536" s="563">
        <f t="shared" si="94"/>
        <v>6.1144607722298794E-3</v>
      </c>
      <c r="S1536" s="563">
        <f t="shared" si="95"/>
        <v>8.1366965012219516E-4</v>
      </c>
      <c r="AA1536" s="594">
        <v>43931</v>
      </c>
      <c r="AB1536" s="595" t="s">
        <v>449</v>
      </c>
      <c r="AC1536" s="595">
        <v>32033.200000000001</v>
      </c>
      <c r="AD1536" s="596" t="s">
        <v>395</v>
      </c>
      <c r="AE1536" s="595">
        <v>126.52</v>
      </c>
      <c r="AF1536" s="597">
        <f t="shared" si="96"/>
        <v>6.1531599727364661E-3</v>
      </c>
      <c r="AG1536" s="597">
        <f t="shared" si="97"/>
        <v>-1.1562500000000031E-2</v>
      </c>
    </row>
    <row r="1537" spans="13:33" x14ac:dyDescent="0.35">
      <c r="M1537" s="555">
        <v>43936</v>
      </c>
      <c r="N1537" s="543" t="s">
        <v>449</v>
      </c>
      <c r="O1537" s="543">
        <v>31242.19</v>
      </c>
      <c r="P1537" s="73" t="s">
        <v>431</v>
      </c>
      <c r="Q1537" s="158">
        <v>12.44</v>
      </c>
      <c r="R1537" s="563">
        <f t="shared" si="94"/>
        <v>6.2294340599189368E-4</v>
      </c>
      <c r="S1537" s="563">
        <f t="shared" si="95"/>
        <v>1.1382113821138073E-2</v>
      </c>
      <c r="AA1537" s="594">
        <v>43934</v>
      </c>
      <c r="AB1537" s="595" t="s">
        <v>449</v>
      </c>
      <c r="AC1537" s="595">
        <v>31032.99</v>
      </c>
      <c r="AD1537" s="596" t="s">
        <v>395</v>
      </c>
      <c r="AE1537" s="595">
        <v>125.35</v>
      </c>
      <c r="AF1537" s="597">
        <f t="shared" si="96"/>
        <v>-3.1224167426295191E-2</v>
      </c>
      <c r="AG1537" s="597">
        <f t="shared" si="97"/>
        <v>-9.2475497944989327E-3</v>
      </c>
    </row>
    <row r="1538" spans="13:33" x14ac:dyDescent="0.35">
      <c r="M1538" s="555">
        <v>43937</v>
      </c>
      <c r="N1538" s="543" t="s">
        <v>449</v>
      </c>
      <c r="O1538" s="543">
        <v>31329.46</v>
      </c>
      <c r="P1538" s="73" t="s">
        <v>431</v>
      </c>
      <c r="Q1538" s="158">
        <v>12.43</v>
      </c>
      <c r="R1538" s="563">
        <f t="shared" si="94"/>
        <v>2.7933381110607503E-3</v>
      </c>
      <c r="S1538" s="563">
        <f t="shared" si="95"/>
        <v>-8.03858520900258E-4</v>
      </c>
      <c r="AA1538" s="594">
        <v>43935</v>
      </c>
      <c r="AB1538" s="595" t="s">
        <v>449</v>
      </c>
      <c r="AC1538" s="595">
        <v>31222.74</v>
      </c>
      <c r="AD1538" s="596" t="s">
        <v>395</v>
      </c>
      <c r="AE1538" s="595">
        <v>123.51</v>
      </c>
      <c r="AF1538" s="597">
        <f t="shared" si="96"/>
        <v>6.1144607722298794E-3</v>
      </c>
      <c r="AG1538" s="597">
        <f t="shared" si="97"/>
        <v>-1.4678899082568697E-2</v>
      </c>
    </row>
    <row r="1539" spans="13:33" x14ac:dyDescent="0.35">
      <c r="M1539" s="555">
        <v>43938</v>
      </c>
      <c r="N1539" s="543" t="s">
        <v>449</v>
      </c>
      <c r="O1539" s="543">
        <v>32831.83</v>
      </c>
      <c r="P1539" s="73" t="s">
        <v>431</v>
      </c>
      <c r="Q1539" s="158">
        <v>13.43</v>
      </c>
      <c r="R1539" s="563">
        <f t="shared" si="94"/>
        <v>4.7953906642502098E-2</v>
      </c>
      <c r="S1539" s="563">
        <f t="shared" si="95"/>
        <v>8.0450522928398938E-2</v>
      </c>
      <c r="AA1539" s="594">
        <v>43936</v>
      </c>
      <c r="AB1539" s="595" t="s">
        <v>449</v>
      </c>
      <c r="AC1539" s="595">
        <v>31242.19</v>
      </c>
      <c r="AD1539" s="596" t="s">
        <v>395</v>
      </c>
      <c r="AE1539" s="595">
        <v>125.5</v>
      </c>
      <c r="AF1539" s="597">
        <f t="shared" si="96"/>
        <v>6.2294340599189368E-4</v>
      </c>
      <c r="AG1539" s="597">
        <f t="shared" si="97"/>
        <v>1.6112055703991546E-2</v>
      </c>
    </row>
    <row r="1540" spans="13:33" x14ac:dyDescent="0.35">
      <c r="M1540" s="555">
        <v>43941</v>
      </c>
      <c r="N1540" s="543" t="s">
        <v>449</v>
      </c>
      <c r="O1540" s="543">
        <v>33499.65</v>
      </c>
      <c r="P1540" s="73" t="s">
        <v>431</v>
      </c>
      <c r="Q1540" s="158">
        <v>13.12</v>
      </c>
      <c r="R1540" s="563">
        <f t="shared" si="94"/>
        <v>2.0340626763722947E-2</v>
      </c>
      <c r="S1540" s="563">
        <f t="shared" si="95"/>
        <v>-2.3082650781831804E-2</v>
      </c>
      <c r="AA1540" s="594">
        <v>43937</v>
      </c>
      <c r="AB1540" s="595" t="s">
        <v>449</v>
      </c>
      <c r="AC1540" s="595">
        <v>31329.46</v>
      </c>
      <c r="AD1540" s="596" t="s">
        <v>395</v>
      </c>
      <c r="AE1540" s="595">
        <v>127</v>
      </c>
      <c r="AF1540" s="597">
        <f t="shared" si="96"/>
        <v>2.7933381110607503E-3</v>
      </c>
      <c r="AG1540" s="597">
        <f t="shared" si="97"/>
        <v>1.195219123505975E-2</v>
      </c>
    </row>
    <row r="1541" spans="13:33" x14ac:dyDescent="0.35">
      <c r="M1541" s="555">
        <v>43942</v>
      </c>
      <c r="N1541" s="543" t="s">
        <v>449</v>
      </c>
      <c r="O1541" s="543">
        <v>32422.83</v>
      </c>
      <c r="P1541" s="73" t="s">
        <v>431</v>
      </c>
      <c r="Q1541" s="158">
        <v>12.29</v>
      </c>
      <c r="R1541" s="563">
        <f t="shared" si="94"/>
        <v>-3.2144216432111961E-2</v>
      </c>
      <c r="S1541" s="563">
        <f t="shared" si="95"/>
        <v>-6.3262195121951192E-2</v>
      </c>
      <c r="AA1541" s="594">
        <v>43938</v>
      </c>
      <c r="AB1541" s="595" t="s">
        <v>449</v>
      </c>
      <c r="AC1541" s="595">
        <v>32831.83</v>
      </c>
      <c r="AD1541" s="596" t="s">
        <v>395</v>
      </c>
      <c r="AE1541" s="595">
        <v>132</v>
      </c>
      <c r="AF1541" s="597">
        <f t="shared" si="96"/>
        <v>4.7953906642502098E-2</v>
      </c>
      <c r="AG1541" s="597">
        <f t="shared" si="97"/>
        <v>3.937007874015741E-2</v>
      </c>
    </row>
    <row r="1542" spans="13:33" x14ac:dyDescent="0.35">
      <c r="M1542" s="555">
        <v>43943</v>
      </c>
      <c r="N1542" s="543" t="s">
        <v>449</v>
      </c>
      <c r="O1542" s="543">
        <v>32464.23</v>
      </c>
      <c r="P1542" s="73" t="s">
        <v>431</v>
      </c>
      <c r="Q1542" s="158">
        <v>12.41</v>
      </c>
      <c r="R1542" s="563">
        <f t="shared" si="94"/>
        <v>1.2768780516689837E-3</v>
      </c>
      <c r="S1542" s="563">
        <f t="shared" si="95"/>
        <v>9.7640358014647877E-3</v>
      </c>
      <c r="AA1542" s="594">
        <v>43941</v>
      </c>
      <c r="AB1542" s="595" t="s">
        <v>449</v>
      </c>
      <c r="AC1542" s="595">
        <v>33499.65</v>
      </c>
      <c r="AD1542" s="596" t="s">
        <v>395</v>
      </c>
      <c r="AE1542" s="595">
        <v>133.5</v>
      </c>
      <c r="AF1542" s="597">
        <f t="shared" si="96"/>
        <v>2.0340626763722947E-2</v>
      </c>
      <c r="AG1542" s="597">
        <f t="shared" si="97"/>
        <v>1.1363636363636465E-2</v>
      </c>
    </row>
    <row r="1543" spans="13:33" x14ac:dyDescent="0.35">
      <c r="M1543" s="555">
        <v>43944</v>
      </c>
      <c r="N1543" s="543" t="s">
        <v>449</v>
      </c>
      <c r="O1543" s="543">
        <v>32850.83</v>
      </c>
      <c r="P1543" s="73" t="s">
        <v>431</v>
      </c>
      <c r="Q1543" s="158">
        <v>12.82</v>
      </c>
      <c r="R1543" s="563">
        <f t="shared" si="94"/>
        <v>1.1908491284099432E-2</v>
      </c>
      <c r="S1543" s="563">
        <f t="shared" si="95"/>
        <v>3.3037872683319813E-2</v>
      </c>
      <c r="AA1543" s="594">
        <v>43942</v>
      </c>
      <c r="AB1543" s="595" t="s">
        <v>449</v>
      </c>
      <c r="AC1543" s="595">
        <v>32422.83</v>
      </c>
      <c r="AD1543" s="596" t="s">
        <v>395</v>
      </c>
      <c r="AE1543" s="595">
        <v>131.72</v>
      </c>
      <c r="AF1543" s="597">
        <f t="shared" si="96"/>
        <v>-3.2144216432111961E-2</v>
      </c>
      <c r="AG1543" s="597">
        <f t="shared" si="97"/>
        <v>-1.3333333333333308E-2</v>
      </c>
    </row>
    <row r="1544" spans="13:33" x14ac:dyDescent="0.35">
      <c r="M1544" s="555">
        <v>43945</v>
      </c>
      <c r="N1544" s="543" t="s">
        <v>449</v>
      </c>
      <c r="O1544" s="543">
        <v>32806.379999999997</v>
      </c>
      <c r="P1544" s="73" t="s">
        <v>431</v>
      </c>
      <c r="Q1544" s="158">
        <v>12.48</v>
      </c>
      <c r="R1544" s="563">
        <f t="shared" si="94"/>
        <v>-1.353086055968844E-3</v>
      </c>
      <c r="S1544" s="563">
        <f t="shared" si="95"/>
        <v>-2.6521060842433664E-2</v>
      </c>
      <c r="AA1544" s="589">
        <v>43943</v>
      </c>
      <c r="AB1544" s="590" t="s">
        <v>449</v>
      </c>
      <c r="AC1544" s="590">
        <v>32464.23</v>
      </c>
      <c r="AD1544" s="591" t="s">
        <v>395</v>
      </c>
      <c r="AE1544" s="590">
        <v>133.4</v>
      </c>
      <c r="AF1544" s="592">
        <f t="shared" si="96"/>
        <v>1.2768780516689837E-3</v>
      </c>
      <c r="AG1544" s="592">
        <f t="shared" si="97"/>
        <v>1.2754327361069073E-2</v>
      </c>
    </row>
    <row r="1545" spans="13:33" x14ac:dyDescent="0.35">
      <c r="M1545" s="555">
        <v>43948</v>
      </c>
      <c r="N1545" s="543" t="s">
        <v>449</v>
      </c>
      <c r="O1545" s="543">
        <v>32314.57</v>
      </c>
      <c r="P1545" s="73" t="s">
        <v>431</v>
      </c>
      <c r="Q1545" s="158">
        <v>13.48</v>
      </c>
      <c r="R1545" s="563">
        <f t="shared" si="94"/>
        <v>-1.4991291328089185E-2</v>
      </c>
      <c r="S1545" s="563">
        <f t="shared" si="95"/>
        <v>8.0128205128205066E-2</v>
      </c>
      <c r="AA1545" s="589">
        <v>43944</v>
      </c>
      <c r="AB1545" s="590" t="s">
        <v>449</v>
      </c>
      <c r="AC1545" s="590">
        <v>32850.83</v>
      </c>
      <c r="AD1545" s="591" t="s">
        <v>395</v>
      </c>
      <c r="AE1545" s="590">
        <v>134</v>
      </c>
      <c r="AF1545" s="592">
        <f t="shared" si="96"/>
        <v>1.1908491284099432E-2</v>
      </c>
      <c r="AG1545" s="592">
        <f t="shared" si="97"/>
        <v>4.4977511244377322E-3</v>
      </c>
    </row>
    <row r="1546" spans="13:33" x14ac:dyDescent="0.35">
      <c r="M1546" s="555">
        <v>43949</v>
      </c>
      <c r="N1546" s="543" t="s">
        <v>449</v>
      </c>
      <c r="O1546" s="543">
        <v>32553.39</v>
      </c>
      <c r="P1546" s="73" t="s">
        <v>431</v>
      </c>
      <c r="Q1546" s="158">
        <v>13.17</v>
      </c>
      <c r="R1546" s="563">
        <f t="shared" si="94"/>
        <v>7.3904743278341289E-3</v>
      </c>
      <c r="S1546" s="563">
        <f t="shared" si="95"/>
        <v>-2.2997032640949544E-2</v>
      </c>
      <c r="AA1546" s="594">
        <v>43945</v>
      </c>
      <c r="AB1546" s="595" t="s">
        <v>449</v>
      </c>
      <c r="AC1546" s="595">
        <v>32806.379999999997</v>
      </c>
      <c r="AD1546" s="596" t="s">
        <v>395</v>
      </c>
      <c r="AE1546" s="595">
        <v>134.63999999999999</v>
      </c>
      <c r="AF1546" s="597">
        <f t="shared" si="96"/>
        <v>-1.353086055968844E-3</v>
      </c>
      <c r="AG1546" s="597">
        <f t="shared" si="97"/>
        <v>4.7761194029849463E-3</v>
      </c>
    </row>
    <row r="1547" spans="13:33" x14ac:dyDescent="0.35">
      <c r="M1547" s="555">
        <v>43950</v>
      </c>
      <c r="N1547" s="543" t="s">
        <v>449</v>
      </c>
      <c r="O1547" s="543">
        <v>33158.839999999997</v>
      </c>
      <c r="P1547" s="73" t="s">
        <v>431</v>
      </c>
      <c r="Q1547" s="158">
        <v>13.35</v>
      </c>
      <c r="R1547" s="563">
        <f t="shared" si="94"/>
        <v>1.8598677434208843E-2</v>
      </c>
      <c r="S1547" s="563">
        <f t="shared" si="95"/>
        <v>1.3667425968109326E-2</v>
      </c>
      <c r="AA1547" s="589">
        <v>43948</v>
      </c>
      <c r="AB1547" s="590" t="s">
        <v>449</v>
      </c>
      <c r="AC1547" s="590">
        <v>32314.57</v>
      </c>
      <c r="AD1547" s="591" t="s">
        <v>395</v>
      </c>
      <c r="AE1547" s="590">
        <v>130.16</v>
      </c>
      <c r="AF1547" s="592">
        <f t="shared" si="96"/>
        <v>-1.4991291328089185E-2</v>
      </c>
      <c r="AG1547" s="592">
        <f t="shared" si="97"/>
        <v>-3.3273915626856776E-2</v>
      </c>
    </row>
    <row r="1548" spans="13:33" x14ac:dyDescent="0.35">
      <c r="M1548" s="555">
        <v>43951</v>
      </c>
      <c r="N1548" s="543" t="s">
        <v>449</v>
      </c>
      <c r="O1548" s="543">
        <v>34111.64</v>
      </c>
      <c r="P1548" s="73" t="s">
        <v>431</v>
      </c>
      <c r="Q1548" s="158">
        <v>13.33</v>
      </c>
      <c r="R1548" s="563">
        <f t="shared" si="94"/>
        <v>2.8734418936247508E-2</v>
      </c>
      <c r="S1548" s="563">
        <f t="shared" si="95"/>
        <v>-1.4981273408238849E-3</v>
      </c>
      <c r="AA1548" s="589">
        <v>43949</v>
      </c>
      <c r="AB1548" s="590" t="s">
        <v>449</v>
      </c>
      <c r="AC1548" s="590">
        <v>32553.39</v>
      </c>
      <c r="AD1548" s="591" t="s">
        <v>395</v>
      </c>
      <c r="AE1548" s="590">
        <v>129.05000000000001</v>
      </c>
      <c r="AF1548" s="592">
        <f t="shared" si="96"/>
        <v>7.3904743278341289E-3</v>
      </c>
      <c r="AG1548" s="592">
        <f t="shared" si="97"/>
        <v>-8.5279655808234711E-3</v>
      </c>
    </row>
    <row r="1549" spans="13:33" x14ac:dyDescent="0.35">
      <c r="M1549" s="555">
        <v>43955</v>
      </c>
      <c r="N1549" s="543" t="s">
        <v>449</v>
      </c>
      <c r="O1549" s="543">
        <v>33916.639999999999</v>
      </c>
      <c r="P1549" s="73" t="s">
        <v>431</v>
      </c>
      <c r="Q1549" s="158">
        <v>13.79</v>
      </c>
      <c r="R1549" s="563">
        <f t="shared" si="94"/>
        <v>-5.7165237438012717E-3</v>
      </c>
      <c r="S1549" s="563">
        <f t="shared" si="95"/>
        <v>3.4508627156789151E-2</v>
      </c>
      <c r="AA1549" s="589">
        <v>43950</v>
      </c>
      <c r="AB1549" s="590" t="s">
        <v>449</v>
      </c>
      <c r="AC1549" s="590">
        <v>33158.839999999997</v>
      </c>
      <c r="AD1549" s="591" t="s">
        <v>395</v>
      </c>
      <c r="AE1549" s="590">
        <v>132.6</v>
      </c>
      <c r="AF1549" s="592">
        <f t="shared" si="96"/>
        <v>1.8598677434208843E-2</v>
      </c>
      <c r="AG1549" s="592">
        <f t="shared" si="97"/>
        <v>2.7508717551336659E-2</v>
      </c>
    </row>
    <row r="1550" spans="13:33" x14ac:dyDescent="0.35">
      <c r="M1550" s="555">
        <v>43956</v>
      </c>
      <c r="N1550" s="543" t="s">
        <v>449</v>
      </c>
      <c r="O1550" s="543">
        <v>33992.75</v>
      </c>
      <c r="P1550" s="73" t="s">
        <v>431</v>
      </c>
      <c r="Q1550" s="158">
        <v>13.9</v>
      </c>
      <c r="R1550" s="563">
        <f t="shared" si="94"/>
        <v>2.2440312483784641E-3</v>
      </c>
      <c r="S1550" s="563">
        <f t="shared" si="95"/>
        <v>7.9767947788254023E-3</v>
      </c>
      <c r="AA1550" s="594">
        <v>43951</v>
      </c>
      <c r="AB1550" s="595" t="s">
        <v>449</v>
      </c>
      <c r="AC1550" s="595">
        <v>34111.64</v>
      </c>
      <c r="AD1550" s="596" t="s">
        <v>395</v>
      </c>
      <c r="AE1550" s="595">
        <v>133.91999999999999</v>
      </c>
      <c r="AF1550" s="597">
        <f t="shared" si="96"/>
        <v>2.8734418936247508E-2</v>
      </c>
      <c r="AG1550" s="597">
        <f t="shared" si="97"/>
        <v>9.9547511312216841E-3</v>
      </c>
    </row>
    <row r="1551" spans="13:33" x14ac:dyDescent="0.35">
      <c r="M1551" s="555">
        <v>43957</v>
      </c>
      <c r="N1551" s="543" t="s">
        <v>449</v>
      </c>
      <c r="O1551" s="543">
        <v>33728.18</v>
      </c>
      <c r="P1551" s="73" t="s">
        <v>431</v>
      </c>
      <c r="Q1551" s="158">
        <v>14.28</v>
      </c>
      <c r="R1551" s="563">
        <f t="shared" si="94"/>
        <v>-7.7831302262982849E-3</v>
      </c>
      <c r="S1551" s="563">
        <f t="shared" si="95"/>
        <v>2.7338129496402797E-2</v>
      </c>
      <c r="AA1551" s="594">
        <v>43955</v>
      </c>
      <c r="AB1551" s="595" t="s">
        <v>449</v>
      </c>
      <c r="AC1551" s="595">
        <v>33916.639999999999</v>
      </c>
      <c r="AD1551" s="596" t="s">
        <v>395</v>
      </c>
      <c r="AE1551" s="595">
        <v>135.5</v>
      </c>
      <c r="AF1551" s="597">
        <f t="shared" si="96"/>
        <v>-5.7165237438012717E-3</v>
      </c>
      <c r="AG1551" s="597">
        <f t="shared" si="97"/>
        <v>1.1798088410991836E-2</v>
      </c>
    </row>
    <row r="1552" spans="13:33" x14ac:dyDescent="0.35">
      <c r="M1552" s="555">
        <v>43958</v>
      </c>
      <c r="N1552" s="543" t="s">
        <v>449</v>
      </c>
      <c r="O1552" s="543">
        <v>33304.160000000003</v>
      </c>
      <c r="P1552" s="73" t="s">
        <v>431</v>
      </c>
      <c r="Q1552" s="158">
        <v>13.74</v>
      </c>
      <c r="R1552" s="563">
        <f t="shared" si="94"/>
        <v>-1.2571683381670695E-2</v>
      </c>
      <c r="S1552" s="563">
        <f t="shared" si="95"/>
        <v>-3.7815126050420145E-2</v>
      </c>
      <c r="AA1552" s="594">
        <v>43956</v>
      </c>
      <c r="AB1552" s="595" t="s">
        <v>449</v>
      </c>
      <c r="AC1552" s="595">
        <v>33992.75</v>
      </c>
      <c r="AD1552" s="596" t="s">
        <v>395</v>
      </c>
      <c r="AE1552" s="595">
        <v>137.25</v>
      </c>
      <c r="AF1552" s="597">
        <f t="shared" si="96"/>
        <v>2.2440312483784641E-3</v>
      </c>
      <c r="AG1552" s="597">
        <f t="shared" si="97"/>
        <v>1.2915129151291449E-2</v>
      </c>
    </row>
    <row r="1553" spans="13:33" x14ac:dyDescent="0.35">
      <c r="M1553" s="555">
        <v>43959</v>
      </c>
      <c r="N1553" s="543" t="s">
        <v>449</v>
      </c>
      <c r="O1553" s="543">
        <v>33267.69</v>
      </c>
      <c r="P1553" s="73" t="s">
        <v>431</v>
      </c>
      <c r="Q1553" s="158">
        <v>13.43</v>
      </c>
      <c r="R1553" s="563">
        <f t="shared" si="94"/>
        <v>-1.0950583951074844E-3</v>
      </c>
      <c r="S1553" s="563">
        <f t="shared" si="95"/>
        <v>-2.2561863173216956E-2</v>
      </c>
      <c r="AA1553" s="594">
        <v>43957</v>
      </c>
      <c r="AB1553" s="595" t="s">
        <v>449</v>
      </c>
      <c r="AC1553" s="595">
        <v>33728.18</v>
      </c>
      <c r="AD1553" s="596" t="s">
        <v>395</v>
      </c>
      <c r="AE1553" s="595">
        <v>134</v>
      </c>
      <c r="AF1553" s="597">
        <f t="shared" si="96"/>
        <v>-7.7831302262982849E-3</v>
      </c>
      <c r="AG1553" s="597">
        <f t="shared" si="97"/>
        <v>-2.3679417122040025E-2</v>
      </c>
    </row>
    <row r="1554" spans="13:33" x14ac:dyDescent="0.35">
      <c r="M1554" s="555">
        <v>43962</v>
      </c>
      <c r="N1554" s="543" t="s">
        <v>449</v>
      </c>
      <c r="O1554" s="543">
        <v>33283.79</v>
      </c>
      <c r="P1554" s="73" t="s">
        <v>431</v>
      </c>
      <c r="Q1554" s="158">
        <v>13.5</v>
      </c>
      <c r="R1554" s="563">
        <f t="shared" si="94"/>
        <v>4.8395304873882772E-4</v>
      </c>
      <c r="S1554" s="563">
        <f t="shared" si="95"/>
        <v>5.2122114668653463E-3</v>
      </c>
      <c r="AA1554" s="594">
        <v>43958</v>
      </c>
      <c r="AB1554" s="595" t="s">
        <v>449</v>
      </c>
      <c r="AC1554" s="595">
        <v>33304.160000000003</v>
      </c>
      <c r="AD1554" s="596" t="s">
        <v>395</v>
      </c>
      <c r="AE1554" s="595">
        <v>133.08000000000001</v>
      </c>
      <c r="AF1554" s="597">
        <f t="shared" si="96"/>
        <v>-1.2571683381670695E-2</v>
      </c>
      <c r="AG1554" s="597">
        <f t="shared" si="97"/>
        <v>-6.8656716417909713E-3</v>
      </c>
    </row>
    <row r="1555" spans="13:33" x14ac:dyDescent="0.35">
      <c r="M1555" s="555">
        <v>43963</v>
      </c>
      <c r="N1555" s="543" t="s">
        <v>449</v>
      </c>
      <c r="O1555" s="543">
        <v>33603.019999999997</v>
      </c>
      <c r="P1555" s="73" t="s">
        <v>431</v>
      </c>
      <c r="Q1555" s="158">
        <v>13.34</v>
      </c>
      <c r="R1555" s="563">
        <f t="shared" si="94"/>
        <v>9.5911553341729849E-3</v>
      </c>
      <c r="S1555" s="563">
        <f t="shared" si="95"/>
        <v>-1.1851851851851891E-2</v>
      </c>
      <c r="AA1555" s="594">
        <v>43959</v>
      </c>
      <c r="AB1555" s="595" t="s">
        <v>449</v>
      </c>
      <c r="AC1555" s="595">
        <v>33267.69</v>
      </c>
      <c r="AD1555" s="596" t="s">
        <v>395</v>
      </c>
      <c r="AE1555" s="595">
        <v>132</v>
      </c>
      <c r="AF1555" s="597">
        <f t="shared" si="96"/>
        <v>-1.0950583951074844E-3</v>
      </c>
      <c r="AG1555" s="597">
        <f t="shared" si="97"/>
        <v>-8.1154192966637062E-3</v>
      </c>
    </row>
    <row r="1556" spans="13:33" x14ac:dyDescent="0.35">
      <c r="M1556" s="555">
        <v>43964</v>
      </c>
      <c r="N1556" s="543" t="s">
        <v>449</v>
      </c>
      <c r="O1556" s="543">
        <v>33693.040000000001</v>
      </c>
      <c r="P1556" s="73" t="s">
        <v>431</v>
      </c>
      <c r="Q1556" s="158">
        <v>13.63</v>
      </c>
      <c r="R1556" s="563">
        <f t="shared" si="94"/>
        <v>2.6789258822570439E-3</v>
      </c>
      <c r="S1556" s="563">
        <f t="shared" si="95"/>
        <v>2.1739130434782705E-2</v>
      </c>
      <c r="AA1556" s="594">
        <v>43962</v>
      </c>
      <c r="AB1556" s="595" t="s">
        <v>449</v>
      </c>
      <c r="AC1556" s="595">
        <v>33283.79</v>
      </c>
      <c r="AD1556" s="596" t="s">
        <v>395</v>
      </c>
      <c r="AE1556" s="595">
        <v>127.38</v>
      </c>
      <c r="AF1556" s="597">
        <f t="shared" si="96"/>
        <v>4.8395304873882772E-4</v>
      </c>
      <c r="AG1556" s="597">
        <f t="shared" si="97"/>
        <v>-3.5000000000000031E-2</v>
      </c>
    </row>
    <row r="1557" spans="13:33" x14ac:dyDescent="0.35">
      <c r="M1557" s="555">
        <v>43965</v>
      </c>
      <c r="N1557" s="543" t="s">
        <v>449</v>
      </c>
      <c r="O1557" s="543">
        <v>33804.9</v>
      </c>
      <c r="P1557" s="73" t="s">
        <v>431</v>
      </c>
      <c r="Q1557" s="158">
        <v>13.37</v>
      </c>
      <c r="R1557" s="563">
        <f t="shared" si="94"/>
        <v>3.3199735019457943E-3</v>
      </c>
      <c r="S1557" s="563">
        <f t="shared" si="95"/>
        <v>-1.9075568598679538E-2</v>
      </c>
      <c r="AA1557" s="594">
        <v>43963</v>
      </c>
      <c r="AB1557" s="595" t="s">
        <v>449</v>
      </c>
      <c r="AC1557" s="595">
        <v>33603.019999999997</v>
      </c>
      <c r="AD1557" s="596" t="s">
        <v>395</v>
      </c>
      <c r="AE1557" s="595">
        <v>129</v>
      </c>
      <c r="AF1557" s="597">
        <f t="shared" si="96"/>
        <v>9.5911553341729849E-3</v>
      </c>
      <c r="AG1557" s="597">
        <f t="shared" si="97"/>
        <v>1.2717852096090443E-2</v>
      </c>
    </row>
    <row r="1558" spans="13:33" x14ac:dyDescent="0.35">
      <c r="M1558" s="555">
        <v>43966</v>
      </c>
      <c r="N1558" s="543" t="s">
        <v>449</v>
      </c>
      <c r="O1558" s="543">
        <v>34008.33</v>
      </c>
      <c r="P1558" s="73" t="s">
        <v>431</v>
      </c>
      <c r="Q1558" s="158">
        <v>13.42</v>
      </c>
      <c r="R1558" s="563">
        <f t="shared" si="94"/>
        <v>6.0177666551299858E-3</v>
      </c>
      <c r="S1558" s="563">
        <f t="shared" si="95"/>
        <v>3.7397157816005944E-3</v>
      </c>
      <c r="AA1558" s="594">
        <v>43964</v>
      </c>
      <c r="AB1558" s="595" t="s">
        <v>449</v>
      </c>
      <c r="AC1558" s="595">
        <v>33693.040000000001</v>
      </c>
      <c r="AD1558" s="596" t="s">
        <v>395</v>
      </c>
      <c r="AE1558" s="595">
        <v>130</v>
      </c>
      <c r="AF1558" s="597">
        <f t="shared" si="96"/>
        <v>2.6789258822570439E-3</v>
      </c>
      <c r="AG1558" s="597">
        <f t="shared" si="97"/>
        <v>7.7519379844961378E-3</v>
      </c>
    </row>
    <row r="1559" spans="13:33" x14ac:dyDescent="0.35">
      <c r="M1559" s="555">
        <v>43969</v>
      </c>
      <c r="N1559" s="543" t="s">
        <v>449</v>
      </c>
      <c r="O1559" s="543">
        <v>33804.97</v>
      </c>
      <c r="P1559" s="73" t="s">
        <v>431</v>
      </c>
      <c r="Q1559" s="158">
        <v>13.59</v>
      </c>
      <c r="R1559" s="563">
        <f t="shared" si="94"/>
        <v>-5.9797114412851737E-3</v>
      </c>
      <c r="S1559" s="563">
        <f t="shared" si="95"/>
        <v>1.2667660208643738E-2</v>
      </c>
      <c r="AA1559" s="594">
        <v>43965</v>
      </c>
      <c r="AB1559" s="595" t="s">
        <v>449</v>
      </c>
      <c r="AC1559" s="595">
        <v>33804.9</v>
      </c>
      <c r="AD1559" s="596" t="s">
        <v>395</v>
      </c>
      <c r="AE1559" s="595">
        <v>129.78</v>
      </c>
      <c r="AF1559" s="597">
        <f t="shared" si="96"/>
        <v>3.3199735019457943E-3</v>
      </c>
      <c r="AG1559" s="597">
        <f t="shared" si="97"/>
        <v>-1.6923076923076597E-3</v>
      </c>
    </row>
    <row r="1560" spans="13:33" x14ac:dyDescent="0.35">
      <c r="M1560" s="555">
        <v>43970</v>
      </c>
      <c r="N1560" s="543" t="s">
        <v>449</v>
      </c>
      <c r="O1560" s="543">
        <v>34158.550000000003</v>
      </c>
      <c r="P1560" s="73" t="s">
        <v>431</v>
      </c>
      <c r="Q1560" s="158">
        <v>13.57</v>
      </c>
      <c r="R1560" s="563">
        <f t="shared" si="94"/>
        <v>1.0459408779241786E-2</v>
      </c>
      <c r="S1560" s="563">
        <f t="shared" si="95"/>
        <v>-1.4716703458425018E-3</v>
      </c>
      <c r="AA1560" s="594">
        <v>43966</v>
      </c>
      <c r="AB1560" s="595" t="s">
        <v>449</v>
      </c>
      <c r="AC1560" s="595">
        <v>34008.33</v>
      </c>
      <c r="AD1560" s="596" t="s">
        <v>395</v>
      </c>
      <c r="AE1560" s="595">
        <v>128.19</v>
      </c>
      <c r="AF1560" s="597">
        <f t="shared" si="96"/>
        <v>6.0177666551299858E-3</v>
      </c>
      <c r="AG1560" s="597">
        <f t="shared" si="97"/>
        <v>-1.2251502542764747E-2</v>
      </c>
    </row>
    <row r="1561" spans="13:33" x14ac:dyDescent="0.35">
      <c r="M1561" s="555">
        <v>43971</v>
      </c>
      <c r="N1561" s="543" t="s">
        <v>449</v>
      </c>
      <c r="O1561" s="543">
        <v>33932.81</v>
      </c>
      <c r="P1561" s="73" t="s">
        <v>431</v>
      </c>
      <c r="Q1561" s="158">
        <v>13.37</v>
      </c>
      <c r="R1561" s="563">
        <f t="shared" si="94"/>
        <v>-6.6085943343615616E-3</v>
      </c>
      <c r="S1561" s="563">
        <f t="shared" si="95"/>
        <v>-1.4738393515106973E-2</v>
      </c>
      <c r="AA1561" s="594">
        <v>43969</v>
      </c>
      <c r="AB1561" s="595" t="s">
        <v>449</v>
      </c>
      <c r="AC1561" s="595">
        <v>33804.97</v>
      </c>
      <c r="AD1561" s="596" t="s">
        <v>395</v>
      </c>
      <c r="AE1561" s="595">
        <v>128.44999999999999</v>
      </c>
      <c r="AF1561" s="597">
        <f t="shared" si="96"/>
        <v>-5.9797114412851737E-3</v>
      </c>
      <c r="AG1561" s="597">
        <f t="shared" si="97"/>
        <v>2.0282393322410552E-3</v>
      </c>
    </row>
    <row r="1562" spans="13:33" x14ac:dyDescent="0.35">
      <c r="M1562" s="555">
        <v>43972</v>
      </c>
      <c r="N1562" s="543" t="s">
        <v>449</v>
      </c>
      <c r="O1562" s="543">
        <v>33836.61</v>
      </c>
      <c r="P1562" s="73" t="s">
        <v>431</v>
      </c>
      <c r="Q1562" s="158">
        <v>13.15</v>
      </c>
      <c r="R1562" s="563">
        <f t="shared" ref="R1562:R1625" si="98">(O1562/O1561)-1</f>
        <v>-2.8350142531666789E-3</v>
      </c>
      <c r="S1562" s="563">
        <f t="shared" ref="S1562:S1625" si="99">(Q1562/Q1561)-1</f>
        <v>-1.6454749439042571E-2</v>
      </c>
      <c r="AA1562" s="594">
        <v>43970</v>
      </c>
      <c r="AB1562" s="595" t="s">
        <v>449</v>
      </c>
      <c r="AC1562" s="595">
        <v>34158.550000000003</v>
      </c>
      <c r="AD1562" s="596" t="s">
        <v>395</v>
      </c>
      <c r="AE1562" s="595">
        <v>127.12</v>
      </c>
      <c r="AF1562" s="597">
        <f t="shared" si="96"/>
        <v>1.0459408779241786E-2</v>
      </c>
      <c r="AG1562" s="597">
        <f t="shared" si="97"/>
        <v>-1.0354223433242438E-2</v>
      </c>
    </row>
    <row r="1563" spans="13:33" x14ac:dyDescent="0.35">
      <c r="M1563" s="555">
        <v>43979</v>
      </c>
      <c r="N1563" s="543" t="s">
        <v>449</v>
      </c>
      <c r="O1563" s="543">
        <v>33695.42</v>
      </c>
      <c r="P1563" s="73" t="s">
        <v>431</v>
      </c>
      <c r="Q1563" s="158">
        <v>13.16</v>
      </c>
      <c r="R1563" s="563">
        <f t="shared" si="98"/>
        <v>-4.1726993336508311E-3</v>
      </c>
      <c r="S1563" s="563">
        <f t="shared" si="99"/>
        <v>7.6045627376419844E-4</v>
      </c>
      <c r="AA1563" s="594">
        <v>43971</v>
      </c>
      <c r="AB1563" s="595" t="s">
        <v>449</v>
      </c>
      <c r="AC1563" s="595">
        <v>33932.81</v>
      </c>
      <c r="AD1563" s="596" t="s">
        <v>395</v>
      </c>
      <c r="AE1563" s="595">
        <v>124.59</v>
      </c>
      <c r="AF1563" s="597">
        <f t="shared" si="96"/>
        <v>-6.6085943343615616E-3</v>
      </c>
      <c r="AG1563" s="597">
        <f t="shared" si="97"/>
        <v>-1.9902454373819989E-2</v>
      </c>
    </row>
    <row r="1564" spans="13:33" x14ac:dyDescent="0.35">
      <c r="M1564" s="555">
        <v>43980</v>
      </c>
      <c r="N1564" s="543" t="s">
        <v>449</v>
      </c>
      <c r="O1564" s="543">
        <v>33931.230000000003</v>
      </c>
      <c r="P1564" s="73" t="s">
        <v>431</v>
      </c>
      <c r="Q1564" s="158">
        <v>13.29</v>
      </c>
      <c r="R1564" s="563">
        <f t="shared" si="98"/>
        <v>6.9982804784747277E-3</v>
      </c>
      <c r="S1564" s="563">
        <f t="shared" si="99"/>
        <v>9.8784194528873659E-3</v>
      </c>
      <c r="AA1564" s="594">
        <v>43972</v>
      </c>
      <c r="AB1564" s="595" t="s">
        <v>449</v>
      </c>
      <c r="AC1564" s="595">
        <v>33836.61</v>
      </c>
      <c r="AD1564" s="596" t="s">
        <v>395</v>
      </c>
      <c r="AE1564" s="595">
        <v>126.62</v>
      </c>
      <c r="AF1564" s="597">
        <f t="shared" ref="AF1564:AF1627" si="100">(AC1564/AC1563)-1</f>
        <v>-2.8350142531666789E-3</v>
      </c>
      <c r="AG1564" s="597">
        <f t="shared" ref="AG1564:AG1627" si="101">(AE1564/AE1563)-1</f>
        <v>1.6293442491371657E-2</v>
      </c>
    </row>
    <row r="1565" spans="13:33" x14ac:dyDescent="0.35">
      <c r="M1565" s="555">
        <v>43983</v>
      </c>
      <c r="N1565" s="543" t="s">
        <v>449</v>
      </c>
      <c r="O1565" s="543">
        <v>34021.97</v>
      </c>
      <c r="P1565" s="73" t="s">
        <v>431</v>
      </c>
      <c r="Q1565" s="158">
        <v>13.27</v>
      </c>
      <c r="R1565" s="563">
        <f t="shared" si="98"/>
        <v>2.6742325580297877E-3</v>
      </c>
      <c r="S1565" s="563">
        <f t="shared" si="99"/>
        <v>-1.5048908954100604E-3</v>
      </c>
      <c r="AA1565" s="594">
        <v>43979</v>
      </c>
      <c r="AB1565" s="595" t="s">
        <v>449</v>
      </c>
      <c r="AC1565" s="595">
        <v>33695.42</v>
      </c>
      <c r="AD1565" s="596" t="s">
        <v>395</v>
      </c>
      <c r="AE1565" s="595">
        <v>127.97</v>
      </c>
      <c r="AF1565" s="597">
        <f t="shared" si="100"/>
        <v>-4.1726993336508311E-3</v>
      </c>
      <c r="AG1565" s="597">
        <f t="shared" si="101"/>
        <v>1.0661822776812491E-2</v>
      </c>
    </row>
    <row r="1566" spans="13:33" x14ac:dyDescent="0.35">
      <c r="M1566" s="555">
        <v>43984</v>
      </c>
      <c r="N1566" s="543" t="s">
        <v>449</v>
      </c>
      <c r="O1566" s="543">
        <v>34408.050000000003</v>
      </c>
      <c r="P1566" s="73" t="s">
        <v>431</v>
      </c>
      <c r="Q1566" s="158">
        <v>13.22</v>
      </c>
      <c r="R1566" s="563">
        <f t="shared" si="98"/>
        <v>1.1347961332045298E-2</v>
      </c>
      <c r="S1566" s="563">
        <f t="shared" si="99"/>
        <v>-3.7678975131875125E-3</v>
      </c>
      <c r="AA1566" s="594">
        <v>43980</v>
      </c>
      <c r="AB1566" s="595" t="s">
        <v>449</v>
      </c>
      <c r="AC1566" s="595">
        <v>33931.230000000003</v>
      </c>
      <c r="AD1566" s="596" t="s">
        <v>395</v>
      </c>
      <c r="AE1566" s="595">
        <v>127.85</v>
      </c>
      <c r="AF1566" s="597">
        <f t="shared" si="100"/>
        <v>6.9982804784747277E-3</v>
      </c>
      <c r="AG1566" s="597">
        <f t="shared" si="101"/>
        <v>-9.3771977807299844E-4</v>
      </c>
    </row>
    <row r="1567" spans="13:33" x14ac:dyDescent="0.35">
      <c r="M1567" s="555">
        <v>43985</v>
      </c>
      <c r="N1567" s="543" t="s">
        <v>449</v>
      </c>
      <c r="O1567" s="543">
        <v>34401.42</v>
      </c>
      <c r="P1567" s="73" t="s">
        <v>431</v>
      </c>
      <c r="Q1567" s="158">
        <v>13.17</v>
      </c>
      <c r="R1567" s="563">
        <f t="shared" si="98"/>
        <v>-1.9268746703182682E-4</v>
      </c>
      <c r="S1567" s="563">
        <f t="shared" si="99"/>
        <v>-3.7821482602118373E-3</v>
      </c>
      <c r="AA1567" s="594">
        <v>43983</v>
      </c>
      <c r="AB1567" s="595" t="s">
        <v>449</v>
      </c>
      <c r="AC1567" s="595">
        <v>34021.97</v>
      </c>
      <c r="AD1567" s="596" t="s">
        <v>395</v>
      </c>
      <c r="AE1567" s="595">
        <v>126</v>
      </c>
      <c r="AF1567" s="597">
        <f t="shared" si="100"/>
        <v>2.6742325580297877E-3</v>
      </c>
      <c r="AG1567" s="597">
        <f t="shared" si="101"/>
        <v>-1.4470082127493122E-2</v>
      </c>
    </row>
    <row r="1568" spans="13:33" x14ac:dyDescent="0.35">
      <c r="M1568" s="555">
        <v>43986</v>
      </c>
      <c r="N1568" s="543" t="s">
        <v>449</v>
      </c>
      <c r="O1568" s="543">
        <v>34119.39</v>
      </c>
      <c r="P1568" s="73" t="s">
        <v>431</v>
      </c>
      <c r="Q1568" s="158">
        <v>13.14</v>
      </c>
      <c r="R1568" s="563">
        <f t="shared" si="98"/>
        <v>-8.1982080972238247E-3</v>
      </c>
      <c r="S1568" s="563">
        <f t="shared" si="99"/>
        <v>-2.277904328018221E-3</v>
      </c>
      <c r="AA1568" s="594">
        <v>43984</v>
      </c>
      <c r="AB1568" s="595" t="s">
        <v>449</v>
      </c>
      <c r="AC1568" s="595">
        <v>34408.050000000003</v>
      </c>
      <c r="AD1568" s="596" t="s">
        <v>395</v>
      </c>
      <c r="AE1568" s="595">
        <v>125.53</v>
      </c>
      <c r="AF1568" s="597">
        <f t="shared" si="100"/>
        <v>1.1347961332045298E-2</v>
      </c>
      <c r="AG1568" s="597">
        <f t="shared" si="101"/>
        <v>-3.7301587301586947E-3</v>
      </c>
    </row>
    <row r="1569" spans="13:33" x14ac:dyDescent="0.35">
      <c r="M1569" s="555">
        <v>43987</v>
      </c>
      <c r="N1569" s="543" t="s">
        <v>449</v>
      </c>
      <c r="O1569" s="543">
        <v>34350.42</v>
      </c>
      <c r="P1569" s="73" t="s">
        <v>431</v>
      </c>
      <c r="Q1569" s="158">
        <v>13.43</v>
      </c>
      <c r="R1569" s="563">
        <f t="shared" si="98"/>
        <v>6.7712230494154646E-3</v>
      </c>
      <c r="S1569" s="563">
        <f t="shared" si="99"/>
        <v>2.2070015220700068E-2</v>
      </c>
      <c r="AA1569" s="594">
        <v>43985</v>
      </c>
      <c r="AB1569" s="595" t="s">
        <v>449</v>
      </c>
      <c r="AC1569" s="595">
        <v>34401.42</v>
      </c>
      <c r="AD1569" s="596" t="s">
        <v>395</v>
      </c>
      <c r="AE1569" s="595">
        <v>125</v>
      </c>
      <c r="AF1569" s="597">
        <f t="shared" si="100"/>
        <v>-1.9268746703182682E-4</v>
      </c>
      <c r="AG1569" s="597">
        <f t="shared" si="101"/>
        <v>-4.2220983031944215E-3</v>
      </c>
    </row>
    <row r="1570" spans="13:33" x14ac:dyDescent="0.35">
      <c r="M1570" s="555">
        <v>43990</v>
      </c>
      <c r="N1570" s="543" t="s">
        <v>449</v>
      </c>
      <c r="O1570" s="543">
        <v>34749.57</v>
      </c>
      <c r="P1570" s="73" t="s">
        <v>431</v>
      </c>
      <c r="Q1570" s="158">
        <v>13.57</v>
      </c>
      <c r="R1570" s="563">
        <f t="shared" si="98"/>
        <v>1.1619945258311226E-2</v>
      </c>
      <c r="S1570" s="563">
        <f t="shared" si="99"/>
        <v>1.0424422933730471E-2</v>
      </c>
      <c r="AA1570" s="594">
        <v>43986</v>
      </c>
      <c r="AB1570" s="595" t="s">
        <v>449</v>
      </c>
      <c r="AC1570" s="595">
        <v>34119.39</v>
      </c>
      <c r="AD1570" s="596" t="s">
        <v>395</v>
      </c>
      <c r="AE1570" s="595">
        <v>124</v>
      </c>
      <c r="AF1570" s="597">
        <f t="shared" si="100"/>
        <v>-8.1982080972238247E-3</v>
      </c>
      <c r="AG1570" s="597">
        <f t="shared" si="101"/>
        <v>-8.0000000000000071E-3</v>
      </c>
    </row>
    <row r="1571" spans="13:33" x14ac:dyDescent="0.35">
      <c r="M1571" s="555">
        <v>43991</v>
      </c>
      <c r="N1571" s="543" t="s">
        <v>449</v>
      </c>
      <c r="O1571" s="543">
        <v>34803.599999999999</v>
      </c>
      <c r="P1571" s="73" t="s">
        <v>431</v>
      </c>
      <c r="Q1571" s="158">
        <v>13.35</v>
      </c>
      <c r="R1571" s="563">
        <f t="shared" si="98"/>
        <v>1.554839383623996E-3</v>
      </c>
      <c r="S1571" s="563">
        <f t="shared" si="99"/>
        <v>-1.6212232866617549E-2</v>
      </c>
      <c r="AA1571" s="594">
        <v>43987</v>
      </c>
      <c r="AB1571" s="595" t="s">
        <v>449</v>
      </c>
      <c r="AC1571" s="595">
        <v>34350.42</v>
      </c>
      <c r="AD1571" s="596" t="s">
        <v>395</v>
      </c>
      <c r="AE1571" s="595">
        <v>125.63</v>
      </c>
      <c r="AF1571" s="597">
        <f t="shared" si="100"/>
        <v>6.7712230494154646E-3</v>
      </c>
      <c r="AG1571" s="597">
        <f t="shared" si="101"/>
        <v>1.3145161290322616E-2</v>
      </c>
    </row>
    <row r="1572" spans="13:33" x14ac:dyDescent="0.35">
      <c r="M1572" s="555">
        <v>43992</v>
      </c>
      <c r="N1572" s="543" t="s">
        <v>449</v>
      </c>
      <c r="O1572" s="543">
        <v>35065.08</v>
      </c>
      <c r="P1572" s="73" t="s">
        <v>431</v>
      </c>
      <c r="Q1572" s="158">
        <v>13.21</v>
      </c>
      <c r="R1572" s="563">
        <f t="shared" si="98"/>
        <v>7.5130158949074932E-3</v>
      </c>
      <c r="S1572" s="563">
        <f t="shared" si="99"/>
        <v>-1.0486891385767749E-2</v>
      </c>
      <c r="AA1572" s="594">
        <v>43990</v>
      </c>
      <c r="AB1572" s="595" t="s">
        <v>449</v>
      </c>
      <c r="AC1572" s="595">
        <v>34749.57</v>
      </c>
      <c r="AD1572" s="596" t="s">
        <v>395</v>
      </c>
      <c r="AE1572" s="595">
        <v>126.95</v>
      </c>
      <c r="AF1572" s="597">
        <f t="shared" si="100"/>
        <v>1.1619945258311226E-2</v>
      </c>
      <c r="AG1572" s="597">
        <f t="shared" si="101"/>
        <v>1.050704449574158E-2</v>
      </c>
    </row>
    <row r="1573" spans="13:33" x14ac:dyDescent="0.35">
      <c r="M1573" s="555">
        <v>43993</v>
      </c>
      <c r="N1573" s="543" t="s">
        <v>449</v>
      </c>
      <c r="O1573" s="543">
        <v>35128.58</v>
      </c>
      <c r="P1573" s="73" t="s">
        <v>431</v>
      </c>
      <c r="Q1573" s="158">
        <v>13.11</v>
      </c>
      <c r="R1573" s="563">
        <f t="shared" si="98"/>
        <v>1.8109184407963941E-3</v>
      </c>
      <c r="S1573" s="563">
        <f t="shared" si="99"/>
        <v>-7.570022710068236E-3</v>
      </c>
      <c r="AA1573" s="594">
        <v>43991</v>
      </c>
      <c r="AB1573" s="595" t="s">
        <v>449</v>
      </c>
      <c r="AC1573" s="595">
        <v>34803.599999999999</v>
      </c>
      <c r="AD1573" s="596" t="s">
        <v>395</v>
      </c>
      <c r="AE1573" s="595">
        <v>127.74</v>
      </c>
      <c r="AF1573" s="597">
        <f t="shared" si="100"/>
        <v>1.554839383623996E-3</v>
      </c>
      <c r="AG1573" s="597">
        <f t="shared" si="101"/>
        <v>6.2229224103977909E-3</v>
      </c>
    </row>
    <row r="1574" spans="13:33" x14ac:dyDescent="0.35">
      <c r="M1574" s="555">
        <v>43994</v>
      </c>
      <c r="N1574" s="543" t="s">
        <v>449</v>
      </c>
      <c r="O1574" s="543">
        <v>34611.230000000003</v>
      </c>
      <c r="P1574" s="73" t="s">
        <v>431</v>
      </c>
      <c r="Q1574" s="158">
        <v>12.77</v>
      </c>
      <c r="R1574" s="563">
        <f t="shared" si="98"/>
        <v>-1.4727324588696633E-2</v>
      </c>
      <c r="S1574" s="563">
        <f t="shared" si="99"/>
        <v>-2.5934401220442438E-2</v>
      </c>
      <c r="AA1574" s="594">
        <v>43992</v>
      </c>
      <c r="AB1574" s="595" t="s">
        <v>449</v>
      </c>
      <c r="AC1574" s="595">
        <v>35065.08</v>
      </c>
      <c r="AD1574" s="596" t="s">
        <v>395</v>
      </c>
      <c r="AE1574" s="595">
        <v>137.32</v>
      </c>
      <c r="AF1574" s="597">
        <f t="shared" si="100"/>
        <v>7.5130158949074932E-3</v>
      </c>
      <c r="AG1574" s="597">
        <f t="shared" si="101"/>
        <v>7.4996085799279744E-2</v>
      </c>
    </row>
    <row r="1575" spans="13:33" x14ac:dyDescent="0.35">
      <c r="M1575" s="555">
        <v>43997</v>
      </c>
      <c r="N1575" s="543" t="s">
        <v>449</v>
      </c>
      <c r="O1575" s="543">
        <v>33824.51</v>
      </c>
      <c r="P1575" s="73" t="s">
        <v>431</v>
      </c>
      <c r="Q1575" s="158">
        <v>12.28</v>
      </c>
      <c r="R1575" s="563">
        <f t="shared" si="98"/>
        <v>-2.2730194795157588E-2</v>
      </c>
      <c r="S1575" s="563">
        <f t="shared" si="99"/>
        <v>-3.8371182458888042E-2</v>
      </c>
      <c r="AA1575" s="594">
        <v>43993</v>
      </c>
      <c r="AB1575" s="595" t="s">
        <v>449</v>
      </c>
      <c r="AC1575" s="595">
        <v>35128.58</v>
      </c>
      <c r="AD1575" s="596" t="s">
        <v>395</v>
      </c>
      <c r="AE1575" s="595">
        <v>147.61000000000001</v>
      </c>
      <c r="AF1575" s="597">
        <f t="shared" si="100"/>
        <v>1.8109184407963941E-3</v>
      </c>
      <c r="AG1575" s="597">
        <f t="shared" si="101"/>
        <v>7.4934459656277541E-2</v>
      </c>
    </row>
    <row r="1576" spans="13:33" x14ac:dyDescent="0.35">
      <c r="M1576" s="555">
        <v>43998</v>
      </c>
      <c r="N1576" s="543" t="s">
        <v>449</v>
      </c>
      <c r="O1576" s="543">
        <v>34019.120000000003</v>
      </c>
      <c r="P1576" s="73" t="s">
        <v>431</v>
      </c>
      <c r="Q1576" s="158">
        <v>12.42</v>
      </c>
      <c r="R1576" s="563">
        <f t="shared" si="98"/>
        <v>5.7535201544678394E-3</v>
      </c>
      <c r="S1576" s="563">
        <f t="shared" si="99"/>
        <v>1.1400651465798051E-2</v>
      </c>
      <c r="AA1576" s="594">
        <v>43994</v>
      </c>
      <c r="AB1576" s="595" t="s">
        <v>449</v>
      </c>
      <c r="AC1576" s="595">
        <v>34611.230000000003</v>
      </c>
      <c r="AD1576" s="596" t="s">
        <v>395</v>
      </c>
      <c r="AE1576" s="595">
        <v>153.74</v>
      </c>
      <c r="AF1576" s="597">
        <f t="shared" si="100"/>
        <v>-1.4727324588696633E-2</v>
      </c>
      <c r="AG1576" s="597">
        <f t="shared" si="101"/>
        <v>4.1528351737687208E-2</v>
      </c>
    </row>
    <row r="1577" spans="13:33" x14ac:dyDescent="0.35">
      <c r="M1577" s="555">
        <v>43999</v>
      </c>
      <c r="N1577" s="543" t="s">
        <v>449</v>
      </c>
      <c r="O1577" s="543">
        <v>33848.68</v>
      </c>
      <c r="P1577" s="73" t="s">
        <v>431</v>
      </c>
      <c r="Q1577" s="158">
        <v>12.31</v>
      </c>
      <c r="R1577" s="563">
        <f t="shared" si="98"/>
        <v>-5.0101237186618297E-3</v>
      </c>
      <c r="S1577" s="563">
        <f t="shared" si="99"/>
        <v>-8.8566827697261763E-3</v>
      </c>
      <c r="AA1577" s="594">
        <v>43997</v>
      </c>
      <c r="AB1577" s="595" t="s">
        <v>449</v>
      </c>
      <c r="AC1577" s="595">
        <v>33824.51</v>
      </c>
      <c r="AD1577" s="596" t="s">
        <v>395</v>
      </c>
      <c r="AE1577" s="595">
        <v>144.18</v>
      </c>
      <c r="AF1577" s="597">
        <f t="shared" si="100"/>
        <v>-2.2730194795157588E-2</v>
      </c>
      <c r="AG1577" s="597">
        <f t="shared" si="101"/>
        <v>-6.2182906205281663E-2</v>
      </c>
    </row>
    <row r="1578" spans="13:33" x14ac:dyDescent="0.35">
      <c r="M1578" s="555">
        <v>44000</v>
      </c>
      <c r="N1578" s="543" t="s">
        <v>449</v>
      </c>
      <c r="O1578" s="543">
        <v>33539.85</v>
      </c>
      <c r="P1578" s="73" t="s">
        <v>431</v>
      </c>
      <c r="Q1578" s="158">
        <v>12.02</v>
      </c>
      <c r="R1578" s="563">
        <f t="shared" si="98"/>
        <v>-9.1238417569016184E-3</v>
      </c>
      <c r="S1578" s="563">
        <f t="shared" si="99"/>
        <v>-2.3558082859463925E-2</v>
      </c>
      <c r="AA1578" s="594">
        <v>43998</v>
      </c>
      <c r="AB1578" s="595" t="s">
        <v>449</v>
      </c>
      <c r="AC1578" s="595">
        <v>34019.120000000003</v>
      </c>
      <c r="AD1578" s="596" t="s">
        <v>395</v>
      </c>
      <c r="AE1578" s="595">
        <v>151.6</v>
      </c>
      <c r="AF1578" s="597">
        <f t="shared" si="100"/>
        <v>5.7535201544678394E-3</v>
      </c>
      <c r="AG1578" s="597">
        <f t="shared" si="101"/>
        <v>5.146344846719364E-2</v>
      </c>
    </row>
    <row r="1579" spans="13:33" x14ac:dyDescent="0.35">
      <c r="M1579" s="555">
        <v>44001</v>
      </c>
      <c r="N1579" s="543" t="s">
        <v>449</v>
      </c>
      <c r="O1579" s="543">
        <v>33438.94</v>
      </c>
      <c r="P1579" s="73" t="s">
        <v>431</v>
      </c>
      <c r="Q1579" s="158">
        <v>11.87</v>
      </c>
      <c r="R1579" s="563">
        <f t="shared" si="98"/>
        <v>-3.0086598479120985E-3</v>
      </c>
      <c r="S1579" s="563">
        <f t="shared" si="99"/>
        <v>-1.2479201331114798E-2</v>
      </c>
      <c r="AA1579" s="594">
        <v>43999</v>
      </c>
      <c r="AB1579" s="595" t="s">
        <v>449</v>
      </c>
      <c r="AC1579" s="595">
        <v>33848.68</v>
      </c>
      <c r="AD1579" s="596" t="s">
        <v>395</v>
      </c>
      <c r="AE1579" s="595">
        <v>143.76</v>
      </c>
      <c r="AF1579" s="597">
        <f t="shared" si="100"/>
        <v>-5.0101237186618297E-3</v>
      </c>
      <c r="AG1579" s="597">
        <f t="shared" si="101"/>
        <v>-5.1715039577836408E-2</v>
      </c>
    </row>
    <row r="1580" spans="13:33" x14ac:dyDescent="0.35">
      <c r="M1580" s="555">
        <v>44004</v>
      </c>
      <c r="N1580" s="543" t="s">
        <v>449</v>
      </c>
      <c r="O1580" s="543">
        <v>33737.919999999998</v>
      </c>
      <c r="P1580" s="73" t="s">
        <v>431</v>
      </c>
      <c r="Q1580" s="158">
        <v>11.58</v>
      </c>
      <c r="R1580" s="563">
        <f t="shared" si="98"/>
        <v>8.9410728928607242E-3</v>
      </c>
      <c r="S1580" s="563">
        <f t="shared" si="99"/>
        <v>-2.4431339511373107E-2</v>
      </c>
      <c r="AA1580" s="594">
        <v>44000</v>
      </c>
      <c r="AB1580" s="595" t="s">
        <v>449</v>
      </c>
      <c r="AC1580" s="595">
        <v>33539.85</v>
      </c>
      <c r="AD1580" s="596" t="s">
        <v>395</v>
      </c>
      <c r="AE1580" s="595">
        <v>147.29</v>
      </c>
      <c r="AF1580" s="597">
        <f t="shared" si="100"/>
        <v>-9.1238417569016184E-3</v>
      </c>
      <c r="AG1580" s="597">
        <f t="shared" si="101"/>
        <v>2.4554813578185897E-2</v>
      </c>
    </row>
    <row r="1581" spans="13:33" x14ac:dyDescent="0.35">
      <c r="M1581" s="555">
        <v>44005</v>
      </c>
      <c r="N1581" s="543" t="s">
        <v>449</v>
      </c>
      <c r="O1581" s="543">
        <v>34052.61</v>
      </c>
      <c r="P1581" s="73" t="s">
        <v>431</v>
      </c>
      <c r="Q1581" s="158">
        <v>11.73</v>
      </c>
      <c r="R1581" s="563">
        <f t="shared" si="98"/>
        <v>9.3274866974608628E-3</v>
      </c>
      <c r="S1581" s="563">
        <f t="shared" si="99"/>
        <v>1.2953367875647714E-2</v>
      </c>
      <c r="AA1581" s="594">
        <v>44001</v>
      </c>
      <c r="AB1581" s="595" t="s">
        <v>449</v>
      </c>
      <c r="AC1581" s="595">
        <v>33438.94</v>
      </c>
      <c r="AD1581" s="596" t="s">
        <v>395</v>
      </c>
      <c r="AE1581" s="595">
        <v>148.34</v>
      </c>
      <c r="AF1581" s="597">
        <f t="shared" si="100"/>
        <v>-3.0086598479120985E-3</v>
      </c>
      <c r="AG1581" s="597">
        <f t="shared" si="101"/>
        <v>7.1287935365607069E-3</v>
      </c>
    </row>
    <row r="1582" spans="13:33" x14ac:dyDescent="0.35">
      <c r="M1582" s="555">
        <v>44006</v>
      </c>
      <c r="N1582" s="543" t="s">
        <v>449</v>
      </c>
      <c r="O1582" s="543">
        <v>34034.65</v>
      </c>
      <c r="P1582" s="73" t="s">
        <v>431</v>
      </c>
      <c r="Q1582" s="158">
        <v>11.6</v>
      </c>
      <c r="R1582" s="563">
        <f t="shared" si="98"/>
        <v>-5.2741919048204799E-4</v>
      </c>
      <c r="S1582" s="563">
        <f t="shared" si="99"/>
        <v>-1.1082693947144118E-2</v>
      </c>
      <c r="AA1582" s="594">
        <v>44004</v>
      </c>
      <c r="AB1582" s="595" t="s">
        <v>449</v>
      </c>
      <c r="AC1582" s="595">
        <v>33737.919999999998</v>
      </c>
      <c r="AD1582" s="596" t="s">
        <v>395</v>
      </c>
      <c r="AE1582" s="595">
        <v>146</v>
      </c>
      <c r="AF1582" s="597">
        <f t="shared" si="100"/>
        <v>8.9410728928607242E-3</v>
      </c>
      <c r="AG1582" s="597">
        <f t="shared" si="101"/>
        <v>-1.57745719293515E-2</v>
      </c>
    </row>
    <row r="1583" spans="13:33" x14ac:dyDescent="0.35">
      <c r="M1583" s="555">
        <v>44007</v>
      </c>
      <c r="N1583" s="543" t="s">
        <v>449</v>
      </c>
      <c r="O1583" s="543">
        <v>33709.629999999997</v>
      </c>
      <c r="P1583" s="73" t="s">
        <v>431</v>
      </c>
      <c r="Q1583" s="158">
        <v>11.4</v>
      </c>
      <c r="R1583" s="563">
        <f t="shared" si="98"/>
        <v>-9.5496795177856253E-3</v>
      </c>
      <c r="S1583" s="563">
        <f t="shared" si="99"/>
        <v>-1.7241379310344751E-2</v>
      </c>
      <c r="AA1583" s="594">
        <v>44005</v>
      </c>
      <c r="AB1583" s="595" t="s">
        <v>449</v>
      </c>
      <c r="AC1583" s="595">
        <v>34052.61</v>
      </c>
      <c r="AD1583" s="596" t="s">
        <v>395</v>
      </c>
      <c r="AE1583" s="595">
        <v>147.91999999999999</v>
      </c>
      <c r="AF1583" s="597">
        <f t="shared" si="100"/>
        <v>9.3274866974608628E-3</v>
      </c>
      <c r="AG1583" s="597">
        <f t="shared" si="101"/>
        <v>1.315068493150684E-2</v>
      </c>
    </row>
    <row r="1584" spans="13:33" x14ac:dyDescent="0.35">
      <c r="M1584" s="555">
        <v>44008</v>
      </c>
      <c r="N1584" s="543" t="s">
        <v>449</v>
      </c>
      <c r="O1584" s="543">
        <v>33939.49</v>
      </c>
      <c r="P1584" s="73" t="s">
        <v>431</v>
      </c>
      <c r="Q1584" s="158">
        <v>11.35</v>
      </c>
      <c r="R1584" s="563">
        <f t="shared" si="98"/>
        <v>6.8188229891577024E-3</v>
      </c>
      <c r="S1584" s="563">
        <f t="shared" si="99"/>
        <v>-4.3859649122807154E-3</v>
      </c>
      <c r="AA1584" s="594">
        <v>44006</v>
      </c>
      <c r="AB1584" s="595" t="s">
        <v>449</v>
      </c>
      <c r="AC1584" s="595">
        <v>34034.65</v>
      </c>
      <c r="AD1584" s="596" t="s">
        <v>395</v>
      </c>
      <c r="AE1584" s="595">
        <v>153.81</v>
      </c>
      <c r="AF1584" s="597">
        <f t="shared" si="100"/>
        <v>-5.2741919048204799E-4</v>
      </c>
      <c r="AG1584" s="597">
        <f t="shared" si="101"/>
        <v>3.9818820984315995E-2</v>
      </c>
    </row>
    <row r="1585" spans="13:33" x14ac:dyDescent="0.35">
      <c r="M1585" s="555">
        <v>44011</v>
      </c>
      <c r="N1585" s="543" t="s">
        <v>449</v>
      </c>
      <c r="O1585" s="543">
        <v>34181.800000000003</v>
      </c>
      <c r="P1585" s="73" t="s">
        <v>431</v>
      </c>
      <c r="Q1585" s="158">
        <v>11.55</v>
      </c>
      <c r="R1585" s="563">
        <f t="shared" si="98"/>
        <v>7.1394708641763227E-3</v>
      </c>
      <c r="S1585" s="563">
        <f t="shared" si="99"/>
        <v>1.7621145374449476E-2</v>
      </c>
      <c r="AA1585" s="594">
        <v>44007</v>
      </c>
      <c r="AB1585" s="595" t="s">
        <v>449</v>
      </c>
      <c r="AC1585" s="595">
        <v>33709.629999999997</v>
      </c>
      <c r="AD1585" s="596" t="s">
        <v>395</v>
      </c>
      <c r="AE1585" s="595">
        <v>150.19999999999999</v>
      </c>
      <c r="AF1585" s="597">
        <f t="shared" si="100"/>
        <v>-9.5496795177856253E-3</v>
      </c>
      <c r="AG1585" s="597">
        <f t="shared" si="101"/>
        <v>-2.3470515571159312E-2</v>
      </c>
    </row>
    <row r="1586" spans="13:33" x14ac:dyDescent="0.35">
      <c r="M1586" s="555">
        <v>44012</v>
      </c>
      <c r="N1586" s="543" t="s">
        <v>449</v>
      </c>
      <c r="O1586" s="543">
        <v>34421.919999999998</v>
      </c>
      <c r="P1586" s="73" t="s">
        <v>431</v>
      </c>
      <c r="Q1586" s="158">
        <v>11.41</v>
      </c>
      <c r="R1586" s="563">
        <f t="shared" si="98"/>
        <v>7.0247909706333544E-3</v>
      </c>
      <c r="S1586" s="563">
        <f t="shared" si="99"/>
        <v>-1.2121212121212199E-2</v>
      </c>
      <c r="AA1586" s="594">
        <v>44008</v>
      </c>
      <c r="AB1586" s="595" t="s">
        <v>449</v>
      </c>
      <c r="AC1586" s="595">
        <v>33939.49</v>
      </c>
      <c r="AD1586" s="596" t="s">
        <v>395</v>
      </c>
      <c r="AE1586" s="595">
        <v>148.66</v>
      </c>
      <c r="AF1586" s="597">
        <f t="shared" si="100"/>
        <v>6.8188229891577024E-3</v>
      </c>
      <c r="AG1586" s="597">
        <f t="shared" si="101"/>
        <v>-1.0252996005326143E-2</v>
      </c>
    </row>
    <row r="1587" spans="13:33" x14ac:dyDescent="0.35">
      <c r="M1587" s="555">
        <v>44013</v>
      </c>
      <c r="N1587" s="543" t="s">
        <v>449</v>
      </c>
      <c r="O1587" s="543">
        <v>34889.410000000003</v>
      </c>
      <c r="P1587" s="73" t="s">
        <v>431</v>
      </c>
      <c r="Q1587" s="158">
        <v>11.58</v>
      </c>
      <c r="R1587" s="563">
        <f t="shared" si="98"/>
        <v>1.3581171532558445E-2</v>
      </c>
      <c r="S1587" s="563">
        <f t="shared" si="99"/>
        <v>1.4899211218229569E-2</v>
      </c>
      <c r="AA1587" s="594">
        <v>44011</v>
      </c>
      <c r="AB1587" s="595" t="s">
        <v>449</v>
      </c>
      <c r="AC1587" s="595">
        <v>34181.800000000003</v>
      </c>
      <c r="AD1587" s="596" t="s">
        <v>395</v>
      </c>
      <c r="AE1587" s="595">
        <v>147.24</v>
      </c>
      <c r="AF1587" s="597">
        <f t="shared" si="100"/>
        <v>7.1394708641763227E-3</v>
      </c>
      <c r="AG1587" s="597">
        <f t="shared" si="101"/>
        <v>-9.5519978474369882E-3</v>
      </c>
    </row>
    <row r="1588" spans="13:33" x14ac:dyDescent="0.35">
      <c r="M1588" s="555">
        <v>44014</v>
      </c>
      <c r="N1588" s="543" t="s">
        <v>449</v>
      </c>
      <c r="O1588" s="543">
        <v>34978.18</v>
      </c>
      <c r="P1588" s="73" t="s">
        <v>431</v>
      </c>
      <c r="Q1588" s="158">
        <v>11.68</v>
      </c>
      <c r="R1588" s="563">
        <f t="shared" si="98"/>
        <v>2.5443250545078566E-3</v>
      </c>
      <c r="S1588" s="563">
        <f t="shared" si="99"/>
        <v>8.6355785837650689E-3</v>
      </c>
      <c r="AA1588" s="594">
        <v>44012</v>
      </c>
      <c r="AB1588" s="595" t="s">
        <v>449</v>
      </c>
      <c r="AC1588" s="595">
        <v>34421.919999999998</v>
      </c>
      <c r="AD1588" s="596" t="s">
        <v>395</v>
      </c>
      <c r="AE1588" s="595">
        <v>143.72</v>
      </c>
      <c r="AF1588" s="597">
        <f t="shared" si="100"/>
        <v>7.0247909706333544E-3</v>
      </c>
      <c r="AG1588" s="597">
        <f t="shared" si="101"/>
        <v>-2.3906547133931033E-2</v>
      </c>
    </row>
    <row r="1589" spans="13:33" x14ac:dyDescent="0.35">
      <c r="M1589" s="555">
        <v>44015</v>
      </c>
      <c r="N1589" s="543" t="s">
        <v>449</v>
      </c>
      <c r="O1589" s="543">
        <v>35051.379999999997</v>
      </c>
      <c r="P1589" s="73" t="s">
        <v>431</v>
      </c>
      <c r="Q1589" s="158">
        <v>11.6</v>
      </c>
      <c r="R1589" s="563">
        <f t="shared" si="98"/>
        <v>2.0927332411233568E-3</v>
      </c>
      <c r="S1589" s="563">
        <f t="shared" si="99"/>
        <v>-6.8493150684931781E-3</v>
      </c>
      <c r="AA1589" s="594">
        <v>44013</v>
      </c>
      <c r="AB1589" s="595" t="s">
        <v>449</v>
      </c>
      <c r="AC1589" s="595">
        <v>34889.410000000003</v>
      </c>
      <c r="AD1589" s="596" t="s">
        <v>395</v>
      </c>
      <c r="AE1589" s="595">
        <v>144.63999999999999</v>
      </c>
      <c r="AF1589" s="597">
        <f t="shared" si="100"/>
        <v>1.3581171532558445E-2</v>
      </c>
      <c r="AG1589" s="597">
        <f t="shared" si="101"/>
        <v>6.4013359309769147E-3</v>
      </c>
    </row>
    <row r="1590" spans="13:33" x14ac:dyDescent="0.35">
      <c r="M1590" s="555">
        <v>44018</v>
      </c>
      <c r="N1590" s="543" t="s">
        <v>449</v>
      </c>
      <c r="O1590" s="543">
        <v>35202.769999999997</v>
      </c>
      <c r="P1590" s="73" t="s">
        <v>431</v>
      </c>
      <c r="Q1590" s="158">
        <v>12.43</v>
      </c>
      <c r="R1590" s="563">
        <f t="shared" si="98"/>
        <v>4.3190881500243528E-3</v>
      </c>
      <c r="S1590" s="563">
        <f t="shared" si="99"/>
        <v>7.1551724137931094E-2</v>
      </c>
      <c r="AA1590" s="594">
        <v>44014</v>
      </c>
      <c r="AB1590" s="595" t="s">
        <v>449</v>
      </c>
      <c r="AC1590" s="595">
        <v>34978.18</v>
      </c>
      <c r="AD1590" s="596" t="s">
        <v>395</v>
      </c>
      <c r="AE1590" s="595">
        <v>143.82</v>
      </c>
      <c r="AF1590" s="597">
        <f t="shared" si="100"/>
        <v>2.5443250545078566E-3</v>
      </c>
      <c r="AG1590" s="597">
        <f t="shared" si="101"/>
        <v>-5.6692477876105762E-3</v>
      </c>
    </row>
    <row r="1591" spans="13:33" x14ac:dyDescent="0.35">
      <c r="M1591" s="555">
        <v>44019</v>
      </c>
      <c r="N1591" s="543" t="s">
        <v>449</v>
      </c>
      <c r="O1591" s="543">
        <v>35373.35</v>
      </c>
      <c r="P1591" s="73" t="s">
        <v>431</v>
      </c>
      <c r="Q1591" s="158">
        <v>12.15</v>
      </c>
      <c r="R1591" s="563">
        <f t="shared" si="98"/>
        <v>4.8456414083324351E-3</v>
      </c>
      <c r="S1591" s="563">
        <f t="shared" si="99"/>
        <v>-2.2526146419951654E-2</v>
      </c>
      <c r="AA1591" s="594">
        <v>44015</v>
      </c>
      <c r="AB1591" s="595" t="s">
        <v>449</v>
      </c>
      <c r="AC1591" s="595">
        <v>35051.379999999997</v>
      </c>
      <c r="AD1591" s="596" t="s">
        <v>395</v>
      </c>
      <c r="AE1591" s="595">
        <v>143</v>
      </c>
      <c r="AF1591" s="597">
        <f t="shared" si="100"/>
        <v>2.0927332411233568E-3</v>
      </c>
      <c r="AG1591" s="597">
        <f t="shared" si="101"/>
        <v>-5.7015714087053082E-3</v>
      </c>
    </row>
    <row r="1592" spans="13:33" x14ac:dyDescent="0.35">
      <c r="M1592" s="555">
        <v>44020</v>
      </c>
      <c r="N1592" s="543" t="s">
        <v>449</v>
      </c>
      <c r="O1592" s="543">
        <v>35694.89</v>
      </c>
      <c r="P1592" s="73" t="s">
        <v>431</v>
      </c>
      <c r="Q1592" s="158">
        <v>12.31</v>
      </c>
      <c r="R1592" s="563">
        <f t="shared" si="98"/>
        <v>9.0898939455834604E-3</v>
      </c>
      <c r="S1592" s="563">
        <f t="shared" si="99"/>
        <v>1.3168724279835509E-2</v>
      </c>
      <c r="AA1592" s="594">
        <v>44018</v>
      </c>
      <c r="AB1592" s="595" t="s">
        <v>449</v>
      </c>
      <c r="AC1592" s="595">
        <v>35202.769999999997</v>
      </c>
      <c r="AD1592" s="596" t="s">
        <v>395</v>
      </c>
      <c r="AE1592" s="595">
        <v>143.46</v>
      </c>
      <c r="AF1592" s="597">
        <f t="shared" si="100"/>
        <v>4.3190881500243528E-3</v>
      </c>
      <c r="AG1592" s="597">
        <f t="shared" si="101"/>
        <v>3.2167832167833144E-3</v>
      </c>
    </row>
    <row r="1593" spans="13:33" x14ac:dyDescent="0.35">
      <c r="M1593" s="555">
        <v>44021</v>
      </c>
      <c r="N1593" s="543" t="s">
        <v>449</v>
      </c>
      <c r="O1593" s="543">
        <v>36142.17</v>
      </c>
      <c r="P1593" s="73" t="s">
        <v>431</v>
      </c>
      <c r="Q1593" s="158">
        <v>12.41</v>
      </c>
      <c r="R1593" s="563">
        <f t="shared" si="98"/>
        <v>1.253064514276403E-2</v>
      </c>
      <c r="S1593" s="563">
        <f t="shared" si="99"/>
        <v>8.1234768480908937E-3</v>
      </c>
      <c r="AA1593" s="594">
        <v>44019</v>
      </c>
      <c r="AB1593" s="595" t="s">
        <v>449</v>
      </c>
      <c r="AC1593" s="595">
        <v>35373.35</v>
      </c>
      <c r="AD1593" s="596" t="s">
        <v>395</v>
      </c>
      <c r="AE1593" s="595">
        <v>145.57</v>
      </c>
      <c r="AF1593" s="597">
        <f t="shared" si="100"/>
        <v>4.8456414083324351E-3</v>
      </c>
      <c r="AG1593" s="597">
        <f t="shared" si="101"/>
        <v>1.4707932524745448E-2</v>
      </c>
    </row>
    <row r="1594" spans="13:33" x14ac:dyDescent="0.35">
      <c r="M1594" s="555">
        <v>44022</v>
      </c>
      <c r="N1594" s="543" t="s">
        <v>449</v>
      </c>
      <c r="O1594" s="543">
        <v>36190.400000000001</v>
      </c>
      <c r="P1594" s="73" t="s">
        <v>431</v>
      </c>
      <c r="Q1594" s="158">
        <v>12.23</v>
      </c>
      <c r="R1594" s="563">
        <f t="shared" si="98"/>
        <v>1.3344522478866416E-3</v>
      </c>
      <c r="S1594" s="563">
        <f t="shared" si="99"/>
        <v>-1.4504431909750148E-2</v>
      </c>
      <c r="AA1594" s="594">
        <v>44020</v>
      </c>
      <c r="AB1594" s="595" t="s">
        <v>449</v>
      </c>
      <c r="AC1594" s="595">
        <v>35694.89</v>
      </c>
      <c r="AD1594" s="596" t="s">
        <v>395</v>
      </c>
      <c r="AE1594" s="595">
        <v>149.16999999999999</v>
      </c>
      <c r="AF1594" s="597">
        <f t="shared" si="100"/>
        <v>9.0898939455834604E-3</v>
      </c>
      <c r="AG1594" s="597">
        <f t="shared" si="101"/>
        <v>2.4730370268599255E-2</v>
      </c>
    </row>
    <row r="1595" spans="13:33" x14ac:dyDescent="0.35">
      <c r="M1595" s="555">
        <v>44025</v>
      </c>
      <c r="N1595" s="543" t="s">
        <v>449</v>
      </c>
      <c r="O1595" s="543">
        <v>36618.57</v>
      </c>
      <c r="P1595" s="73" t="s">
        <v>431</v>
      </c>
      <c r="Q1595" s="158">
        <v>12.3</v>
      </c>
      <c r="R1595" s="563">
        <f t="shared" si="98"/>
        <v>1.1831038065343247E-2</v>
      </c>
      <c r="S1595" s="563">
        <f t="shared" si="99"/>
        <v>5.7236304170074082E-3</v>
      </c>
      <c r="AA1595" s="594">
        <v>44021</v>
      </c>
      <c r="AB1595" s="595" t="s">
        <v>449</v>
      </c>
      <c r="AC1595" s="595">
        <v>36142.17</v>
      </c>
      <c r="AD1595" s="596" t="s">
        <v>395</v>
      </c>
      <c r="AE1595" s="595">
        <v>147.08000000000001</v>
      </c>
      <c r="AF1595" s="597">
        <f t="shared" si="100"/>
        <v>1.253064514276403E-2</v>
      </c>
      <c r="AG1595" s="597">
        <f t="shared" si="101"/>
        <v>-1.4010860092511734E-2</v>
      </c>
    </row>
    <row r="1596" spans="13:33" x14ac:dyDescent="0.35">
      <c r="M1596" s="555">
        <v>44026</v>
      </c>
      <c r="N1596" s="543" t="s">
        <v>449</v>
      </c>
      <c r="O1596" s="543">
        <v>36745.22</v>
      </c>
      <c r="P1596" s="73" t="s">
        <v>431</v>
      </c>
      <c r="Q1596" s="158">
        <v>12.55</v>
      </c>
      <c r="R1596" s="563">
        <f t="shared" si="98"/>
        <v>3.4586276853521003E-3</v>
      </c>
      <c r="S1596" s="563">
        <f t="shared" si="99"/>
        <v>2.0325203252032464E-2</v>
      </c>
      <c r="AA1596" s="594">
        <v>44022</v>
      </c>
      <c r="AB1596" s="595" t="s">
        <v>449</v>
      </c>
      <c r="AC1596" s="595">
        <v>36190.400000000001</v>
      </c>
      <c r="AD1596" s="596" t="s">
        <v>395</v>
      </c>
      <c r="AE1596" s="595">
        <v>146.41999999999999</v>
      </c>
      <c r="AF1596" s="597">
        <f t="shared" si="100"/>
        <v>1.3344522478866416E-3</v>
      </c>
      <c r="AG1596" s="597">
        <f t="shared" si="101"/>
        <v>-4.487353821049922E-3</v>
      </c>
    </row>
    <row r="1597" spans="13:33" x14ac:dyDescent="0.35">
      <c r="M1597" s="555">
        <v>44027</v>
      </c>
      <c r="N1597" s="543" t="s">
        <v>449</v>
      </c>
      <c r="O1597" s="543">
        <v>36679.03</v>
      </c>
      <c r="P1597" s="73" t="s">
        <v>431</v>
      </c>
      <c r="Q1597" s="158">
        <v>12.28</v>
      </c>
      <c r="R1597" s="563">
        <f t="shared" si="98"/>
        <v>-1.8013227298681045E-3</v>
      </c>
      <c r="S1597" s="563">
        <f t="shared" si="99"/>
        <v>-2.1513944223107706E-2</v>
      </c>
      <c r="AA1597" s="594">
        <v>44025</v>
      </c>
      <c r="AB1597" s="595" t="s">
        <v>449</v>
      </c>
      <c r="AC1597" s="595">
        <v>36618.57</v>
      </c>
      <c r="AD1597" s="596" t="s">
        <v>395</v>
      </c>
      <c r="AE1597" s="595">
        <v>145.19999999999999</v>
      </c>
      <c r="AF1597" s="597">
        <f t="shared" si="100"/>
        <v>1.1831038065343247E-2</v>
      </c>
      <c r="AG1597" s="597">
        <f t="shared" si="101"/>
        <v>-8.3321950553203461E-3</v>
      </c>
    </row>
    <row r="1598" spans="13:33" x14ac:dyDescent="0.35">
      <c r="M1598" s="555">
        <v>44028</v>
      </c>
      <c r="N1598" s="543" t="s">
        <v>449</v>
      </c>
      <c r="O1598" s="543">
        <v>37001.440000000002</v>
      </c>
      <c r="P1598" s="73" t="s">
        <v>431</v>
      </c>
      <c r="Q1598" s="158">
        <v>12.44</v>
      </c>
      <c r="R1598" s="563">
        <f t="shared" si="98"/>
        <v>8.7900361596258136E-3</v>
      </c>
      <c r="S1598" s="563">
        <f t="shared" si="99"/>
        <v>1.3029315960912058E-2</v>
      </c>
      <c r="AA1598" s="594">
        <v>44026</v>
      </c>
      <c r="AB1598" s="595" t="s">
        <v>449</v>
      </c>
      <c r="AC1598" s="595">
        <v>36745.22</v>
      </c>
      <c r="AD1598" s="596" t="s">
        <v>395</v>
      </c>
      <c r="AE1598" s="595">
        <v>145.47</v>
      </c>
      <c r="AF1598" s="597">
        <f t="shared" si="100"/>
        <v>3.4586276853521003E-3</v>
      </c>
      <c r="AG1598" s="597">
        <f t="shared" si="101"/>
        <v>1.8595041322315708E-3</v>
      </c>
    </row>
    <row r="1599" spans="13:33" x14ac:dyDescent="0.35">
      <c r="M1599" s="555">
        <v>44029</v>
      </c>
      <c r="N1599" s="543" t="s">
        <v>449</v>
      </c>
      <c r="O1599" s="543">
        <v>37330.85</v>
      </c>
      <c r="P1599" s="73" t="s">
        <v>431</v>
      </c>
      <c r="Q1599" s="158">
        <v>13.44</v>
      </c>
      <c r="R1599" s="563">
        <f t="shared" si="98"/>
        <v>8.902626492374166E-3</v>
      </c>
      <c r="S1599" s="563">
        <f t="shared" si="99"/>
        <v>8.0385852090032239E-2</v>
      </c>
      <c r="AA1599" s="594">
        <v>44027</v>
      </c>
      <c r="AB1599" s="595" t="s">
        <v>449</v>
      </c>
      <c r="AC1599" s="595">
        <v>36679.03</v>
      </c>
      <c r="AD1599" s="596" t="s">
        <v>395</v>
      </c>
      <c r="AE1599" s="595">
        <v>156.38</v>
      </c>
      <c r="AF1599" s="597">
        <f t="shared" si="100"/>
        <v>-1.8013227298681045E-3</v>
      </c>
      <c r="AG1599" s="597">
        <f t="shared" si="101"/>
        <v>7.4998281432597791E-2</v>
      </c>
    </row>
    <row r="1600" spans="13:33" x14ac:dyDescent="0.35">
      <c r="M1600" s="555">
        <v>44032</v>
      </c>
      <c r="N1600" s="543" t="s">
        <v>449</v>
      </c>
      <c r="O1600" s="543">
        <v>37650.57</v>
      </c>
      <c r="P1600" s="73" t="s">
        <v>431</v>
      </c>
      <c r="Q1600" s="158">
        <v>14.44</v>
      </c>
      <c r="R1600" s="563">
        <f t="shared" si="98"/>
        <v>8.5644982635006972E-3</v>
      </c>
      <c r="S1600" s="563">
        <f t="shared" si="99"/>
        <v>7.4404761904761862E-2</v>
      </c>
      <c r="AA1600" s="594">
        <v>44028</v>
      </c>
      <c r="AB1600" s="595" t="s">
        <v>449</v>
      </c>
      <c r="AC1600" s="595">
        <v>37001.440000000002</v>
      </c>
      <c r="AD1600" s="596" t="s">
        <v>395</v>
      </c>
      <c r="AE1600" s="595">
        <v>161.38</v>
      </c>
      <c r="AF1600" s="597">
        <f t="shared" si="100"/>
        <v>8.7900361596258136E-3</v>
      </c>
      <c r="AG1600" s="597">
        <f t="shared" si="101"/>
        <v>3.1973398132753461E-2</v>
      </c>
    </row>
    <row r="1601" spans="13:33" x14ac:dyDescent="0.35">
      <c r="M1601" s="555">
        <v>44033</v>
      </c>
      <c r="N1601" s="543" t="s">
        <v>449</v>
      </c>
      <c r="O1601" s="543">
        <v>37700.31</v>
      </c>
      <c r="P1601" s="73" t="s">
        <v>431</v>
      </c>
      <c r="Q1601" s="158">
        <v>15.15</v>
      </c>
      <c r="R1601" s="563">
        <f t="shared" si="98"/>
        <v>1.3210955371989463E-3</v>
      </c>
      <c r="S1601" s="563">
        <f t="shared" si="99"/>
        <v>4.9168975069252108E-2</v>
      </c>
      <c r="AA1601" s="594">
        <v>44029</v>
      </c>
      <c r="AB1601" s="595" t="s">
        <v>449</v>
      </c>
      <c r="AC1601" s="595">
        <v>37330.85</v>
      </c>
      <c r="AD1601" s="596" t="s">
        <v>395</v>
      </c>
      <c r="AE1601" s="595">
        <v>166.95</v>
      </c>
      <c r="AF1601" s="597">
        <f t="shared" si="100"/>
        <v>8.902626492374166E-3</v>
      </c>
      <c r="AG1601" s="597">
        <f t="shared" si="101"/>
        <v>3.4514809765770149E-2</v>
      </c>
    </row>
    <row r="1602" spans="13:33" x14ac:dyDescent="0.35">
      <c r="M1602" s="555">
        <v>44034</v>
      </c>
      <c r="N1602" s="543" t="s">
        <v>449</v>
      </c>
      <c r="O1602" s="543">
        <v>37804.61</v>
      </c>
      <c r="P1602" s="73" t="s">
        <v>431</v>
      </c>
      <c r="Q1602" s="158">
        <v>14.73</v>
      </c>
      <c r="R1602" s="563">
        <f t="shared" si="98"/>
        <v>2.7665555004721121E-3</v>
      </c>
      <c r="S1602" s="563">
        <f t="shared" si="99"/>
        <v>-2.7722772277227747E-2</v>
      </c>
      <c r="AA1602" s="594">
        <v>44032</v>
      </c>
      <c r="AB1602" s="595" t="s">
        <v>449</v>
      </c>
      <c r="AC1602" s="595">
        <v>37650.57</v>
      </c>
      <c r="AD1602" s="596" t="s">
        <v>395</v>
      </c>
      <c r="AE1602" s="595">
        <v>172.65</v>
      </c>
      <c r="AF1602" s="597">
        <f t="shared" si="100"/>
        <v>8.5644982635006972E-3</v>
      </c>
      <c r="AG1602" s="597">
        <f t="shared" si="101"/>
        <v>3.4141958670260708E-2</v>
      </c>
    </row>
    <row r="1603" spans="13:33" x14ac:dyDescent="0.35">
      <c r="M1603" s="555">
        <v>44035</v>
      </c>
      <c r="N1603" s="543" t="s">
        <v>449</v>
      </c>
      <c r="O1603" s="543">
        <v>37578.21</v>
      </c>
      <c r="P1603" s="73" t="s">
        <v>431</v>
      </c>
      <c r="Q1603" s="158">
        <v>14.46</v>
      </c>
      <c r="R1603" s="563">
        <f t="shared" si="98"/>
        <v>-5.988687623017408E-3</v>
      </c>
      <c r="S1603" s="563">
        <f t="shared" si="99"/>
        <v>-1.8329938900203624E-2</v>
      </c>
      <c r="AA1603" s="594">
        <v>44033</v>
      </c>
      <c r="AB1603" s="595" t="s">
        <v>449</v>
      </c>
      <c r="AC1603" s="595">
        <v>37700.31</v>
      </c>
      <c r="AD1603" s="596" t="s">
        <v>395</v>
      </c>
      <c r="AE1603" s="595">
        <v>170.02</v>
      </c>
      <c r="AF1603" s="597">
        <f t="shared" si="100"/>
        <v>1.3210955371989463E-3</v>
      </c>
      <c r="AG1603" s="597">
        <f t="shared" si="101"/>
        <v>-1.5233130611062795E-2</v>
      </c>
    </row>
    <row r="1604" spans="13:33" x14ac:dyDescent="0.35">
      <c r="M1604" s="555">
        <v>44036</v>
      </c>
      <c r="N1604" s="543" t="s">
        <v>449</v>
      </c>
      <c r="O1604" s="543">
        <v>37607.620000000003</v>
      </c>
      <c r="P1604" s="73" t="s">
        <v>431</v>
      </c>
      <c r="Q1604" s="158">
        <v>13.66</v>
      </c>
      <c r="R1604" s="563">
        <f t="shared" si="98"/>
        <v>7.8263440435311082E-4</v>
      </c>
      <c r="S1604" s="563">
        <f t="shared" si="99"/>
        <v>-5.5325034578146637E-2</v>
      </c>
      <c r="AA1604" s="594">
        <v>44034</v>
      </c>
      <c r="AB1604" s="595" t="s">
        <v>449</v>
      </c>
      <c r="AC1604" s="595">
        <v>37804.61</v>
      </c>
      <c r="AD1604" s="596" t="s">
        <v>395</v>
      </c>
      <c r="AE1604" s="595">
        <v>167.2</v>
      </c>
      <c r="AF1604" s="597">
        <f t="shared" si="100"/>
        <v>2.7665555004721121E-3</v>
      </c>
      <c r="AG1604" s="597">
        <f t="shared" si="101"/>
        <v>-1.6586283966592341E-2</v>
      </c>
    </row>
    <row r="1605" spans="13:33" x14ac:dyDescent="0.35">
      <c r="M1605" s="555">
        <v>44039</v>
      </c>
      <c r="N1605" s="543" t="s">
        <v>449</v>
      </c>
      <c r="O1605" s="543">
        <v>38221.160000000003</v>
      </c>
      <c r="P1605" s="73" t="s">
        <v>431</v>
      </c>
      <c r="Q1605" s="158">
        <v>13.05</v>
      </c>
      <c r="R1605" s="563">
        <f t="shared" si="98"/>
        <v>1.6314246953144096E-2</v>
      </c>
      <c r="S1605" s="563">
        <f t="shared" si="99"/>
        <v>-4.4655929721815424E-2</v>
      </c>
      <c r="AA1605" s="594">
        <v>44035</v>
      </c>
      <c r="AB1605" s="595" t="s">
        <v>449</v>
      </c>
      <c r="AC1605" s="595">
        <v>37578.21</v>
      </c>
      <c r="AD1605" s="596" t="s">
        <v>395</v>
      </c>
      <c r="AE1605" s="595">
        <v>164</v>
      </c>
      <c r="AF1605" s="597">
        <f t="shared" si="100"/>
        <v>-5.988687623017408E-3</v>
      </c>
      <c r="AG1605" s="597">
        <f t="shared" si="101"/>
        <v>-1.9138755980861122E-2</v>
      </c>
    </row>
    <row r="1606" spans="13:33" x14ac:dyDescent="0.35">
      <c r="M1606" s="555">
        <v>44040</v>
      </c>
      <c r="N1606" s="543" t="s">
        <v>449</v>
      </c>
      <c r="O1606" s="543">
        <v>38627.269999999997</v>
      </c>
      <c r="P1606" s="73" t="s">
        <v>431</v>
      </c>
      <c r="Q1606" s="158">
        <v>13.73</v>
      </c>
      <c r="R1606" s="563">
        <f t="shared" si="98"/>
        <v>1.0625266213793338E-2</v>
      </c>
      <c r="S1606" s="563">
        <f t="shared" si="99"/>
        <v>5.2107279693486497E-2</v>
      </c>
      <c r="AA1606" s="594">
        <v>44036</v>
      </c>
      <c r="AB1606" s="595" t="s">
        <v>449</v>
      </c>
      <c r="AC1606" s="595">
        <v>37607.620000000003</v>
      </c>
      <c r="AD1606" s="596" t="s">
        <v>395</v>
      </c>
      <c r="AE1606" s="595">
        <v>164.64</v>
      </c>
      <c r="AF1606" s="597">
        <f t="shared" si="100"/>
        <v>7.8263440435311082E-4</v>
      </c>
      <c r="AG1606" s="597">
        <f t="shared" si="101"/>
        <v>3.9024390243902474E-3</v>
      </c>
    </row>
    <row r="1607" spans="13:33" x14ac:dyDescent="0.35">
      <c r="M1607" s="555">
        <v>44041</v>
      </c>
      <c r="N1607" s="543" t="s">
        <v>449</v>
      </c>
      <c r="O1607" s="543">
        <v>38836.269999999997</v>
      </c>
      <c r="P1607" s="73" t="s">
        <v>431</v>
      </c>
      <c r="Q1607" s="158">
        <v>13.79</v>
      </c>
      <c r="R1607" s="563">
        <f t="shared" si="98"/>
        <v>5.4106852490480861E-3</v>
      </c>
      <c r="S1607" s="563">
        <f t="shared" si="99"/>
        <v>4.3699927166787056E-3</v>
      </c>
      <c r="AA1607" s="594">
        <v>44039</v>
      </c>
      <c r="AB1607" s="595" t="s">
        <v>449</v>
      </c>
      <c r="AC1607" s="595">
        <v>38221.160000000003</v>
      </c>
      <c r="AD1607" s="596" t="s">
        <v>395</v>
      </c>
      <c r="AE1607" s="595">
        <v>164</v>
      </c>
      <c r="AF1607" s="597">
        <f t="shared" si="100"/>
        <v>1.6314246953144096E-2</v>
      </c>
      <c r="AG1607" s="597">
        <f t="shared" si="101"/>
        <v>-3.8872691933915515E-3</v>
      </c>
    </row>
    <row r="1608" spans="13:33" x14ac:dyDescent="0.35">
      <c r="M1608" s="555">
        <v>44042</v>
      </c>
      <c r="N1608" s="543" t="s">
        <v>449</v>
      </c>
      <c r="O1608" s="543">
        <v>39258.44</v>
      </c>
      <c r="P1608" s="73" t="s">
        <v>431</v>
      </c>
      <c r="Q1608" s="158">
        <v>14.15</v>
      </c>
      <c r="R1608" s="563">
        <f t="shared" si="98"/>
        <v>1.0870508419063007E-2</v>
      </c>
      <c r="S1608" s="563">
        <f t="shared" si="99"/>
        <v>2.6105873821610004E-2</v>
      </c>
      <c r="AA1608" s="594">
        <v>44040</v>
      </c>
      <c r="AB1608" s="595" t="s">
        <v>449</v>
      </c>
      <c r="AC1608" s="595">
        <v>38627.269999999997</v>
      </c>
      <c r="AD1608" s="596" t="s">
        <v>395</v>
      </c>
      <c r="AE1608" s="595">
        <v>162</v>
      </c>
      <c r="AF1608" s="597">
        <f t="shared" si="100"/>
        <v>1.0625266213793338E-2</v>
      </c>
      <c r="AG1608" s="597">
        <f t="shared" si="101"/>
        <v>-1.2195121951219523E-2</v>
      </c>
    </row>
    <row r="1609" spans="13:33" x14ac:dyDescent="0.35">
      <c r="M1609" s="555">
        <v>44046</v>
      </c>
      <c r="N1609" s="543" t="s">
        <v>449</v>
      </c>
      <c r="O1609" s="543">
        <v>39871.61</v>
      </c>
      <c r="P1609" s="73" t="s">
        <v>431</v>
      </c>
      <c r="Q1609" s="158">
        <v>14.48</v>
      </c>
      <c r="R1609" s="563">
        <f t="shared" si="98"/>
        <v>1.5618807064162521E-2</v>
      </c>
      <c r="S1609" s="563">
        <f t="shared" si="99"/>
        <v>2.3321554770318054E-2</v>
      </c>
      <c r="AA1609" s="594">
        <v>44041</v>
      </c>
      <c r="AB1609" s="595" t="s">
        <v>449</v>
      </c>
      <c r="AC1609" s="595">
        <v>38836.269999999997</v>
      </c>
      <c r="AD1609" s="596" t="s">
        <v>395</v>
      </c>
      <c r="AE1609" s="595">
        <v>163.79</v>
      </c>
      <c r="AF1609" s="597">
        <f t="shared" si="100"/>
        <v>5.4106852490480861E-3</v>
      </c>
      <c r="AG1609" s="597">
        <f t="shared" si="101"/>
        <v>1.1049382716049383E-2</v>
      </c>
    </row>
    <row r="1610" spans="13:33" x14ac:dyDescent="0.35">
      <c r="M1610" s="555">
        <v>44047</v>
      </c>
      <c r="N1610" s="543" t="s">
        <v>449</v>
      </c>
      <c r="O1610" s="543">
        <v>39577.620000000003</v>
      </c>
      <c r="P1610" s="73" t="s">
        <v>431</v>
      </c>
      <c r="Q1610" s="158">
        <v>13.83</v>
      </c>
      <c r="R1610" s="563">
        <f t="shared" si="98"/>
        <v>-7.3734168246528675E-3</v>
      </c>
      <c r="S1610" s="563">
        <f t="shared" si="99"/>
        <v>-4.4889502762430977E-2</v>
      </c>
      <c r="AA1610" s="594">
        <v>44042</v>
      </c>
      <c r="AB1610" s="595" t="s">
        <v>449</v>
      </c>
      <c r="AC1610" s="595">
        <v>39258.44</v>
      </c>
      <c r="AD1610" s="596" t="s">
        <v>395</v>
      </c>
      <c r="AE1610" s="595">
        <v>163.83000000000001</v>
      </c>
      <c r="AF1610" s="597">
        <f t="shared" si="100"/>
        <v>1.0870508419063007E-2</v>
      </c>
      <c r="AG1610" s="597">
        <f t="shared" si="101"/>
        <v>2.4421515355044221E-4</v>
      </c>
    </row>
    <row r="1611" spans="13:33" x14ac:dyDescent="0.35">
      <c r="M1611" s="555">
        <v>44048</v>
      </c>
      <c r="N1611" s="543" t="s">
        <v>449</v>
      </c>
      <c r="O1611" s="543">
        <v>39882.78</v>
      </c>
      <c r="P1611" s="73" t="s">
        <v>431</v>
      </c>
      <c r="Q1611" s="158">
        <v>14.03</v>
      </c>
      <c r="R1611" s="563">
        <f t="shared" si="98"/>
        <v>7.7104181605665012E-3</v>
      </c>
      <c r="S1611" s="563">
        <f t="shared" si="99"/>
        <v>1.4461315979754197E-2</v>
      </c>
      <c r="AA1611" s="594">
        <v>44046</v>
      </c>
      <c r="AB1611" s="595" t="s">
        <v>449</v>
      </c>
      <c r="AC1611" s="595">
        <v>39871.61</v>
      </c>
      <c r="AD1611" s="596" t="s">
        <v>395</v>
      </c>
      <c r="AE1611" s="595">
        <v>162.68</v>
      </c>
      <c r="AF1611" s="597">
        <f t="shared" si="100"/>
        <v>1.5618807064162521E-2</v>
      </c>
      <c r="AG1611" s="597">
        <f t="shared" si="101"/>
        <v>-7.0194714032839611E-3</v>
      </c>
    </row>
    <row r="1612" spans="13:33" x14ac:dyDescent="0.35">
      <c r="M1612" s="555">
        <v>44049</v>
      </c>
      <c r="N1612" s="543" t="s">
        <v>449</v>
      </c>
      <c r="O1612" s="543">
        <v>40166.120000000003</v>
      </c>
      <c r="P1612" s="73" t="s">
        <v>431</v>
      </c>
      <c r="Q1612" s="158">
        <v>13.87</v>
      </c>
      <c r="R1612" s="563">
        <f t="shared" si="98"/>
        <v>7.1043192074375927E-3</v>
      </c>
      <c r="S1612" s="563">
        <f t="shared" si="99"/>
        <v>-1.1404133998574539E-2</v>
      </c>
      <c r="AA1612" s="594">
        <v>44047</v>
      </c>
      <c r="AB1612" s="595" t="s">
        <v>449</v>
      </c>
      <c r="AC1612" s="595">
        <v>39577.620000000003</v>
      </c>
      <c r="AD1612" s="596" t="s">
        <v>395</v>
      </c>
      <c r="AE1612" s="595">
        <v>161.76</v>
      </c>
      <c r="AF1612" s="597">
        <f t="shared" si="100"/>
        <v>-7.3734168246528675E-3</v>
      </c>
      <c r="AG1612" s="597">
        <f t="shared" si="101"/>
        <v>-5.6552741578560495E-3</v>
      </c>
    </row>
    <row r="1613" spans="13:33" x14ac:dyDescent="0.35">
      <c r="M1613" s="555">
        <v>44050</v>
      </c>
      <c r="N1613" s="543" t="s">
        <v>449</v>
      </c>
      <c r="O1613" s="543">
        <v>40029.69</v>
      </c>
      <c r="P1613" s="73" t="s">
        <v>431</v>
      </c>
      <c r="Q1613" s="158">
        <v>13.84</v>
      </c>
      <c r="R1613" s="563">
        <f t="shared" si="98"/>
        <v>-3.3966437385537507E-3</v>
      </c>
      <c r="S1613" s="563">
        <f t="shared" si="99"/>
        <v>-2.1629416005767288E-3</v>
      </c>
      <c r="AA1613" s="594">
        <v>44048</v>
      </c>
      <c r="AB1613" s="595" t="s">
        <v>449</v>
      </c>
      <c r="AC1613" s="595">
        <v>39882.78</v>
      </c>
      <c r="AD1613" s="596" t="s">
        <v>395</v>
      </c>
      <c r="AE1613" s="595">
        <v>159.99</v>
      </c>
      <c r="AF1613" s="597">
        <f t="shared" si="100"/>
        <v>7.7104181605665012E-3</v>
      </c>
      <c r="AG1613" s="597">
        <f t="shared" si="101"/>
        <v>-1.0942136498516164E-2</v>
      </c>
    </row>
    <row r="1614" spans="13:33" x14ac:dyDescent="0.35">
      <c r="M1614" s="555">
        <v>44053</v>
      </c>
      <c r="N1614" s="543" t="s">
        <v>449</v>
      </c>
      <c r="O1614" s="543">
        <v>39914.76</v>
      </c>
      <c r="P1614" s="73" t="s">
        <v>431</v>
      </c>
      <c r="Q1614" s="158">
        <v>13.82</v>
      </c>
      <c r="R1614" s="563">
        <f t="shared" si="98"/>
        <v>-2.8711189119875469E-3</v>
      </c>
      <c r="S1614" s="563">
        <f t="shared" si="99"/>
        <v>-1.4450867052022698E-3</v>
      </c>
      <c r="AA1614" s="594">
        <v>44049</v>
      </c>
      <c r="AB1614" s="595" t="s">
        <v>449</v>
      </c>
      <c r="AC1614" s="595">
        <v>40166.120000000003</v>
      </c>
      <c r="AD1614" s="596" t="s">
        <v>395</v>
      </c>
      <c r="AE1614" s="595">
        <v>160.22</v>
      </c>
      <c r="AF1614" s="597">
        <f t="shared" si="100"/>
        <v>7.1043192074375927E-3</v>
      </c>
      <c r="AG1614" s="597">
        <f t="shared" si="101"/>
        <v>1.4375898493654837E-3</v>
      </c>
    </row>
    <row r="1615" spans="13:33" x14ac:dyDescent="0.35">
      <c r="M1615" s="555">
        <v>44054</v>
      </c>
      <c r="N1615" s="543" t="s">
        <v>449</v>
      </c>
      <c r="O1615" s="543">
        <v>40559.15</v>
      </c>
      <c r="P1615" s="73" t="s">
        <v>431</v>
      </c>
      <c r="Q1615" s="158">
        <v>14.85</v>
      </c>
      <c r="R1615" s="563">
        <f t="shared" si="98"/>
        <v>1.6144153190448929E-2</v>
      </c>
      <c r="S1615" s="563">
        <f t="shared" si="99"/>
        <v>7.4529667149059176E-2</v>
      </c>
      <c r="AA1615" s="594">
        <v>44050</v>
      </c>
      <c r="AB1615" s="595" t="s">
        <v>449</v>
      </c>
      <c r="AC1615" s="595">
        <v>40029.69</v>
      </c>
      <c r="AD1615" s="596" t="s">
        <v>395</v>
      </c>
      <c r="AE1615" s="595">
        <v>159.33000000000001</v>
      </c>
      <c r="AF1615" s="597">
        <f t="shared" si="100"/>
        <v>-3.3966437385537507E-3</v>
      </c>
      <c r="AG1615" s="597">
        <f t="shared" si="101"/>
        <v>-5.554862064661048E-3</v>
      </c>
    </row>
    <row r="1616" spans="13:33" x14ac:dyDescent="0.35">
      <c r="M1616" s="555">
        <v>44055</v>
      </c>
      <c r="N1616" s="543" t="s">
        <v>449</v>
      </c>
      <c r="O1616" s="543">
        <v>40473.18</v>
      </c>
      <c r="P1616" s="73" t="s">
        <v>431</v>
      </c>
      <c r="Q1616" s="158">
        <v>14.84</v>
      </c>
      <c r="R1616" s="563">
        <f t="shared" si="98"/>
        <v>-2.1196203569354699E-3</v>
      </c>
      <c r="S1616" s="563">
        <f t="shared" si="99"/>
        <v>-6.7340067340060372E-4</v>
      </c>
      <c r="AA1616" s="594">
        <v>44053</v>
      </c>
      <c r="AB1616" s="595" t="s">
        <v>449</v>
      </c>
      <c r="AC1616" s="595">
        <v>39914.76</v>
      </c>
      <c r="AD1616" s="596" t="s">
        <v>395</v>
      </c>
      <c r="AE1616" s="595">
        <v>165.41</v>
      </c>
      <c r="AF1616" s="597">
        <f t="shared" si="100"/>
        <v>-2.8711189119875469E-3</v>
      </c>
      <c r="AG1616" s="597">
        <f t="shared" si="101"/>
        <v>3.8159794137952563E-2</v>
      </c>
    </row>
    <row r="1617" spans="13:33" x14ac:dyDescent="0.35">
      <c r="M1617" s="555">
        <v>44056</v>
      </c>
      <c r="N1617" s="543" t="s">
        <v>449</v>
      </c>
      <c r="O1617" s="543">
        <v>40290.74</v>
      </c>
      <c r="P1617" s="73" t="s">
        <v>431</v>
      </c>
      <c r="Q1617" s="158">
        <v>15.18</v>
      </c>
      <c r="R1617" s="563">
        <f t="shared" si="98"/>
        <v>-4.5076764415349357E-3</v>
      </c>
      <c r="S1617" s="563">
        <f t="shared" si="99"/>
        <v>2.2911051212938016E-2</v>
      </c>
      <c r="AA1617" s="594">
        <v>44054</v>
      </c>
      <c r="AB1617" s="595" t="s">
        <v>449</v>
      </c>
      <c r="AC1617" s="595">
        <v>40559.15</v>
      </c>
      <c r="AD1617" s="596" t="s">
        <v>395</v>
      </c>
      <c r="AE1617" s="595">
        <v>164.91</v>
      </c>
      <c r="AF1617" s="597">
        <f t="shared" si="100"/>
        <v>1.6144153190448929E-2</v>
      </c>
      <c r="AG1617" s="597">
        <f t="shared" si="101"/>
        <v>-3.0227918505532081E-3</v>
      </c>
    </row>
    <row r="1618" spans="13:33" x14ac:dyDescent="0.35">
      <c r="M1618" s="555">
        <v>44060</v>
      </c>
      <c r="N1618" s="543" t="s">
        <v>449</v>
      </c>
      <c r="O1618" s="543">
        <v>40122.5</v>
      </c>
      <c r="P1618" s="73" t="s">
        <v>431</v>
      </c>
      <c r="Q1618" s="158">
        <v>16.309999999999999</v>
      </c>
      <c r="R1618" s="563">
        <f t="shared" si="98"/>
        <v>-4.1756492931129818E-3</v>
      </c>
      <c r="S1618" s="563">
        <f t="shared" si="99"/>
        <v>7.4440052700922132E-2</v>
      </c>
      <c r="AA1618" s="594">
        <v>44055</v>
      </c>
      <c r="AB1618" s="595" t="s">
        <v>449</v>
      </c>
      <c r="AC1618" s="595">
        <v>40473.18</v>
      </c>
      <c r="AD1618" s="596" t="s">
        <v>395</v>
      </c>
      <c r="AE1618" s="595">
        <v>164.06</v>
      </c>
      <c r="AF1618" s="597">
        <f t="shared" si="100"/>
        <v>-2.1196203569354699E-3</v>
      </c>
      <c r="AG1618" s="597">
        <f t="shared" si="101"/>
        <v>-5.1543266023891254E-3</v>
      </c>
    </row>
    <row r="1619" spans="13:33" x14ac:dyDescent="0.35">
      <c r="M1619" s="555">
        <v>44061</v>
      </c>
      <c r="N1619" s="543" t="s">
        <v>449</v>
      </c>
      <c r="O1619" s="543">
        <v>40184.01</v>
      </c>
      <c r="P1619" s="73" t="s">
        <v>431</v>
      </c>
      <c r="Q1619" s="158">
        <v>16.72</v>
      </c>
      <c r="R1619" s="563">
        <f t="shared" si="98"/>
        <v>1.533055019004248E-3</v>
      </c>
      <c r="S1619" s="563">
        <f t="shared" si="99"/>
        <v>2.5137952176578882E-2</v>
      </c>
      <c r="AA1619" s="594">
        <v>44056</v>
      </c>
      <c r="AB1619" s="595" t="s">
        <v>449</v>
      </c>
      <c r="AC1619" s="595">
        <v>40290.74</v>
      </c>
      <c r="AD1619" s="596" t="s">
        <v>395</v>
      </c>
      <c r="AE1619" s="595">
        <v>163.06</v>
      </c>
      <c r="AF1619" s="597">
        <f t="shared" si="100"/>
        <v>-4.5076764415349357E-3</v>
      </c>
      <c r="AG1619" s="597">
        <f t="shared" si="101"/>
        <v>-6.0953309764719688E-3</v>
      </c>
    </row>
    <row r="1620" spans="13:33" x14ac:dyDescent="0.35">
      <c r="M1620" s="555">
        <v>44062</v>
      </c>
      <c r="N1620" s="543" t="s">
        <v>449</v>
      </c>
      <c r="O1620" s="543">
        <v>40154.11</v>
      </c>
      <c r="P1620" s="73" t="s">
        <v>431</v>
      </c>
      <c r="Q1620" s="158">
        <v>16.79</v>
      </c>
      <c r="R1620" s="563">
        <f t="shared" si="98"/>
        <v>-7.4407705950707559E-4</v>
      </c>
      <c r="S1620" s="563">
        <f t="shared" si="99"/>
        <v>4.1866028708135161E-3</v>
      </c>
      <c r="AA1620" s="594">
        <v>44060</v>
      </c>
      <c r="AB1620" s="595" t="s">
        <v>449</v>
      </c>
      <c r="AC1620" s="595">
        <v>40122.5</v>
      </c>
      <c r="AD1620" s="596" t="s">
        <v>395</v>
      </c>
      <c r="AE1620" s="595">
        <v>161.15</v>
      </c>
      <c r="AF1620" s="597">
        <f t="shared" si="100"/>
        <v>-4.1756492931129818E-3</v>
      </c>
      <c r="AG1620" s="597">
        <f t="shared" si="101"/>
        <v>-1.1713479700723672E-2</v>
      </c>
    </row>
    <row r="1621" spans="13:33" x14ac:dyDescent="0.35">
      <c r="M1621" s="555">
        <v>44063</v>
      </c>
      <c r="N1621" s="543" t="s">
        <v>449</v>
      </c>
      <c r="O1621" s="543">
        <v>39868.550000000003</v>
      </c>
      <c r="P1621" s="73" t="s">
        <v>431</v>
      </c>
      <c r="Q1621" s="158">
        <v>16.28</v>
      </c>
      <c r="R1621" s="563">
        <f t="shared" si="98"/>
        <v>-7.1116007800944292E-3</v>
      </c>
      <c r="S1621" s="563">
        <f t="shared" si="99"/>
        <v>-3.0375223347230418E-2</v>
      </c>
      <c r="AA1621" s="594">
        <v>44061</v>
      </c>
      <c r="AB1621" s="595" t="s">
        <v>449</v>
      </c>
      <c r="AC1621" s="595">
        <v>40184.01</v>
      </c>
      <c r="AD1621" s="596" t="s">
        <v>395</v>
      </c>
      <c r="AE1621" s="595">
        <v>163.03</v>
      </c>
      <c r="AF1621" s="597">
        <f t="shared" si="100"/>
        <v>1.533055019004248E-3</v>
      </c>
      <c r="AG1621" s="597">
        <f t="shared" si="101"/>
        <v>1.1666149550108473E-2</v>
      </c>
    </row>
    <row r="1622" spans="13:33" x14ac:dyDescent="0.35">
      <c r="M1622" s="555">
        <v>44064</v>
      </c>
      <c r="N1622" s="543" t="s">
        <v>449</v>
      </c>
      <c r="O1622" s="543">
        <v>39621.589999999997</v>
      </c>
      <c r="P1622" s="73" t="s">
        <v>431</v>
      </c>
      <c r="Q1622" s="158">
        <v>15.63</v>
      </c>
      <c r="R1622" s="563">
        <f t="shared" si="98"/>
        <v>-6.1943562030725152E-3</v>
      </c>
      <c r="S1622" s="563">
        <f t="shared" si="99"/>
        <v>-3.9926289926289993E-2</v>
      </c>
      <c r="AA1622" s="594">
        <v>44062</v>
      </c>
      <c r="AB1622" s="595" t="s">
        <v>449</v>
      </c>
      <c r="AC1622" s="595">
        <v>40154.11</v>
      </c>
      <c r="AD1622" s="596" t="s">
        <v>395</v>
      </c>
      <c r="AE1622" s="595">
        <v>162.36000000000001</v>
      </c>
      <c r="AF1622" s="597">
        <f t="shared" si="100"/>
        <v>-7.4407705950707559E-4</v>
      </c>
      <c r="AG1622" s="597">
        <f t="shared" si="101"/>
        <v>-4.1096730663067182E-3</v>
      </c>
    </row>
    <row r="1623" spans="13:33" x14ac:dyDescent="0.35">
      <c r="M1623" s="555">
        <v>44067</v>
      </c>
      <c r="N1623" s="543" t="s">
        <v>449</v>
      </c>
      <c r="O1623" s="543">
        <v>39802.6</v>
      </c>
      <c r="P1623" s="73" t="s">
        <v>431</v>
      </c>
      <c r="Q1623" s="158">
        <v>16.8</v>
      </c>
      <c r="R1623" s="563">
        <f t="shared" si="98"/>
        <v>4.568468857509389E-3</v>
      </c>
      <c r="S1623" s="563">
        <f t="shared" si="99"/>
        <v>7.4856046065259196E-2</v>
      </c>
      <c r="AA1623" s="594">
        <v>44063</v>
      </c>
      <c r="AB1623" s="595" t="s">
        <v>449</v>
      </c>
      <c r="AC1623" s="595">
        <v>39868.550000000003</v>
      </c>
      <c r="AD1623" s="596" t="s">
        <v>395</v>
      </c>
      <c r="AE1623" s="595">
        <v>160.69999999999999</v>
      </c>
      <c r="AF1623" s="597">
        <f t="shared" si="100"/>
        <v>-7.1116007800944292E-3</v>
      </c>
      <c r="AG1623" s="597">
        <f t="shared" si="101"/>
        <v>-1.022419315102252E-2</v>
      </c>
    </row>
    <row r="1624" spans="13:33" x14ac:dyDescent="0.35">
      <c r="M1624" s="555">
        <v>44068</v>
      </c>
      <c r="N1624" s="543" t="s">
        <v>449</v>
      </c>
      <c r="O1624" s="543">
        <v>40292.82</v>
      </c>
      <c r="P1624" s="73" t="s">
        <v>431</v>
      </c>
      <c r="Q1624" s="158">
        <v>18.059999999999999</v>
      </c>
      <c r="R1624" s="563">
        <f t="shared" si="98"/>
        <v>1.2316280845974914E-2</v>
      </c>
      <c r="S1624" s="563">
        <f t="shared" si="99"/>
        <v>7.4999999999999956E-2</v>
      </c>
      <c r="AA1624" s="594">
        <v>44064</v>
      </c>
      <c r="AB1624" s="595" t="s">
        <v>449</v>
      </c>
      <c r="AC1624" s="595">
        <v>39621.589999999997</v>
      </c>
      <c r="AD1624" s="596" t="s">
        <v>395</v>
      </c>
      <c r="AE1624" s="595">
        <v>160</v>
      </c>
      <c r="AF1624" s="597">
        <f t="shared" si="100"/>
        <v>-6.1943562030725152E-3</v>
      </c>
      <c r="AG1624" s="597">
        <f t="shared" si="101"/>
        <v>-4.3559427504666903E-3</v>
      </c>
    </row>
    <row r="1625" spans="13:33" x14ac:dyDescent="0.35">
      <c r="M1625" s="555">
        <v>44069</v>
      </c>
      <c r="N1625" s="543" t="s">
        <v>449</v>
      </c>
      <c r="O1625" s="543">
        <v>40862.589999999997</v>
      </c>
      <c r="P1625" s="73" t="s">
        <v>431</v>
      </c>
      <c r="Q1625" s="158">
        <v>18.34</v>
      </c>
      <c r="R1625" s="563">
        <f t="shared" si="98"/>
        <v>1.4140732765787867E-2</v>
      </c>
      <c r="S1625" s="563">
        <f t="shared" si="99"/>
        <v>1.5503875968992276E-2</v>
      </c>
      <c r="AA1625" s="594">
        <v>44067</v>
      </c>
      <c r="AB1625" s="595" t="s">
        <v>449</v>
      </c>
      <c r="AC1625" s="595">
        <v>39802.6</v>
      </c>
      <c r="AD1625" s="596" t="s">
        <v>395</v>
      </c>
      <c r="AE1625" s="595">
        <v>163.16999999999999</v>
      </c>
      <c r="AF1625" s="597">
        <f t="shared" si="100"/>
        <v>4.568468857509389E-3</v>
      </c>
      <c r="AG1625" s="597">
        <f t="shared" si="101"/>
        <v>1.9812500000000011E-2</v>
      </c>
    </row>
    <row r="1626" spans="13:33" x14ac:dyDescent="0.35">
      <c r="M1626" s="555">
        <v>44070</v>
      </c>
      <c r="N1626" s="543" t="s">
        <v>449</v>
      </c>
      <c r="O1626" s="543">
        <v>41081.94</v>
      </c>
      <c r="P1626" s="73" t="s">
        <v>431</v>
      </c>
      <c r="Q1626" s="158">
        <v>18.09</v>
      </c>
      <c r="R1626" s="563">
        <f t="shared" ref="R1626:R1689" si="102">(O1626/O1625)-1</f>
        <v>5.3679906241872466E-3</v>
      </c>
      <c r="S1626" s="563">
        <f t="shared" ref="S1626:S1689" si="103">(Q1626/Q1625)-1</f>
        <v>-1.36314067611778E-2</v>
      </c>
      <c r="AA1626" s="594">
        <v>44068</v>
      </c>
      <c r="AB1626" s="595" t="s">
        <v>449</v>
      </c>
      <c r="AC1626" s="595">
        <v>40292.82</v>
      </c>
      <c r="AD1626" s="596" t="s">
        <v>395</v>
      </c>
      <c r="AE1626" s="595">
        <v>163.78</v>
      </c>
      <c r="AF1626" s="597">
        <f t="shared" si="100"/>
        <v>1.2316280845974914E-2</v>
      </c>
      <c r="AG1626" s="597">
        <f t="shared" si="101"/>
        <v>3.7384323098610395E-3</v>
      </c>
    </row>
    <row r="1627" spans="13:33" x14ac:dyDescent="0.35">
      <c r="M1627" s="555">
        <v>44071</v>
      </c>
      <c r="N1627" s="543" t="s">
        <v>449</v>
      </c>
      <c r="O1627" s="543">
        <v>41056.22</v>
      </c>
      <c r="P1627" s="73" t="s">
        <v>431</v>
      </c>
      <c r="Q1627" s="158">
        <v>18.86</v>
      </c>
      <c r="R1627" s="563">
        <f t="shared" si="102"/>
        <v>-6.2606585764934941E-4</v>
      </c>
      <c r="S1627" s="563">
        <f t="shared" si="103"/>
        <v>4.2564953012714124E-2</v>
      </c>
      <c r="AA1627" s="594">
        <v>44069</v>
      </c>
      <c r="AB1627" s="595" t="s">
        <v>449</v>
      </c>
      <c r="AC1627" s="595">
        <v>40862.589999999997</v>
      </c>
      <c r="AD1627" s="596" t="s">
        <v>395</v>
      </c>
      <c r="AE1627" s="595">
        <v>164.5</v>
      </c>
      <c r="AF1627" s="597">
        <f t="shared" si="100"/>
        <v>1.4140732765787867E-2</v>
      </c>
      <c r="AG1627" s="597">
        <f t="shared" si="101"/>
        <v>4.3961411649773297E-3</v>
      </c>
    </row>
    <row r="1628" spans="13:33" x14ac:dyDescent="0.35">
      <c r="M1628" s="555">
        <v>44074</v>
      </c>
      <c r="N1628" s="543" t="s">
        <v>449</v>
      </c>
      <c r="O1628" s="543">
        <v>41110.93</v>
      </c>
      <c r="P1628" s="73" t="s">
        <v>431</v>
      </c>
      <c r="Q1628" s="158">
        <v>20.27</v>
      </c>
      <c r="R1628" s="563">
        <f t="shared" si="102"/>
        <v>1.332563007505394E-3</v>
      </c>
      <c r="S1628" s="563">
        <f t="shared" si="103"/>
        <v>7.4761399787910854E-2</v>
      </c>
      <c r="AA1628" s="594">
        <v>44070</v>
      </c>
      <c r="AB1628" s="595" t="s">
        <v>449</v>
      </c>
      <c r="AC1628" s="595">
        <v>41081.94</v>
      </c>
      <c r="AD1628" s="596" t="s">
        <v>395</v>
      </c>
      <c r="AE1628" s="595">
        <v>176.83</v>
      </c>
      <c r="AF1628" s="597">
        <f t="shared" ref="AF1628:AF1691" si="104">(AC1628/AC1627)-1</f>
        <v>5.3679906241872466E-3</v>
      </c>
      <c r="AG1628" s="597">
        <f t="shared" ref="AG1628:AG1691" si="105">(AE1628/AE1627)-1</f>
        <v>7.4954407294832937E-2</v>
      </c>
    </row>
    <row r="1629" spans="13:33" x14ac:dyDescent="0.35">
      <c r="M1629" s="555">
        <v>44075</v>
      </c>
      <c r="N1629" s="543" t="s">
        <v>449</v>
      </c>
      <c r="O1629" s="543">
        <v>41377.26</v>
      </c>
      <c r="P1629" s="73" t="s">
        <v>431</v>
      </c>
      <c r="Q1629" s="158">
        <v>21.79</v>
      </c>
      <c r="R1629" s="563">
        <f t="shared" si="102"/>
        <v>6.4783258369489616E-3</v>
      </c>
      <c r="S1629" s="563">
        <f t="shared" si="103"/>
        <v>7.4987666502219996E-2</v>
      </c>
      <c r="AA1629" s="594">
        <v>44071</v>
      </c>
      <c r="AB1629" s="595" t="s">
        <v>449</v>
      </c>
      <c r="AC1629" s="595">
        <v>41056.22</v>
      </c>
      <c r="AD1629" s="596" t="s">
        <v>395</v>
      </c>
      <c r="AE1629" s="595">
        <v>176.76</v>
      </c>
      <c r="AF1629" s="597">
        <f t="shared" si="104"/>
        <v>-6.2606585764934941E-4</v>
      </c>
      <c r="AG1629" s="597">
        <f t="shared" si="105"/>
        <v>-3.958604309224345E-4</v>
      </c>
    </row>
    <row r="1630" spans="13:33" x14ac:dyDescent="0.35">
      <c r="M1630" s="555">
        <v>44076</v>
      </c>
      <c r="N1630" s="543" t="s">
        <v>449</v>
      </c>
      <c r="O1630" s="543">
        <v>41834.85</v>
      </c>
      <c r="P1630" s="73" t="s">
        <v>431</v>
      </c>
      <c r="Q1630" s="158">
        <v>22.75</v>
      </c>
      <c r="R1630" s="563">
        <f t="shared" si="102"/>
        <v>1.105897297211067E-2</v>
      </c>
      <c r="S1630" s="563">
        <f t="shared" si="103"/>
        <v>4.4056906837999232E-2</v>
      </c>
      <c r="AA1630" s="594">
        <v>44074</v>
      </c>
      <c r="AB1630" s="595" t="s">
        <v>449</v>
      </c>
      <c r="AC1630" s="595">
        <v>41110.93</v>
      </c>
      <c r="AD1630" s="596" t="s">
        <v>395</v>
      </c>
      <c r="AE1630" s="595">
        <v>174.01</v>
      </c>
      <c r="AF1630" s="597">
        <f t="shared" si="104"/>
        <v>1.332563007505394E-3</v>
      </c>
      <c r="AG1630" s="597">
        <f t="shared" si="105"/>
        <v>-1.5557818510975374E-2</v>
      </c>
    </row>
    <row r="1631" spans="13:33" x14ac:dyDescent="0.35">
      <c r="M1631" s="555">
        <v>44077</v>
      </c>
      <c r="N1631" s="543" t="s">
        <v>449</v>
      </c>
      <c r="O1631" s="543">
        <v>42188.11</v>
      </c>
      <c r="P1631" s="73" t="s">
        <v>431</v>
      </c>
      <c r="Q1631" s="158">
        <v>22.68</v>
      </c>
      <c r="R1631" s="563">
        <f t="shared" si="102"/>
        <v>8.4441560086865319E-3</v>
      </c>
      <c r="S1631" s="563">
        <f t="shared" si="103"/>
        <v>-3.0769230769230882E-3</v>
      </c>
      <c r="AA1631" s="594">
        <v>44075</v>
      </c>
      <c r="AB1631" s="595" t="s">
        <v>449</v>
      </c>
      <c r="AC1631" s="595">
        <v>41377.26</v>
      </c>
      <c r="AD1631" s="596" t="s">
        <v>395</v>
      </c>
      <c r="AE1631" s="595">
        <v>175.92</v>
      </c>
      <c r="AF1631" s="597">
        <f t="shared" si="104"/>
        <v>6.4783258369489616E-3</v>
      </c>
      <c r="AG1631" s="597">
        <f t="shared" si="105"/>
        <v>1.0976380667777619E-2</v>
      </c>
    </row>
    <row r="1632" spans="13:33" x14ac:dyDescent="0.35">
      <c r="M1632" s="555">
        <v>44078</v>
      </c>
      <c r="N1632" s="543" t="s">
        <v>449</v>
      </c>
      <c r="O1632" s="543">
        <v>42023</v>
      </c>
      <c r="P1632" s="73" t="s">
        <v>431</v>
      </c>
      <c r="Q1632" s="158">
        <v>22.34</v>
      </c>
      <c r="R1632" s="563">
        <f t="shared" si="102"/>
        <v>-3.9136619298660857E-3</v>
      </c>
      <c r="S1632" s="563">
        <f t="shared" si="103"/>
        <v>-1.4991181657848296E-2</v>
      </c>
      <c r="AA1632" s="594">
        <v>44076</v>
      </c>
      <c r="AB1632" s="595" t="s">
        <v>449</v>
      </c>
      <c r="AC1632" s="595">
        <v>41834.85</v>
      </c>
      <c r="AD1632" s="596" t="s">
        <v>395</v>
      </c>
      <c r="AE1632" s="595">
        <v>174.65</v>
      </c>
      <c r="AF1632" s="597">
        <f t="shared" si="104"/>
        <v>1.105897297211067E-2</v>
      </c>
      <c r="AG1632" s="597">
        <f t="shared" si="105"/>
        <v>-7.2191905411549406E-3</v>
      </c>
    </row>
    <row r="1633" spans="13:33" x14ac:dyDescent="0.35">
      <c r="M1633" s="555">
        <v>44081</v>
      </c>
      <c r="N1633" s="543" t="s">
        <v>449</v>
      </c>
      <c r="O1633" s="543">
        <v>42295.75</v>
      </c>
      <c r="P1633" s="73" t="s">
        <v>431</v>
      </c>
      <c r="Q1633" s="158">
        <v>24.01</v>
      </c>
      <c r="R1633" s="563">
        <f t="shared" si="102"/>
        <v>6.490493301287481E-3</v>
      </c>
      <c r="S1633" s="563">
        <f t="shared" si="103"/>
        <v>7.4753804834377879E-2</v>
      </c>
      <c r="AA1633" s="594">
        <v>44077</v>
      </c>
      <c r="AB1633" s="595" t="s">
        <v>449</v>
      </c>
      <c r="AC1633" s="595">
        <v>42188.11</v>
      </c>
      <c r="AD1633" s="596" t="s">
        <v>395</v>
      </c>
      <c r="AE1633" s="595">
        <v>187.26</v>
      </c>
      <c r="AF1633" s="597">
        <f t="shared" si="104"/>
        <v>8.4441560086865319E-3</v>
      </c>
      <c r="AG1633" s="597">
        <f t="shared" si="105"/>
        <v>7.2201545949040824E-2</v>
      </c>
    </row>
    <row r="1634" spans="13:33" x14ac:dyDescent="0.35">
      <c r="M1634" s="555">
        <v>44082</v>
      </c>
      <c r="N1634" s="543" t="s">
        <v>449</v>
      </c>
      <c r="O1634" s="543">
        <v>41985.19</v>
      </c>
      <c r="P1634" s="73" t="s">
        <v>431</v>
      </c>
      <c r="Q1634" s="158">
        <v>22.26</v>
      </c>
      <c r="R1634" s="563">
        <f t="shared" si="102"/>
        <v>-7.3425817014711736E-3</v>
      </c>
      <c r="S1634" s="563">
        <f t="shared" si="103"/>
        <v>-7.2886297376093312E-2</v>
      </c>
      <c r="AA1634" s="594">
        <v>44078</v>
      </c>
      <c r="AB1634" s="595" t="s">
        <v>449</v>
      </c>
      <c r="AC1634" s="595">
        <v>42023</v>
      </c>
      <c r="AD1634" s="596" t="s">
        <v>395</v>
      </c>
      <c r="AE1634" s="595">
        <v>188.31</v>
      </c>
      <c r="AF1634" s="597">
        <f t="shared" si="104"/>
        <v>-3.9136619298660857E-3</v>
      </c>
      <c r="AG1634" s="597">
        <f t="shared" si="105"/>
        <v>5.6071771867991504E-3</v>
      </c>
    </row>
    <row r="1635" spans="13:33" x14ac:dyDescent="0.35">
      <c r="M1635" s="555">
        <v>44083</v>
      </c>
      <c r="N1635" s="543" t="s">
        <v>449</v>
      </c>
      <c r="O1635" s="543">
        <v>42022.25</v>
      </c>
      <c r="P1635" s="73" t="s">
        <v>431</v>
      </c>
      <c r="Q1635" s="158">
        <v>23.01</v>
      </c>
      <c r="R1635" s="563">
        <f t="shared" si="102"/>
        <v>8.8269220646597368E-4</v>
      </c>
      <c r="S1635" s="563">
        <f t="shared" si="103"/>
        <v>3.3692722371967632E-2</v>
      </c>
      <c r="AA1635" s="594">
        <v>44081</v>
      </c>
      <c r="AB1635" s="595" t="s">
        <v>449</v>
      </c>
      <c r="AC1635" s="595">
        <v>42295.75</v>
      </c>
      <c r="AD1635" s="596" t="s">
        <v>395</v>
      </c>
      <c r="AE1635" s="595">
        <v>187.23</v>
      </c>
      <c r="AF1635" s="597">
        <f t="shared" si="104"/>
        <v>6.490493301287481E-3</v>
      </c>
      <c r="AG1635" s="597">
        <f t="shared" si="105"/>
        <v>-5.7352238330413696E-3</v>
      </c>
    </row>
    <row r="1636" spans="13:33" x14ac:dyDescent="0.35">
      <c r="M1636" s="555">
        <v>44084</v>
      </c>
      <c r="N1636" s="543" t="s">
        <v>449</v>
      </c>
      <c r="O1636" s="543">
        <v>42647.35</v>
      </c>
      <c r="P1636" s="73" t="s">
        <v>431</v>
      </c>
      <c r="Q1636" s="158">
        <v>23.41</v>
      </c>
      <c r="R1636" s="563">
        <f t="shared" si="102"/>
        <v>1.4875452885078744E-2</v>
      </c>
      <c r="S1636" s="563">
        <f t="shared" si="103"/>
        <v>1.7383746197305427E-2</v>
      </c>
      <c r="AA1636" s="594">
        <v>44082</v>
      </c>
      <c r="AB1636" s="595" t="s">
        <v>449</v>
      </c>
      <c r="AC1636" s="595">
        <v>41985.19</v>
      </c>
      <c r="AD1636" s="596" t="s">
        <v>395</v>
      </c>
      <c r="AE1636" s="595">
        <v>181.76</v>
      </c>
      <c r="AF1636" s="597">
        <f t="shared" si="104"/>
        <v>-7.3425817014711736E-3</v>
      </c>
      <c r="AG1636" s="597">
        <f t="shared" si="105"/>
        <v>-2.9215403514394112E-2</v>
      </c>
    </row>
    <row r="1637" spans="13:33" x14ac:dyDescent="0.35">
      <c r="M1637" s="555">
        <v>44085</v>
      </c>
      <c r="N1637" s="543" t="s">
        <v>449</v>
      </c>
      <c r="O1637" s="543">
        <v>42530.67</v>
      </c>
      <c r="P1637" s="73" t="s">
        <v>431</v>
      </c>
      <c r="Q1637" s="158">
        <v>22.99</v>
      </c>
      <c r="R1637" s="563">
        <f t="shared" si="102"/>
        <v>-2.7359261478145935E-3</v>
      </c>
      <c r="S1637" s="563">
        <f t="shared" si="103"/>
        <v>-1.7941050832977479E-2</v>
      </c>
      <c r="AA1637" s="594">
        <v>44083</v>
      </c>
      <c r="AB1637" s="595" t="s">
        <v>449</v>
      </c>
      <c r="AC1637" s="595">
        <v>42022.25</v>
      </c>
      <c r="AD1637" s="596" t="s">
        <v>395</v>
      </c>
      <c r="AE1637" s="595">
        <v>180.87</v>
      </c>
      <c r="AF1637" s="597">
        <f t="shared" si="104"/>
        <v>8.8269220646597368E-4</v>
      </c>
      <c r="AG1637" s="597">
        <f t="shared" si="105"/>
        <v>-4.8965669014083835E-3</v>
      </c>
    </row>
    <row r="1638" spans="13:33" x14ac:dyDescent="0.35">
      <c r="M1638" s="555">
        <v>44088</v>
      </c>
      <c r="N1638" s="543" t="s">
        <v>449</v>
      </c>
      <c r="O1638" s="543">
        <v>42531.31</v>
      </c>
      <c r="P1638" s="73" t="s">
        <v>431</v>
      </c>
      <c r="Q1638" s="158">
        <v>22.72</v>
      </c>
      <c r="R1638" s="563">
        <f t="shared" si="102"/>
        <v>1.5047964210257447E-5</v>
      </c>
      <c r="S1638" s="563">
        <f t="shared" si="103"/>
        <v>-1.1744236624619431E-2</v>
      </c>
      <c r="AA1638" s="594">
        <v>44084</v>
      </c>
      <c r="AB1638" s="595" t="s">
        <v>449</v>
      </c>
      <c r="AC1638" s="595">
        <v>42647.35</v>
      </c>
      <c r="AD1638" s="596" t="s">
        <v>395</v>
      </c>
      <c r="AE1638" s="595">
        <v>183.5</v>
      </c>
      <c r="AF1638" s="597">
        <f t="shared" si="104"/>
        <v>1.4875452885078744E-2</v>
      </c>
      <c r="AG1638" s="597">
        <f t="shared" si="105"/>
        <v>1.4540830430695983E-2</v>
      </c>
    </row>
    <row r="1639" spans="13:33" x14ac:dyDescent="0.35">
      <c r="M1639" s="555">
        <v>44089</v>
      </c>
      <c r="N1639" s="543" t="s">
        <v>449</v>
      </c>
      <c r="O1639" s="543">
        <v>42346.42</v>
      </c>
      <c r="P1639" s="73" t="s">
        <v>431</v>
      </c>
      <c r="Q1639" s="158">
        <v>22.71</v>
      </c>
      <c r="R1639" s="563">
        <f t="shared" si="102"/>
        <v>-4.3471503699274994E-3</v>
      </c>
      <c r="S1639" s="563">
        <f t="shared" si="103"/>
        <v>-4.4014084507038032E-4</v>
      </c>
      <c r="AA1639" s="594">
        <v>44085</v>
      </c>
      <c r="AB1639" s="595" t="s">
        <v>449</v>
      </c>
      <c r="AC1639" s="595">
        <v>42530.67</v>
      </c>
      <c r="AD1639" s="596" t="s">
        <v>395</v>
      </c>
      <c r="AE1639" s="595">
        <v>180.59</v>
      </c>
      <c r="AF1639" s="597">
        <f t="shared" si="104"/>
        <v>-2.7359261478145935E-3</v>
      </c>
      <c r="AG1639" s="597">
        <f t="shared" si="105"/>
        <v>-1.5858310626702954E-2</v>
      </c>
    </row>
    <row r="1640" spans="13:33" x14ac:dyDescent="0.35">
      <c r="M1640" s="555">
        <v>44090</v>
      </c>
      <c r="N1640" s="543" t="s">
        <v>449</v>
      </c>
      <c r="O1640" s="543">
        <v>42282.28</v>
      </c>
      <c r="P1640" s="73" t="s">
        <v>431</v>
      </c>
      <c r="Q1640" s="158">
        <v>22.02</v>
      </c>
      <c r="R1640" s="563">
        <f t="shared" si="102"/>
        <v>-1.5146498806746234E-3</v>
      </c>
      <c r="S1640" s="563">
        <f t="shared" si="103"/>
        <v>-3.0383091149273511E-2</v>
      </c>
      <c r="AA1640" s="594">
        <v>44088</v>
      </c>
      <c r="AB1640" s="595" t="s">
        <v>449</v>
      </c>
      <c r="AC1640" s="595">
        <v>42531.31</v>
      </c>
      <c r="AD1640" s="596" t="s">
        <v>395</v>
      </c>
      <c r="AE1640" s="595">
        <v>177.5</v>
      </c>
      <c r="AF1640" s="597">
        <f t="shared" si="104"/>
        <v>1.5047964210257447E-5</v>
      </c>
      <c r="AG1640" s="597">
        <f t="shared" si="105"/>
        <v>-1.7110581981283568E-2</v>
      </c>
    </row>
    <row r="1641" spans="13:33" x14ac:dyDescent="0.35">
      <c r="M1641" s="555">
        <v>44091</v>
      </c>
      <c r="N1641" s="543" t="s">
        <v>449</v>
      </c>
      <c r="O1641" s="543">
        <v>42334.76</v>
      </c>
      <c r="P1641" s="73" t="s">
        <v>431</v>
      </c>
      <c r="Q1641" s="158">
        <v>21.62</v>
      </c>
      <c r="R1641" s="563">
        <f t="shared" si="102"/>
        <v>1.2411818851774115E-3</v>
      </c>
      <c r="S1641" s="563">
        <f t="shared" si="103"/>
        <v>-1.8165304268846438E-2</v>
      </c>
      <c r="AA1641" s="594">
        <v>44089</v>
      </c>
      <c r="AB1641" s="595" t="s">
        <v>449</v>
      </c>
      <c r="AC1641" s="595">
        <v>42346.42</v>
      </c>
      <c r="AD1641" s="596" t="s">
        <v>395</v>
      </c>
      <c r="AE1641" s="595">
        <v>176</v>
      </c>
      <c r="AF1641" s="597">
        <f t="shared" si="104"/>
        <v>-4.3471503699274994E-3</v>
      </c>
      <c r="AG1641" s="597">
        <f t="shared" si="105"/>
        <v>-8.4507042253521014E-3</v>
      </c>
    </row>
    <row r="1642" spans="13:33" x14ac:dyDescent="0.35">
      <c r="M1642" s="555">
        <v>44092</v>
      </c>
      <c r="N1642" s="543" t="s">
        <v>449</v>
      </c>
      <c r="O1642" s="543">
        <v>42504.76</v>
      </c>
      <c r="P1642" s="73" t="s">
        <v>431</v>
      </c>
      <c r="Q1642" s="158">
        <v>22.35</v>
      </c>
      <c r="R1642" s="563">
        <f t="shared" si="102"/>
        <v>4.0156127021861998E-3</v>
      </c>
      <c r="S1642" s="563">
        <f t="shared" si="103"/>
        <v>3.3765032377428339E-2</v>
      </c>
      <c r="AA1642" s="594">
        <v>44090</v>
      </c>
      <c r="AB1642" s="595" t="s">
        <v>449</v>
      </c>
      <c r="AC1642" s="595">
        <v>42282.28</v>
      </c>
      <c r="AD1642" s="596" t="s">
        <v>395</v>
      </c>
      <c r="AE1642" s="595">
        <v>174.83</v>
      </c>
      <c r="AF1642" s="597">
        <f t="shared" si="104"/>
        <v>-1.5146498806746234E-3</v>
      </c>
      <c r="AG1642" s="597">
        <f t="shared" si="105"/>
        <v>-6.6477272727272219E-3</v>
      </c>
    </row>
    <row r="1643" spans="13:33" x14ac:dyDescent="0.35">
      <c r="M1643" s="555">
        <v>44095</v>
      </c>
      <c r="N1643" s="543" t="s">
        <v>449</v>
      </c>
      <c r="O1643" s="543">
        <v>42174.13</v>
      </c>
      <c r="P1643" s="73" t="s">
        <v>431</v>
      </c>
      <c r="Q1643" s="158">
        <v>21.36</v>
      </c>
      <c r="R1643" s="563">
        <f t="shared" si="102"/>
        <v>-7.7786582020461514E-3</v>
      </c>
      <c r="S1643" s="563">
        <f t="shared" si="103"/>
        <v>-4.429530201342291E-2</v>
      </c>
      <c r="AA1643" s="594">
        <v>44091</v>
      </c>
      <c r="AB1643" s="595" t="s">
        <v>449</v>
      </c>
      <c r="AC1643" s="595">
        <v>42334.76</v>
      </c>
      <c r="AD1643" s="596" t="s">
        <v>395</v>
      </c>
      <c r="AE1643" s="595">
        <v>174.31</v>
      </c>
      <c r="AF1643" s="597">
        <f t="shared" si="104"/>
        <v>1.2411818851774115E-3</v>
      </c>
      <c r="AG1643" s="597">
        <f t="shared" si="105"/>
        <v>-2.974317908825741E-3</v>
      </c>
    </row>
    <row r="1644" spans="13:33" x14ac:dyDescent="0.35">
      <c r="M1644" s="555">
        <v>44096</v>
      </c>
      <c r="N1644" s="543" t="s">
        <v>449</v>
      </c>
      <c r="O1644" s="543">
        <v>41828.910000000003</v>
      </c>
      <c r="P1644" s="73" t="s">
        <v>431</v>
      </c>
      <c r="Q1644" s="158">
        <v>21.01</v>
      </c>
      <c r="R1644" s="563">
        <f t="shared" si="102"/>
        <v>-8.1855867566205109E-3</v>
      </c>
      <c r="S1644" s="563">
        <f t="shared" si="103"/>
        <v>-1.6385767790262018E-2</v>
      </c>
      <c r="AA1644" s="594">
        <v>44092</v>
      </c>
      <c r="AB1644" s="595" t="s">
        <v>449</v>
      </c>
      <c r="AC1644" s="595">
        <v>42504.76</v>
      </c>
      <c r="AD1644" s="596" t="s">
        <v>395</v>
      </c>
      <c r="AE1644" s="595">
        <v>176.47</v>
      </c>
      <c r="AF1644" s="597">
        <f t="shared" si="104"/>
        <v>4.0156127021861998E-3</v>
      </c>
      <c r="AG1644" s="597">
        <f t="shared" si="105"/>
        <v>1.2391715908439016E-2</v>
      </c>
    </row>
    <row r="1645" spans="13:33" x14ac:dyDescent="0.35">
      <c r="M1645" s="555">
        <v>44097</v>
      </c>
      <c r="N1645" s="543" t="s">
        <v>449</v>
      </c>
      <c r="O1645" s="543">
        <v>41876.26</v>
      </c>
      <c r="P1645" s="73" t="s">
        <v>431</v>
      </c>
      <c r="Q1645" s="158">
        <v>21.06</v>
      </c>
      <c r="R1645" s="563">
        <f t="shared" si="102"/>
        <v>1.1319922034784824E-3</v>
      </c>
      <c r="S1645" s="563">
        <f t="shared" si="103"/>
        <v>2.3798191337456309E-3</v>
      </c>
      <c r="AA1645" s="594">
        <v>44095</v>
      </c>
      <c r="AB1645" s="595" t="s">
        <v>449</v>
      </c>
      <c r="AC1645" s="595">
        <v>42174.13</v>
      </c>
      <c r="AD1645" s="596" t="s">
        <v>395</v>
      </c>
      <c r="AE1645" s="595">
        <v>174.71</v>
      </c>
      <c r="AF1645" s="597">
        <f t="shared" si="104"/>
        <v>-7.7786582020461514E-3</v>
      </c>
      <c r="AG1645" s="597">
        <f t="shared" si="105"/>
        <v>-9.9733665778884983E-3</v>
      </c>
    </row>
    <row r="1646" spans="13:33" x14ac:dyDescent="0.35">
      <c r="M1646" s="555">
        <v>44098</v>
      </c>
      <c r="N1646" s="543" t="s">
        <v>449</v>
      </c>
      <c r="O1646" s="543">
        <v>41806.370000000003</v>
      </c>
      <c r="P1646" s="73" t="s">
        <v>431</v>
      </c>
      <c r="Q1646" s="158">
        <v>20.53</v>
      </c>
      <c r="R1646" s="563">
        <f t="shared" si="102"/>
        <v>-1.6689647069724201E-3</v>
      </c>
      <c r="S1646" s="563">
        <f t="shared" si="103"/>
        <v>-2.5166191832858398E-2</v>
      </c>
      <c r="AA1646" s="594">
        <v>44096</v>
      </c>
      <c r="AB1646" s="595" t="s">
        <v>449</v>
      </c>
      <c r="AC1646" s="595">
        <v>41828.910000000003</v>
      </c>
      <c r="AD1646" s="596" t="s">
        <v>395</v>
      </c>
      <c r="AE1646" s="595">
        <v>174.33</v>
      </c>
      <c r="AF1646" s="597">
        <f t="shared" si="104"/>
        <v>-8.1855867566205109E-3</v>
      </c>
      <c r="AG1646" s="597">
        <f t="shared" si="105"/>
        <v>-2.1750329116821954E-3</v>
      </c>
    </row>
    <row r="1647" spans="13:33" x14ac:dyDescent="0.35">
      <c r="M1647" s="555">
        <v>44099</v>
      </c>
      <c r="N1647" s="543" t="s">
        <v>449</v>
      </c>
      <c r="O1647" s="543">
        <v>41701.230000000003</v>
      </c>
      <c r="P1647" s="73" t="s">
        <v>431</v>
      </c>
      <c r="Q1647" s="158">
        <v>20.64</v>
      </c>
      <c r="R1647" s="563">
        <f t="shared" si="102"/>
        <v>-2.5149277490487121E-3</v>
      </c>
      <c r="S1647" s="563">
        <f t="shared" si="103"/>
        <v>5.3580126643935078E-3</v>
      </c>
      <c r="AA1647" s="594">
        <v>44097</v>
      </c>
      <c r="AB1647" s="595" t="s">
        <v>449</v>
      </c>
      <c r="AC1647" s="595">
        <v>41876.26</v>
      </c>
      <c r="AD1647" s="596" t="s">
        <v>395</v>
      </c>
      <c r="AE1647" s="595">
        <v>166.64</v>
      </c>
      <c r="AF1647" s="597">
        <f t="shared" si="104"/>
        <v>1.1319922034784824E-3</v>
      </c>
      <c r="AG1647" s="597">
        <f t="shared" si="105"/>
        <v>-4.4111742098319473E-2</v>
      </c>
    </row>
    <row r="1648" spans="13:33" x14ac:dyDescent="0.35">
      <c r="M1648" s="555">
        <v>44102</v>
      </c>
      <c r="N1648" s="543" t="s">
        <v>449</v>
      </c>
      <c r="O1648" s="543">
        <v>40740.949999999997</v>
      </c>
      <c r="P1648" s="73" t="s">
        <v>431</v>
      </c>
      <c r="Q1648" s="158">
        <v>19.13</v>
      </c>
      <c r="R1648" s="563">
        <f t="shared" si="102"/>
        <v>-2.3027618130208816E-2</v>
      </c>
      <c r="S1648" s="563">
        <f t="shared" si="103"/>
        <v>-7.3158914728682189E-2</v>
      </c>
      <c r="AA1648" s="594">
        <v>44098</v>
      </c>
      <c r="AB1648" s="595" t="s">
        <v>449</v>
      </c>
      <c r="AC1648" s="595">
        <v>41806.370000000003</v>
      </c>
      <c r="AD1648" s="596" t="s">
        <v>395</v>
      </c>
      <c r="AE1648" s="595">
        <v>167.44</v>
      </c>
      <c r="AF1648" s="597">
        <f t="shared" si="104"/>
        <v>-1.6689647069724201E-3</v>
      </c>
      <c r="AG1648" s="597">
        <f t="shared" si="105"/>
        <v>4.8007681228996457E-3</v>
      </c>
    </row>
    <row r="1649" spans="13:33" x14ac:dyDescent="0.35">
      <c r="M1649" s="555">
        <v>44103</v>
      </c>
      <c r="N1649" s="543" t="s">
        <v>449</v>
      </c>
      <c r="O1649" s="543">
        <v>41204.36</v>
      </c>
      <c r="P1649" s="73" t="s">
        <v>431</v>
      </c>
      <c r="Q1649" s="158">
        <v>20.010000000000002</v>
      </c>
      <c r="R1649" s="563">
        <f t="shared" si="102"/>
        <v>1.1374550667080818E-2</v>
      </c>
      <c r="S1649" s="563">
        <f t="shared" si="103"/>
        <v>4.6001045478306413E-2</v>
      </c>
      <c r="AA1649" s="594">
        <v>44099</v>
      </c>
      <c r="AB1649" s="595" t="s">
        <v>449</v>
      </c>
      <c r="AC1649" s="595">
        <v>41701.230000000003</v>
      </c>
      <c r="AD1649" s="596" t="s">
        <v>395</v>
      </c>
      <c r="AE1649" s="595">
        <v>166.94</v>
      </c>
      <c r="AF1649" s="597">
        <f t="shared" si="104"/>
        <v>-2.5149277490487121E-3</v>
      </c>
      <c r="AG1649" s="597">
        <f t="shared" si="105"/>
        <v>-2.9861442904921542E-3</v>
      </c>
    </row>
    <row r="1650" spans="13:33" x14ac:dyDescent="0.35">
      <c r="M1650" s="555">
        <v>44104</v>
      </c>
      <c r="N1650" s="543" t="s">
        <v>449</v>
      </c>
      <c r="O1650" s="543">
        <v>40571.480000000003</v>
      </c>
      <c r="P1650" s="73" t="s">
        <v>431</v>
      </c>
      <c r="Q1650" s="158">
        <v>18.670000000000002</v>
      </c>
      <c r="R1650" s="563">
        <f t="shared" si="102"/>
        <v>-1.5359539621535134E-2</v>
      </c>
      <c r="S1650" s="563">
        <f t="shared" si="103"/>
        <v>-6.6966516741629123E-2</v>
      </c>
      <c r="AA1650" s="594">
        <v>44102</v>
      </c>
      <c r="AB1650" s="595" t="s">
        <v>449</v>
      </c>
      <c r="AC1650" s="595">
        <v>40740.949999999997</v>
      </c>
      <c r="AD1650" s="596" t="s">
        <v>395</v>
      </c>
      <c r="AE1650" s="595">
        <v>163.94</v>
      </c>
      <c r="AF1650" s="597">
        <f t="shared" si="104"/>
        <v>-2.3027618130208816E-2</v>
      </c>
      <c r="AG1650" s="597">
        <f t="shared" si="105"/>
        <v>-1.7970528333532965E-2</v>
      </c>
    </row>
    <row r="1651" spans="13:33" x14ac:dyDescent="0.35">
      <c r="M1651" s="555">
        <v>44105</v>
      </c>
      <c r="N1651" s="543" t="s">
        <v>449</v>
      </c>
      <c r="O1651" s="543">
        <v>40676.92</v>
      </c>
      <c r="P1651" s="73" t="s">
        <v>431</v>
      </c>
      <c r="Q1651" s="158">
        <v>18.21</v>
      </c>
      <c r="R1651" s="563">
        <f t="shared" si="102"/>
        <v>2.5988699450942843E-3</v>
      </c>
      <c r="S1651" s="563">
        <f t="shared" si="103"/>
        <v>-2.463845741831816E-2</v>
      </c>
      <c r="AA1651" s="594">
        <v>44103</v>
      </c>
      <c r="AB1651" s="595" t="s">
        <v>449</v>
      </c>
      <c r="AC1651" s="595">
        <v>41204.36</v>
      </c>
      <c r="AD1651" s="596" t="s">
        <v>395</v>
      </c>
      <c r="AE1651" s="595">
        <v>168.19</v>
      </c>
      <c r="AF1651" s="597">
        <f t="shared" si="104"/>
        <v>1.1374550667080818E-2</v>
      </c>
      <c r="AG1651" s="597">
        <f t="shared" si="105"/>
        <v>2.5924118579968347E-2</v>
      </c>
    </row>
    <row r="1652" spans="13:33" x14ac:dyDescent="0.35">
      <c r="M1652" s="555">
        <v>44106</v>
      </c>
      <c r="N1652" s="543" t="s">
        <v>449</v>
      </c>
      <c r="O1652" s="543">
        <v>40070.83</v>
      </c>
      <c r="P1652" s="73" t="s">
        <v>431</v>
      </c>
      <c r="Q1652" s="158">
        <v>17.170000000000002</v>
      </c>
      <c r="R1652" s="563">
        <f t="shared" si="102"/>
        <v>-1.4900095680793868E-2</v>
      </c>
      <c r="S1652" s="563">
        <f t="shared" si="103"/>
        <v>-5.7111477210323947E-2</v>
      </c>
      <c r="AA1652" s="594">
        <v>44104</v>
      </c>
      <c r="AB1652" s="595" t="s">
        <v>449</v>
      </c>
      <c r="AC1652" s="595">
        <v>40571.480000000003</v>
      </c>
      <c r="AD1652" s="596" t="s">
        <v>395</v>
      </c>
      <c r="AE1652" s="595">
        <v>164.89</v>
      </c>
      <c r="AF1652" s="597">
        <f t="shared" si="104"/>
        <v>-1.5359539621535134E-2</v>
      </c>
      <c r="AG1652" s="597">
        <f t="shared" si="105"/>
        <v>-1.962066710268151E-2</v>
      </c>
    </row>
    <row r="1653" spans="13:33" x14ac:dyDescent="0.35">
      <c r="M1653" s="555">
        <v>44109</v>
      </c>
      <c r="N1653" s="543" t="s">
        <v>449</v>
      </c>
      <c r="O1653" s="543">
        <v>39072.47</v>
      </c>
      <c r="P1653" s="73" t="s">
        <v>431</v>
      </c>
      <c r="Q1653" s="158">
        <v>15.89</v>
      </c>
      <c r="R1653" s="563">
        <f t="shared" si="102"/>
        <v>-2.4914881972746827E-2</v>
      </c>
      <c r="S1653" s="563">
        <f t="shared" si="103"/>
        <v>-7.4548631333721693E-2</v>
      </c>
      <c r="AA1653" s="594">
        <v>44105</v>
      </c>
      <c r="AB1653" s="595" t="s">
        <v>449</v>
      </c>
      <c r="AC1653" s="595">
        <v>40676.92</v>
      </c>
      <c r="AD1653" s="596" t="s">
        <v>395</v>
      </c>
      <c r="AE1653" s="595">
        <v>164.45</v>
      </c>
      <c r="AF1653" s="597">
        <f t="shared" si="104"/>
        <v>2.5988699450942843E-3</v>
      </c>
      <c r="AG1653" s="597">
        <f t="shared" si="105"/>
        <v>-2.6684456304202353E-3</v>
      </c>
    </row>
    <row r="1654" spans="13:33" x14ac:dyDescent="0.35">
      <c r="M1654" s="555">
        <v>44110</v>
      </c>
      <c r="N1654" s="543" t="s">
        <v>449</v>
      </c>
      <c r="O1654" s="543">
        <v>39127.480000000003</v>
      </c>
      <c r="P1654" s="73" t="s">
        <v>431</v>
      </c>
      <c r="Q1654" s="158">
        <v>16.77</v>
      </c>
      <c r="R1654" s="563">
        <f t="shared" si="102"/>
        <v>1.4078966597197429E-3</v>
      </c>
      <c r="S1654" s="563">
        <f t="shared" si="103"/>
        <v>5.5380742605412037E-2</v>
      </c>
      <c r="AA1654" s="594">
        <v>44106</v>
      </c>
      <c r="AB1654" s="595" t="s">
        <v>449</v>
      </c>
      <c r="AC1654" s="595">
        <v>40070.83</v>
      </c>
      <c r="AD1654" s="596" t="s">
        <v>395</v>
      </c>
      <c r="AE1654" s="595">
        <v>162.59</v>
      </c>
      <c r="AF1654" s="597">
        <f t="shared" si="104"/>
        <v>-1.4900095680793868E-2</v>
      </c>
      <c r="AG1654" s="597">
        <f t="shared" si="105"/>
        <v>-1.1310428701732933E-2</v>
      </c>
    </row>
    <row r="1655" spans="13:33" x14ac:dyDescent="0.35">
      <c r="M1655" s="555">
        <v>44111</v>
      </c>
      <c r="N1655" s="543" t="s">
        <v>449</v>
      </c>
      <c r="O1655" s="543">
        <v>39849.96</v>
      </c>
      <c r="P1655" s="73" t="s">
        <v>431</v>
      </c>
      <c r="Q1655" s="158">
        <v>18.02</v>
      </c>
      <c r="R1655" s="563">
        <f t="shared" si="102"/>
        <v>1.8464772073233382E-2</v>
      </c>
      <c r="S1655" s="563">
        <f t="shared" si="103"/>
        <v>7.4537865235539735E-2</v>
      </c>
      <c r="AA1655" s="594">
        <v>44109</v>
      </c>
      <c r="AB1655" s="595" t="s">
        <v>449</v>
      </c>
      <c r="AC1655" s="595">
        <v>39072.47</v>
      </c>
      <c r="AD1655" s="596" t="s">
        <v>395</v>
      </c>
      <c r="AE1655" s="595">
        <v>158.01</v>
      </c>
      <c r="AF1655" s="597">
        <f t="shared" si="104"/>
        <v>-2.4914881972746827E-2</v>
      </c>
      <c r="AG1655" s="597">
        <f t="shared" si="105"/>
        <v>-2.8169014084507116E-2</v>
      </c>
    </row>
    <row r="1656" spans="13:33" x14ac:dyDescent="0.35">
      <c r="M1656" s="555">
        <v>44112</v>
      </c>
      <c r="N1656" s="543" t="s">
        <v>449</v>
      </c>
      <c r="O1656" s="543">
        <v>40353.620000000003</v>
      </c>
      <c r="P1656" s="73" t="s">
        <v>431</v>
      </c>
      <c r="Q1656" s="158">
        <v>18.3</v>
      </c>
      <c r="R1656" s="563">
        <f t="shared" si="102"/>
        <v>1.2638908545955951E-2</v>
      </c>
      <c r="S1656" s="563">
        <f t="shared" si="103"/>
        <v>1.5538290788013276E-2</v>
      </c>
      <c r="AA1656" s="594">
        <v>44110</v>
      </c>
      <c r="AB1656" s="595" t="s">
        <v>449</v>
      </c>
      <c r="AC1656" s="595">
        <v>39127.480000000003</v>
      </c>
      <c r="AD1656" s="596" t="s">
        <v>395</v>
      </c>
      <c r="AE1656" s="595">
        <v>159.26</v>
      </c>
      <c r="AF1656" s="597">
        <f t="shared" si="104"/>
        <v>1.4078966597197429E-3</v>
      </c>
      <c r="AG1656" s="597">
        <f t="shared" si="105"/>
        <v>7.9108917157142411E-3</v>
      </c>
    </row>
    <row r="1657" spans="13:33" x14ac:dyDescent="0.35">
      <c r="M1657" s="555">
        <v>44113</v>
      </c>
      <c r="N1657" s="543" t="s">
        <v>449</v>
      </c>
      <c r="O1657" s="543">
        <v>40798.43</v>
      </c>
      <c r="P1657" s="73" t="s">
        <v>431</v>
      </c>
      <c r="Q1657" s="158">
        <v>18.23</v>
      </c>
      <c r="R1657" s="563">
        <f t="shared" si="102"/>
        <v>1.1022802910866325E-2</v>
      </c>
      <c r="S1657" s="563">
        <f t="shared" si="103"/>
        <v>-3.8251366120218844E-3</v>
      </c>
      <c r="AA1657" s="594">
        <v>44111</v>
      </c>
      <c r="AB1657" s="595" t="s">
        <v>449</v>
      </c>
      <c r="AC1657" s="595">
        <v>39849.96</v>
      </c>
      <c r="AD1657" s="596" t="s">
        <v>395</v>
      </c>
      <c r="AE1657" s="595">
        <v>162.32</v>
      </c>
      <c r="AF1657" s="597">
        <f t="shared" si="104"/>
        <v>1.8464772073233382E-2</v>
      </c>
      <c r="AG1657" s="597">
        <f t="shared" si="105"/>
        <v>1.921386412156223E-2</v>
      </c>
    </row>
    <row r="1658" spans="13:33" x14ac:dyDescent="0.35">
      <c r="M1658" s="555">
        <v>44116</v>
      </c>
      <c r="N1658" s="543" t="s">
        <v>449</v>
      </c>
      <c r="O1658" s="543">
        <v>40209.82</v>
      </c>
      <c r="P1658" s="73" t="s">
        <v>431</v>
      </c>
      <c r="Q1658" s="158">
        <v>17.11</v>
      </c>
      <c r="R1658" s="563">
        <f t="shared" si="102"/>
        <v>-1.4427270853314744E-2</v>
      </c>
      <c r="S1658" s="563">
        <f t="shared" si="103"/>
        <v>-6.1437191442677008E-2</v>
      </c>
      <c r="AA1658" s="594">
        <v>44112</v>
      </c>
      <c r="AB1658" s="595" t="s">
        <v>449</v>
      </c>
      <c r="AC1658" s="595">
        <v>40353.620000000003</v>
      </c>
      <c r="AD1658" s="596" t="s">
        <v>395</v>
      </c>
      <c r="AE1658" s="595">
        <v>163.84</v>
      </c>
      <c r="AF1658" s="597">
        <f t="shared" si="104"/>
        <v>1.2638908545955951E-2</v>
      </c>
      <c r="AG1658" s="597">
        <f t="shared" si="105"/>
        <v>9.3642188270084414E-3</v>
      </c>
    </row>
    <row r="1659" spans="13:33" x14ac:dyDescent="0.35">
      <c r="M1659" s="555">
        <v>44117</v>
      </c>
      <c r="N1659" s="543" t="s">
        <v>449</v>
      </c>
      <c r="O1659" s="543">
        <v>40006.67</v>
      </c>
      <c r="P1659" s="73" t="s">
        <v>431</v>
      </c>
      <c r="Q1659" s="158">
        <v>17.100000000000001</v>
      </c>
      <c r="R1659" s="563">
        <f t="shared" si="102"/>
        <v>-5.0522484308559434E-3</v>
      </c>
      <c r="S1659" s="563">
        <f t="shared" si="103"/>
        <v>-5.8445353594382965E-4</v>
      </c>
      <c r="AA1659" s="594">
        <v>44113</v>
      </c>
      <c r="AB1659" s="595" t="s">
        <v>449</v>
      </c>
      <c r="AC1659" s="595">
        <v>40798.43</v>
      </c>
      <c r="AD1659" s="596" t="s">
        <v>395</v>
      </c>
      <c r="AE1659" s="595">
        <v>167.71</v>
      </c>
      <c r="AF1659" s="597">
        <f t="shared" si="104"/>
        <v>1.1022802910866325E-2</v>
      </c>
      <c r="AG1659" s="597">
        <f t="shared" si="105"/>
        <v>2.362060546875E-2</v>
      </c>
    </row>
    <row r="1660" spans="13:33" x14ac:dyDescent="0.35">
      <c r="M1660" s="555">
        <v>44118</v>
      </c>
      <c r="N1660" s="543" t="s">
        <v>449</v>
      </c>
      <c r="O1660" s="543">
        <v>40144.29</v>
      </c>
      <c r="P1660" s="73" t="s">
        <v>431</v>
      </c>
      <c r="Q1660" s="158">
        <v>17.45</v>
      </c>
      <c r="R1660" s="563">
        <f t="shared" si="102"/>
        <v>3.4399263922741952E-3</v>
      </c>
      <c r="S1660" s="563">
        <f t="shared" si="103"/>
        <v>2.0467836257309857E-2</v>
      </c>
      <c r="AA1660" s="594">
        <v>44116</v>
      </c>
      <c r="AB1660" s="595" t="s">
        <v>449</v>
      </c>
      <c r="AC1660" s="595">
        <v>40209.82</v>
      </c>
      <c r="AD1660" s="596" t="s">
        <v>395</v>
      </c>
      <c r="AE1660" s="595">
        <v>168.02</v>
      </c>
      <c r="AF1660" s="597">
        <f t="shared" si="104"/>
        <v>-1.4427270853314744E-2</v>
      </c>
      <c r="AG1660" s="597">
        <f t="shared" si="105"/>
        <v>1.848428835489857E-3</v>
      </c>
    </row>
    <row r="1661" spans="13:33" x14ac:dyDescent="0.35">
      <c r="M1661" s="555">
        <v>44119</v>
      </c>
      <c r="N1661" s="543" t="s">
        <v>449</v>
      </c>
      <c r="O1661" s="543">
        <v>40068.49</v>
      </c>
      <c r="P1661" s="73" t="s">
        <v>431</v>
      </c>
      <c r="Q1661" s="158">
        <v>17.12</v>
      </c>
      <c r="R1661" s="563">
        <f t="shared" si="102"/>
        <v>-1.8881888308400763E-3</v>
      </c>
      <c r="S1661" s="563">
        <f t="shared" si="103"/>
        <v>-1.8911174785100182E-2</v>
      </c>
      <c r="AA1661" s="589">
        <v>44117</v>
      </c>
      <c r="AB1661" s="590" t="s">
        <v>449</v>
      </c>
      <c r="AC1661" s="590">
        <v>40006.67</v>
      </c>
      <c r="AD1661" s="591" t="s">
        <v>395</v>
      </c>
      <c r="AE1661" s="590">
        <v>167.93</v>
      </c>
      <c r="AF1661" s="592">
        <f t="shared" si="104"/>
        <v>-5.0522484308559434E-3</v>
      </c>
      <c r="AG1661" s="592">
        <f t="shared" si="105"/>
        <v>-5.3565051779547179E-4</v>
      </c>
    </row>
    <row r="1662" spans="13:33" x14ac:dyDescent="0.35">
      <c r="M1662" s="555">
        <v>44120</v>
      </c>
      <c r="N1662" s="543" t="s">
        <v>449</v>
      </c>
      <c r="O1662" s="543">
        <v>40164.019999999997</v>
      </c>
      <c r="P1662" s="73" t="s">
        <v>431</v>
      </c>
      <c r="Q1662" s="158">
        <v>17.12</v>
      </c>
      <c r="R1662" s="563">
        <f t="shared" si="102"/>
        <v>2.3841677088405344E-3</v>
      </c>
      <c r="S1662" s="563">
        <f t="shared" si="103"/>
        <v>0</v>
      </c>
      <c r="AA1662" s="589">
        <v>44118</v>
      </c>
      <c r="AB1662" s="590" t="s">
        <v>449</v>
      </c>
      <c r="AC1662" s="590">
        <v>40144.29</v>
      </c>
      <c r="AD1662" s="591" t="s">
        <v>395</v>
      </c>
      <c r="AE1662" s="590">
        <v>168.22</v>
      </c>
      <c r="AF1662" s="592">
        <f t="shared" si="104"/>
        <v>3.4399263922741952E-3</v>
      </c>
      <c r="AG1662" s="592">
        <f t="shared" si="105"/>
        <v>1.726910022032957E-3</v>
      </c>
    </row>
    <row r="1663" spans="13:33" x14ac:dyDescent="0.35">
      <c r="M1663" s="555">
        <v>44123</v>
      </c>
      <c r="N1663" s="543" t="s">
        <v>449</v>
      </c>
      <c r="O1663" s="543">
        <v>40340.17</v>
      </c>
      <c r="P1663" s="73" t="s">
        <v>431</v>
      </c>
      <c r="Q1663" s="158">
        <v>17.329999999999998</v>
      </c>
      <c r="R1663" s="563">
        <f t="shared" si="102"/>
        <v>4.3857661658370795E-3</v>
      </c>
      <c r="S1663" s="563">
        <f t="shared" si="103"/>
        <v>1.2266355140186702E-2</v>
      </c>
      <c r="AA1663" s="594">
        <v>44119</v>
      </c>
      <c r="AB1663" s="595" t="s">
        <v>449</v>
      </c>
      <c r="AC1663" s="595">
        <v>40068.49</v>
      </c>
      <c r="AD1663" s="596" t="s">
        <v>395</v>
      </c>
      <c r="AE1663" s="595">
        <v>155.62</v>
      </c>
      <c r="AF1663" s="597">
        <f t="shared" si="104"/>
        <v>-1.8881888308400763E-3</v>
      </c>
      <c r="AG1663" s="597">
        <f t="shared" si="105"/>
        <v>-7.4901914160028449E-2</v>
      </c>
    </row>
    <row r="1664" spans="13:33" x14ac:dyDescent="0.35">
      <c r="M1664" s="555">
        <v>44124</v>
      </c>
      <c r="N1664" s="543" t="s">
        <v>449</v>
      </c>
      <c r="O1664" s="543">
        <v>40956.58</v>
      </c>
      <c r="P1664" s="73" t="s">
        <v>431</v>
      </c>
      <c r="Q1664" s="158">
        <v>18.62</v>
      </c>
      <c r="R1664" s="563">
        <f t="shared" si="102"/>
        <v>1.5280302487570063E-2</v>
      </c>
      <c r="S1664" s="563">
        <f t="shared" si="103"/>
        <v>7.4437391806116748E-2</v>
      </c>
      <c r="AA1664" s="594">
        <v>44120</v>
      </c>
      <c r="AB1664" s="595" t="s">
        <v>449</v>
      </c>
      <c r="AC1664" s="595">
        <v>40164.019999999997</v>
      </c>
      <c r="AD1664" s="596" t="s">
        <v>395</v>
      </c>
      <c r="AE1664" s="595">
        <v>155.5</v>
      </c>
      <c r="AF1664" s="597">
        <f t="shared" si="104"/>
        <v>2.3841677088405344E-3</v>
      </c>
      <c r="AG1664" s="597">
        <f t="shared" si="105"/>
        <v>-7.7110911193933873E-4</v>
      </c>
    </row>
    <row r="1665" spans="13:33" x14ac:dyDescent="0.35">
      <c r="M1665" s="555">
        <v>44125</v>
      </c>
      <c r="N1665" s="543" t="s">
        <v>449</v>
      </c>
      <c r="O1665" s="543">
        <v>41535.919999999998</v>
      </c>
      <c r="P1665" s="73" t="s">
        <v>431</v>
      </c>
      <c r="Q1665" s="158">
        <v>19.09</v>
      </c>
      <c r="R1665" s="563">
        <f t="shared" si="102"/>
        <v>1.414522403970242E-2</v>
      </c>
      <c r="S1665" s="563">
        <f t="shared" si="103"/>
        <v>2.5241675617615478E-2</v>
      </c>
      <c r="AA1665" s="594">
        <v>44123</v>
      </c>
      <c r="AB1665" s="595" t="s">
        <v>449</v>
      </c>
      <c r="AC1665" s="595">
        <v>40340.17</v>
      </c>
      <c r="AD1665" s="596" t="s">
        <v>395</v>
      </c>
      <c r="AE1665" s="595">
        <v>158.91</v>
      </c>
      <c r="AF1665" s="597">
        <f t="shared" si="104"/>
        <v>4.3857661658370795E-3</v>
      </c>
      <c r="AG1665" s="597">
        <f t="shared" si="105"/>
        <v>2.1929260450160859E-2</v>
      </c>
    </row>
    <row r="1666" spans="13:33" x14ac:dyDescent="0.35">
      <c r="M1666" s="555">
        <v>44126</v>
      </c>
      <c r="N1666" s="543" t="s">
        <v>449</v>
      </c>
      <c r="O1666" s="543">
        <v>41199.019999999997</v>
      </c>
      <c r="P1666" s="73" t="s">
        <v>431</v>
      </c>
      <c r="Q1666" s="158">
        <v>17.91</v>
      </c>
      <c r="R1666" s="563">
        <f t="shared" si="102"/>
        <v>-8.1110518317639713E-3</v>
      </c>
      <c r="S1666" s="563">
        <f t="shared" si="103"/>
        <v>-6.1812467260345727E-2</v>
      </c>
      <c r="AA1666" s="594">
        <v>44124</v>
      </c>
      <c r="AB1666" s="595" t="s">
        <v>449</v>
      </c>
      <c r="AC1666" s="595">
        <v>40956.58</v>
      </c>
      <c r="AD1666" s="596" t="s">
        <v>395</v>
      </c>
      <c r="AE1666" s="595">
        <v>157.9</v>
      </c>
      <c r="AF1666" s="597">
        <f t="shared" si="104"/>
        <v>1.5280302487570063E-2</v>
      </c>
      <c r="AG1666" s="597">
        <f t="shared" si="105"/>
        <v>-6.3557988798690346E-3</v>
      </c>
    </row>
    <row r="1667" spans="13:33" x14ac:dyDescent="0.35">
      <c r="M1667" s="555">
        <v>44127</v>
      </c>
      <c r="N1667" s="543" t="s">
        <v>449</v>
      </c>
      <c r="O1667" s="543">
        <v>41266</v>
      </c>
      <c r="P1667" s="73" t="s">
        <v>431</v>
      </c>
      <c r="Q1667" s="158">
        <v>19.25</v>
      </c>
      <c r="R1667" s="563">
        <f t="shared" si="102"/>
        <v>1.625766826492514E-3</v>
      </c>
      <c r="S1667" s="563">
        <f t="shared" si="103"/>
        <v>7.4818537130094898E-2</v>
      </c>
      <c r="AA1667" s="594">
        <v>44125</v>
      </c>
      <c r="AB1667" s="595" t="s">
        <v>449</v>
      </c>
      <c r="AC1667" s="595">
        <v>41535.919999999998</v>
      </c>
      <c r="AD1667" s="596" t="s">
        <v>395</v>
      </c>
      <c r="AE1667" s="595">
        <v>165.09</v>
      </c>
      <c r="AF1667" s="597">
        <f t="shared" si="104"/>
        <v>1.414522403970242E-2</v>
      </c>
      <c r="AG1667" s="597">
        <f t="shared" si="105"/>
        <v>4.5535148828372396E-2</v>
      </c>
    </row>
    <row r="1668" spans="13:33" x14ac:dyDescent="0.35">
      <c r="M1668" s="555">
        <v>44130</v>
      </c>
      <c r="N1668" s="543" t="s">
        <v>449</v>
      </c>
      <c r="O1668" s="543">
        <v>41850.47</v>
      </c>
      <c r="P1668" s="73" t="s">
        <v>431</v>
      </c>
      <c r="Q1668" s="158">
        <v>20.04</v>
      </c>
      <c r="R1668" s="563">
        <f t="shared" si="102"/>
        <v>1.4163475985072393E-2</v>
      </c>
      <c r="S1668" s="563">
        <f t="shared" si="103"/>
        <v>4.1038961038960986E-2</v>
      </c>
      <c r="AA1668" s="594">
        <v>44126</v>
      </c>
      <c r="AB1668" s="595" t="s">
        <v>449</v>
      </c>
      <c r="AC1668" s="595">
        <v>41199.019999999997</v>
      </c>
      <c r="AD1668" s="596" t="s">
        <v>395</v>
      </c>
      <c r="AE1668" s="595">
        <v>167</v>
      </c>
      <c r="AF1668" s="597">
        <f t="shared" si="104"/>
        <v>-8.1110518317639713E-3</v>
      </c>
      <c r="AG1668" s="597">
        <f t="shared" si="105"/>
        <v>1.1569446968320296E-2</v>
      </c>
    </row>
    <row r="1669" spans="13:33" x14ac:dyDescent="0.35">
      <c r="M1669" s="555">
        <v>44131</v>
      </c>
      <c r="N1669" s="543" t="s">
        <v>449</v>
      </c>
      <c r="O1669" s="543">
        <v>41381.83</v>
      </c>
      <c r="P1669" s="73" t="s">
        <v>431</v>
      </c>
      <c r="Q1669" s="158">
        <v>19.3</v>
      </c>
      <c r="R1669" s="563">
        <f t="shared" si="102"/>
        <v>-1.1197962651315452E-2</v>
      </c>
      <c r="S1669" s="563">
        <f t="shared" si="103"/>
        <v>-3.6926147704590795E-2</v>
      </c>
      <c r="AA1669" s="594">
        <v>44127</v>
      </c>
      <c r="AB1669" s="595" t="s">
        <v>449</v>
      </c>
      <c r="AC1669" s="595">
        <v>41266</v>
      </c>
      <c r="AD1669" s="596" t="s">
        <v>395</v>
      </c>
      <c r="AE1669" s="595">
        <v>169.37</v>
      </c>
      <c r="AF1669" s="597">
        <f t="shared" si="104"/>
        <v>1.625766826492514E-3</v>
      </c>
      <c r="AG1669" s="597">
        <f t="shared" si="105"/>
        <v>1.4191616766467074E-2</v>
      </c>
    </row>
    <row r="1670" spans="13:33" x14ac:dyDescent="0.35">
      <c r="M1670" s="555">
        <v>44132</v>
      </c>
      <c r="N1670" s="543" t="s">
        <v>449</v>
      </c>
      <c r="O1670" s="543">
        <v>41186.86</v>
      </c>
      <c r="P1670" s="73" t="s">
        <v>431</v>
      </c>
      <c r="Q1670" s="158">
        <v>19.260000000000002</v>
      </c>
      <c r="R1670" s="563">
        <f t="shared" si="102"/>
        <v>-4.711488109636508E-3</v>
      </c>
      <c r="S1670" s="563">
        <f t="shared" si="103"/>
        <v>-2.0725388601036121E-3</v>
      </c>
      <c r="AA1670" s="594">
        <v>44130</v>
      </c>
      <c r="AB1670" s="595" t="s">
        <v>449</v>
      </c>
      <c r="AC1670" s="595">
        <v>41850.47</v>
      </c>
      <c r="AD1670" s="596" t="s">
        <v>395</v>
      </c>
      <c r="AE1670" s="595">
        <v>171.46</v>
      </c>
      <c r="AF1670" s="597">
        <f t="shared" si="104"/>
        <v>1.4163475985072393E-2</v>
      </c>
      <c r="AG1670" s="597">
        <f t="shared" si="105"/>
        <v>1.2339847670779891E-2</v>
      </c>
    </row>
    <row r="1671" spans="13:33" x14ac:dyDescent="0.35">
      <c r="M1671" s="555">
        <v>44133</v>
      </c>
      <c r="N1671" s="543" t="s">
        <v>449</v>
      </c>
      <c r="O1671" s="543">
        <v>39888</v>
      </c>
      <c r="P1671" s="73" t="s">
        <v>431</v>
      </c>
      <c r="Q1671" s="158">
        <v>17.84</v>
      </c>
      <c r="R1671" s="563">
        <f t="shared" si="102"/>
        <v>-3.1535785927842008E-2</v>
      </c>
      <c r="S1671" s="563">
        <f t="shared" si="103"/>
        <v>-7.3727933541017698E-2</v>
      </c>
      <c r="AA1671" s="594">
        <v>44131</v>
      </c>
      <c r="AB1671" s="595" t="s">
        <v>449</v>
      </c>
      <c r="AC1671" s="595">
        <v>41381.83</v>
      </c>
      <c r="AD1671" s="596" t="s">
        <v>395</v>
      </c>
      <c r="AE1671" s="595">
        <v>168.24</v>
      </c>
      <c r="AF1671" s="597">
        <f t="shared" si="104"/>
        <v>-1.1197962651315452E-2</v>
      </c>
      <c r="AG1671" s="597">
        <f t="shared" si="105"/>
        <v>-1.8779890353435191E-2</v>
      </c>
    </row>
    <row r="1672" spans="13:33" x14ac:dyDescent="0.35">
      <c r="M1672" s="555">
        <v>44137</v>
      </c>
      <c r="N1672" s="543" t="s">
        <v>449</v>
      </c>
      <c r="O1672" s="543">
        <v>39112.18</v>
      </c>
      <c r="P1672" s="73" t="s">
        <v>431</v>
      </c>
      <c r="Q1672" s="158">
        <v>16.8</v>
      </c>
      <c r="R1672" s="563">
        <f t="shared" si="102"/>
        <v>-1.9449959887685497E-2</v>
      </c>
      <c r="S1672" s="563">
        <f t="shared" si="103"/>
        <v>-5.8295964125560484E-2</v>
      </c>
      <c r="AA1672" s="594">
        <v>44132</v>
      </c>
      <c r="AB1672" s="595" t="s">
        <v>449</v>
      </c>
      <c r="AC1672" s="595">
        <v>41186.86</v>
      </c>
      <c r="AD1672" s="596" t="s">
        <v>395</v>
      </c>
      <c r="AE1672" s="595">
        <v>166.12</v>
      </c>
      <c r="AF1672" s="597">
        <f t="shared" si="104"/>
        <v>-4.711488109636508E-3</v>
      </c>
      <c r="AG1672" s="597">
        <f t="shared" si="105"/>
        <v>-1.2601046124583903E-2</v>
      </c>
    </row>
    <row r="1673" spans="13:33" x14ac:dyDescent="0.35">
      <c r="M1673" s="555">
        <v>44138</v>
      </c>
      <c r="N1673" s="543" t="s">
        <v>449</v>
      </c>
      <c r="O1673" s="543">
        <v>40480.879999999997</v>
      </c>
      <c r="P1673" s="73" t="s">
        <v>431</v>
      </c>
      <c r="Q1673" s="158">
        <v>18.059999999999999</v>
      </c>
      <c r="R1673" s="563">
        <f t="shared" si="102"/>
        <v>3.4994214078581054E-2</v>
      </c>
      <c r="S1673" s="563">
        <f t="shared" si="103"/>
        <v>7.4999999999999956E-2</v>
      </c>
      <c r="AA1673" s="594">
        <v>44133</v>
      </c>
      <c r="AB1673" s="595" t="s">
        <v>449</v>
      </c>
      <c r="AC1673" s="595">
        <v>39888</v>
      </c>
      <c r="AD1673" s="596" t="s">
        <v>395</v>
      </c>
      <c r="AE1673" s="595">
        <v>158</v>
      </c>
      <c r="AF1673" s="597">
        <f t="shared" si="104"/>
        <v>-3.1535785927842008E-2</v>
      </c>
      <c r="AG1673" s="597">
        <f t="shared" si="105"/>
        <v>-4.8880327474115082E-2</v>
      </c>
    </row>
    <row r="1674" spans="13:33" x14ac:dyDescent="0.35">
      <c r="M1674" s="555">
        <v>44139</v>
      </c>
      <c r="N1674" s="543" t="s">
        <v>449</v>
      </c>
      <c r="O1674" s="543">
        <v>40281.96</v>
      </c>
      <c r="P1674" s="73" t="s">
        <v>431</v>
      </c>
      <c r="Q1674" s="158">
        <v>17.93</v>
      </c>
      <c r="R1674" s="563">
        <f t="shared" si="102"/>
        <v>-4.9139247961011989E-3</v>
      </c>
      <c r="S1674" s="563">
        <f t="shared" si="103"/>
        <v>-7.1982281284606042E-3</v>
      </c>
      <c r="AA1674" s="594">
        <v>44137</v>
      </c>
      <c r="AB1674" s="595" t="s">
        <v>449</v>
      </c>
      <c r="AC1674" s="595">
        <v>39112.18</v>
      </c>
      <c r="AD1674" s="596" t="s">
        <v>395</v>
      </c>
      <c r="AE1674" s="595">
        <v>154.71</v>
      </c>
      <c r="AF1674" s="597">
        <f t="shared" si="104"/>
        <v>-1.9449959887685497E-2</v>
      </c>
      <c r="AG1674" s="597">
        <f t="shared" si="105"/>
        <v>-2.082278481012656E-2</v>
      </c>
    </row>
    <row r="1675" spans="13:33" x14ac:dyDescent="0.35">
      <c r="M1675" s="555">
        <v>44140</v>
      </c>
      <c r="N1675" s="543" t="s">
        <v>449</v>
      </c>
      <c r="O1675" s="543">
        <v>41071.300000000003</v>
      </c>
      <c r="P1675" s="73" t="s">
        <v>431</v>
      </c>
      <c r="Q1675" s="158">
        <v>19.260000000000002</v>
      </c>
      <c r="R1675" s="563">
        <f t="shared" si="102"/>
        <v>1.959537222121277E-2</v>
      </c>
      <c r="S1675" s="563">
        <f t="shared" si="103"/>
        <v>7.4177356385945359E-2</v>
      </c>
      <c r="AA1675" s="594">
        <v>44138</v>
      </c>
      <c r="AB1675" s="595" t="s">
        <v>449</v>
      </c>
      <c r="AC1675" s="595">
        <v>40480.879999999997</v>
      </c>
      <c r="AD1675" s="596" t="s">
        <v>395</v>
      </c>
      <c r="AE1675" s="595">
        <v>157.21</v>
      </c>
      <c r="AF1675" s="597">
        <f t="shared" si="104"/>
        <v>3.4994214078581054E-2</v>
      </c>
      <c r="AG1675" s="597">
        <f t="shared" si="105"/>
        <v>1.6159265722965444E-2</v>
      </c>
    </row>
    <row r="1676" spans="13:33" x14ac:dyDescent="0.35">
      <c r="M1676" s="555">
        <v>44141</v>
      </c>
      <c r="N1676" s="543" t="s">
        <v>449</v>
      </c>
      <c r="O1676" s="543">
        <v>40731.61</v>
      </c>
      <c r="P1676" s="73" t="s">
        <v>431</v>
      </c>
      <c r="Q1676" s="158">
        <v>18.86</v>
      </c>
      <c r="R1676" s="563">
        <f t="shared" si="102"/>
        <v>-8.270738934487154E-3</v>
      </c>
      <c r="S1676" s="563">
        <f t="shared" si="103"/>
        <v>-2.0768431983385405E-2</v>
      </c>
      <c r="AA1676" s="594">
        <v>44139</v>
      </c>
      <c r="AB1676" s="595" t="s">
        <v>449</v>
      </c>
      <c r="AC1676" s="595">
        <v>40281.96</v>
      </c>
      <c r="AD1676" s="596" t="s">
        <v>395</v>
      </c>
      <c r="AE1676" s="595">
        <v>158.63</v>
      </c>
      <c r="AF1676" s="597">
        <f t="shared" si="104"/>
        <v>-4.9139247961011989E-3</v>
      </c>
      <c r="AG1676" s="597">
        <f t="shared" si="105"/>
        <v>9.0325042936199029E-3</v>
      </c>
    </row>
    <row r="1677" spans="13:33" x14ac:dyDescent="0.35">
      <c r="M1677" s="555">
        <v>44144</v>
      </c>
      <c r="N1677" s="543" t="s">
        <v>449</v>
      </c>
      <c r="O1677" s="543">
        <v>40784.04</v>
      </c>
      <c r="P1677" s="73" t="s">
        <v>431</v>
      </c>
      <c r="Q1677" s="158">
        <v>19.11</v>
      </c>
      <c r="R1677" s="563">
        <f t="shared" si="102"/>
        <v>1.2872066682363403E-3</v>
      </c>
      <c r="S1677" s="563">
        <f t="shared" si="103"/>
        <v>1.3255567338282148E-2</v>
      </c>
      <c r="AA1677" s="594">
        <v>44140</v>
      </c>
      <c r="AB1677" s="595" t="s">
        <v>449</v>
      </c>
      <c r="AC1677" s="595">
        <v>41071.300000000003</v>
      </c>
      <c r="AD1677" s="596" t="s">
        <v>395</v>
      </c>
      <c r="AE1677" s="595">
        <v>157.53</v>
      </c>
      <c r="AF1677" s="597">
        <f t="shared" si="104"/>
        <v>1.959537222121277E-2</v>
      </c>
      <c r="AG1677" s="597">
        <f t="shared" si="105"/>
        <v>-6.9343755909978544E-3</v>
      </c>
    </row>
    <row r="1678" spans="13:33" x14ac:dyDescent="0.35">
      <c r="M1678" s="555">
        <v>44145</v>
      </c>
      <c r="N1678" s="543" t="s">
        <v>449</v>
      </c>
      <c r="O1678" s="543">
        <v>41153.050000000003</v>
      </c>
      <c r="P1678" s="73" t="s">
        <v>431</v>
      </c>
      <c r="Q1678" s="158">
        <v>19.46</v>
      </c>
      <c r="R1678" s="563">
        <f t="shared" si="102"/>
        <v>9.0479020714966385E-3</v>
      </c>
      <c r="S1678" s="563">
        <f t="shared" si="103"/>
        <v>1.8315018315018472E-2</v>
      </c>
      <c r="AA1678" s="594">
        <v>44141</v>
      </c>
      <c r="AB1678" s="595" t="s">
        <v>449</v>
      </c>
      <c r="AC1678" s="595">
        <v>40731.61</v>
      </c>
      <c r="AD1678" s="596" t="s">
        <v>395</v>
      </c>
      <c r="AE1678" s="595">
        <v>157</v>
      </c>
      <c r="AF1678" s="597">
        <f t="shared" si="104"/>
        <v>-8.270738934487154E-3</v>
      </c>
      <c r="AG1678" s="597">
        <f t="shared" si="105"/>
        <v>-3.3644385196470727E-3</v>
      </c>
    </row>
    <row r="1679" spans="13:33" x14ac:dyDescent="0.35">
      <c r="M1679" s="555">
        <v>44146</v>
      </c>
      <c r="N1679" s="543" t="s">
        <v>449</v>
      </c>
      <c r="O1679" s="543">
        <v>41197.32</v>
      </c>
      <c r="P1679" s="73" t="s">
        <v>431</v>
      </c>
      <c r="Q1679" s="158">
        <v>19.010000000000002</v>
      </c>
      <c r="R1679" s="563">
        <f t="shared" si="102"/>
        <v>1.0757404372214729E-3</v>
      </c>
      <c r="S1679" s="563">
        <f t="shared" si="103"/>
        <v>-2.3124357656731709E-2</v>
      </c>
      <c r="AA1679" s="594">
        <v>44144</v>
      </c>
      <c r="AB1679" s="595" t="s">
        <v>449</v>
      </c>
      <c r="AC1679" s="595">
        <v>40784.04</v>
      </c>
      <c r="AD1679" s="596" t="s">
        <v>395</v>
      </c>
      <c r="AE1679" s="595">
        <v>159.6</v>
      </c>
      <c r="AF1679" s="597">
        <f t="shared" si="104"/>
        <v>1.2872066682363403E-3</v>
      </c>
      <c r="AG1679" s="597">
        <f t="shared" si="105"/>
        <v>1.6560509554140124E-2</v>
      </c>
    </row>
    <row r="1680" spans="13:33" x14ac:dyDescent="0.35">
      <c r="M1680" s="555">
        <v>44147</v>
      </c>
      <c r="N1680" s="543" t="s">
        <v>449</v>
      </c>
      <c r="O1680" s="543">
        <v>40564.550000000003</v>
      </c>
      <c r="P1680" s="73" t="s">
        <v>431</v>
      </c>
      <c r="Q1680" s="158">
        <v>17.649999999999999</v>
      </c>
      <c r="R1680" s="563">
        <f t="shared" si="102"/>
        <v>-1.5359494258364248E-2</v>
      </c>
      <c r="S1680" s="563">
        <f t="shared" si="103"/>
        <v>-7.1541294055760263E-2</v>
      </c>
      <c r="AA1680" s="594">
        <v>44145</v>
      </c>
      <c r="AB1680" s="595" t="s">
        <v>449</v>
      </c>
      <c r="AC1680" s="595">
        <v>41153.050000000003</v>
      </c>
      <c r="AD1680" s="596" t="s">
        <v>395</v>
      </c>
      <c r="AE1680" s="595">
        <v>159.66999999999999</v>
      </c>
      <c r="AF1680" s="597">
        <f t="shared" si="104"/>
        <v>9.0479020714966385E-3</v>
      </c>
      <c r="AG1680" s="597">
        <f t="shared" si="105"/>
        <v>4.3859649122812705E-4</v>
      </c>
    </row>
    <row r="1681" spans="13:33" x14ac:dyDescent="0.35">
      <c r="M1681" s="555">
        <v>44148</v>
      </c>
      <c r="N1681" s="543" t="s">
        <v>449</v>
      </c>
      <c r="O1681" s="543">
        <v>40569.35</v>
      </c>
      <c r="P1681" s="73" t="s">
        <v>431</v>
      </c>
      <c r="Q1681" s="158">
        <v>18.45</v>
      </c>
      <c r="R1681" s="563">
        <f t="shared" si="102"/>
        <v>1.1832992107629892E-4</v>
      </c>
      <c r="S1681" s="563">
        <f t="shared" si="103"/>
        <v>4.5325779036827329E-2</v>
      </c>
      <c r="AA1681" s="594">
        <v>44146</v>
      </c>
      <c r="AB1681" s="595" t="s">
        <v>449</v>
      </c>
      <c r="AC1681" s="595">
        <v>41197.32</v>
      </c>
      <c r="AD1681" s="596" t="s">
        <v>395</v>
      </c>
      <c r="AE1681" s="595">
        <v>157</v>
      </c>
      <c r="AF1681" s="597">
        <f t="shared" si="104"/>
        <v>1.0757404372214729E-3</v>
      </c>
      <c r="AG1681" s="597">
        <f t="shared" si="105"/>
        <v>-1.6721989102523871E-2</v>
      </c>
    </row>
    <row r="1682" spans="13:33" x14ac:dyDescent="0.35">
      <c r="M1682" s="555">
        <v>44151</v>
      </c>
      <c r="N1682" s="543" t="s">
        <v>449</v>
      </c>
      <c r="O1682" s="543">
        <v>40504.75</v>
      </c>
      <c r="P1682" s="73" t="s">
        <v>431</v>
      </c>
      <c r="Q1682" s="158">
        <v>18.100000000000001</v>
      </c>
      <c r="R1682" s="563">
        <f t="shared" si="102"/>
        <v>-1.5923351002665731E-3</v>
      </c>
      <c r="S1682" s="563">
        <f t="shared" si="103"/>
        <v>-1.89701897018969E-2</v>
      </c>
      <c r="AA1682" s="594">
        <v>44147</v>
      </c>
      <c r="AB1682" s="595" t="s">
        <v>449</v>
      </c>
      <c r="AC1682" s="595">
        <v>40564.550000000003</v>
      </c>
      <c r="AD1682" s="596" t="s">
        <v>395</v>
      </c>
      <c r="AE1682" s="595">
        <v>155.01</v>
      </c>
      <c r="AF1682" s="597">
        <f t="shared" si="104"/>
        <v>-1.5359494258364248E-2</v>
      </c>
      <c r="AG1682" s="597">
        <f t="shared" si="105"/>
        <v>-1.2675159235668865E-2</v>
      </c>
    </row>
    <row r="1683" spans="13:33" x14ac:dyDescent="0.35">
      <c r="M1683" s="555">
        <v>44152</v>
      </c>
      <c r="N1683" s="543" t="s">
        <v>449</v>
      </c>
      <c r="O1683" s="543">
        <v>40652.67</v>
      </c>
      <c r="P1683" s="73" t="s">
        <v>431</v>
      </c>
      <c r="Q1683" s="158">
        <v>18.29</v>
      </c>
      <c r="R1683" s="563">
        <f t="shared" si="102"/>
        <v>3.6519173677160843E-3</v>
      </c>
      <c r="S1683" s="563">
        <f t="shared" si="103"/>
        <v>1.0497237569060625E-2</v>
      </c>
      <c r="AA1683" s="594">
        <v>44148</v>
      </c>
      <c r="AB1683" s="595" t="s">
        <v>449</v>
      </c>
      <c r="AC1683" s="595">
        <v>40569.35</v>
      </c>
      <c r="AD1683" s="596" t="s">
        <v>395</v>
      </c>
      <c r="AE1683" s="595">
        <v>153.06</v>
      </c>
      <c r="AF1683" s="597">
        <f t="shared" si="104"/>
        <v>1.1832992107629892E-4</v>
      </c>
      <c r="AG1683" s="597">
        <f t="shared" si="105"/>
        <v>-1.2579833559125175E-2</v>
      </c>
    </row>
    <row r="1684" spans="13:33" x14ac:dyDescent="0.35">
      <c r="M1684" s="555">
        <v>44153</v>
      </c>
      <c r="N1684" s="543" t="s">
        <v>449</v>
      </c>
      <c r="O1684" s="543">
        <v>40514.67</v>
      </c>
      <c r="P1684" s="73" t="s">
        <v>431</v>
      </c>
      <c r="Q1684" s="158">
        <v>18.29</v>
      </c>
      <c r="R1684" s="563">
        <f t="shared" si="102"/>
        <v>-3.3946109812713621E-3</v>
      </c>
      <c r="S1684" s="563">
        <f t="shared" si="103"/>
        <v>0</v>
      </c>
      <c r="AA1684" s="594">
        <v>44151</v>
      </c>
      <c r="AB1684" s="595" t="s">
        <v>449</v>
      </c>
      <c r="AC1684" s="595">
        <v>40504.75</v>
      </c>
      <c r="AD1684" s="596" t="s">
        <v>395</v>
      </c>
      <c r="AE1684" s="595">
        <v>154.01</v>
      </c>
      <c r="AF1684" s="597">
        <f t="shared" si="104"/>
        <v>-1.5923351002665731E-3</v>
      </c>
      <c r="AG1684" s="597">
        <f t="shared" si="105"/>
        <v>6.2067163203971543E-3</v>
      </c>
    </row>
    <row r="1685" spans="13:33" x14ac:dyDescent="0.35">
      <c r="M1685" s="555">
        <v>44154</v>
      </c>
      <c r="N1685" s="543" t="s">
        <v>449</v>
      </c>
      <c r="O1685" s="543">
        <v>40540.699999999997</v>
      </c>
      <c r="P1685" s="73" t="s">
        <v>431</v>
      </c>
      <c r="Q1685" s="158">
        <v>18.22</v>
      </c>
      <c r="R1685" s="563">
        <f t="shared" si="102"/>
        <v>6.4248332764393901E-4</v>
      </c>
      <c r="S1685" s="563">
        <f t="shared" si="103"/>
        <v>-3.8272279934390419E-3</v>
      </c>
      <c r="AA1685" s="594">
        <v>44152</v>
      </c>
      <c r="AB1685" s="595" t="s">
        <v>449</v>
      </c>
      <c r="AC1685" s="595">
        <v>40652.67</v>
      </c>
      <c r="AD1685" s="596" t="s">
        <v>395</v>
      </c>
      <c r="AE1685" s="595">
        <v>156.83000000000001</v>
      </c>
      <c r="AF1685" s="597">
        <f t="shared" si="104"/>
        <v>3.6519173677160843E-3</v>
      </c>
      <c r="AG1685" s="597">
        <f t="shared" si="105"/>
        <v>1.8310499318226148E-2</v>
      </c>
    </row>
    <row r="1686" spans="13:33" x14ac:dyDescent="0.35">
      <c r="M1686" s="555">
        <v>44155</v>
      </c>
      <c r="N1686" s="543" t="s">
        <v>449</v>
      </c>
      <c r="O1686" s="543">
        <v>40187.18</v>
      </c>
      <c r="P1686" s="73" t="s">
        <v>431</v>
      </c>
      <c r="Q1686" s="158">
        <v>17.64</v>
      </c>
      <c r="R1686" s="563">
        <f t="shared" si="102"/>
        <v>-8.7201257008387989E-3</v>
      </c>
      <c r="S1686" s="563">
        <f t="shared" si="103"/>
        <v>-3.1833150384193099E-2</v>
      </c>
      <c r="AA1686" s="594">
        <v>44153</v>
      </c>
      <c r="AB1686" s="595" t="s">
        <v>449</v>
      </c>
      <c r="AC1686" s="595">
        <v>40514.67</v>
      </c>
      <c r="AD1686" s="596" t="s">
        <v>395</v>
      </c>
      <c r="AE1686" s="595">
        <v>157</v>
      </c>
      <c r="AF1686" s="597">
        <f t="shared" si="104"/>
        <v>-3.3946109812713621E-3</v>
      </c>
      <c r="AG1686" s="597">
        <f t="shared" si="105"/>
        <v>1.0839762800483044E-3</v>
      </c>
    </row>
    <row r="1687" spans="13:33" x14ac:dyDescent="0.35">
      <c r="M1687" s="555">
        <v>44158</v>
      </c>
      <c r="N1687" s="543" t="s">
        <v>449</v>
      </c>
      <c r="O1687" s="543">
        <v>39632.519999999997</v>
      </c>
      <c r="P1687" s="73" t="s">
        <v>431</v>
      </c>
      <c r="Q1687" s="158">
        <v>16.91</v>
      </c>
      <c r="R1687" s="563">
        <f t="shared" si="102"/>
        <v>-1.3801913943700561E-2</v>
      </c>
      <c r="S1687" s="563">
        <f t="shared" si="103"/>
        <v>-4.1383219954648554E-2</v>
      </c>
      <c r="AA1687" s="594">
        <v>44154</v>
      </c>
      <c r="AB1687" s="595" t="s">
        <v>449</v>
      </c>
      <c r="AC1687" s="595">
        <v>40540.699999999997</v>
      </c>
      <c r="AD1687" s="596" t="s">
        <v>395</v>
      </c>
      <c r="AE1687" s="595">
        <v>154.5</v>
      </c>
      <c r="AF1687" s="597">
        <f t="shared" si="104"/>
        <v>6.4248332764393901E-4</v>
      </c>
      <c r="AG1687" s="597">
        <f t="shared" si="105"/>
        <v>-1.5923566878980888E-2</v>
      </c>
    </row>
    <row r="1688" spans="13:33" x14ac:dyDescent="0.35">
      <c r="M1688" s="555">
        <v>44159</v>
      </c>
      <c r="N1688" s="543" t="s">
        <v>449</v>
      </c>
      <c r="O1688" s="543">
        <v>39863.360000000001</v>
      </c>
      <c r="P1688" s="73" t="s">
        <v>431</v>
      </c>
      <c r="Q1688" s="158">
        <v>17.14</v>
      </c>
      <c r="R1688" s="563">
        <f t="shared" si="102"/>
        <v>5.8245097712688043E-3</v>
      </c>
      <c r="S1688" s="563">
        <f t="shared" si="103"/>
        <v>1.3601419278533422E-2</v>
      </c>
      <c r="AA1688" s="594">
        <v>44155</v>
      </c>
      <c r="AB1688" s="595" t="s">
        <v>449</v>
      </c>
      <c r="AC1688" s="595">
        <v>40187.18</v>
      </c>
      <c r="AD1688" s="596" t="s">
        <v>395</v>
      </c>
      <c r="AE1688" s="595">
        <v>155.49</v>
      </c>
      <c r="AF1688" s="597">
        <f t="shared" si="104"/>
        <v>-8.7201257008387989E-3</v>
      </c>
      <c r="AG1688" s="597">
        <f t="shared" si="105"/>
        <v>6.4077669902913303E-3</v>
      </c>
    </row>
    <row r="1689" spans="13:33" x14ac:dyDescent="0.35">
      <c r="M1689" s="555">
        <v>44160</v>
      </c>
      <c r="N1689" s="543" t="s">
        <v>449</v>
      </c>
      <c r="O1689" s="543">
        <v>40377.53</v>
      </c>
      <c r="P1689" s="73" t="s">
        <v>431</v>
      </c>
      <c r="Q1689" s="158">
        <v>17.66</v>
      </c>
      <c r="R1689" s="563">
        <f t="shared" si="102"/>
        <v>1.2898310629108956E-2</v>
      </c>
      <c r="S1689" s="563">
        <f t="shared" si="103"/>
        <v>3.033838973162184E-2</v>
      </c>
      <c r="AA1689" s="594">
        <v>44158</v>
      </c>
      <c r="AB1689" s="595" t="s">
        <v>449</v>
      </c>
      <c r="AC1689" s="595">
        <v>39632.519999999997</v>
      </c>
      <c r="AD1689" s="596" t="s">
        <v>395</v>
      </c>
      <c r="AE1689" s="595">
        <v>148.33000000000001</v>
      </c>
      <c r="AF1689" s="597">
        <f t="shared" si="104"/>
        <v>-1.3801913943700561E-2</v>
      </c>
      <c r="AG1689" s="597">
        <f t="shared" si="105"/>
        <v>-4.6047977361888148E-2</v>
      </c>
    </row>
    <row r="1690" spans="13:33" x14ac:dyDescent="0.35">
      <c r="M1690" s="555">
        <v>44161</v>
      </c>
      <c r="N1690" s="543" t="s">
        <v>449</v>
      </c>
      <c r="O1690" s="543">
        <v>41031.03</v>
      </c>
      <c r="P1690" s="73" t="s">
        <v>431</v>
      </c>
      <c r="Q1690" s="158">
        <v>18.38</v>
      </c>
      <c r="R1690" s="563">
        <f t="shared" ref="R1690:R1753" si="106">(O1690/O1689)-1</f>
        <v>1.6184744336763535E-2</v>
      </c>
      <c r="S1690" s="563">
        <f t="shared" ref="S1690:S1753" si="107">(Q1690/Q1689)-1</f>
        <v>4.0770101925254654E-2</v>
      </c>
      <c r="AA1690" s="594">
        <v>44159</v>
      </c>
      <c r="AB1690" s="595" t="s">
        <v>449</v>
      </c>
      <c r="AC1690" s="595">
        <v>39863.360000000001</v>
      </c>
      <c r="AD1690" s="596" t="s">
        <v>395</v>
      </c>
      <c r="AE1690" s="595">
        <v>150</v>
      </c>
      <c r="AF1690" s="597">
        <f t="shared" si="104"/>
        <v>5.8245097712688043E-3</v>
      </c>
      <c r="AG1690" s="597">
        <f t="shared" si="105"/>
        <v>1.1258679970336249E-2</v>
      </c>
    </row>
    <row r="1691" spans="13:33" x14ac:dyDescent="0.35">
      <c r="M1691" s="555">
        <v>44162</v>
      </c>
      <c r="N1691" s="543" t="s">
        <v>449</v>
      </c>
      <c r="O1691" s="543">
        <v>40807.089999999997</v>
      </c>
      <c r="P1691" s="73" t="s">
        <v>431</v>
      </c>
      <c r="Q1691" s="158">
        <v>18.36</v>
      </c>
      <c r="R1691" s="563">
        <f t="shared" si="106"/>
        <v>-5.4578205811552927E-3</v>
      </c>
      <c r="S1691" s="563">
        <f t="shared" si="107"/>
        <v>-1.0881392818280489E-3</v>
      </c>
      <c r="AA1691" s="594">
        <v>44160</v>
      </c>
      <c r="AB1691" s="595" t="s">
        <v>449</v>
      </c>
      <c r="AC1691" s="595">
        <v>40377.53</v>
      </c>
      <c r="AD1691" s="596" t="s">
        <v>395</v>
      </c>
      <c r="AE1691" s="595">
        <v>149.44</v>
      </c>
      <c r="AF1691" s="597">
        <f t="shared" si="104"/>
        <v>1.2898310629108956E-2</v>
      </c>
      <c r="AG1691" s="597">
        <f t="shared" si="105"/>
        <v>-3.7333333333333663E-3</v>
      </c>
    </row>
    <row r="1692" spans="13:33" x14ac:dyDescent="0.35">
      <c r="M1692" s="555">
        <v>44165</v>
      </c>
      <c r="N1692" s="543" t="s">
        <v>449</v>
      </c>
      <c r="O1692" s="543">
        <v>41068.82</v>
      </c>
      <c r="P1692" s="73" t="s">
        <v>431</v>
      </c>
      <c r="Q1692" s="158">
        <v>19.14</v>
      </c>
      <c r="R1692" s="563">
        <f t="shared" si="106"/>
        <v>6.4138364191126396E-3</v>
      </c>
      <c r="S1692" s="563">
        <f t="shared" si="107"/>
        <v>4.2483660130719025E-2</v>
      </c>
      <c r="AA1692" s="594">
        <v>44161</v>
      </c>
      <c r="AB1692" s="595" t="s">
        <v>449</v>
      </c>
      <c r="AC1692" s="595">
        <v>41031.03</v>
      </c>
      <c r="AD1692" s="596" t="s">
        <v>395</v>
      </c>
      <c r="AE1692" s="595">
        <v>150.81</v>
      </c>
      <c r="AF1692" s="597">
        <f t="shared" ref="AF1692:AF1755" si="108">(AC1692/AC1691)-1</f>
        <v>1.6184744336763535E-2</v>
      </c>
      <c r="AG1692" s="597">
        <f t="shared" ref="AG1692:AG1755" si="109">(AE1692/AE1691)-1</f>
        <v>9.1675588865096636E-3</v>
      </c>
    </row>
    <row r="1693" spans="13:33" x14ac:dyDescent="0.35">
      <c r="M1693" s="555">
        <v>44166</v>
      </c>
      <c r="N1693" s="543" t="s">
        <v>449</v>
      </c>
      <c r="O1693" s="543">
        <v>41665.269999999997</v>
      </c>
      <c r="P1693" s="73" t="s">
        <v>431</v>
      </c>
      <c r="Q1693" s="158">
        <v>19.41</v>
      </c>
      <c r="R1693" s="563">
        <f t="shared" si="106"/>
        <v>1.4523183281136332E-2</v>
      </c>
      <c r="S1693" s="563">
        <f t="shared" si="107"/>
        <v>1.4106583072100332E-2</v>
      </c>
      <c r="AA1693" s="594">
        <v>44162</v>
      </c>
      <c r="AB1693" s="595" t="s">
        <v>449</v>
      </c>
      <c r="AC1693" s="595">
        <v>40807.089999999997</v>
      </c>
      <c r="AD1693" s="596" t="s">
        <v>395</v>
      </c>
      <c r="AE1693" s="595">
        <v>149.58000000000001</v>
      </c>
      <c r="AF1693" s="597">
        <f t="shared" si="108"/>
        <v>-5.4578205811552927E-3</v>
      </c>
      <c r="AG1693" s="597">
        <f t="shared" si="109"/>
        <v>-8.1559578277301537E-3</v>
      </c>
    </row>
    <row r="1694" spans="13:33" x14ac:dyDescent="0.35">
      <c r="M1694" s="555">
        <v>44167</v>
      </c>
      <c r="N1694" s="543" t="s">
        <v>449</v>
      </c>
      <c r="O1694" s="543">
        <v>42027.38</v>
      </c>
      <c r="P1694" s="73" t="s">
        <v>431</v>
      </c>
      <c r="Q1694" s="158">
        <v>19.63</v>
      </c>
      <c r="R1694" s="563">
        <f t="shared" si="106"/>
        <v>8.6909313200178584E-3</v>
      </c>
      <c r="S1694" s="563">
        <f t="shared" si="107"/>
        <v>1.1334363730036046E-2</v>
      </c>
      <c r="AA1694" s="594">
        <v>44165</v>
      </c>
      <c r="AB1694" s="595" t="s">
        <v>449</v>
      </c>
      <c r="AC1694" s="595">
        <v>41068.82</v>
      </c>
      <c r="AD1694" s="596" t="s">
        <v>395</v>
      </c>
      <c r="AE1694" s="595">
        <v>148.97999999999999</v>
      </c>
      <c r="AF1694" s="597">
        <f t="shared" si="108"/>
        <v>6.4138364191126396E-3</v>
      </c>
      <c r="AG1694" s="597">
        <f t="shared" si="109"/>
        <v>-4.0112314480547084E-3</v>
      </c>
    </row>
    <row r="1695" spans="13:33" x14ac:dyDescent="0.35">
      <c r="M1695" s="555">
        <v>44168</v>
      </c>
      <c r="N1695" s="543" t="s">
        <v>449</v>
      </c>
      <c r="O1695" s="543">
        <v>42047.72</v>
      </c>
      <c r="P1695" s="73" t="s">
        <v>431</v>
      </c>
      <c r="Q1695" s="158">
        <v>19.64</v>
      </c>
      <c r="R1695" s="563">
        <f t="shared" si="106"/>
        <v>4.839702118000222E-4</v>
      </c>
      <c r="S1695" s="563">
        <f t="shared" si="107"/>
        <v>5.0942435048395573E-4</v>
      </c>
      <c r="AA1695" s="594">
        <v>44166</v>
      </c>
      <c r="AB1695" s="595" t="s">
        <v>449</v>
      </c>
      <c r="AC1695" s="595">
        <v>41665.269999999997</v>
      </c>
      <c r="AD1695" s="596" t="s">
        <v>395</v>
      </c>
      <c r="AE1695" s="595">
        <v>150.59</v>
      </c>
      <c r="AF1695" s="597">
        <f t="shared" si="108"/>
        <v>1.4523183281136332E-2</v>
      </c>
      <c r="AG1695" s="597">
        <f t="shared" si="109"/>
        <v>1.0806819707343429E-2</v>
      </c>
    </row>
    <row r="1696" spans="13:33" x14ac:dyDescent="0.35">
      <c r="M1696" s="555">
        <v>44169</v>
      </c>
      <c r="N1696" s="543" t="s">
        <v>449</v>
      </c>
      <c r="O1696" s="543">
        <v>42207</v>
      </c>
      <c r="P1696" s="73" t="s">
        <v>431</v>
      </c>
      <c r="Q1696" s="158">
        <v>20.13</v>
      </c>
      <c r="R1696" s="563">
        <f t="shared" si="106"/>
        <v>3.7880769753984023E-3</v>
      </c>
      <c r="S1696" s="563">
        <f t="shared" si="107"/>
        <v>2.4949083503054803E-2</v>
      </c>
      <c r="AA1696" s="594">
        <v>44167</v>
      </c>
      <c r="AB1696" s="595" t="s">
        <v>449</v>
      </c>
      <c r="AC1696" s="595">
        <v>42027.38</v>
      </c>
      <c r="AD1696" s="596" t="s">
        <v>395</v>
      </c>
      <c r="AE1696" s="595">
        <v>152.72</v>
      </c>
      <c r="AF1696" s="597">
        <f t="shared" si="108"/>
        <v>8.6909313200178584E-3</v>
      </c>
      <c r="AG1696" s="597">
        <f t="shared" si="109"/>
        <v>1.4144365495716738E-2</v>
      </c>
    </row>
    <row r="1697" spans="13:33" x14ac:dyDescent="0.35">
      <c r="M1697" s="555">
        <v>44172</v>
      </c>
      <c r="N1697" s="543" t="s">
        <v>449</v>
      </c>
      <c r="O1697" s="543">
        <v>42115.31</v>
      </c>
      <c r="P1697" s="73" t="s">
        <v>431</v>
      </c>
      <c r="Q1697" s="158">
        <v>19.96</v>
      </c>
      <c r="R1697" s="563">
        <f t="shared" si="106"/>
        <v>-2.1723884663682469E-3</v>
      </c>
      <c r="S1697" s="563">
        <f t="shared" si="107"/>
        <v>-8.4451068057624923E-3</v>
      </c>
      <c r="AA1697" s="594">
        <v>44168</v>
      </c>
      <c r="AB1697" s="595" t="s">
        <v>449</v>
      </c>
      <c r="AC1697" s="595">
        <v>42047.72</v>
      </c>
      <c r="AD1697" s="596" t="s">
        <v>395</v>
      </c>
      <c r="AE1697" s="595">
        <v>153.66999999999999</v>
      </c>
      <c r="AF1697" s="597">
        <f t="shared" si="108"/>
        <v>4.839702118000222E-4</v>
      </c>
      <c r="AG1697" s="597">
        <f t="shared" si="109"/>
        <v>6.220534311157655E-3</v>
      </c>
    </row>
    <row r="1698" spans="13:33" x14ac:dyDescent="0.35">
      <c r="M1698" s="555">
        <v>44173</v>
      </c>
      <c r="N1698" s="543" t="s">
        <v>449</v>
      </c>
      <c r="O1698" s="543">
        <v>42101.78</v>
      </c>
      <c r="P1698" s="73" t="s">
        <v>431</v>
      </c>
      <c r="Q1698" s="158">
        <v>19.5</v>
      </c>
      <c r="R1698" s="563">
        <f t="shared" si="106"/>
        <v>-3.2126084314698655E-4</v>
      </c>
      <c r="S1698" s="563">
        <f t="shared" si="107"/>
        <v>-2.3046092184368816E-2</v>
      </c>
      <c r="AA1698" s="594">
        <v>44169</v>
      </c>
      <c r="AB1698" s="595" t="s">
        <v>449</v>
      </c>
      <c r="AC1698" s="595">
        <v>42207</v>
      </c>
      <c r="AD1698" s="596" t="s">
        <v>395</v>
      </c>
      <c r="AE1698" s="595">
        <v>152.6</v>
      </c>
      <c r="AF1698" s="597">
        <f t="shared" si="108"/>
        <v>3.7880769753984023E-3</v>
      </c>
      <c r="AG1698" s="597">
        <f t="shared" si="109"/>
        <v>-6.9629726036311013E-3</v>
      </c>
    </row>
    <row r="1699" spans="13:33" x14ac:dyDescent="0.35">
      <c r="M1699" s="555">
        <v>44174</v>
      </c>
      <c r="N1699" s="543" t="s">
        <v>449</v>
      </c>
      <c r="O1699" s="543">
        <v>42204.03</v>
      </c>
      <c r="P1699" s="73" t="s">
        <v>431</v>
      </c>
      <c r="Q1699" s="158">
        <v>19.489999999999998</v>
      </c>
      <c r="R1699" s="563">
        <f t="shared" si="106"/>
        <v>2.4286384091123381E-3</v>
      </c>
      <c r="S1699" s="563">
        <f t="shared" si="107"/>
        <v>-5.1282051282064423E-4</v>
      </c>
      <c r="AA1699" s="594">
        <v>44172</v>
      </c>
      <c r="AB1699" s="595" t="s">
        <v>449</v>
      </c>
      <c r="AC1699" s="595">
        <v>42115.31</v>
      </c>
      <c r="AD1699" s="596" t="s">
        <v>395</v>
      </c>
      <c r="AE1699" s="595">
        <v>152.01</v>
      </c>
      <c r="AF1699" s="597">
        <f t="shared" si="108"/>
        <v>-2.1723884663682469E-3</v>
      </c>
      <c r="AG1699" s="597">
        <f t="shared" si="109"/>
        <v>-3.8663171690694886E-3</v>
      </c>
    </row>
    <row r="1700" spans="13:33" x14ac:dyDescent="0.35">
      <c r="M1700" s="555">
        <v>44175</v>
      </c>
      <c r="N1700" s="543" t="s">
        <v>449</v>
      </c>
      <c r="O1700" s="543">
        <v>42305.84</v>
      </c>
      <c r="P1700" s="73" t="s">
        <v>431</v>
      </c>
      <c r="Q1700" s="158">
        <v>19.8</v>
      </c>
      <c r="R1700" s="563">
        <f t="shared" si="106"/>
        <v>2.4123288700155232E-3</v>
      </c>
      <c r="S1700" s="563">
        <f t="shared" si="107"/>
        <v>1.5905592611595853E-2</v>
      </c>
      <c r="AA1700" s="594">
        <v>44173</v>
      </c>
      <c r="AB1700" s="595" t="s">
        <v>449</v>
      </c>
      <c r="AC1700" s="595">
        <v>42101.78</v>
      </c>
      <c r="AD1700" s="596" t="s">
        <v>395</v>
      </c>
      <c r="AE1700" s="595">
        <v>151.07</v>
      </c>
      <c r="AF1700" s="597">
        <f t="shared" si="108"/>
        <v>-3.2126084314698655E-4</v>
      </c>
      <c r="AG1700" s="597">
        <f t="shared" si="109"/>
        <v>-6.1838036971251231E-3</v>
      </c>
    </row>
    <row r="1701" spans="13:33" x14ac:dyDescent="0.35">
      <c r="M1701" s="555">
        <v>44176</v>
      </c>
      <c r="N1701" s="543" t="s">
        <v>449</v>
      </c>
      <c r="O1701" s="543">
        <v>42470.39</v>
      </c>
      <c r="P1701" s="73" t="s">
        <v>431</v>
      </c>
      <c r="Q1701" s="158">
        <v>21.19</v>
      </c>
      <c r="R1701" s="563">
        <f t="shared" si="106"/>
        <v>3.8895339272309037E-3</v>
      </c>
      <c r="S1701" s="563">
        <f t="shared" si="107"/>
        <v>7.0202020202020154E-2</v>
      </c>
      <c r="AA1701" s="594">
        <v>44174</v>
      </c>
      <c r="AB1701" s="595" t="s">
        <v>449</v>
      </c>
      <c r="AC1701" s="595">
        <v>42204.03</v>
      </c>
      <c r="AD1701" s="596" t="s">
        <v>395</v>
      </c>
      <c r="AE1701" s="595">
        <v>151.01</v>
      </c>
      <c r="AF1701" s="597">
        <f t="shared" si="108"/>
        <v>2.4286384091123381E-3</v>
      </c>
      <c r="AG1701" s="597">
        <f t="shared" si="109"/>
        <v>-3.9716687628255087E-4</v>
      </c>
    </row>
    <row r="1702" spans="13:33" x14ac:dyDescent="0.35">
      <c r="M1702" s="555">
        <v>44179</v>
      </c>
      <c r="N1702" s="543" t="s">
        <v>449</v>
      </c>
      <c r="O1702" s="543">
        <v>43266.22</v>
      </c>
      <c r="P1702" s="73" t="s">
        <v>431</v>
      </c>
      <c r="Q1702" s="158">
        <v>22.74</v>
      </c>
      <c r="R1702" s="563">
        <f t="shared" si="106"/>
        <v>1.8738466964866696E-2</v>
      </c>
      <c r="S1702" s="563">
        <f t="shared" si="107"/>
        <v>7.3147711184520903E-2</v>
      </c>
      <c r="AA1702" s="594">
        <v>44175</v>
      </c>
      <c r="AB1702" s="595" t="s">
        <v>449</v>
      </c>
      <c r="AC1702" s="595">
        <v>42305.84</v>
      </c>
      <c r="AD1702" s="596" t="s">
        <v>395</v>
      </c>
      <c r="AE1702" s="595">
        <v>149.76</v>
      </c>
      <c r="AF1702" s="597">
        <f t="shared" si="108"/>
        <v>2.4123288700155232E-3</v>
      </c>
      <c r="AG1702" s="597">
        <f t="shared" si="109"/>
        <v>-8.2775975100987109E-3</v>
      </c>
    </row>
    <row r="1703" spans="13:33" x14ac:dyDescent="0.35">
      <c r="M1703" s="555">
        <v>44180</v>
      </c>
      <c r="N1703" s="543" t="s">
        <v>449</v>
      </c>
      <c r="O1703" s="543">
        <v>43250.84</v>
      </c>
      <c r="P1703" s="73" t="s">
        <v>431</v>
      </c>
      <c r="Q1703" s="158">
        <v>21.29</v>
      </c>
      <c r="R1703" s="563">
        <f t="shared" si="106"/>
        <v>-3.5547362353360867E-4</v>
      </c>
      <c r="S1703" s="563">
        <f t="shared" si="107"/>
        <v>-6.3764291996481925E-2</v>
      </c>
      <c r="AA1703" s="594">
        <v>44176</v>
      </c>
      <c r="AB1703" s="595" t="s">
        <v>449</v>
      </c>
      <c r="AC1703" s="595">
        <v>42470.39</v>
      </c>
      <c r="AD1703" s="596" t="s">
        <v>395</v>
      </c>
      <c r="AE1703" s="595">
        <v>151.51</v>
      </c>
      <c r="AF1703" s="597">
        <f t="shared" si="108"/>
        <v>3.8895339272309037E-3</v>
      </c>
      <c r="AG1703" s="597">
        <f t="shared" si="109"/>
        <v>1.168536324786329E-2</v>
      </c>
    </row>
    <row r="1704" spans="13:33" x14ac:dyDescent="0.35">
      <c r="M1704" s="555">
        <v>44181</v>
      </c>
      <c r="N1704" s="543" t="s">
        <v>449</v>
      </c>
      <c r="O1704" s="543">
        <v>43360.19</v>
      </c>
      <c r="P1704" s="73" t="s">
        <v>431</v>
      </c>
      <c r="Q1704" s="158">
        <v>21</v>
      </c>
      <c r="R1704" s="563">
        <f t="shared" si="106"/>
        <v>2.5282745953605357E-3</v>
      </c>
      <c r="S1704" s="563">
        <f t="shared" si="107"/>
        <v>-1.3621418506341021E-2</v>
      </c>
      <c r="AA1704" s="594">
        <v>44179</v>
      </c>
      <c r="AB1704" s="595" t="s">
        <v>449</v>
      </c>
      <c r="AC1704" s="595">
        <v>43266.22</v>
      </c>
      <c r="AD1704" s="596" t="s">
        <v>395</v>
      </c>
      <c r="AE1704" s="595">
        <v>152.9</v>
      </c>
      <c r="AF1704" s="597">
        <f t="shared" si="108"/>
        <v>1.8738466964866696E-2</v>
      </c>
      <c r="AG1704" s="597">
        <f t="shared" si="109"/>
        <v>9.1743119266056716E-3</v>
      </c>
    </row>
    <row r="1705" spans="13:33" x14ac:dyDescent="0.35">
      <c r="M1705" s="555">
        <v>44182</v>
      </c>
      <c r="N1705" s="543" t="s">
        <v>449</v>
      </c>
      <c r="O1705" s="543">
        <v>43766.69</v>
      </c>
      <c r="P1705" s="73" t="s">
        <v>431</v>
      </c>
      <c r="Q1705" s="158">
        <v>22.55</v>
      </c>
      <c r="R1705" s="563">
        <f t="shared" si="106"/>
        <v>9.3749589196909788E-3</v>
      </c>
      <c r="S1705" s="563">
        <f t="shared" si="107"/>
        <v>7.3809523809523769E-2</v>
      </c>
      <c r="AA1705" s="594">
        <v>44180</v>
      </c>
      <c r="AB1705" s="595" t="s">
        <v>449</v>
      </c>
      <c r="AC1705" s="595">
        <v>43250.84</v>
      </c>
      <c r="AD1705" s="596" t="s">
        <v>395</v>
      </c>
      <c r="AE1705" s="595">
        <v>153.78</v>
      </c>
      <c r="AF1705" s="597">
        <f t="shared" si="108"/>
        <v>-3.5547362353360867E-4</v>
      </c>
      <c r="AG1705" s="597">
        <f t="shared" si="109"/>
        <v>5.7553956834532904E-3</v>
      </c>
    </row>
    <row r="1706" spans="13:33" x14ac:dyDescent="0.35">
      <c r="M1706" s="555">
        <v>44183</v>
      </c>
      <c r="N1706" s="543" t="s">
        <v>449</v>
      </c>
      <c r="O1706" s="543">
        <v>43740.55</v>
      </c>
      <c r="P1706" s="73" t="s">
        <v>431</v>
      </c>
      <c r="Q1706" s="158">
        <v>21.61</v>
      </c>
      <c r="R1706" s="563">
        <f t="shared" si="106"/>
        <v>-5.9725786894093691E-4</v>
      </c>
      <c r="S1706" s="563">
        <f t="shared" si="107"/>
        <v>-4.1685144124168572E-2</v>
      </c>
      <c r="AA1706" s="594">
        <v>44181</v>
      </c>
      <c r="AB1706" s="595" t="s">
        <v>449</v>
      </c>
      <c r="AC1706" s="595">
        <v>43360.19</v>
      </c>
      <c r="AD1706" s="596" t="s">
        <v>395</v>
      </c>
      <c r="AE1706" s="595">
        <v>155.13</v>
      </c>
      <c r="AF1706" s="597">
        <f t="shared" si="108"/>
        <v>2.5282745953605357E-3</v>
      </c>
      <c r="AG1706" s="597">
        <f t="shared" si="109"/>
        <v>8.7787748731953386E-3</v>
      </c>
    </row>
    <row r="1707" spans="13:33" x14ac:dyDescent="0.35">
      <c r="M1707" s="555">
        <v>44186</v>
      </c>
      <c r="N1707" s="543" t="s">
        <v>449</v>
      </c>
      <c r="O1707" s="543">
        <v>43333.760000000002</v>
      </c>
      <c r="P1707" s="73" t="s">
        <v>431</v>
      </c>
      <c r="Q1707" s="158">
        <v>20.75</v>
      </c>
      <c r="R1707" s="563">
        <f t="shared" si="106"/>
        <v>-9.3000659571038646E-3</v>
      </c>
      <c r="S1707" s="563">
        <f t="shared" si="107"/>
        <v>-3.9796390559925898E-2</v>
      </c>
      <c r="AA1707" s="594">
        <v>44182</v>
      </c>
      <c r="AB1707" s="595" t="s">
        <v>449</v>
      </c>
      <c r="AC1707" s="595">
        <v>43766.69</v>
      </c>
      <c r="AD1707" s="596" t="s">
        <v>395</v>
      </c>
      <c r="AE1707" s="595">
        <v>156.5</v>
      </c>
      <c r="AF1707" s="597">
        <f t="shared" si="108"/>
        <v>9.3749589196909788E-3</v>
      </c>
      <c r="AG1707" s="597">
        <f t="shared" si="109"/>
        <v>8.8313027783148979E-3</v>
      </c>
    </row>
    <row r="1708" spans="13:33" x14ac:dyDescent="0.35">
      <c r="M1708" s="555">
        <v>44187</v>
      </c>
      <c r="N1708" s="543" t="s">
        <v>449</v>
      </c>
      <c r="O1708" s="543">
        <v>42906.94</v>
      </c>
      <c r="P1708" s="73" t="s">
        <v>431</v>
      </c>
      <c r="Q1708" s="158">
        <v>19.350000000000001</v>
      </c>
      <c r="R1708" s="563">
        <f t="shared" si="106"/>
        <v>-9.8495953270614223E-3</v>
      </c>
      <c r="S1708" s="563">
        <f t="shared" si="107"/>
        <v>-6.7469879518072262E-2</v>
      </c>
      <c r="AA1708" s="594">
        <v>44183</v>
      </c>
      <c r="AB1708" s="595" t="s">
        <v>449</v>
      </c>
      <c r="AC1708" s="595">
        <v>43740.55</v>
      </c>
      <c r="AD1708" s="596" t="s">
        <v>395</v>
      </c>
      <c r="AE1708" s="595">
        <v>165.49</v>
      </c>
      <c r="AF1708" s="597">
        <f t="shared" si="108"/>
        <v>-5.9725786894093691E-4</v>
      </c>
      <c r="AG1708" s="597">
        <f t="shared" si="109"/>
        <v>5.7444089456869074E-2</v>
      </c>
    </row>
    <row r="1709" spans="13:33" x14ac:dyDescent="0.35">
      <c r="M1709" s="555">
        <v>44188</v>
      </c>
      <c r="N1709" s="543" t="s">
        <v>449</v>
      </c>
      <c r="O1709" s="543">
        <v>43087.7</v>
      </c>
      <c r="P1709" s="73" t="s">
        <v>431</v>
      </c>
      <c r="Q1709" s="158">
        <v>20.38</v>
      </c>
      <c r="R1709" s="563">
        <f t="shared" si="106"/>
        <v>4.2128382960890942E-3</v>
      </c>
      <c r="S1709" s="563">
        <f t="shared" si="107"/>
        <v>5.3229974160206694E-2</v>
      </c>
      <c r="AA1709" s="594">
        <v>44186</v>
      </c>
      <c r="AB1709" s="595" t="s">
        <v>449</v>
      </c>
      <c r="AC1709" s="595">
        <v>43333.760000000002</v>
      </c>
      <c r="AD1709" s="596" t="s">
        <v>395</v>
      </c>
      <c r="AE1709" s="595">
        <v>166.32</v>
      </c>
      <c r="AF1709" s="597">
        <f t="shared" si="108"/>
        <v>-9.3000659571038646E-3</v>
      </c>
      <c r="AG1709" s="597">
        <f t="shared" si="109"/>
        <v>5.0154087860292407E-3</v>
      </c>
    </row>
    <row r="1710" spans="13:33" x14ac:dyDescent="0.35">
      <c r="M1710" s="555">
        <v>44189</v>
      </c>
      <c r="N1710" s="543" t="s">
        <v>449</v>
      </c>
      <c r="O1710" s="543">
        <v>43416.77</v>
      </c>
      <c r="P1710" s="73" t="s">
        <v>431</v>
      </c>
      <c r="Q1710" s="158">
        <v>20.8</v>
      </c>
      <c r="R1710" s="563">
        <f t="shared" si="106"/>
        <v>7.6372143326286501E-3</v>
      </c>
      <c r="S1710" s="563">
        <f t="shared" si="107"/>
        <v>2.0608439646712551E-2</v>
      </c>
      <c r="AA1710" s="594">
        <v>44187</v>
      </c>
      <c r="AB1710" s="595" t="s">
        <v>449</v>
      </c>
      <c r="AC1710" s="595">
        <v>42906.94</v>
      </c>
      <c r="AD1710" s="596" t="s">
        <v>395</v>
      </c>
      <c r="AE1710" s="595">
        <v>156.53</v>
      </c>
      <c r="AF1710" s="597">
        <f t="shared" si="108"/>
        <v>-9.8495953270614223E-3</v>
      </c>
      <c r="AG1710" s="597">
        <f t="shared" si="109"/>
        <v>-5.8862433862433838E-2</v>
      </c>
    </row>
    <row r="1711" spans="13:33" x14ac:dyDescent="0.35">
      <c r="M1711" s="555">
        <v>44193</v>
      </c>
      <c r="N1711" s="543" t="s">
        <v>449</v>
      </c>
      <c r="O1711" s="543">
        <v>43674.28</v>
      </c>
      <c r="P1711" s="73" t="s">
        <v>431</v>
      </c>
      <c r="Q1711" s="158">
        <v>21.62</v>
      </c>
      <c r="R1711" s="563">
        <f t="shared" si="106"/>
        <v>5.9311183213306418E-3</v>
      </c>
      <c r="S1711" s="563">
        <f t="shared" si="107"/>
        <v>3.9423076923077005E-2</v>
      </c>
      <c r="AA1711" s="594">
        <v>44188</v>
      </c>
      <c r="AB1711" s="595" t="s">
        <v>449</v>
      </c>
      <c r="AC1711" s="595">
        <v>43087.7</v>
      </c>
      <c r="AD1711" s="596" t="s">
        <v>395</v>
      </c>
      <c r="AE1711" s="595">
        <v>155.5</v>
      </c>
      <c r="AF1711" s="597">
        <f t="shared" si="108"/>
        <v>4.2128382960890942E-3</v>
      </c>
      <c r="AG1711" s="597">
        <f t="shared" si="109"/>
        <v>-6.5802082667859585E-3</v>
      </c>
    </row>
    <row r="1712" spans="13:33" x14ac:dyDescent="0.35">
      <c r="M1712" s="555">
        <v>44194</v>
      </c>
      <c r="N1712" s="543" t="s">
        <v>449</v>
      </c>
      <c r="O1712" s="543">
        <v>43282.27</v>
      </c>
      <c r="P1712" s="73" t="s">
        <v>431</v>
      </c>
      <c r="Q1712" s="158">
        <v>21.66</v>
      </c>
      <c r="R1712" s="563">
        <f t="shared" si="106"/>
        <v>-8.9757633096642087E-3</v>
      </c>
      <c r="S1712" s="563">
        <f t="shared" si="107"/>
        <v>1.8501387604070718E-3</v>
      </c>
      <c r="AA1712" s="594">
        <v>44189</v>
      </c>
      <c r="AB1712" s="595" t="s">
        <v>449</v>
      </c>
      <c r="AC1712" s="595">
        <v>43416.77</v>
      </c>
      <c r="AD1712" s="596" t="s">
        <v>395</v>
      </c>
      <c r="AE1712" s="595">
        <v>155.19999999999999</v>
      </c>
      <c r="AF1712" s="597">
        <f t="shared" si="108"/>
        <v>7.6372143326286501E-3</v>
      </c>
      <c r="AG1712" s="597">
        <f t="shared" si="109"/>
        <v>-1.9292604501608412E-3</v>
      </c>
    </row>
    <row r="1713" spans="13:33" x14ac:dyDescent="0.35">
      <c r="M1713" s="555">
        <v>44195</v>
      </c>
      <c r="N1713" s="543" t="s">
        <v>449</v>
      </c>
      <c r="O1713" s="543">
        <v>43694.76</v>
      </c>
      <c r="P1713" s="73" t="s">
        <v>431</v>
      </c>
      <c r="Q1713" s="158">
        <v>23.28</v>
      </c>
      <c r="R1713" s="563">
        <f t="shared" si="106"/>
        <v>9.530230276739271E-3</v>
      </c>
      <c r="S1713" s="563">
        <f t="shared" si="107"/>
        <v>7.4792243767312971E-2</v>
      </c>
      <c r="AA1713" s="594">
        <v>44193</v>
      </c>
      <c r="AB1713" s="595" t="s">
        <v>449</v>
      </c>
      <c r="AC1713" s="595">
        <v>43674.28</v>
      </c>
      <c r="AD1713" s="596" t="s">
        <v>395</v>
      </c>
      <c r="AE1713" s="595">
        <v>153.97</v>
      </c>
      <c r="AF1713" s="597">
        <f t="shared" si="108"/>
        <v>5.9311183213306418E-3</v>
      </c>
      <c r="AG1713" s="597">
        <f t="shared" si="109"/>
        <v>-7.9252577319587347E-3</v>
      </c>
    </row>
    <row r="1714" spans="13:33" x14ac:dyDescent="0.35">
      <c r="M1714" s="555">
        <v>44196</v>
      </c>
      <c r="N1714" s="543" t="s">
        <v>449</v>
      </c>
      <c r="O1714" s="543">
        <v>43755.38</v>
      </c>
      <c r="P1714" s="73" t="s">
        <v>431</v>
      </c>
      <c r="Q1714" s="158">
        <v>23.79</v>
      </c>
      <c r="R1714" s="563">
        <f t="shared" si="106"/>
        <v>1.3873517099074473E-3</v>
      </c>
      <c r="S1714" s="563">
        <f t="shared" si="107"/>
        <v>2.1907216494845283E-2</v>
      </c>
      <c r="AA1714" s="594">
        <v>44194</v>
      </c>
      <c r="AB1714" s="595" t="s">
        <v>449</v>
      </c>
      <c r="AC1714" s="595">
        <v>43282.27</v>
      </c>
      <c r="AD1714" s="596" t="s">
        <v>395</v>
      </c>
      <c r="AE1714" s="595">
        <v>152.72999999999999</v>
      </c>
      <c r="AF1714" s="597">
        <f t="shared" si="108"/>
        <v>-8.9757633096642087E-3</v>
      </c>
      <c r="AG1714" s="597">
        <f t="shared" si="109"/>
        <v>-8.0535169188803435E-3</v>
      </c>
    </row>
    <row r="1715" spans="13:33" x14ac:dyDescent="0.35">
      <c r="M1715" s="555">
        <v>44197</v>
      </c>
      <c r="N1715" s="543" t="s">
        <v>449</v>
      </c>
      <c r="O1715" s="543">
        <v>44434.8</v>
      </c>
      <c r="P1715" s="73" t="s">
        <v>431</v>
      </c>
      <c r="Q1715" s="158">
        <v>23.43</v>
      </c>
      <c r="R1715" s="563">
        <f t="shared" si="106"/>
        <v>1.5527690537712191E-2</v>
      </c>
      <c r="S1715" s="563">
        <f t="shared" si="107"/>
        <v>-1.5132408575031508E-2</v>
      </c>
      <c r="AA1715" s="594">
        <v>44195</v>
      </c>
      <c r="AB1715" s="595" t="s">
        <v>449</v>
      </c>
      <c r="AC1715" s="595">
        <v>43694.76</v>
      </c>
      <c r="AD1715" s="596" t="s">
        <v>395</v>
      </c>
      <c r="AE1715" s="595">
        <v>154.81</v>
      </c>
      <c r="AF1715" s="597">
        <f t="shared" si="108"/>
        <v>9.530230276739271E-3</v>
      </c>
      <c r="AG1715" s="597">
        <f t="shared" si="109"/>
        <v>1.361880442611163E-2</v>
      </c>
    </row>
    <row r="1716" spans="13:33" x14ac:dyDescent="0.35">
      <c r="M1716" s="555">
        <v>44200</v>
      </c>
      <c r="N1716" s="543" t="s">
        <v>449</v>
      </c>
      <c r="O1716" s="543">
        <v>44686.46</v>
      </c>
      <c r="P1716" s="73" t="s">
        <v>431</v>
      </c>
      <c r="Q1716" s="158">
        <v>22.7</v>
      </c>
      <c r="R1716" s="563">
        <f t="shared" si="106"/>
        <v>5.6635789966421601E-3</v>
      </c>
      <c r="S1716" s="563">
        <f t="shared" si="107"/>
        <v>-3.1156636790439673E-2</v>
      </c>
      <c r="AA1716" s="594">
        <v>44196</v>
      </c>
      <c r="AB1716" s="595" t="s">
        <v>449</v>
      </c>
      <c r="AC1716" s="595">
        <v>43755.38</v>
      </c>
      <c r="AD1716" s="596" t="s">
        <v>395</v>
      </c>
      <c r="AE1716" s="595">
        <v>154.16</v>
      </c>
      <c r="AF1716" s="597">
        <f t="shared" si="108"/>
        <v>1.3873517099074473E-3</v>
      </c>
      <c r="AG1716" s="597">
        <f t="shared" si="109"/>
        <v>-4.1986951747303713E-3</v>
      </c>
    </row>
    <row r="1717" spans="13:33" x14ac:dyDescent="0.35">
      <c r="M1717" s="555">
        <v>44201</v>
      </c>
      <c r="N1717" s="543" t="s">
        <v>449</v>
      </c>
      <c r="O1717" s="543">
        <v>44650.43</v>
      </c>
      <c r="P1717" s="73" t="s">
        <v>431</v>
      </c>
      <c r="Q1717" s="158">
        <v>24.4</v>
      </c>
      <c r="R1717" s="563">
        <f t="shared" si="106"/>
        <v>-8.0628449870490115E-4</v>
      </c>
      <c r="S1717" s="563">
        <f t="shared" si="107"/>
        <v>7.4889867841409608E-2</v>
      </c>
      <c r="AA1717" s="594">
        <v>44197</v>
      </c>
      <c r="AB1717" s="595" t="s">
        <v>449</v>
      </c>
      <c r="AC1717" s="595">
        <v>44434.8</v>
      </c>
      <c r="AD1717" s="596" t="s">
        <v>395</v>
      </c>
      <c r="AE1717" s="595">
        <v>155.01</v>
      </c>
      <c r="AF1717" s="597">
        <f t="shared" si="108"/>
        <v>1.5527690537712191E-2</v>
      </c>
      <c r="AG1717" s="597">
        <f t="shared" si="109"/>
        <v>5.5137519460299877E-3</v>
      </c>
    </row>
    <row r="1718" spans="13:33" x14ac:dyDescent="0.35">
      <c r="M1718" s="555">
        <v>44202</v>
      </c>
      <c r="N1718" s="543" t="s">
        <v>449</v>
      </c>
      <c r="O1718" s="543">
        <v>45153.42</v>
      </c>
      <c r="P1718" s="73" t="s">
        <v>431</v>
      </c>
      <c r="Q1718" s="158">
        <v>25.52</v>
      </c>
      <c r="R1718" s="563">
        <f t="shared" si="106"/>
        <v>1.1265065084479442E-2</v>
      </c>
      <c r="S1718" s="563">
        <f t="shared" si="107"/>
        <v>4.590163934426239E-2</v>
      </c>
      <c r="AA1718" s="594">
        <v>44200</v>
      </c>
      <c r="AB1718" s="595" t="s">
        <v>449</v>
      </c>
      <c r="AC1718" s="595">
        <v>44686.46</v>
      </c>
      <c r="AD1718" s="596" t="s">
        <v>395</v>
      </c>
      <c r="AE1718" s="595">
        <v>153.81</v>
      </c>
      <c r="AF1718" s="597">
        <f t="shared" si="108"/>
        <v>5.6635789966421601E-3</v>
      </c>
      <c r="AG1718" s="597">
        <f t="shared" si="109"/>
        <v>-7.7414360363846635E-3</v>
      </c>
    </row>
    <row r="1719" spans="13:33" x14ac:dyDescent="0.35">
      <c r="M1719" s="555">
        <v>44203</v>
      </c>
      <c r="N1719" s="543" t="s">
        <v>449</v>
      </c>
      <c r="O1719" s="543">
        <v>45344.54</v>
      </c>
      <c r="P1719" s="73" t="s">
        <v>431</v>
      </c>
      <c r="Q1719" s="158">
        <v>25.26</v>
      </c>
      <c r="R1719" s="563">
        <f t="shared" si="106"/>
        <v>4.2326804924190942E-3</v>
      </c>
      <c r="S1719" s="563">
        <f t="shared" si="107"/>
        <v>-1.0188087774294585E-2</v>
      </c>
      <c r="AA1719" s="594">
        <v>44201</v>
      </c>
      <c r="AB1719" s="595" t="s">
        <v>449</v>
      </c>
      <c r="AC1719" s="595">
        <v>44650.43</v>
      </c>
      <c r="AD1719" s="596" t="s">
        <v>395</v>
      </c>
      <c r="AE1719" s="595">
        <v>154.80000000000001</v>
      </c>
      <c r="AF1719" s="597">
        <f t="shared" si="108"/>
        <v>-8.0628449870490115E-4</v>
      </c>
      <c r="AG1719" s="597">
        <f t="shared" si="109"/>
        <v>6.4365125804564105E-3</v>
      </c>
    </row>
    <row r="1720" spans="13:33" x14ac:dyDescent="0.35">
      <c r="M1720" s="555">
        <v>44204</v>
      </c>
      <c r="N1720" s="543" t="s">
        <v>449</v>
      </c>
      <c r="O1720" s="543">
        <v>45654.34</v>
      </c>
      <c r="P1720" s="73" t="s">
        <v>431</v>
      </c>
      <c r="Q1720" s="158">
        <v>25.68</v>
      </c>
      <c r="R1720" s="563">
        <f t="shared" si="106"/>
        <v>6.8321345855530957E-3</v>
      </c>
      <c r="S1720" s="563">
        <f t="shared" si="107"/>
        <v>1.6627078384797933E-2</v>
      </c>
      <c r="AA1720" s="594">
        <v>44202</v>
      </c>
      <c r="AB1720" s="595" t="s">
        <v>449</v>
      </c>
      <c r="AC1720" s="595">
        <v>45153.42</v>
      </c>
      <c r="AD1720" s="596" t="s">
        <v>395</v>
      </c>
      <c r="AE1720" s="595">
        <v>154.91</v>
      </c>
      <c r="AF1720" s="597">
        <f t="shared" si="108"/>
        <v>1.1265065084479442E-2</v>
      </c>
      <c r="AG1720" s="597">
        <f t="shared" si="109"/>
        <v>7.1059431524544969E-4</v>
      </c>
    </row>
    <row r="1721" spans="13:33" x14ac:dyDescent="0.35">
      <c r="M1721" s="555">
        <v>44207</v>
      </c>
      <c r="N1721" s="543" t="s">
        <v>449</v>
      </c>
      <c r="O1721" s="543">
        <v>45605.42</v>
      </c>
      <c r="P1721" s="73" t="s">
        <v>431</v>
      </c>
      <c r="Q1721" s="158">
        <v>25.72</v>
      </c>
      <c r="R1721" s="563">
        <f t="shared" si="106"/>
        <v>-1.0715301108283892E-3</v>
      </c>
      <c r="S1721" s="563">
        <f t="shared" si="107"/>
        <v>1.5576323987538387E-3</v>
      </c>
      <c r="AA1721" s="594">
        <v>44203</v>
      </c>
      <c r="AB1721" s="595" t="s">
        <v>449</v>
      </c>
      <c r="AC1721" s="595">
        <v>45344.54</v>
      </c>
      <c r="AD1721" s="596" t="s">
        <v>395</v>
      </c>
      <c r="AE1721" s="595">
        <v>153.82</v>
      </c>
      <c r="AF1721" s="597">
        <f t="shared" si="108"/>
        <v>4.2326804924190942E-3</v>
      </c>
      <c r="AG1721" s="597">
        <f t="shared" si="109"/>
        <v>-7.0363436834290916E-3</v>
      </c>
    </row>
    <row r="1722" spans="13:33" x14ac:dyDescent="0.35">
      <c r="M1722" s="555">
        <v>44208</v>
      </c>
      <c r="N1722" s="543" t="s">
        <v>449</v>
      </c>
      <c r="O1722" s="543">
        <v>45922.04</v>
      </c>
      <c r="P1722" s="73" t="s">
        <v>431</v>
      </c>
      <c r="Q1722" s="158">
        <v>25.76</v>
      </c>
      <c r="R1722" s="563">
        <f t="shared" si="106"/>
        <v>6.9425958581239566E-3</v>
      </c>
      <c r="S1722" s="563">
        <f t="shared" si="107"/>
        <v>1.5552099533437946E-3</v>
      </c>
      <c r="AA1722" s="594">
        <v>44204</v>
      </c>
      <c r="AB1722" s="595" t="s">
        <v>449</v>
      </c>
      <c r="AC1722" s="595">
        <v>45654.34</v>
      </c>
      <c r="AD1722" s="596" t="s">
        <v>395</v>
      </c>
      <c r="AE1722" s="595">
        <v>153.66</v>
      </c>
      <c r="AF1722" s="597">
        <f t="shared" si="108"/>
        <v>6.8321345855530957E-3</v>
      </c>
      <c r="AG1722" s="597">
        <f t="shared" si="109"/>
        <v>-1.0401768300610792E-3</v>
      </c>
    </row>
    <row r="1723" spans="13:33" x14ac:dyDescent="0.35">
      <c r="M1723" s="555">
        <v>44209</v>
      </c>
      <c r="N1723" s="543" t="s">
        <v>449</v>
      </c>
      <c r="O1723" s="543">
        <v>46091.96</v>
      </c>
      <c r="P1723" s="73" t="s">
        <v>431</v>
      </c>
      <c r="Q1723" s="158">
        <v>25.8</v>
      </c>
      <c r="R1723" s="563">
        <f t="shared" si="106"/>
        <v>3.7001840510568762E-3</v>
      </c>
      <c r="S1723" s="563">
        <f t="shared" si="107"/>
        <v>1.5527950310558758E-3</v>
      </c>
      <c r="AA1723" s="594">
        <v>44207</v>
      </c>
      <c r="AB1723" s="595" t="s">
        <v>449</v>
      </c>
      <c r="AC1723" s="595">
        <v>45605.42</v>
      </c>
      <c r="AD1723" s="596" t="s">
        <v>395</v>
      </c>
      <c r="AE1723" s="595">
        <v>155.18</v>
      </c>
      <c r="AF1723" s="597">
        <f t="shared" si="108"/>
        <v>-1.0715301108283892E-3</v>
      </c>
      <c r="AG1723" s="597">
        <f t="shared" si="109"/>
        <v>9.8919692828323136E-3</v>
      </c>
    </row>
    <row r="1724" spans="13:33" x14ac:dyDescent="0.35">
      <c r="M1724" s="555">
        <v>44210</v>
      </c>
      <c r="N1724" s="543" t="s">
        <v>449</v>
      </c>
      <c r="O1724" s="543">
        <v>45989.35</v>
      </c>
      <c r="P1724" s="73" t="s">
        <v>431</v>
      </c>
      <c r="Q1724" s="158">
        <v>25.46</v>
      </c>
      <c r="R1724" s="563">
        <f t="shared" si="106"/>
        <v>-2.2262017063279238E-3</v>
      </c>
      <c r="S1724" s="563">
        <f t="shared" si="107"/>
        <v>-1.317829457364339E-2</v>
      </c>
      <c r="AA1724" s="594">
        <v>44208</v>
      </c>
      <c r="AB1724" s="595" t="s">
        <v>449</v>
      </c>
      <c r="AC1724" s="595">
        <v>45922.04</v>
      </c>
      <c r="AD1724" s="596" t="s">
        <v>395</v>
      </c>
      <c r="AE1724" s="595">
        <v>158.88</v>
      </c>
      <c r="AF1724" s="597">
        <f t="shared" si="108"/>
        <v>6.9425958581239566E-3</v>
      </c>
      <c r="AG1724" s="597">
        <f t="shared" si="109"/>
        <v>2.3843278773037602E-2</v>
      </c>
    </row>
    <row r="1725" spans="13:33" x14ac:dyDescent="0.35">
      <c r="M1725" s="555">
        <v>44211</v>
      </c>
      <c r="N1725" s="543" t="s">
        <v>449</v>
      </c>
      <c r="O1725" s="543">
        <v>45931</v>
      </c>
      <c r="P1725" s="73" t="s">
        <v>431</v>
      </c>
      <c r="Q1725" s="158">
        <v>25.21</v>
      </c>
      <c r="R1725" s="563">
        <f t="shared" si="106"/>
        <v>-1.268772009171637E-3</v>
      </c>
      <c r="S1725" s="563">
        <f t="shared" si="107"/>
        <v>-9.8193244304791705E-3</v>
      </c>
      <c r="AA1725" s="594">
        <v>44209</v>
      </c>
      <c r="AB1725" s="595" t="s">
        <v>449</v>
      </c>
      <c r="AC1725" s="595">
        <v>46091.96</v>
      </c>
      <c r="AD1725" s="596" t="s">
        <v>395</v>
      </c>
      <c r="AE1725" s="595">
        <v>160.08000000000001</v>
      </c>
      <c r="AF1725" s="597">
        <f t="shared" si="108"/>
        <v>3.7001840510568762E-3</v>
      </c>
      <c r="AG1725" s="597">
        <f t="shared" si="109"/>
        <v>7.5528700906346558E-3</v>
      </c>
    </row>
    <row r="1726" spans="13:33" x14ac:dyDescent="0.35">
      <c r="M1726" s="555">
        <v>44214</v>
      </c>
      <c r="N1726" s="543" t="s">
        <v>449</v>
      </c>
      <c r="O1726" s="543">
        <v>45726.68</v>
      </c>
      <c r="P1726" s="73" t="s">
        <v>431</v>
      </c>
      <c r="Q1726" s="158">
        <v>24.09</v>
      </c>
      <c r="R1726" s="563">
        <f t="shared" si="106"/>
        <v>-4.4484117480568797E-3</v>
      </c>
      <c r="S1726" s="563">
        <f t="shared" si="107"/>
        <v>-4.442681475604926E-2</v>
      </c>
      <c r="AA1726" s="594">
        <v>44210</v>
      </c>
      <c r="AB1726" s="595" t="s">
        <v>449</v>
      </c>
      <c r="AC1726" s="595">
        <v>45989.35</v>
      </c>
      <c r="AD1726" s="596" t="s">
        <v>395</v>
      </c>
      <c r="AE1726" s="595">
        <v>159.93</v>
      </c>
      <c r="AF1726" s="597">
        <f t="shared" si="108"/>
        <v>-2.2262017063279238E-3</v>
      </c>
      <c r="AG1726" s="597">
        <f t="shared" si="109"/>
        <v>-9.3703148425794414E-4</v>
      </c>
    </row>
    <row r="1727" spans="13:33" x14ac:dyDescent="0.35">
      <c r="M1727" s="555">
        <v>44215</v>
      </c>
      <c r="N1727" s="543" t="s">
        <v>449</v>
      </c>
      <c r="O1727" s="543">
        <v>45903.23</v>
      </c>
      <c r="P1727" s="73" t="s">
        <v>431</v>
      </c>
      <c r="Q1727" s="158">
        <v>23.85</v>
      </c>
      <c r="R1727" s="563">
        <f t="shared" si="106"/>
        <v>3.8609844405936844E-3</v>
      </c>
      <c r="S1727" s="563">
        <f t="shared" si="107"/>
        <v>-9.9626400996263298E-3</v>
      </c>
      <c r="AA1727" s="594">
        <v>44211</v>
      </c>
      <c r="AB1727" s="595" t="s">
        <v>449</v>
      </c>
      <c r="AC1727" s="595">
        <v>45931</v>
      </c>
      <c r="AD1727" s="596" t="s">
        <v>395</v>
      </c>
      <c r="AE1727" s="595">
        <v>159.06</v>
      </c>
      <c r="AF1727" s="597">
        <f t="shared" si="108"/>
        <v>-1.268772009171637E-3</v>
      </c>
      <c r="AG1727" s="597">
        <f t="shared" si="109"/>
        <v>-5.4398799474770776E-3</v>
      </c>
    </row>
    <row r="1728" spans="13:33" x14ac:dyDescent="0.35">
      <c r="M1728" s="555">
        <v>44216</v>
      </c>
      <c r="N1728" s="543" t="s">
        <v>449</v>
      </c>
      <c r="O1728" s="543">
        <v>45676.94</v>
      </c>
      <c r="P1728" s="73" t="s">
        <v>431</v>
      </c>
      <c r="Q1728" s="158">
        <v>24.25</v>
      </c>
      <c r="R1728" s="563">
        <f t="shared" si="106"/>
        <v>-4.9297184533637628E-3</v>
      </c>
      <c r="S1728" s="563">
        <f t="shared" si="107"/>
        <v>1.6771488469601525E-2</v>
      </c>
      <c r="AA1728" s="594">
        <v>44214</v>
      </c>
      <c r="AB1728" s="595" t="s">
        <v>449</v>
      </c>
      <c r="AC1728" s="595">
        <v>45726.68</v>
      </c>
      <c r="AD1728" s="596" t="s">
        <v>395</v>
      </c>
      <c r="AE1728" s="595">
        <v>158.69999999999999</v>
      </c>
      <c r="AF1728" s="597">
        <f t="shared" si="108"/>
        <v>-4.4484117480568797E-3</v>
      </c>
      <c r="AG1728" s="597">
        <f t="shared" si="109"/>
        <v>-2.2632968691060906E-3</v>
      </c>
    </row>
    <row r="1729" spans="13:33" x14ac:dyDescent="0.35">
      <c r="M1729" s="555">
        <v>44217</v>
      </c>
      <c r="N1729" s="543" t="s">
        <v>449</v>
      </c>
      <c r="O1729" s="543">
        <v>45984.46</v>
      </c>
      <c r="P1729" s="73" t="s">
        <v>431</v>
      </c>
      <c r="Q1729" s="158">
        <v>24</v>
      </c>
      <c r="R1729" s="563">
        <f t="shared" si="106"/>
        <v>6.7325000317446371E-3</v>
      </c>
      <c r="S1729" s="563">
        <f t="shared" si="107"/>
        <v>-1.0309278350515427E-2</v>
      </c>
      <c r="AA1729" s="594">
        <v>44215</v>
      </c>
      <c r="AB1729" s="595" t="s">
        <v>449</v>
      </c>
      <c r="AC1729" s="595">
        <v>45903.23</v>
      </c>
      <c r="AD1729" s="596" t="s">
        <v>395</v>
      </c>
      <c r="AE1729" s="595">
        <v>157.16</v>
      </c>
      <c r="AF1729" s="597">
        <f t="shared" si="108"/>
        <v>3.8609844405936844E-3</v>
      </c>
      <c r="AG1729" s="597">
        <f t="shared" si="109"/>
        <v>-9.7038437303087477E-3</v>
      </c>
    </row>
    <row r="1730" spans="13:33" x14ac:dyDescent="0.35">
      <c r="M1730" s="555">
        <v>44218</v>
      </c>
      <c r="N1730" s="543" t="s">
        <v>449</v>
      </c>
      <c r="O1730" s="543">
        <v>45868.04</v>
      </c>
      <c r="P1730" s="73" t="s">
        <v>431</v>
      </c>
      <c r="Q1730" s="158">
        <v>23.76</v>
      </c>
      <c r="R1730" s="563">
        <f t="shared" si="106"/>
        <v>-2.5317248479159726E-3</v>
      </c>
      <c r="S1730" s="563">
        <f t="shared" si="107"/>
        <v>-9.9999999999998979E-3</v>
      </c>
      <c r="AA1730" s="594">
        <v>44216</v>
      </c>
      <c r="AB1730" s="595" t="s">
        <v>449</v>
      </c>
      <c r="AC1730" s="595">
        <v>45676.94</v>
      </c>
      <c r="AD1730" s="596" t="s">
        <v>395</v>
      </c>
      <c r="AE1730" s="595">
        <v>157.16</v>
      </c>
      <c r="AF1730" s="597">
        <f t="shared" si="108"/>
        <v>-4.9297184533637628E-3</v>
      </c>
      <c r="AG1730" s="597">
        <f t="shared" si="109"/>
        <v>0</v>
      </c>
    </row>
    <row r="1731" spans="13:33" x14ac:dyDescent="0.35">
      <c r="M1731" s="555">
        <v>44221</v>
      </c>
      <c r="N1731" s="543" t="s">
        <v>449</v>
      </c>
      <c r="O1731" s="543">
        <v>46087.64</v>
      </c>
      <c r="P1731" s="73" t="s">
        <v>431</v>
      </c>
      <c r="Q1731" s="158">
        <v>24.28</v>
      </c>
      <c r="R1731" s="563">
        <f t="shared" si="106"/>
        <v>4.787647346605528E-3</v>
      </c>
      <c r="S1731" s="563">
        <f t="shared" si="107"/>
        <v>2.1885521885521841E-2</v>
      </c>
      <c r="AA1731" s="594">
        <v>44217</v>
      </c>
      <c r="AB1731" s="595" t="s">
        <v>449</v>
      </c>
      <c r="AC1731" s="595">
        <v>45984.46</v>
      </c>
      <c r="AD1731" s="596" t="s">
        <v>395</v>
      </c>
      <c r="AE1731" s="595">
        <v>157</v>
      </c>
      <c r="AF1731" s="597">
        <f t="shared" si="108"/>
        <v>6.7325000317446371E-3</v>
      </c>
      <c r="AG1731" s="597">
        <f t="shared" si="109"/>
        <v>-1.0180707559175328E-3</v>
      </c>
    </row>
    <row r="1732" spans="13:33" x14ac:dyDescent="0.35">
      <c r="M1732" s="555">
        <v>44222</v>
      </c>
      <c r="N1732" s="543" t="s">
        <v>449</v>
      </c>
      <c r="O1732" s="543">
        <v>46287.38</v>
      </c>
      <c r="P1732" s="73" t="s">
        <v>431</v>
      </c>
      <c r="Q1732" s="158">
        <v>24.49</v>
      </c>
      <c r="R1732" s="563">
        <f t="shared" si="106"/>
        <v>4.3339168592706478E-3</v>
      </c>
      <c r="S1732" s="563">
        <f t="shared" si="107"/>
        <v>8.649093904447902E-3</v>
      </c>
      <c r="AA1732" s="594">
        <v>44218</v>
      </c>
      <c r="AB1732" s="595" t="s">
        <v>449</v>
      </c>
      <c r="AC1732" s="595">
        <v>45868.04</v>
      </c>
      <c r="AD1732" s="596" t="s">
        <v>395</v>
      </c>
      <c r="AE1732" s="595">
        <v>156.16999999999999</v>
      </c>
      <c r="AF1732" s="597">
        <f t="shared" si="108"/>
        <v>-2.5317248479159726E-3</v>
      </c>
      <c r="AG1732" s="597">
        <f t="shared" si="109"/>
        <v>-5.2866242038217548E-3</v>
      </c>
    </row>
    <row r="1733" spans="13:33" x14ac:dyDescent="0.35">
      <c r="M1733" s="555">
        <v>44223</v>
      </c>
      <c r="N1733" s="543" t="s">
        <v>449</v>
      </c>
      <c r="O1733" s="543">
        <v>46458.13</v>
      </c>
      <c r="P1733" s="73" t="s">
        <v>431</v>
      </c>
      <c r="Q1733" s="158">
        <v>25.29</v>
      </c>
      <c r="R1733" s="563">
        <f t="shared" si="106"/>
        <v>3.688910454642258E-3</v>
      </c>
      <c r="S1733" s="563">
        <f t="shared" si="107"/>
        <v>3.2666394446712932E-2</v>
      </c>
      <c r="AA1733" s="594">
        <v>44221</v>
      </c>
      <c r="AB1733" s="595" t="s">
        <v>449</v>
      </c>
      <c r="AC1733" s="595">
        <v>46087.64</v>
      </c>
      <c r="AD1733" s="596" t="s">
        <v>395</v>
      </c>
      <c r="AE1733" s="595">
        <v>154.68</v>
      </c>
      <c r="AF1733" s="597">
        <f t="shared" si="108"/>
        <v>4.787647346605528E-3</v>
      </c>
      <c r="AG1733" s="597">
        <f t="shared" si="109"/>
        <v>-9.5408849330855805E-3</v>
      </c>
    </row>
    <row r="1734" spans="13:33" x14ac:dyDescent="0.35">
      <c r="M1734" s="555">
        <v>44224</v>
      </c>
      <c r="N1734" s="543" t="s">
        <v>449</v>
      </c>
      <c r="O1734" s="543">
        <v>46166.05</v>
      </c>
      <c r="P1734" s="73" t="s">
        <v>431</v>
      </c>
      <c r="Q1734" s="158">
        <v>25.04</v>
      </c>
      <c r="R1734" s="563">
        <f t="shared" si="106"/>
        <v>-6.2869512828001017E-3</v>
      </c>
      <c r="S1734" s="563">
        <f t="shared" si="107"/>
        <v>-9.8853301700276841E-3</v>
      </c>
      <c r="AA1734" s="594">
        <v>44222</v>
      </c>
      <c r="AB1734" s="595" t="s">
        <v>449</v>
      </c>
      <c r="AC1734" s="595">
        <v>46287.38</v>
      </c>
      <c r="AD1734" s="596" t="s">
        <v>395</v>
      </c>
      <c r="AE1734" s="595">
        <v>153.59</v>
      </c>
      <c r="AF1734" s="597">
        <f t="shared" si="108"/>
        <v>4.3339168592706478E-3</v>
      </c>
      <c r="AG1734" s="597">
        <f t="shared" si="109"/>
        <v>-7.0468063098009237E-3</v>
      </c>
    </row>
    <row r="1735" spans="13:33" x14ac:dyDescent="0.35">
      <c r="M1735" s="555">
        <v>44225</v>
      </c>
      <c r="N1735" s="543" t="s">
        <v>449</v>
      </c>
      <c r="O1735" s="543">
        <v>46385.54</v>
      </c>
      <c r="P1735" s="73" t="s">
        <v>431</v>
      </c>
      <c r="Q1735" s="158">
        <v>26.91</v>
      </c>
      <c r="R1735" s="563">
        <f t="shared" si="106"/>
        <v>4.7543595347663281E-3</v>
      </c>
      <c r="S1735" s="563">
        <f t="shared" si="107"/>
        <v>7.4680511182108722E-2</v>
      </c>
      <c r="AA1735" s="594">
        <v>44223</v>
      </c>
      <c r="AB1735" s="595" t="s">
        <v>449</v>
      </c>
      <c r="AC1735" s="595">
        <v>46458.13</v>
      </c>
      <c r="AD1735" s="596" t="s">
        <v>395</v>
      </c>
      <c r="AE1735" s="595">
        <v>153.81</v>
      </c>
      <c r="AF1735" s="597">
        <f t="shared" si="108"/>
        <v>3.688910454642258E-3</v>
      </c>
      <c r="AG1735" s="597">
        <f t="shared" si="109"/>
        <v>1.4323849208932593E-3</v>
      </c>
    </row>
    <row r="1736" spans="13:33" x14ac:dyDescent="0.35">
      <c r="M1736" s="555">
        <v>44228</v>
      </c>
      <c r="N1736" s="543" t="s">
        <v>449</v>
      </c>
      <c r="O1736" s="543">
        <v>46248.45</v>
      </c>
      <c r="P1736" s="73" t="s">
        <v>431</v>
      </c>
      <c r="Q1736" s="158">
        <v>27.07</v>
      </c>
      <c r="R1736" s="563">
        <f t="shared" si="106"/>
        <v>-2.9554468914235743E-3</v>
      </c>
      <c r="S1736" s="563">
        <f t="shared" si="107"/>
        <v>5.9457450761799535E-3</v>
      </c>
      <c r="AA1736" s="594">
        <v>44224</v>
      </c>
      <c r="AB1736" s="595" t="s">
        <v>449</v>
      </c>
      <c r="AC1736" s="595">
        <v>46166.05</v>
      </c>
      <c r="AD1736" s="596" t="s">
        <v>395</v>
      </c>
      <c r="AE1736" s="595">
        <v>154.35</v>
      </c>
      <c r="AF1736" s="597">
        <f t="shared" si="108"/>
        <v>-6.2869512828001017E-3</v>
      </c>
      <c r="AG1736" s="597">
        <f t="shared" si="109"/>
        <v>3.510825043885335E-3</v>
      </c>
    </row>
    <row r="1737" spans="13:33" x14ac:dyDescent="0.35">
      <c r="M1737" s="555">
        <v>44229</v>
      </c>
      <c r="N1737" s="543" t="s">
        <v>449</v>
      </c>
      <c r="O1737" s="543">
        <v>46580.34</v>
      </c>
      <c r="P1737" s="73" t="s">
        <v>431</v>
      </c>
      <c r="Q1737" s="158">
        <v>26.43</v>
      </c>
      <c r="R1737" s="563">
        <f t="shared" si="106"/>
        <v>7.1762405010329378E-3</v>
      </c>
      <c r="S1737" s="563">
        <f t="shared" si="107"/>
        <v>-2.3642408570373141E-2</v>
      </c>
      <c r="AA1737" s="594">
        <v>44225</v>
      </c>
      <c r="AB1737" s="595" t="s">
        <v>449</v>
      </c>
      <c r="AC1737" s="595">
        <v>46385.54</v>
      </c>
      <c r="AD1737" s="596" t="s">
        <v>395</v>
      </c>
      <c r="AE1737" s="595">
        <v>153.24</v>
      </c>
      <c r="AF1737" s="597">
        <f t="shared" si="108"/>
        <v>4.7543595347663281E-3</v>
      </c>
      <c r="AG1737" s="597">
        <f t="shared" si="109"/>
        <v>-7.1914480077744924E-3</v>
      </c>
    </row>
    <row r="1738" spans="13:33" x14ac:dyDescent="0.35">
      <c r="M1738" s="555">
        <v>44230</v>
      </c>
      <c r="N1738" s="543" t="s">
        <v>449</v>
      </c>
      <c r="O1738" s="543">
        <v>46933.63</v>
      </c>
      <c r="P1738" s="73" t="s">
        <v>431</v>
      </c>
      <c r="Q1738" s="158">
        <v>27.92</v>
      </c>
      <c r="R1738" s="563">
        <f t="shared" si="106"/>
        <v>7.5845302975461326E-3</v>
      </c>
      <c r="S1738" s="563">
        <f t="shared" si="107"/>
        <v>5.6375331063185818E-2</v>
      </c>
      <c r="AA1738" s="594">
        <v>44228</v>
      </c>
      <c r="AB1738" s="595" t="s">
        <v>449</v>
      </c>
      <c r="AC1738" s="595">
        <v>46248.45</v>
      </c>
      <c r="AD1738" s="596" t="s">
        <v>395</v>
      </c>
      <c r="AE1738" s="595">
        <v>154</v>
      </c>
      <c r="AF1738" s="597">
        <f t="shared" si="108"/>
        <v>-2.9554468914235743E-3</v>
      </c>
      <c r="AG1738" s="597">
        <f t="shared" si="109"/>
        <v>4.9595405899243161E-3</v>
      </c>
    </row>
    <row r="1739" spans="13:33" x14ac:dyDescent="0.35">
      <c r="M1739" s="555">
        <v>44231</v>
      </c>
      <c r="N1739" s="543" t="s">
        <v>449</v>
      </c>
      <c r="O1739" s="543">
        <v>46905.79</v>
      </c>
      <c r="P1739" s="73" t="s">
        <v>431</v>
      </c>
      <c r="Q1739" s="158">
        <v>28.19</v>
      </c>
      <c r="R1739" s="563">
        <f t="shared" si="106"/>
        <v>-5.9317806868963707E-4</v>
      </c>
      <c r="S1739" s="563">
        <f t="shared" si="107"/>
        <v>9.6704871060171449E-3</v>
      </c>
      <c r="AA1739" s="594">
        <v>44229</v>
      </c>
      <c r="AB1739" s="595" t="s">
        <v>449</v>
      </c>
      <c r="AC1739" s="595">
        <v>46580.34</v>
      </c>
      <c r="AD1739" s="596" t="s">
        <v>395</v>
      </c>
      <c r="AE1739" s="595">
        <v>154.68</v>
      </c>
      <c r="AF1739" s="597">
        <f t="shared" si="108"/>
        <v>7.1762405010329378E-3</v>
      </c>
      <c r="AG1739" s="597">
        <f t="shared" si="109"/>
        <v>4.4155844155844282E-3</v>
      </c>
    </row>
    <row r="1740" spans="13:33" x14ac:dyDescent="0.35">
      <c r="M1740" s="555">
        <v>44235</v>
      </c>
      <c r="N1740" s="543" t="s">
        <v>449</v>
      </c>
      <c r="O1740" s="543">
        <v>46721.87</v>
      </c>
      <c r="P1740" s="73" t="s">
        <v>431</v>
      </c>
      <c r="Q1740" s="158">
        <v>28.52</v>
      </c>
      <c r="R1740" s="563">
        <f t="shared" si="106"/>
        <v>-3.9210511111741342E-3</v>
      </c>
      <c r="S1740" s="563">
        <f t="shared" si="107"/>
        <v>1.1706278822277261E-2</v>
      </c>
      <c r="AA1740" s="594">
        <v>44230</v>
      </c>
      <c r="AB1740" s="595" t="s">
        <v>449</v>
      </c>
      <c r="AC1740" s="595">
        <v>46933.63</v>
      </c>
      <c r="AD1740" s="596" t="s">
        <v>395</v>
      </c>
      <c r="AE1740" s="595">
        <v>154.63</v>
      </c>
      <c r="AF1740" s="597">
        <f t="shared" si="108"/>
        <v>7.5845302975461326E-3</v>
      </c>
      <c r="AG1740" s="597">
        <f t="shared" si="109"/>
        <v>-3.2324799586247455E-4</v>
      </c>
    </row>
    <row r="1741" spans="13:33" x14ac:dyDescent="0.35">
      <c r="M1741" s="555">
        <v>44236</v>
      </c>
      <c r="N1741" s="543" t="s">
        <v>449</v>
      </c>
      <c r="O1741" s="543">
        <v>46674.77</v>
      </c>
      <c r="P1741" s="73" t="s">
        <v>431</v>
      </c>
      <c r="Q1741" s="158">
        <v>29.03</v>
      </c>
      <c r="R1741" s="563">
        <f t="shared" si="106"/>
        <v>-1.0080932120226649E-3</v>
      </c>
      <c r="S1741" s="563">
        <f t="shared" si="107"/>
        <v>1.7882187938288885E-2</v>
      </c>
      <c r="AA1741" s="594">
        <v>44231</v>
      </c>
      <c r="AB1741" s="595" t="s">
        <v>449</v>
      </c>
      <c r="AC1741" s="595">
        <v>46905.79</v>
      </c>
      <c r="AD1741" s="596" t="s">
        <v>395</v>
      </c>
      <c r="AE1741" s="595">
        <v>154.97999999999999</v>
      </c>
      <c r="AF1741" s="597">
        <f t="shared" si="108"/>
        <v>-5.9317806868963707E-4</v>
      </c>
      <c r="AG1741" s="597">
        <f t="shared" si="109"/>
        <v>2.2634676324129188E-3</v>
      </c>
    </row>
    <row r="1742" spans="13:33" x14ac:dyDescent="0.35">
      <c r="M1742" s="555">
        <v>44237</v>
      </c>
      <c r="N1742" s="543" t="s">
        <v>449</v>
      </c>
      <c r="O1742" s="543">
        <v>46644.29</v>
      </c>
      <c r="P1742" s="73" t="s">
        <v>431</v>
      </c>
      <c r="Q1742" s="158">
        <v>27.88</v>
      </c>
      <c r="R1742" s="563">
        <f t="shared" si="106"/>
        <v>-6.5302946324097277E-4</v>
      </c>
      <c r="S1742" s="563">
        <f t="shared" si="107"/>
        <v>-3.9614192214950106E-2</v>
      </c>
      <c r="AA1742" s="594">
        <v>44235</v>
      </c>
      <c r="AB1742" s="595" t="s">
        <v>449</v>
      </c>
      <c r="AC1742" s="595">
        <v>46721.87</v>
      </c>
      <c r="AD1742" s="596" t="s">
        <v>395</v>
      </c>
      <c r="AE1742" s="595">
        <v>155</v>
      </c>
      <c r="AF1742" s="597">
        <f t="shared" si="108"/>
        <v>-3.9210511111741342E-3</v>
      </c>
      <c r="AG1742" s="597">
        <f t="shared" si="109"/>
        <v>1.2904890953668868E-4</v>
      </c>
    </row>
    <row r="1743" spans="13:33" x14ac:dyDescent="0.35">
      <c r="M1743" s="555">
        <v>44238</v>
      </c>
      <c r="N1743" s="543" t="s">
        <v>449</v>
      </c>
      <c r="O1743" s="543">
        <v>46055.519999999997</v>
      </c>
      <c r="P1743" s="73" t="s">
        <v>431</v>
      </c>
      <c r="Q1743" s="158">
        <v>27.19</v>
      </c>
      <c r="R1743" s="563">
        <f t="shared" si="106"/>
        <v>-1.2622552513930518E-2</v>
      </c>
      <c r="S1743" s="563">
        <f t="shared" si="107"/>
        <v>-2.4748923959827751E-2</v>
      </c>
      <c r="AA1743" s="594">
        <v>44236</v>
      </c>
      <c r="AB1743" s="595" t="s">
        <v>449</v>
      </c>
      <c r="AC1743" s="595">
        <v>46674.77</v>
      </c>
      <c r="AD1743" s="596" t="s">
        <v>395</v>
      </c>
      <c r="AE1743" s="595">
        <v>153.01</v>
      </c>
      <c r="AF1743" s="597">
        <f t="shared" si="108"/>
        <v>-1.0080932120226649E-3</v>
      </c>
      <c r="AG1743" s="597">
        <f t="shared" si="109"/>
        <v>-1.2838709677419402E-2</v>
      </c>
    </row>
    <row r="1744" spans="13:33" x14ac:dyDescent="0.35">
      <c r="M1744" s="555">
        <v>44239</v>
      </c>
      <c r="N1744" s="543" t="s">
        <v>449</v>
      </c>
      <c r="O1744" s="543">
        <v>45808.36</v>
      </c>
      <c r="P1744" s="73" t="s">
        <v>431</v>
      </c>
      <c r="Q1744" s="158">
        <v>26.69</v>
      </c>
      <c r="R1744" s="563">
        <f t="shared" si="106"/>
        <v>-5.3665662661065427E-3</v>
      </c>
      <c r="S1744" s="563">
        <f t="shared" si="107"/>
        <v>-1.8389113644722288E-2</v>
      </c>
      <c r="AA1744" s="594">
        <v>44237</v>
      </c>
      <c r="AB1744" s="595" t="s">
        <v>449</v>
      </c>
      <c r="AC1744" s="595">
        <v>46644.29</v>
      </c>
      <c r="AD1744" s="596" t="s">
        <v>395</v>
      </c>
      <c r="AE1744" s="595">
        <v>152.16999999999999</v>
      </c>
      <c r="AF1744" s="597">
        <f t="shared" si="108"/>
        <v>-6.5302946324097277E-4</v>
      </c>
      <c r="AG1744" s="597">
        <f t="shared" si="109"/>
        <v>-5.4898372655382E-3</v>
      </c>
    </row>
    <row r="1745" spans="13:33" x14ac:dyDescent="0.35">
      <c r="M1745" s="555">
        <v>44242</v>
      </c>
      <c r="N1745" s="543" t="s">
        <v>449</v>
      </c>
      <c r="O1745" s="543">
        <v>46375.59</v>
      </c>
      <c r="P1745" s="73" t="s">
        <v>431</v>
      </c>
      <c r="Q1745" s="158">
        <v>26.94</v>
      </c>
      <c r="R1745" s="563">
        <f t="shared" si="106"/>
        <v>1.2382674254219017E-2</v>
      </c>
      <c r="S1745" s="563">
        <f t="shared" si="107"/>
        <v>9.3668040464593982E-3</v>
      </c>
      <c r="AA1745" s="594">
        <v>44238</v>
      </c>
      <c r="AB1745" s="595" t="s">
        <v>449</v>
      </c>
      <c r="AC1745" s="595">
        <v>46055.519999999997</v>
      </c>
      <c r="AD1745" s="596" t="s">
        <v>395</v>
      </c>
      <c r="AE1745" s="595">
        <v>151.4</v>
      </c>
      <c r="AF1745" s="597">
        <f t="shared" si="108"/>
        <v>-1.2622552513930518E-2</v>
      </c>
      <c r="AG1745" s="597">
        <f t="shared" si="109"/>
        <v>-5.0601301176315117E-3</v>
      </c>
    </row>
    <row r="1746" spans="13:33" x14ac:dyDescent="0.35">
      <c r="M1746" s="555">
        <v>44243</v>
      </c>
      <c r="N1746" s="543" t="s">
        <v>449</v>
      </c>
      <c r="O1746" s="543">
        <v>46867.95</v>
      </c>
      <c r="P1746" s="73" t="s">
        <v>431</v>
      </c>
      <c r="Q1746" s="158">
        <v>27.19</v>
      </c>
      <c r="R1746" s="563">
        <f t="shared" si="106"/>
        <v>1.0616792152940757E-2</v>
      </c>
      <c r="S1746" s="563">
        <f t="shared" si="107"/>
        <v>9.2798812175203249E-3</v>
      </c>
      <c r="AA1746" s="594">
        <v>44239</v>
      </c>
      <c r="AB1746" s="595" t="s">
        <v>449</v>
      </c>
      <c r="AC1746" s="595">
        <v>45808.36</v>
      </c>
      <c r="AD1746" s="596" t="s">
        <v>395</v>
      </c>
      <c r="AE1746" s="595">
        <v>152.44999999999999</v>
      </c>
      <c r="AF1746" s="597">
        <f t="shared" si="108"/>
        <v>-5.3665662661065427E-3</v>
      </c>
      <c r="AG1746" s="597">
        <f t="shared" si="109"/>
        <v>6.9352708058123547E-3</v>
      </c>
    </row>
    <row r="1747" spans="13:33" x14ac:dyDescent="0.35">
      <c r="M1747" s="555">
        <v>44244</v>
      </c>
      <c r="N1747" s="543" t="s">
        <v>449</v>
      </c>
      <c r="O1747" s="543">
        <v>46768.14</v>
      </c>
      <c r="P1747" s="73" t="s">
        <v>431</v>
      </c>
      <c r="Q1747" s="158">
        <v>26.93</v>
      </c>
      <c r="R1747" s="563">
        <f t="shared" si="106"/>
        <v>-2.1296002918838042E-3</v>
      </c>
      <c r="S1747" s="563">
        <f t="shared" si="107"/>
        <v>-9.562339095255612E-3</v>
      </c>
      <c r="AA1747" s="594">
        <v>44242</v>
      </c>
      <c r="AB1747" s="595" t="s">
        <v>449</v>
      </c>
      <c r="AC1747" s="595">
        <v>46375.59</v>
      </c>
      <c r="AD1747" s="596" t="s">
        <v>395</v>
      </c>
      <c r="AE1747" s="595">
        <v>152.32</v>
      </c>
      <c r="AF1747" s="597">
        <f t="shared" si="108"/>
        <v>1.2382674254219017E-2</v>
      </c>
      <c r="AG1747" s="597">
        <f t="shared" si="109"/>
        <v>-8.5273860282053526E-4</v>
      </c>
    </row>
    <row r="1748" spans="13:33" x14ac:dyDescent="0.35">
      <c r="M1748" s="555">
        <v>44245</v>
      </c>
      <c r="N1748" s="543" t="s">
        <v>449</v>
      </c>
      <c r="O1748" s="543">
        <v>46142.74</v>
      </c>
      <c r="P1748" s="73" t="s">
        <v>431</v>
      </c>
      <c r="Q1748" s="158">
        <v>27.59</v>
      </c>
      <c r="R1748" s="563">
        <f t="shared" si="106"/>
        <v>-1.3372351348589051E-2</v>
      </c>
      <c r="S1748" s="563">
        <f t="shared" si="107"/>
        <v>2.4507983661344213E-2</v>
      </c>
      <c r="AA1748" s="594">
        <v>44243</v>
      </c>
      <c r="AB1748" s="595" t="s">
        <v>449</v>
      </c>
      <c r="AC1748" s="595">
        <v>46867.95</v>
      </c>
      <c r="AD1748" s="596" t="s">
        <v>395</v>
      </c>
      <c r="AE1748" s="595">
        <v>153.69999999999999</v>
      </c>
      <c r="AF1748" s="597">
        <f t="shared" si="108"/>
        <v>1.0616792152940757E-2</v>
      </c>
      <c r="AG1748" s="597">
        <f t="shared" si="109"/>
        <v>9.0598739495797442E-3</v>
      </c>
    </row>
    <row r="1749" spans="13:33" x14ac:dyDescent="0.35">
      <c r="M1749" s="555">
        <v>44246</v>
      </c>
      <c r="N1749" s="543" t="s">
        <v>449</v>
      </c>
      <c r="O1749" s="543">
        <v>46227.65</v>
      </c>
      <c r="P1749" s="73" t="s">
        <v>431</v>
      </c>
      <c r="Q1749" s="158">
        <v>27.36</v>
      </c>
      <c r="R1749" s="563">
        <f t="shared" si="106"/>
        <v>1.8401594703738589E-3</v>
      </c>
      <c r="S1749" s="563">
        <f t="shared" si="107"/>
        <v>-8.3363537513592156E-3</v>
      </c>
      <c r="AA1749" s="594">
        <v>44244</v>
      </c>
      <c r="AB1749" s="595" t="s">
        <v>449</v>
      </c>
      <c r="AC1749" s="595">
        <v>46768.14</v>
      </c>
      <c r="AD1749" s="596" t="s">
        <v>395</v>
      </c>
      <c r="AE1749" s="595">
        <v>151.93</v>
      </c>
      <c r="AF1749" s="597">
        <f t="shared" si="108"/>
        <v>-2.1296002918838042E-3</v>
      </c>
      <c r="AG1749" s="597">
        <f t="shared" si="109"/>
        <v>-1.1515940143135839E-2</v>
      </c>
    </row>
    <row r="1750" spans="13:33" x14ac:dyDescent="0.35">
      <c r="M1750" s="555">
        <v>44249</v>
      </c>
      <c r="N1750" s="543" t="s">
        <v>449</v>
      </c>
      <c r="O1750" s="543">
        <v>45890.04</v>
      </c>
      <c r="P1750" s="73" t="s">
        <v>431</v>
      </c>
      <c r="Q1750" s="158">
        <v>26.93</v>
      </c>
      <c r="R1750" s="563">
        <f t="shared" si="106"/>
        <v>-7.3032049000977262E-3</v>
      </c>
      <c r="S1750" s="563">
        <f t="shared" si="107"/>
        <v>-1.5716374269005851E-2</v>
      </c>
      <c r="AA1750" s="594">
        <v>44245</v>
      </c>
      <c r="AB1750" s="595" t="s">
        <v>449</v>
      </c>
      <c r="AC1750" s="595">
        <v>46142.74</v>
      </c>
      <c r="AD1750" s="596" t="s">
        <v>395</v>
      </c>
      <c r="AE1750" s="595">
        <v>154.94</v>
      </c>
      <c r="AF1750" s="597">
        <f t="shared" si="108"/>
        <v>-1.3372351348589051E-2</v>
      </c>
      <c r="AG1750" s="597">
        <f t="shared" si="109"/>
        <v>1.981175541367719E-2</v>
      </c>
    </row>
    <row r="1751" spans="13:33" x14ac:dyDescent="0.35">
      <c r="M1751" s="555">
        <v>44250</v>
      </c>
      <c r="N1751" s="543" t="s">
        <v>449</v>
      </c>
      <c r="O1751" s="543">
        <v>45728.75</v>
      </c>
      <c r="P1751" s="73" t="s">
        <v>431</v>
      </c>
      <c r="Q1751" s="158">
        <v>27.1</v>
      </c>
      <c r="R1751" s="563">
        <f t="shared" si="106"/>
        <v>-3.5147060233550187E-3</v>
      </c>
      <c r="S1751" s="563">
        <f t="shared" si="107"/>
        <v>6.3126624582250379E-3</v>
      </c>
      <c r="AA1751" s="594">
        <v>44246</v>
      </c>
      <c r="AB1751" s="595" t="s">
        <v>449</v>
      </c>
      <c r="AC1751" s="595">
        <v>46227.65</v>
      </c>
      <c r="AD1751" s="596" t="s">
        <v>395</v>
      </c>
      <c r="AE1751" s="595">
        <v>154.02000000000001</v>
      </c>
      <c r="AF1751" s="597">
        <f t="shared" si="108"/>
        <v>1.8401594703738589E-3</v>
      </c>
      <c r="AG1751" s="597">
        <f t="shared" si="109"/>
        <v>-5.9377823673679719E-3</v>
      </c>
    </row>
    <row r="1752" spans="13:33" x14ac:dyDescent="0.35">
      <c r="M1752" s="555">
        <v>44251</v>
      </c>
      <c r="N1752" s="543" t="s">
        <v>449</v>
      </c>
      <c r="O1752" s="543">
        <v>45362.58</v>
      </c>
      <c r="P1752" s="73" t="s">
        <v>431</v>
      </c>
      <c r="Q1752" s="158">
        <v>26.22</v>
      </c>
      <c r="R1752" s="563">
        <f t="shared" si="106"/>
        <v>-8.0074351474728189E-3</v>
      </c>
      <c r="S1752" s="563">
        <f t="shared" si="107"/>
        <v>-3.2472324723247348E-2</v>
      </c>
      <c r="AA1752" s="594">
        <v>44249</v>
      </c>
      <c r="AB1752" s="595" t="s">
        <v>449</v>
      </c>
      <c r="AC1752" s="595">
        <v>45890.04</v>
      </c>
      <c r="AD1752" s="596" t="s">
        <v>395</v>
      </c>
      <c r="AE1752" s="595">
        <v>152.61000000000001</v>
      </c>
      <c r="AF1752" s="597">
        <f t="shared" si="108"/>
        <v>-7.3032049000977262E-3</v>
      </c>
      <c r="AG1752" s="597">
        <f t="shared" si="109"/>
        <v>-9.1546552395792569E-3</v>
      </c>
    </row>
    <row r="1753" spans="13:33" x14ac:dyDescent="0.35">
      <c r="M1753" s="555">
        <v>44252</v>
      </c>
      <c r="N1753" s="543" t="s">
        <v>449</v>
      </c>
      <c r="O1753" s="543">
        <v>45965.62</v>
      </c>
      <c r="P1753" s="73" t="s">
        <v>431</v>
      </c>
      <c r="Q1753" s="158">
        <v>26.68</v>
      </c>
      <c r="R1753" s="563">
        <f t="shared" si="106"/>
        <v>1.3293776500366672E-2</v>
      </c>
      <c r="S1753" s="563">
        <f t="shared" si="107"/>
        <v>1.7543859649122862E-2</v>
      </c>
      <c r="AA1753" s="594">
        <v>44250</v>
      </c>
      <c r="AB1753" s="595" t="s">
        <v>449</v>
      </c>
      <c r="AC1753" s="595">
        <v>45728.75</v>
      </c>
      <c r="AD1753" s="596" t="s">
        <v>395</v>
      </c>
      <c r="AE1753" s="595">
        <v>143.69</v>
      </c>
      <c r="AF1753" s="597">
        <f t="shared" si="108"/>
        <v>-3.5147060233550187E-3</v>
      </c>
      <c r="AG1753" s="597">
        <f t="shared" si="109"/>
        <v>-5.8449642880545327E-2</v>
      </c>
    </row>
    <row r="1754" spans="13:33" x14ac:dyDescent="0.35">
      <c r="M1754" s="555">
        <v>44253</v>
      </c>
      <c r="N1754" s="543" t="s">
        <v>449</v>
      </c>
      <c r="O1754" s="543">
        <v>45865.02</v>
      </c>
      <c r="P1754" s="73" t="s">
        <v>431</v>
      </c>
      <c r="Q1754" s="158">
        <v>26.21</v>
      </c>
      <c r="R1754" s="563">
        <f t="shared" ref="R1754:R1817" si="110">(O1754/O1753)-1</f>
        <v>-2.1885922565605398E-3</v>
      </c>
      <c r="S1754" s="563">
        <f t="shared" ref="S1754:S1817" si="111">(Q1754/Q1753)-1</f>
        <v>-1.7616191904047951E-2</v>
      </c>
      <c r="AA1754" s="594">
        <v>44251</v>
      </c>
      <c r="AB1754" s="595" t="s">
        <v>449</v>
      </c>
      <c r="AC1754" s="595">
        <v>45362.58</v>
      </c>
      <c r="AD1754" s="596" t="s">
        <v>395</v>
      </c>
      <c r="AE1754" s="595">
        <v>134.94999999999999</v>
      </c>
      <c r="AF1754" s="597">
        <f t="shared" si="108"/>
        <v>-8.0074351474728189E-3</v>
      </c>
      <c r="AG1754" s="597">
        <f t="shared" si="109"/>
        <v>-6.0825387988029833E-2</v>
      </c>
    </row>
    <row r="1755" spans="13:33" x14ac:dyDescent="0.35">
      <c r="M1755" s="555">
        <v>44256</v>
      </c>
      <c r="N1755" s="543" t="s">
        <v>449</v>
      </c>
      <c r="O1755" s="543">
        <v>45593.43</v>
      </c>
      <c r="P1755" s="73" t="s">
        <v>431</v>
      </c>
      <c r="Q1755" s="158">
        <v>25.34</v>
      </c>
      <c r="R1755" s="563">
        <f t="shared" si="110"/>
        <v>-5.921506193608872E-3</v>
      </c>
      <c r="S1755" s="563">
        <f t="shared" si="111"/>
        <v>-3.3193437619229327E-2</v>
      </c>
      <c r="AA1755" s="594">
        <v>44252</v>
      </c>
      <c r="AB1755" s="595" t="s">
        <v>449</v>
      </c>
      <c r="AC1755" s="595">
        <v>45965.62</v>
      </c>
      <c r="AD1755" s="596" t="s">
        <v>395</v>
      </c>
      <c r="AE1755" s="595">
        <v>135.78</v>
      </c>
      <c r="AF1755" s="597">
        <f t="shared" si="108"/>
        <v>1.3293776500366672E-2</v>
      </c>
      <c r="AG1755" s="597">
        <f t="shared" si="109"/>
        <v>6.150426083734839E-3</v>
      </c>
    </row>
    <row r="1756" spans="13:33" x14ac:dyDescent="0.35">
      <c r="M1756" s="555">
        <v>44257</v>
      </c>
      <c r="N1756" s="543" t="s">
        <v>449</v>
      </c>
      <c r="O1756" s="543">
        <v>45964.27</v>
      </c>
      <c r="P1756" s="73" t="s">
        <v>431</v>
      </c>
      <c r="Q1756" s="158">
        <v>25.76</v>
      </c>
      <c r="R1756" s="563">
        <f t="shared" si="110"/>
        <v>8.1336280249149073E-3</v>
      </c>
      <c r="S1756" s="563">
        <f t="shared" si="111"/>
        <v>1.6574585635359185E-2</v>
      </c>
      <c r="AA1756" s="594">
        <v>44253</v>
      </c>
      <c r="AB1756" s="595" t="s">
        <v>449</v>
      </c>
      <c r="AC1756" s="595">
        <v>45865.02</v>
      </c>
      <c r="AD1756" s="596" t="s">
        <v>395</v>
      </c>
      <c r="AE1756" s="595">
        <v>139.97999999999999</v>
      </c>
      <c r="AF1756" s="597">
        <f t="shared" ref="AF1756:AF1819" si="112">(AC1756/AC1755)-1</f>
        <v>-2.1885922565605398E-3</v>
      </c>
      <c r="AG1756" s="597">
        <f t="shared" ref="AG1756:AG1819" si="113">(AE1756/AE1755)-1</f>
        <v>3.0932390631904561E-2</v>
      </c>
    </row>
    <row r="1757" spans="13:33" x14ac:dyDescent="0.35">
      <c r="M1757" s="555">
        <v>44258</v>
      </c>
      <c r="N1757" s="543" t="s">
        <v>449</v>
      </c>
      <c r="O1757" s="543">
        <v>46160.78</v>
      </c>
      <c r="P1757" s="73" t="s">
        <v>431</v>
      </c>
      <c r="Q1757" s="158">
        <v>27.49</v>
      </c>
      <c r="R1757" s="563">
        <f t="shared" si="110"/>
        <v>4.2752772969092412E-3</v>
      </c>
      <c r="S1757" s="563">
        <f t="shared" si="111"/>
        <v>6.7158385093167627E-2</v>
      </c>
      <c r="AA1757" s="594">
        <v>44256</v>
      </c>
      <c r="AB1757" s="595" t="s">
        <v>449</v>
      </c>
      <c r="AC1757" s="595">
        <v>45593.43</v>
      </c>
      <c r="AD1757" s="596" t="s">
        <v>395</v>
      </c>
      <c r="AE1757" s="595">
        <v>136.51</v>
      </c>
      <c r="AF1757" s="597">
        <f t="shared" si="112"/>
        <v>-5.921506193608872E-3</v>
      </c>
      <c r="AG1757" s="597">
        <f t="shared" si="113"/>
        <v>-2.4789255607943983E-2</v>
      </c>
    </row>
    <row r="1758" spans="13:33" x14ac:dyDescent="0.35">
      <c r="M1758" s="555">
        <v>44259</v>
      </c>
      <c r="N1758" s="543" t="s">
        <v>449</v>
      </c>
      <c r="O1758" s="543">
        <v>45278.53</v>
      </c>
      <c r="P1758" s="73" t="s">
        <v>431</v>
      </c>
      <c r="Q1758" s="158">
        <v>26.11</v>
      </c>
      <c r="R1758" s="563">
        <f t="shared" si="110"/>
        <v>-1.9112545325273955E-2</v>
      </c>
      <c r="S1758" s="563">
        <f t="shared" si="111"/>
        <v>-5.020007275372862E-2</v>
      </c>
      <c r="AA1758" s="594">
        <v>44257</v>
      </c>
      <c r="AB1758" s="595" t="s">
        <v>449</v>
      </c>
      <c r="AC1758" s="595">
        <v>45964.27</v>
      </c>
      <c r="AD1758" s="596" t="s">
        <v>395</v>
      </c>
      <c r="AE1758" s="595">
        <v>136.35</v>
      </c>
      <c r="AF1758" s="597">
        <f t="shared" si="112"/>
        <v>8.1336280249149073E-3</v>
      </c>
      <c r="AG1758" s="597">
        <f t="shared" si="113"/>
        <v>-1.1720753058384048E-3</v>
      </c>
    </row>
    <row r="1759" spans="13:33" x14ac:dyDescent="0.35">
      <c r="M1759" s="555">
        <v>44260</v>
      </c>
      <c r="N1759" s="543" t="s">
        <v>449</v>
      </c>
      <c r="O1759" s="543">
        <v>45837.35</v>
      </c>
      <c r="P1759" s="73" t="s">
        <v>431</v>
      </c>
      <c r="Q1759" s="158">
        <v>26.64</v>
      </c>
      <c r="R1759" s="563">
        <f t="shared" si="110"/>
        <v>1.2341831768831746E-2</v>
      </c>
      <c r="S1759" s="563">
        <f t="shared" si="111"/>
        <v>2.0298736116430627E-2</v>
      </c>
      <c r="AA1759" s="594">
        <v>44258</v>
      </c>
      <c r="AB1759" s="595" t="s">
        <v>449</v>
      </c>
      <c r="AC1759" s="595">
        <v>46160.78</v>
      </c>
      <c r="AD1759" s="596" t="s">
        <v>395</v>
      </c>
      <c r="AE1759" s="595">
        <v>135.65</v>
      </c>
      <c r="AF1759" s="597">
        <f t="shared" si="112"/>
        <v>4.2752772969092412E-3</v>
      </c>
      <c r="AG1759" s="597">
        <f t="shared" si="113"/>
        <v>-5.1338467180050973E-3</v>
      </c>
    </row>
    <row r="1760" spans="13:33" x14ac:dyDescent="0.35">
      <c r="M1760" s="555">
        <v>44263</v>
      </c>
      <c r="N1760" s="543" t="s">
        <v>449</v>
      </c>
      <c r="O1760" s="543">
        <v>45051.05</v>
      </c>
      <c r="P1760" s="73" t="s">
        <v>431</v>
      </c>
      <c r="Q1760" s="158">
        <v>26.07</v>
      </c>
      <c r="R1760" s="563">
        <f t="shared" si="110"/>
        <v>-1.7154133037795449E-2</v>
      </c>
      <c r="S1760" s="563">
        <f t="shared" si="111"/>
        <v>-2.1396396396396455E-2</v>
      </c>
      <c r="AA1760" s="594">
        <v>44259</v>
      </c>
      <c r="AB1760" s="595" t="s">
        <v>449</v>
      </c>
      <c r="AC1760" s="595">
        <v>45278.53</v>
      </c>
      <c r="AD1760" s="596" t="s">
        <v>395</v>
      </c>
      <c r="AE1760" s="595">
        <v>133.85</v>
      </c>
      <c r="AF1760" s="597">
        <f t="shared" si="112"/>
        <v>-1.9112545325273955E-2</v>
      </c>
      <c r="AG1760" s="597">
        <f t="shared" si="113"/>
        <v>-1.3269443420567684E-2</v>
      </c>
    </row>
    <row r="1761" spans="13:33" x14ac:dyDescent="0.35">
      <c r="M1761" s="555">
        <v>44264</v>
      </c>
      <c r="N1761" s="543" t="s">
        <v>449</v>
      </c>
      <c r="O1761" s="543">
        <v>44222.91</v>
      </c>
      <c r="P1761" s="73" t="s">
        <v>431</v>
      </c>
      <c r="Q1761" s="158">
        <v>24.3</v>
      </c>
      <c r="R1761" s="563">
        <f t="shared" si="110"/>
        <v>-1.8382257461257878E-2</v>
      </c>
      <c r="S1761" s="563">
        <f t="shared" si="111"/>
        <v>-6.7894131185270434E-2</v>
      </c>
      <c r="AA1761" s="594">
        <v>44260</v>
      </c>
      <c r="AB1761" s="595" t="s">
        <v>449</v>
      </c>
      <c r="AC1761" s="595">
        <v>45837.35</v>
      </c>
      <c r="AD1761" s="596" t="s">
        <v>395</v>
      </c>
      <c r="AE1761" s="595">
        <v>133.31</v>
      </c>
      <c r="AF1761" s="597">
        <f t="shared" si="112"/>
        <v>1.2341831768831746E-2</v>
      </c>
      <c r="AG1761" s="597">
        <f t="shared" si="113"/>
        <v>-4.0343668285393042E-3</v>
      </c>
    </row>
    <row r="1762" spans="13:33" x14ac:dyDescent="0.35">
      <c r="M1762" s="555">
        <v>44265</v>
      </c>
      <c r="N1762" s="543" t="s">
        <v>449</v>
      </c>
      <c r="O1762" s="543">
        <v>43691.68</v>
      </c>
      <c r="P1762" s="73" t="s">
        <v>431</v>
      </c>
      <c r="Q1762" s="158">
        <v>23.17</v>
      </c>
      <c r="R1762" s="563">
        <f t="shared" si="110"/>
        <v>-1.201255186508543E-2</v>
      </c>
      <c r="S1762" s="563">
        <f t="shared" si="111"/>
        <v>-4.6502057613168724E-2</v>
      </c>
      <c r="AA1762" s="594">
        <v>44263</v>
      </c>
      <c r="AB1762" s="595" t="s">
        <v>449</v>
      </c>
      <c r="AC1762" s="595">
        <v>45051.05</v>
      </c>
      <c r="AD1762" s="596" t="s">
        <v>395</v>
      </c>
      <c r="AE1762" s="595">
        <v>132.12</v>
      </c>
      <c r="AF1762" s="597">
        <f t="shared" si="112"/>
        <v>-1.7154133037795449E-2</v>
      </c>
      <c r="AG1762" s="597">
        <f t="shared" si="113"/>
        <v>-8.9265621483759494E-3</v>
      </c>
    </row>
    <row r="1763" spans="13:33" x14ac:dyDescent="0.35">
      <c r="M1763" s="555">
        <v>44266</v>
      </c>
      <c r="N1763" s="543" t="s">
        <v>449</v>
      </c>
      <c r="O1763" s="543">
        <v>42779.76</v>
      </c>
      <c r="P1763" s="73" t="s">
        <v>431</v>
      </c>
      <c r="Q1763" s="158">
        <v>21.44</v>
      </c>
      <c r="R1763" s="563">
        <f t="shared" si="110"/>
        <v>-2.0871708297781177E-2</v>
      </c>
      <c r="S1763" s="563">
        <f t="shared" si="111"/>
        <v>-7.4665515753129075E-2</v>
      </c>
      <c r="AA1763" s="594">
        <v>44264</v>
      </c>
      <c r="AB1763" s="595" t="s">
        <v>449</v>
      </c>
      <c r="AC1763" s="595">
        <v>44222.91</v>
      </c>
      <c r="AD1763" s="596" t="s">
        <v>395</v>
      </c>
      <c r="AE1763" s="595">
        <v>127.21</v>
      </c>
      <c r="AF1763" s="597">
        <f t="shared" si="112"/>
        <v>-1.8382257461257878E-2</v>
      </c>
      <c r="AG1763" s="597">
        <f t="shared" si="113"/>
        <v>-3.7163184983348585E-2</v>
      </c>
    </row>
    <row r="1764" spans="13:33" x14ac:dyDescent="0.35">
      <c r="M1764" s="555">
        <v>44267</v>
      </c>
      <c r="N1764" s="543" t="s">
        <v>449</v>
      </c>
      <c r="O1764" s="543">
        <v>43788.08</v>
      </c>
      <c r="P1764" s="73" t="s">
        <v>431</v>
      </c>
      <c r="Q1764" s="158">
        <v>22.69</v>
      </c>
      <c r="R1764" s="563">
        <f t="shared" si="110"/>
        <v>2.3570024703270853E-2</v>
      </c>
      <c r="S1764" s="563">
        <f t="shared" si="111"/>
        <v>5.8302238805970186E-2</v>
      </c>
      <c r="AA1764" s="594">
        <v>44265</v>
      </c>
      <c r="AB1764" s="595" t="s">
        <v>449</v>
      </c>
      <c r="AC1764" s="595">
        <v>43691.68</v>
      </c>
      <c r="AD1764" s="596" t="s">
        <v>395</v>
      </c>
      <c r="AE1764" s="595">
        <v>124.02</v>
      </c>
      <c r="AF1764" s="597">
        <f t="shared" si="112"/>
        <v>-1.201255186508543E-2</v>
      </c>
      <c r="AG1764" s="597">
        <f t="shared" si="113"/>
        <v>-2.5076644917852331E-2</v>
      </c>
    </row>
    <row r="1765" spans="13:33" x14ac:dyDescent="0.35">
      <c r="M1765" s="555">
        <v>44270</v>
      </c>
      <c r="N1765" s="543" t="s">
        <v>449</v>
      </c>
      <c r="O1765" s="543">
        <v>44766.59</v>
      </c>
      <c r="P1765" s="73" t="s">
        <v>431</v>
      </c>
      <c r="Q1765" s="158">
        <v>24.39</v>
      </c>
      <c r="R1765" s="563">
        <f t="shared" si="110"/>
        <v>2.2346492470096679E-2</v>
      </c>
      <c r="S1765" s="563">
        <f t="shared" si="111"/>
        <v>7.4922873512560662E-2</v>
      </c>
      <c r="AA1765" s="594">
        <v>44266</v>
      </c>
      <c r="AB1765" s="595" t="s">
        <v>449</v>
      </c>
      <c r="AC1765" s="595">
        <v>42779.76</v>
      </c>
      <c r="AD1765" s="596" t="s">
        <v>395</v>
      </c>
      <c r="AE1765" s="595">
        <v>120.87</v>
      </c>
      <c r="AF1765" s="597">
        <f t="shared" si="112"/>
        <v>-2.0871708297781177E-2</v>
      </c>
      <c r="AG1765" s="597">
        <f t="shared" si="113"/>
        <v>-2.539912917271403E-2</v>
      </c>
    </row>
    <row r="1766" spans="13:33" x14ac:dyDescent="0.35">
      <c r="M1766" s="555">
        <v>44271</v>
      </c>
      <c r="N1766" s="543" t="s">
        <v>449</v>
      </c>
      <c r="O1766" s="543">
        <v>44857.06</v>
      </c>
      <c r="P1766" s="73" t="s">
        <v>431</v>
      </c>
      <c r="Q1766" s="158">
        <v>23.83</v>
      </c>
      <c r="R1766" s="563">
        <f t="shared" si="110"/>
        <v>2.0209267670376896E-3</v>
      </c>
      <c r="S1766" s="563">
        <f t="shared" si="111"/>
        <v>-2.2960229602296156E-2</v>
      </c>
      <c r="AA1766" s="594">
        <v>44267</v>
      </c>
      <c r="AB1766" s="595" t="s">
        <v>449</v>
      </c>
      <c r="AC1766" s="595">
        <v>43788.08</v>
      </c>
      <c r="AD1766" s="596" t="s">
        <v>395</v>
      </c>
      <c r="AE1766" s="595">
        <v>123.08</v>
      </c>
      <c r="AF1766" s="597">
        <f t="shared" si="112"/>
        <v>2.3570024703270853E-2</v>
      </c>
      <c r="AG1766" s="597">
        <f t="shared" si="113"/>
        <v>1.8284106891701679E-2</v>
      </c>
    </row>
    <row r="1767" spans="13:33" x14ac:dyDescent="0.35">
      <c r="M1767" s="555">
        <v>44272</v>
      </c>
      <c r="N1767" s="543" t="s">
        <v>449</v>
      </c>
      <c r="O1767" s="543">
        <v>45450.31</v>
      </c>
      <c r="P1767" s="73" t="s">
        <v>431</v>
      </c>
      <c r="Q1767" s="158">
        <v>25.06</v>
      </c>
      <c r="R1767" s="563">
        <f t="shared" si="110"/>
        <v>1.3225342900314851E-2</v>
      </c>
      <c r="S1767" s="563">
        <f t="shared" si="111"/>
        <v>5.1615610574905713E-2</v>
      </c>
      <c r="AA1767" s="594">
        <v>44270</v>
      </c>
      <c r="AB1767" s="595" t="s">
        <v>449</v>
      </c>
      <c r="AC1767" s="595">
        <v>44766.59</v>
      </c>
      <c r="AD1767" s="596" t="s">
        <v>395</v>
      </c>
      <c r="AE1767" s="595">
        <v>124.8</v>
      </c>
      <c r="AF1767" s="597">
        <f t="shared" si="112"/>
        <v>2.2346492470096679E-2</v>
      </c>
      <c r="AG1767" s="597">
        <f t="shared" si="113"/>
        <v>1.3974650633734154E-2</v>
      </c>
    </row>
    <row r="1768" spans="13:33" x14ac:dyDescent="0.35">
      <c r="M1768" s="555">
        <v>44273</v>
      </c>
      <c r="N1768" s="543" t="s">
        <v>449</v>
      </c>
      <c r="O1768" s="543">
        <v>44724.09</v>
      </c>
      <c r="P1768" s="73" t="s">
        <v>431</v>
      </c>
      <c r="Q1768" s="158">
        <v>23.55</v>
      </c>
      <c r="R1768" s="563">
        <f t="shared" si="110"/>
        <v>-1.5978328860683289E-2</v>
      </c>
      <c r="S1768" s="563">
        <f t="shared" si="111"/>
        <v>-6.0255387071029398E-2</v>
      </c>
      <c r="AA1768" s="594">
        <v>44271</v>
      </c>
      <c r="AB1768" s="595" t="s">
        <v>449</v>
      </c>
      <c r="AC1768" s="595">
        <v>44857.06</v>
      </c>
      <c r="AD1768" s="596" t="s">
        <v>395</v>
      </c>
      <c r="AE1768" s="595">
        <v>123.72</v>
      </c>
      <c r="AF1768" s="597">
        <f t="shared" si="112"/>
        <v>2.0209267670376896E-3</v>
      </c>
      <c r="AG1768" s="597">
        <f t="shared" si="113"/>
        <v>-8.6538461538461231E-3</v>
      </c>
    </row>
    <row r="1769" spans="13:33" x14ac:dyDescent="0.35">
      <c r="M1769" s="555">
        <v>44274</v>
      </c>
      <c r="N1769" s="543" t="s">
        <v>449</v>
      </c>
      <c r="O1769" s="543">
        <v>44901.31</v>
      </c>
      <c r="P1769" s="73" t="s">
        <v>431</v>
      </c>
      <c r="Q1769" s="158">
        <v>25.31</v>
      </c>
      <c r="R1769" s="563">
        <f t="shared" si="110"/>
        <v>3.9625177393212141E-3</v>
      </c>
      <c r="S1769" s="563">
        <f t="shared" si="111"/>
        <v>7.4734607218683635E-2</v>
      </c>
      <c r="AA1769" s="594">
        <v>44272</v>
      </c>
      <c r="AB1769" s="595" t="s">
        <v>449</v>
      </c>
      <c r="AC1769" s="595">
        <v>45450.31</v>
      </c>
      <c r="AD1769" s="596" t="s">
        <v>395</v>
      </c>
      <c r="AE1769" s="595">
        <v>125.1</v>
      </c>
      <c r="AF1769" s="597">
        <f t="shared" si="112"/>
        <v>1.3225342900314851E-2</v>
      </c>
      <c r="AG1769" s="597">
        <f t="shared" si="113"/>
        <v>1.1154219204655647E-2</v>
      </c>
    </row>
    <row r="1770" spans="13:33" x14ac:dyDescent="0.35">
      <c r="M1770" s="555">
        <v>44277</v>
      </c>
      <c r="N1770" s="543" t="s">
        <v>449</v>
      </c>
      <c r="O1770" s="543">
        <v>45407.33</v>
      </c>
      <c r="P1770" s="73" t="s">
        <v>431</v>
      </c>
      <c r="Q1770" s="158">
        <v>26.57</v>
      </c>
      <c r="R1770" s="563">
        <f t="shared" si="110"/>
        <v>1.1269604383480125E-2</v>
      </c>
      <c r="S1770" s="563">
        <f t="shared" si="111"/>
        <v>4.9782694587119813E-2</v>
      </c>
      <c r="AA1770" s="594">
        <v>44273</v>
      </c>
      <c r="AB1770" s="595" t="s">
        <v>449</v>
      </c>
      <c r="AC1770" s="595">
        <v>44724.09</v>
      </c>
      <c r="AD1770" s="596" t="s">
        <v>395</v>
      </c>
      <c r="AE1770" s="595">
        <v>124.23</v>
      </c>
      <c r="AF1770" s="597">
        <f t="shared" si="112"/>
        <v>-1.5978328860683289E-2</v>
      </c>
      <c r="AG1770" s="597">
        <f t="shared" si="113"/>
        <v>-6.9544364508392631E-3</v>
      </c>
    </row>
    <row r="1771" spans="13:33" x14ac:dyDescent="0.35">
      <c r="M1771" s="555">
        <v>44279</v>
      </c>
      <c r="N1771" s="543" t="s">
        <v>449</v>
      </c>
      <c r="O1771" s="543">
        <v>45544.19</v>
      </c>
      <c r="P1771" s="73" t="s">
        <v>431</v>
      </c>
      <c r="Q1771" s="158">
        <v>26.65</v>
      </c>
      <c r="R1771" s="563">
        <f t="shared" si="110"/>
        <v>3.0140508151437206E-3</v>
      </c>
      <c r="S1771" s="563">
        <f t="shared" si="111"/>
        <v>3.0109145652992275E-3</v>
      </c>
      <c r="AA1771" s="594">
        <v>44274</v>
      </c>
      <c r="AB1771" s="595" t="s">
        <v>449</v>
      </c>
      <c r="AC1771" s="595">
        <v>44901.31</v>
      </c>
      <c r="AD1771" s="596" t="s">
        <v>395</v>
      </c>
      <c r="AE1771" s="595">
        <v>124.99</v>
      </c>
      <c r="AF1771" s="597">
        <f t="shared" si="112"/>
        <v>3.9625177393212141E-3</v>
      </c>
      <c r="AG1771" s="597">
        <f t="shared" si="113"/>
        <v>6.1176849392254873E-3</v>
      </c>
    </row>
    <row r="1772" spans="13:33" x14ac:dyDescent="0.35">
      <c r="M1772" s="555">
        <v>44280</v>
      </c>
      <c r="N1772" s="543" t="s">
        <v>449</v>
      </c>
      <c r="O1772" s="543">
        <v>45726.16</v>
      </c>
      <c r="P1772" s="73" t="s">
        <v>431</v>
      </c>
      <c r="Q1772" s="158">
        <v>26.61</v>
      </c>
      <c r="R1772" s="563">
        <f t="shared" si="110"/>
        <v>3.9954602332372691E-3</v>
      </c>
      <c r="S1772" s="563">
        <f t="shared" si="111"/>
        <v>-1.5009380863039157E-3</v>
      </c>
      <c r="AA1772" s="594">
        <v>44277</v>
      </c>
      <c r="AB1772" s="595" t="s">
        <v>449</v>
      </c>
      <c r="AC1772" s="595">
        <v>45407.33</v>
      </c>
      <c r="AD1772" s="596" t="s">
        <v>395</v>
      </c>
      <c r="AE1772" s="595">
        <v>124.03</v>
      </c>
      <c r="AF1772" s="597">
        <f t="shared" si="112"/>
        <v>1.1269604383480125E-2</v>
      </c>
      <c r="AG1772" s="597">
        <f t="shared" si="113"/>
        <v>-7.6806144491559092E-3</v>
      </c>
    </row>
    <row r="1773" spans="13:33" x14ac:dyDescent="0.35">
      <c r="M1773" s="555">
        <v>44281</v>
      </c>
      <c r="N1773" s="543" t="s">
        <v>449</v>
      </c>
      <c r="O1773" s="543">
        <v>45521.63</v>
      </c>
      <c r="P1773" s="73" t="s">
        <v>431</v>
      </c>
      <c r="Q1773" s="158">
        <v>28.53</v>
      </c>
      <c r="R1773" s="563">
        <f t="shared" si="110"/>
        <v>-4.4729319059375605E-3</v>
      </c>
      <c r="S1773" s="563">
        <f t="shared" si="111"/>
        <v>7.2153325817361891E-2</v>
      </c>
      <c r="AA1773" s="594">
        <v>44279</v>
      </c>
      <c r="AB1773" s="595" t="s">
        <v>449</v>
      </c>
      <c r="AC1773" s="595">
        <v>45544.19</v>
      </c>
      <c r="AD1773" s="596" t="s">
        <v>395</v>
      </c>
      <c r="AE1773" s="595">
        <v>122.49</v>
      </c>
      <c r="AF1773" s="597">
        <f t="shared" si="112"/>
        <v>3.0140508151437206E-3</v>
      </c>
      <c r="AG1773" s="597">
        <f t="shared" si="113"/>
        <v>-1.2416350882850979E-2</v>
      </c>
    </row>
    <row r="1774" spans="13:33" x14ac:dyDescent="0.35">
      <c r="M1774" s="555">
        <v>44284</v>
      </c>
      <c r="N1774" s="543" t="s">
        <v>449</v>
      </c>
      <c r="O1774" s="543">
        <v>44431.8</v>
      </c>
      <c r="P1774" s="73" t="s">
        <v>431</v>
      </c>
      <c r="Q1774" s="158">
        <v>26.46</v>
      </c>
      <c r="R1774" s="563">
        <f t="shared" si="110"/>
        <v>-2.3940926544150476E-2</v>
      </c>
      <c r="S1774" s="563">
        <f t="shared" si="111"/>
        <v>-7.2555205047318605E-2</v>
      </c>
      <c r="AA1774" s="594">
        <v>44280</v>
      </c>
      <c r="AB1774" s="595" t="s">
        <v>449</v>
      </c>
      <c r="AC1774" s="595">
        <v>45726.16</v>
      </c>
      <c r="AD1774" s="596" t="s">
        <v>395</v>
      </c>
      <c r="AE1774" s="595">
        <v>122.96</v>
      </c>
      <c r="AF1774" s="597">
        <f t="shared" si="112"/>
        <v>3.9954602332372691E-3</v>
      </c>
      <c r="AG1774" s="597">
        <f t="shared" si="113"/>
        <v>3.8370479222793463E-3</v>
      </c>
    </row>
    <row r="1775" spans="13:33" x14ac:dyDescent="0.35">
      <c r="M1775" s="555">
        <v>44285</v>
      </c>
      <c r="N1775" s="543" t="s">
        <v>449</v>
      </c>
      <c r="O1775" s="543">
        <v>44491.03</v>
      </c>
      <c r="P1775" s="73" t="s">
        <v>431</v>
      </c>
      <c r="Q1775" s="158">
        <v>26.44</v>
      </c>
      <c r="R1775" s="563">
        <f t="shared" si="110"/>
        <v>1.3330542539351509E-3</v>
      </c>
      <c r="S1775" s="563">
        <f t="shared" si="111"/>
        <v>-7.5585789871501774E-4</v>
      </c>
      <c r="AA1775" s="594">
        <v>44281</v>
      </c>
      <c r="AB1775" s="595" t="s">
        <v>449</v>
      </c>
      <c r="AC1775" s="595">
        <v>45521.63</v>
      </c>
      <c r="AD1775" s="596" t="s">
        <v>395</v>
      </c>
      <c r="AE1775" s="595">
        <v>123</v>
      </c>
      <c r="AF1775" s="597">
        <f t="shared" si="112"/>
        <v>-4.4729319059375605E-3</v>
      </c>
      <c r="AG1775" s="597">
        <f t="shared" si="113"/>
        <v>3.2530904359151513E-4</v>
      </c>
    </row>
    <row r="1776" spans="13:33" x14ac:dyDescent="0.35">
      <c r="M1776" s="555">
        <v>44286</v>
      </c>
      <c r="N1776" s="543" t="s">
        <v>449</v>
      </c>
      <c r="O1776" s="543">
        <v>44587.85</v>
      </c>
      <c r="P1776" s="73" t="s">
        <v>431</v>
      </c>
      <c r="Q1776" s="158">
        <v>26.09</v>
      </c>
      <c r="R1776" s="563">
        <f t="shared" si="110"/>
        <v>2.1761689940646978E-3</v>
      </c>
      <c r="S1776" s="563">
        <f t="shared" si="111"/>
        <v>-1.3237518910741319E-2</v>
      </c>
      <c r="AA1776" s="594">
        <v>44284</v>
      </c>
      <c r="AB1776" s="595" t="s">
        <v>449</v>
      </c>
      <c r="AC1776" s="595">
        <v>44431.8</v>
      </c>
      <c r="AD1776" s="596" t="s">
        <v>395</v>
      </c>
      <c r="AE1776" s="595">
        <v>119.08</v>
      </c>
      <c r="AF1776" s="597">
        <f t="shared" si="112"/>
        <v>-2.3940926544150476E-2</v>
      </c>
      <c r="AG1776" s="597">
        <f t="shared" si="113"/>
        <v>-3.1869918699186983E-2</v>
      </c>
    </row>
    <row r="1777" spans="13:33" x14ac:dyDescent="0.35">
      <c r="M1777" s="555">
        <v>44287</v>
      </c>
      <c r="N1777" s="543" t="s">
        <v>449</v>
      </c>
      <c r="O1777" s="543">
        <v>44428.1</v>
      </c>
      <c r="P1777" s="73" t="s">
        <v>431</v>
      </c>
      <c r="Q1777" s="158">
        <v>25.19</v>
      </c>
      <c r="R1777" s="563">
        <f t="shared" si="110"/>
        <v>-3.5828146008385353E-3</v>
      </c>
      <c r="S1777" s="563">
        <f t="shared" si="111"/>
        <v>-3.4495975469528539E-2</v>
      </c>
      <c r="AA1777" s="594">
        <v>44285</v>
      </c>
      <c r="AB1777" s="595" t="s">
        <v>449</v>
      </c>
      <c r="AC1777" s="595">
        <v>44491.03</v>
      </c>
      <c r="AD1777" s="596" t="s">
        <v>395</v>
      </c>
      <c r="AE1777" s="595">
        <v>120.25</v>
      </c>
      <c r="AF1777" s="597">
        <f t="shared" si="112"/>
        <v>1.3330542539351509E-3</v>
      </c>
      <c r="AG1777" s="597">
        <f t="shared" si="113"/>
        <v>9.8253275109170257E-3</v>
      </c>
    </row>
    <row r="1778" spans="13:33" x14ac:dyDescent="0.35">
      <c r="M1778" s="555">
        <v>44288</v>
      </c>
      <c r="N1778" s="543" t="s">
        <v>449</v>
      </c>
      <c r="O1778" s="543">
        <v>44300.95</v>
      </c>
      <c r="P1778" s="73" t="s">
        <v>431</v>
      </c>
      <c r="Q1778" s="158">
        <v>26.09</v>
      </c>
      <c r="R1778" s="563">
        <f t="shared" si="110"/>
        <v>-2.8619274738285183E-3</v>
      </c>
      <c r="S1778" s="563">
        <f t="shared" si="111"/>
        <v>3.5728463676061972E-2</v>
      </c>
      <c r="AA1778" s="594">
        <v>44286</v>
      </c>
      <c r="AB1778" s="595" t="s">
        <v>449</v>
      </c>
      <c r="AC1778" s="595">
        <v>44587.85</v>
      </c>
      <c r="AD1778" s="596" t="s">
        <v>395</v>
      </c>
      <c r="AE1778" s="595">
        <v>121</v>
      </c>
      <c r="AF1778" s="597">
        <f t="shared" si="112"/>
        <v>2.1761689940646978E-3</v>
      </c>
      <c r="AG1778" s="597">
        <f t="shared" si="113"/>
        <v>6.2370062370062929E-3</v>
      </c>
    </row>
    <row r="1779" spans="13:33" x14ac:dyDescent="0.35">
      <c r="M1779" s="555">
        <v>44291</v>
      </c>
      <c r="N1779" s="543" t="s">
        <v>449</v>
      </c>
      <c r="O1779" s="543">
        <v>43548.21</v>
      </c>
      <c r="P1779" s="73" t="s">
        <v>431</v>
      </c>
      <c r="Q1779" s="158">
        <v>24.14</v>
      </c>
      <c r="R1779" s="563">
        <f t="shared" si="110"/>
        <v>-1.6991509211427669E-2</v>
      </c>
      <c r="S1779" s="563">
        <f t="shared" si="111"/>
        <v>-7.474128018397852E-2</v>
      </c>
      <c r="AA1779" s="594">
        <v>44287</v>
      </c>
      <c r="AB1779" s="595" t="s">
        <v>449</v>
      </c>
      <c r="AC1779" s="595">
        <v>44428.1</v>
      </c>
      <c r="AD1779" s="596" t="s">
        <v>395</v>
      </c>
      <c r="AE1779" s="595">
        <v>121</v>
      </c>
      <c r="AF1779" s="597">
        <f t="shared" si="112"/>
        <v>-3.5828146008385353E-3</v>
      </c>
      <c r="AG1779" s="597">
        <f t="shared" si="113"/>
        <v>0</v>
      </c>
    </row>
    <row r="1780" spans="13:33" x14ac:dyDescent="0.35">
      <c r="M1780" s="555">
        <v>44292</v>
      </c>
      <c r="N1780" s="543" t="s">
        <v>449</v>
      </c>
      <c r="O1780" s="543">
        <v>44404.7</v>
      </c>
      <c r="P1780" s="73" t="s">
        <v>431</v>
      </c>
      <c r="Q1780" s="158">
        <v>25.42</v>
      </c>
      <c r="R1780" s="563">
        <f t="shared" si="110"/>
        <v>1.9667628129835801E-2</v>
      </c>
      <c r="S1780" s="563">
        <f t="shared" si="111"/>
        <v>5.3024026512013211E-2</v>
      </c>
      <c r="AA1780" s="594">
        <v>44288</v>
      </c>
      <c r="AB1780" s="595" t="s">
        <v>449</v>
      </c>
      <c r="AC1780" s="595">
        <v>44300.95</v>
      </c>
      <c r="AD1780" s="596" t="s">
        <v>395</v>
      </c>
      <c r="AE1780" s="595">
        <v>120.41</v>
      </c>
      <c r="AF1780" s="597">
        <f t="shared" si="112"/>
        <v>-2.8619274738285183E-3</v>
      </c>
      <c r="AG1780" s="597">
        <f t="shared" si="113"/>
        <v>-4.8760330578512256E-3</v>
      </c>
    </row>
    <row r="1781" spans="13:33" x14ac:dyDescent="0.35">
      <c r="M1781" s="555">
        <v>44293</v>
      </c>
      <c r="N1781" s="543" t="s">
        <v>449</v>
      </c>
      <c r="O1781" s="543">
        <v>43953.58</v>
      </c>
      <c r="P1781" s="73" t="s">
        <v>431</v>
      </c>
      <c r="Q1781" s="158">
        <v>24.5</v>
      </c>
      <c r="R1781" s="563">
        <f t="shared" si="110"/>
        <v>-1.0159284940557956E-2</v>
      </c>
      <c r="S1781" s="563">
        <f t="shared" si="111"/>
        <v>-3.6191974822974093E-2</v>
      </c>
      <c r="AA1781" s="594">
        <v>44291</v>
      </c>
      <c r="AB1781" s="595" t="s">
        <v>449</v>
      </c>
      <c r="AC1781" s="595">
        <v>43548.21</v>
      </c>
      <c r="AD1781" s="596" t="s">
        <v>395</v>
      </c>
      <c r="AE1781" s="595">
        <v>118.13</v>
      </c>
      <c r="AF1781" s="597">
        <f t="shared" si="112"/>
        <v>-1.6991509211427669E-2</v>
      </c>
      <c r="AG1781" s="597">
        <f t="shared" si="113"/>
        <v>-1.8935304376712869E-2</v>
      </c>
    </row>
    <row r="1782" spans="13:33" x14ac:dyDescent="0.35">
      <c r="M1782" s="555">
        <v>44294</v>
      </c>
      <c r="N1782" s="543" t="s">
        <v>449</v>
      </c>
      <c r="O1782" s="543">
        <v>44741.36</v>
      </c>
      <c r="P1782" s="73" t="s">
        <v>431</v>
      </c>
      <c r="Q1782" s="158">
        <v>24.43</v>
      </c>
      <c r="R1782" s="563">
        <f t="shared" si="110"/>
        <v>1.7922999673746665E-2</v>
      </c>
      <c r="S1782" s="563">
        <f t="shared" si="111"/>
        <v>-2.8571428571428914E-3</v>
      </c>
      <c r="AA1782" s="594">
        <v>44292</v>
      </c>
      <c r="AB1782" s="595" t="s">
        <v>449</v>
      </c>
      <c r="AC1782" s="595">
        <v>44404.7</v>
      </c>
      <c r="AD1782" s="596" t="s">
        <v>395</v>
      </c>
      <c r="AE1782" s="595">
        <v>119.38</v>
      </c>
      <c r="AF1782" s="597">
        <f t="shared" si="112"/>
        <v>1.9667628129835801E-2</v>
      </c>
      <c r="AG1782" s="597">
        <f t="shared" si="113"/>
        <v>1.0581562685177293E-2</v>
      </c>
    </row>
    <row r="1783" spans="13:33" x14ac:dyDescent="0.35">
      <c r="M1783" s="555">
        <v>44295</v>
      </c>
      <c r="N1783" s="543" t="s">
        <v>449</v>
      </c>
      <c r="O1783" s="543">
        <v>45186.48</v>
      </c>
      <c r="P1783" s="73" t="s">
        <v>431</v>
      </c>
      <c r="Q1783" s="158">
        <v>25.71</v>
      </c>
      <c r="R1783" s="563">
        <f t="shared" si="110"/>
        <v>9.9487364711310367E-3</v>
      </c>
      <c r="S1783" s="563">
        <f t="shared" si="111"/>
        <v>5.2394596807204374E-2</v>
      </c>
      <c r="AA1783" s="594">
        <v>44293</v>
      </c>
      <c r="AB1783" s="595" t="s">
        <v>449</v>
      </c>
      <c r="AC1783" s="595">
        <v>43953.58</v>
      </c>
      <c r="AD1783" s="596" t="s">
        <v>395</v>
      </c>
      <c r="AE1783" s="595">
        <v>119</v>
      </c>
      <c r="AF1783" s="597">
        <f t="shared" si="112"/>
        <v>-1.0159284940557956E-2</v>
      </c>
      <c r="AG1783" s="597">
        <f t="shared" si="113"/>
        <v>-3.1831127492041311E-3</v>
      </c>
    </row>
    <row r="1784" spans="13:33" x14ac:dyDescent="0.35">
      <c r="M1784" s="555">
        <v>44298</v>
      </c>
      <c r="N1784" s="543" t="s">
        <v>449</v>
      </c>
      <c r="O1784" s="543">
        <v>44978.05</v>
      </c>
      <c r="P1784" s="73" t="s">
        <v>431</v>
      </c>
      <c r="Q1784" s="158">
        <v>25.1</v>
      </c>
      <c r="R1784" s="563">
        <f t="shared" si="110"/>
        <v>-4.6126629027090083E-3</v>
      </c>
      <c r="S1784" s="563">
        <f t="shared" si="111"/>
        <v>-2.3726176584986325E-2</v>
      </c>
      <c r="AA1784" s="594">
        <v>44294</v>
      </c>
      <c r="AB1784" s="595" t="s">
        <v>449</v>
      </c>
      <c r="AC1784" s="595">
        <v>44741.36</v>
      </c>
      <c r="AD1784" s="596" t="s">
        <v>395</v>
      </c>
      <c r="AE1784" s="595">
        <v>119</v>
      </c>
      <c r="AF1784" s="597">
        <f t="shared" si="112"/>
        <v>1.7922999673746665E-2</v>
      </c>
      <c r="AG1784" s="597">
        <f t="shared" si="113"/>
        <v>0</v>
      </c>
    </row>
    <row r="1785" spans="13:33" x14ac:dyDescent="0.35">
      <c r="M1785" s="555">
        <v>44299</v>
      </c>
      <c r="N1785" s="543" t="s">
        <v>449</v>
      </c>
      <c r="O1785" s="543">
        <v>45048.57</v>
      </c>
      <c r="P1785" s="73" t="s">
        <v>431</v>
      </c>
      <c r="Q1785" s="158">
        <v>25.01</v>
      </c>
      <c r="R1785" s="563">
        <f t="shared" si="110"/>
        <v>1.5678758861266129E-3</v>
      </c>
      <c r="S1785" s="563">
        <f t="shared" si="111"/>
        <v>-3.5856573705179695E-3</v>
      </c>
      <c r="AA1785" s="594">
        <v>44295</v>
      </c>
      <c r="AB1785" s="595" t="s">
        <v>449</v>
      </c>
      <c r="AC1785" s="595">
        <v>45186.48</v>
      </c>
      <c r="AD1785" s="596" t="s">
        <v>395</v>
      </c>
      <c r="AE1785" s="595">
        <v>116.2</v>
      </c>
      <c r="AF1785" s="597">
        <f t="shared" si="112"/>
        <v>9.9487364711310367E-3</v>
      </c>
      <c r="AG1785" s="597">
        <f t="shared" si="113"/>
        <v>-2.352941176470591E-2</v>
      </c>
    </row>
    <row r="1786" spans="13:33" x14ac:dyDescent="0.35">
      <c r="M1786" s="555">
        <v>44300</v>
      </c>
      <c r="N1786" s="543" t="s">
        <v>449</v>
      </c>
      <c r="O1786" s="543">
        <v>45311.22</v>
      </c>
      <c r="P1786" s="73" t="s">
        <v>431</v>
      </c>
      <c r="Q1786" s="158">
        <v>25.34</v>
      </c>
      <c r="R1786" s="563">
        <f t="shared" si="110"/>
        <v>5.8303737499325603E-3</v>
      </c>
      <c r="S1786" s="563">
        <f t="shared" si="111"/>
        <v>1.3194722111155466E-2</v>
      </c>
      <c r="AA1786" s="594">
        <v>44298</v>
      </c>
      <c r="AB1786" s="595" t="s">
        <v>449</v>
      </c>
      <c r="AC1786" s="595">
        <v>44978.05</v>
      </c>
      <c r="AD1786" s="596" t="s">
        <v>395</v>
      </c>
      <c r="AE1786" s="595">
        <v>118.91</v>
      </c>
      <c r="AF1786" s="597">
        <f t="shared" si="112"/>
        <v>-4.6126629027090083E-3</v>
      </c>
      <c r="AG1786" s="597">
        <f t="shared" si="113"/>
        <v>2.3321858864027378E-2</v>
      </c>
    </row>
    <row r="1787" spans="13:33" x14ac:dyDescent="0.35">
      <c r="M1787" s="555">
        <v>44301</v>
      </c>
      <c r="N1787" s="543" t="s">
        <v>449</v>
      </c>
      <c r="O1787" s="543">
        <v>45230.18</v>
      </c>
      <c r="P1787" s="73" t="s">
        <v>431</v>
      </c>
      <c r="Q1787" s="158">
        <v>24.84</v>
      </c>
      <c r="R1787" s="563">
        <f t="shared" si="110"/>
        <v>-1.7885194881090971E-3</v>
      </c>
      <c r="S1787" s="563">
        <f t="shared" si="111"/>
        <v>-1.9731649565903675E-2</v>
      </c>
      <c r="AA1787" s="594">
        <v>44299</v>
      </c>
      <c r="AB1787" s="595" t="s">
        <v>449</v>
      </c>
      <c r="AC1787" s="595">
        <v>45048.57</v>
      </c>
      <c r="AD1787" s="596" t="s">
        <v>395</v>
      </c>
      <c r="AE1787" s="595">
        <v>120.5</v>
      </c>
      <c r="AF1787" s="597">
        <f t="shared" si="112"/>
        <v>1.5678758861266129E-3</v>
      </c>
      <c r="AG1787" s="597">
        <f t="shared" si="113"/>
        <v>1.3371457404759868E-2</v>
      </c>
    </row>
    <row r="1788" spans="13:33" x14ac:dyDescent="0.35">
      <c r="M1788" s="555">
        <v>44302</v>
      </c>
      <c r="N1788" s="543" t="s">
        <v>449</v>
      </c>
      <c r="O1788" s="543">
        <v>45305.63</v>
      </c>
      <c r="P1788" s="73" t="s">
        <v>431</v>
      </c>
      <c r="Q1788" s="158">
        <v>24.72</v>
      </c>
      <c r="R1788" s="563">
        <f t="shared" si="110"/>
        <v>1.6681339760309388E-3</v>
      </c>
      <c r="S1788" s="563">
        <f t="shared" si="111"/>
        <v>-4.8309178743961567E-3</v>
      </c>
      <c r="AA1788" s="594">
        <v>44300</v>
      </c>
      <c r="AB1788" s="595" t="s">
        <v>449</v>
      </c>
      <c r="AC1788" s="595">
        <v>45311.22</v>
      </c>
      <c r="AD1788" s="596" t="s">
        <v>395</v>
      </c>
      <c r="AE1788" s="595">
        <v>123.57</v>
      </c>
      <c r="AF1788" s="597">
        <f t="shared" si="112"/>
        <v>5.8303737499325603E-3</v>
      </c>
      <c r="AG1788" s="597">
        <f t="shared" si="113"/>
        <v>2.547717842323638E-2</v>
      </c>
    </row>
    <row r="1789" spans="13:33" x14ac:dyDescent="0.35">
      <c r="M1789" s="555">
        <v>44305</v>
      </c>
      <c r="N1789" s="543" t="s">
        <v>449</v>
      </c>
      <c r="O1789" s="543">
        <v>44913.57</v>
      </c>
      <c r="P1789" s="73" t="s">
        <v>431</v>
      </c>
      <c r="Q1789" s="158">
        <v>23.98</v>
      </c>
      <c r="R1789" s="563">
        <f t="shared" si="110"/>
        <v>-8.6536706365191174E-3</v>
      </c>
      <c r="S1789" s="563">
        <f t="shared" si="111"/>
        <v>-2.9935275080906099E-2</v>
      </c>
      <c r="AA1789" s="594">
        <v>44301</v>
      </c>
      <c r="AB1789" s="595" t="s">
        <v>449</v>
      </c>
      <c r="AC1789" s="595">
        <v>45230.18</v>
      </c>
      <c r="AD1789" s="596" t="s">
        <v>395</v>
      </c>
      <c r="AE1789" s="595">
        <v>125.34</v>
      </c>
      <c r="AF1789" s="597">
        <f t="shared" si="112"/>
        <v>-1.7885194881090971E-3</v>
      </c>
      <c r="AG1789" s="597">
        <f t="shared" si="113"/>
        <v>1.4323865015780646E-2</v>
      </c>
    </row>
    <row r="1790" spans="13:33" x14ac:dyDescent="0.35">
      <c r="M1790" s="555">
        <v>44306</v>
      </c>
      <c r="N1790" s="543" t="s">
        <v>449</v>
      </c>
      <c r="O1790" s="543">
        <v>45399.78</v>
      </c>
      <c r="P1790" s="73" t="s">
        <v>431</v>
      </c>
      <c r="Q1790" s="158">
        <v>24.29</v>
      </c>
      <c r="R1790" s="563">
        <f t="shared" si="110"/>
        <v>1.0825458764466944E-2</v>
      </c>
      <c r="S1790" s="563">
        <f t="shared" si="111"/>
        <v>1.2927439532944174E-2</v>
      </c>
      <c r="AA1790" s="594">
        <v>44302</v>
      </c>
      <c r="AB1790" s="595" t="s">
        <v>449</v>
      </c>
      <c r="AC1790" s="595">
        <v>45305.63</v>
      </c>
      <c r="AD1790" s="596" t="s">
        <v>395</v>
      </c>
      <c r="AE1790" s="595">
        <v>134.74</v>
      </c>
      <c r="AF1790" s="597">
        <f t="shared" si="112"/>
        <v>1.6681339760309388E-3</v>
      </c>
      <c r="AG1790" s="597">
        <f t="shared" si="113"/>
        <v>7.4996010850486794E-2</v>
      </c>
    </row>
    <row r="1791" spans="13:33" x14ac:dyDescent="0.35">
      <c r="M1791" s="555">
        <v>44307</v>
      </c>
      <c r="N1791" s="543" t="s">
        <v>449</v>
      </c>
      <c r="O1791" s="543">
        <v>45306.54</v>
      </c>
      <c r="P1791" s="73" t="s">
        <v>431</v>
      </c>
      <c r="Q1791" s="158">
        <v>23.9</v>
      </c>
      <c r="R1791" s="563">
        <f t="shared" si="110"/>
        <v>-2.0537544455060397E-3</v>
      </c>
      <c r="S1791" s="563">
        <f t="shared" si="111"/>
        <v>-1.605599011939074E-2</v>
      </c>
      <c r="AA1791" s="594">
        <v>44305</v>
      </c>
      <c r="AB1791" s="595" t="s">
        <v>449</v>
      </c>
      <c r="AC1791" s="595">
        <v>44913.57</v>
      </c>
      <c r="AD1791" s="596" t="s">
        <v>395</v>
      </c>
      <c r="AE1791" s="595">
        <v>143.94999999999999</v>
      </c>
      <c r="AF1791" s="597">
        <f t="shared" si="112"/>
        <v>-8.6536706365191174E-3</v>
      </c>
      <c r="AG1791" s="597">
        <f t="shared" si="113"/>
        <v>6.8353866706248878E-2</v>
      </c>
    </row>
    <row r="1792" spans="13:33" x14ac:dyDescent="0.35">
      <c r="M1792" s="555">
        <v>44308</v>
      </c>
      <c r="N1792" s="543" t="s">
        <v>449</v>
      </c>
      <c r="O1792" s="543">
        <v>44929.61</v>
      </c>
      <c r="P1792" s="73" t="s">
        <v>431</v>
      </c>
      <c r="Q1792" s="158">
        <v>23.99</v>
      </c>
      <c r="R1792" s="563">
        <f t="shared" si="110"/>
        <v>-8.319549451359598E-3</v>
      </c>
      <c r="S1792" s="563">
        <f t="shared" si="111"/>
        <v>3.7656903765690419E-3</v>
      </c>
      <c r="AA1792" s="594">
        <v>44306</v>
      </c>
      <c r="AB1792" s="595" t="s">
        <v>449</v>
      </c>
      <c r="AC1792" s="595">
        <v>45399.78</v>
      </c>
      <c r="AD1792" s="596" t="s">
        <v>395</v>
      </c>
      <c r="AE1792" s="595">
        <v>138.21</v>
      </c>
      <c r="AF1792" s="597">
        <f t="shared" si="112"/>
        <v>1.0825458764466944E-2</v>
      </c>
      <c r="AG1792" s="597">
        <f t="shared" si="113"/>
        <v>-3.9874956582146459E-2</v>
      </c>
    </row>
    <row r="1793" spans="13:33" x14ac:dyDescent="0.35">
      <c r="M1793" s="555">
        <v>44309</v>
      </c>
      <c r="N1793" s="543" t="s">
        <v>449</v>
      </c>
      <c r="O1793" s="543">
        <v>44706.76</v>
      </c>
      <c r="P1793" s="73" t="s">
        <v>431</v>
      </c>
      <c r="Q1793" s="158">
        <v>23.92</v>
      </c>
      <c r="R1793" s="563">
        <f t="shared" si="110"/>
        <v>-4.9599807343085889E-3</v>
      </c>
      <c r="S1793" s="563">
        <f t="shared" si="111"/>
        <v>-2.9178824510210921E-3</v>
      </c>
      <c r="AA1793" s="594">
        <v>44307</v>
      </c>
      <c r="AB1793" s="595" t="s">
        <v>449</v>
      </c>
      <c r="AC1793" s="595">
        <v>45306.54</v>
      </c>
      <c r="AD1793" s="596" t="s">
        <v>395</v>
      </c>
      <c r="AE1793" s="595">
        <v>134.6</v>
      </c>
      <c r="AF1793" s="597">
        <f t="shared" si="112"/>
        <v>-2.0537544455060397E-3</v>
      </c>
      <c r="AG1793" s="597">
        <f t="shared" si="113"/>
        <v>-2.611967296143558E-2</v>
      </c>
    </row>
    <row r="1794" spans="13:33" x14ac:dyDescent="0.35">
      <c r="M1794" s="555">
        <v>44312</v>
      </c>
      <c r="N1794" s="543" t="s">
        <v>449</v>
      </c>
      <c r="O1794" s="543">
        <v>45682.77</v>
      </c>
      <c r="P1794" s="73" t="s">
        <v>431</v>
      </c>
      <c r="Q1794" s="158">
        <v>23.71</v>
      </c>
      <c r="R1794" s="563">
        <f t="shared" si="110"/>
        <v>2.1831374047235785E-2</v>
      </c>
      <c r="S1794" s="563">
        <f t="shared" si="111"/>
        <v>-8.7792642140468446E-3</v>
      </c>
      <c r="AA1794" s="594">
        <v>44308</v>
      </c>
      <c r="AB1794" s="595" t="s">
        <v>449</v>
      </c>
      <c r="AC1794" s="595">
        <v>44929.61</v>
      </c>
      <c r="AD1794" s="596" t="s">
        <v>395</v>
      </c>
      <c r="AE1794" s="595">
        <v>130.83000000000001</v>
      </c>
      <c r="AF1794" s="597">
        <f t="shared" si="112"/>
        <v>-8.319549451359598E-3</v>
      </c>
      <c r="AG1794" s="597">
        <f t="shared" si="113"/>
        <v>-2.8008915304606141E-2</v>
      </c>
    </row>
    <row r="1795" spans="13:33" x14ac:dyDescent="0.35">
      <c r="M1795" s="555">
        <v>44313</v>
      </c>
      <c r="N1795" s="543" t="s">
        <v>449</v>
      </c>
      <c r="O1795" s="543">
        <v>45292.87</v>
      </c>
      <c r="P1795" s="73" t="s">
        <v>431</v>
      </c>
      <c r="Q1795" s="158">
        <v>24.44</v>
      </c>
      <c r="R1795" s="563">
        <f t="shared" si="110"/>
        <v>-8.5349465454918061E-3</v>
      </c>
      <c r="S1795" s="563">
        <f t="shared" si="111"/>
        <v>3.0788696752425126E-2</v>
      </c>
      <c r="AA1795" s="594">
        <v>44309</v>
      </c>
      <c r="AB1795" s="595" t="s">
        <v>449</v>
      </c>
      <c r="AC1795" s="595">
        <v>44706.76</v>
      </c>
      <c r="AD1795" s="596" t="s">
        <v>395</v>
      </c>
      <c r="AE1795" s="595">
        <v>127.95</v>
      </c>
      <c r="AF1795" s="597">
        <f t="shared" si="112"/>
        <v>-4.9599807343085889E-3</v>
      </c>
      <c r="AG1795" s="597">
        <f t="shared" si="113"/>
        <v>-2.2013299701903355E-2</v>
      </c>
    </row>
    <row r="1796" spans="13:33" x14ac:dyDescent="0.35">
      <c r="M1796" s="555">
        <v>44314</v>
      </c>
      <c r="N1796" s="543" t="s">
        <v>449</v>
      </c>
      <c r="O1796" s="543">
        <v>45059.12</v>
      </c>
      <c r="P1796" s="73" t="s">
        <v>431</v>
      </c>
      <c r="Q1796" s="158">
        <v>24.14</v>
      </c>
      <c r="R1796" s="563">
        <f t="shared" si="110"/>
        <v>-5.1608564438508919E-3</v>
      </c>
      <c r="S1796" s="563">
        <f t="shared" si="111"/>
        <v>-1.2274959083469761E-2</v>
      </c>
      <c r="AA1796" s="594">
        <v>44312</v>
      </c>
      <c r="AB1796" s="595" t="s">
        <v>449</v>
      </c>
      <c r="AC1796" s="595">
        <v>45682.77</v>
      </c>
      <c r="AD1796" s="596" t="s">
        <v>395</v>
      </c>
      <c r="AE1796" s="595">
        <v>125.27</v>
      </c>
      <c r="AF1796" s="597">
        <f t="shared" si="112"/>
        <v>2.1831374047235785E-2</v>
      </c>
      <c r="AG1796" s="597">
        <f t="shared" si="113"/>
        <v>-2.0945681906994973E-2</v>
      </c>
    </row>
    <row r="1797" spans="13:33" x14ac:dyDescent="0.35">
      <c r="M1797" s="555">
        <v>44315</v>
      </c>
      <c r="N1797" s="543" t="s">
        <v>449</v>
      </c>
      <c r="O1797" s="543">
        <v>44863.11</v>
      </c>
      <c r="P1797" s="73" t="s">
        <v>431</v>
      </c>
      <c r="Q1797" s="158">
        <v>23.64</v>
      </c>
      <c r="R1797" s="563">
        <f t="shared" si="110"/>
        <v>-4.3500627619892374E-3</v>
      </c>
      <c r="S1797" s="563">
        <f t="shared" si="111"/>
        <v>-2.0712510356255209E-2</v>
      </c>
      <c r="AA1797" s="594">
        <v>44313</v>
      </c>
      <c r="AB1797" s="595" t="s">
        <v>449</v>
      </c>
      <c r="AC1797" s="595">
        <v>45292.87</v>
      </c>
      <c r="AD1797" s="596" t="s">
        <v>395</v>
      </c>
      <c r="AE1797" s="595">
        <v>124.64</v>
      </c>
      <c r="AF1797" s="597">
        <f t="shared" si="112"/>
        <v>-8.5349465454918061E-3</v>
      </c>
      <c r="AG1797" s="597">
        <f t="shared" si="113"/>
        <v>-5.0291370639418131E-3</v>
      </c>
    </row>
    <row r="1798" spans="13:33" x14ac:dyDescent="0.35">
      <c r="M1798" s="555">
        <v>44316</v>
      </c>
      <c r="N1798" s="543" t="s">
        <v>449</v>
      </c>
      <c r="O1798" s="543">
        <v>44262.35</v>
      </c>
      <c r="P1798" s="73" t="s">
        <v>431</v>
      </c>
      <c r="Q1798" s="158">
        <v>22.74</v>
      </c>
      <c r="R1798" s="563">
        <f t="shared" si="110"/>
        <v>-1.3390957514982871E-2</v>
      </c>
      <c r="S1798" s="563">
        <f t="shared" si="111"/>
        <v>-3.8071065989847774E-2</v>
      </c>
      <c r="AA1798" s="594">
        <v>44314</v>
      </c>
      <c r="AB1798" s="595" t="s">
        <v>449</v>
      </c>
      <c r="AC1798" s="595">
        <v>45059.12</v>
      </c>
      <c r="AD1798" s="596" t="s">
        <v>395</v>
      </c>
      <c r="AE1798" s="595">
        <v>125.3</v>
      </c>
      <c r="AF1798" s="597">
        <f t="shared" si="112"/>
        <v>-5.1608564438508919E-3</v>
      </c>
      <c r="AG1798" s="597">
        <f t="shared" si="113"/>
        <v>5.2952503209242607E-3</v>
      </c>
    </row>
    <row r="1799" spans="13:33" x14ac:dyDescent="0.35">
      <c r="M1799" s="555">
        <v>44319</v>
      </c>
      <c r="N1799" s="543" t="s">
        <v>449</v>
      </c>
      <c r="O1799" s="543">
        <v>44076.2</v>
      </c>
      <c r="P1799" s="73" t="s">
        <v>431</v>
      </c>
      <c r="Q1799" s="158">
        <v>21.93</v>
      </c>
      <c r="R1799" s="563">
        <f t="shared" si="110"/>
        <v>-4.2056058930445284E-3</v>
      </c>
      <c r="S1799" s="563">
        <f t="shared" si="111"/>
        <v>-3.562005277044844E-2</v>
      </c>
      <c r="AA1799" s="594">
        <v>44315</v>
      </c>
      <c r="AB1799" s="595" t="s">
        <v>449</v>
      </c>
      <c r="AC1799" s="595">
        <v>44863.11</v>
      </c>
      <c r="AD1799" s="596" t="s">
        <v>395</v>
      </c>
      <c r="AE1799" s="595">
        <v>123.71</v>
      </c>
      <c r="AF1799" s="597">
        <f t="shared" si="112"/>
        <v>-4.3500627619892374E-3</v>
      </c>
      <c r="AG1799" s="597">
        <f t="shared" si="113"/>
        <v>-1.2689545091779775E-2</v>
      </c>
    </row>
    <row r="1800" spans="13:33" x14ac:dyDescent="0.35">
      <c r="M1800" s="555">
        <v>44320</v>
      </c>
      <c r="N1800" s="543" t="s">
        <v>449</v>
      </c>
      <c r="O1800" s="543">
        <v>44563.59</v>
      </c>
      <c r="P1800" s="73" t="s">
        <v>431</v>
      </c>
      <c r="Q1800" s="158">
        <v>22.4</v>
      </c>
      <c r="R1800" s="563">
        <f t="shared" si="110"/>
        <v>1.1057895190601741E-2</v>
      </c>
      <c r="S1800" s="563">
        <f t="shared" si="111"/>
        <v>2.1431828545371623E-2</v>
      </c>
      <c r="AA1800" s="594">
        <v>44316</v>
      </c>
      <c r="AB1800" s="595" t="s">
        <v>449</v>
      </c>
      <c r="AC1800" s="595">
        <v>44262.35</v>
      </c>
      <c r="AD1800" s="596" t="s">
        <v>395</v>
      </c>
      <c r="AE1800" s="595">
        <v>122.74</v>
      </c>
      <c r="AF1800" s="597">
        <f t="shared" si="112"/>
        <v>-1.3390957514982871E-2</v>
      </c>
      <c r="AG1800" s="597">
        <f t="shared" si="113"/>
        <v>-7.8409182766147056E-3</v>
      </c>
    </row>
    <row r="1801" spans="13:33" x14ac:dyDescent="0.35">
      <c r="M1801" s="555">
        <v>44321</v>
      </c>
      <c r="N1801" s="543" t="s">
        <v>449</v>
      </c>
      <c r="O1801" s="543">
        <v>44943.61</v>
      </c>
      <c r="P1801" s="73" t="s">
        <v>431</v>
      </c>
      <c r="Q1801" s="158">
        <v>22.71</v>
      </c>
      <c r="R1801" s="563">
        <f t="shared" si="110"/>
        <v>8.5275894513885397E-3</v>
      </c>
      <c r="S1801" s="563">
        <f t="shared" si="111"/>
        <v>1.3839285714285721E-2</v>
      </c>
      <c r="AA1801" s="594">
        <v>44319</v>
      </c>
      <c r="AB1801" s="595" t="s">
        <v>449</v>
      </c>
      <c r="AC1801" s="595">
        <v>44076.2</v>
      </c>
      <c r="AD1801" s="596" t="s">
        <v>395</v>
      </c>
      <c r="AE1801" s="595">
        <v>120.57</v>
      </c>
      <c r="AF1801" s="597">
        <f t="shared" si="112"/>
        <v>-4.2056058930445284E-3</v>
      </c>
      <c r="AG1801" s="597">
        <f t="shared" si="113"/>
        <v>-1.7679648036499906E-2</v>
      </c>
    </row>
    <row r="1802" spans="13:33" x14ac:dyDescent="0.35">
      <c r="M1802" s="555">
        <v>44322</v>
      </c>
      <c r="N1802" s="543" t="s">
        <v>449</v>
      </c>
      <c r="O1802" s="543">
        <v>45174.67</v>
      </c>
      <c r="P1802" s="73" t="s">
        <v>431</v>
      </c>
      <c r="Q1802" s="158">
        <v>22.98</v>
      </c>
      <c r="R1802" s="563">
        <f t="shared" si="110"/>
        <v>5.1411090475375065E-3</v>
      </c>
      <c r="S1802" s="563">
        <f t="shared" si="111"/>
        <v>1.1889035667107084E-2</v>
      </c>
      <c r="AA1802" s="594">
        <v>44320</v>
      </c>
      <c r="AB1802" s="595" t="s">
        <v>449</v>
      </c>
      <c r="AC1802" s="595">
        <v>44563.59</v>
      </c>
      <c r="AD1802" s="596" t="s">
        <v>395</v>
      </c>
      <c r="AE1802" s="595">
        <v>122.08</v>
      </c>
      <c r="AF1802" s="597">
        <f t="shared" si="112"/>
        <v>1.1057895190601741E-2</v>
      </c>
      <c r="AG1802" s="597">
        <f t="shared" si="113"/>
        <v>1.2523845069254413E-2</v>
      </c>
    </row>
    <row r="1803" spans="13:33" x14ac:dyDescent="0.35">
      <c r="M1803" s="555">
        <v>44333</v>
      </c>
      <c r="N1803" s="543" t="s">
        <v>449</v>
      </c>
      <c r="O1803" s="543">
        <v>45796.31</v>
      </c>
      <c r="P1803" s="73" t="s">
        <v>431</v>
      </c>
      <c r="Q1803" s="158">
        <v>23.68</v>
      </c>
      <c r="R1803" s="563">
        <f t="shared" si="110"/>
        <v>1.3760808878072517E-2</v>
      </c>
      <c r="S1803" s="563">
        <f t="shared" si="111"/>
        <v>3.0461270670147922E-2</v>
      </c>
      <c r="AA1803" s="594">
        <v>44321</v>
      </c>
      <c r="AB1803" s="595" t="s">
        <v>449</v>
      </c>
      <c r="AC1803" s="595">
        <v>44943.61</v>
      </c>
      <c r="AD1803" s="596" t="s">
        <v>395</v>
      </c>
      <c r="AE1803" s="595">
        <v>122.85</v>
      </c>
      <c r="AF1803" s="597">
        <f t="shared" si="112"/>
        <v>8.5275894513885397E-3</v>
      </c>
      <c r="AG1803" s="597">
        <f t="shared" si="113"/>
        <v>6.307339449541205E-3</v>
      </c>
    </row>
    <row r="1804" spans="13:33" x14ac:dyDescent="0.35">
      <c r="M1804" s="555">
        <v>44334</v>
      </c>
      <c r="N1804" s="543" t="s">
        <v>449</v>
      </c>
      <c r="O1804" s="543">
        <v>45981.82</v>
      </c>
      <c r="P1804" s="73" t="s">
        <v>431</v>
      </c>
      <c r="Q1804" s="158">
        <v>24.96</v>
      </c>
      <c r="R1804" s="563">
        <f t="shared" si="110"/>
        <v>4.0507630418258334E-3</v>
      </c>
      <c r="S1804" s="563">
        <f t="shared" si="111"/>
        <v>5.4054054054054168E-2</v>
      </c>
      <c r="AA1804" s="594">
        <v>44322</v>
      </c>
      <c r="AB1804" s="595" t="s">
        <v>449</v>
      </c>
      <c r="AC1804" s="595">
        <v>45174.67</v>
      </c>
      <c r="AD1804" s="596" t="s">
        <v>395</v>
      </c>
      <c r="AE1804" s="595">
        <v>123.06</v>
      </c>
      <c r="AF1804" s="597">
        <f t="shared" si="112"/>
        <v>5.1411090475375065E-3</v>
      </c>
      <c r="AG1804" s="597">
        <f t="shared" si="113"/>
        <v>1.7094017094017033E-3</v>
      </c>
    </row>
    <row r="1805" spans="13:33" x14ac:dyDescent="0.35">
      <c r="M1805" s="555">
        <v>44335</v>
      </c>
      <c r="N1805" s="543" t="s">
        <v>449</v>
      </c>
      <c r="O1805" s="543">
        <v>45682.11</v>
      </c>
      <c r="P1805" s="73" t="s">
        <v>431</v>
      </c>
      <c r="Q1805" s="158">
        <v>24.75</v>
      </c>
      <c r="R1805" s="563">
        <f t="shared" si="110"/>
        <v>-6.5180108138390702E-3</v>
      </c>
      <c r="S1805" s="563">
        <f t="shared" si="111"/>
        <v>-8.4134615384615641E-3</v>
      </c>
      <c r="AA1805" s="594">
        <v>44333</v>
      </c>
      <c r="AB1805" s="595" t="s">
        <v>449</v>
      </c>
      <c r="AC1805" s="595">
        <v>45796.31</v>
      </c>
      <c r="AD1805" s="596" t="s">
        <v>395</v>
      </c>
      <c r="AE1805" s="595">
        <v>124.86</v>
      </c>
      <c r="AF1805" s="597">
        <f t="shared" si="112"/>
        <v>1.3760808878072517E-2</v>
      </c>
      <c r="AG1805" s="597">
        <f t="shared" si="113"/>
        <v>1.4627011214041863E-2</v>
      </c>
    </row>
    <row r="1806" spans="13:33" x14ac:dyDescent="0.35">
      <c r="M1806" s="555">
        <v>44336</v>
      </c>
      <c r="N1806" s="543" t="s">
        <v>449</v>
      </c>
      <c r="O1806" s="543">
        <v>45574.07</v>
      </c>
      <c r="P1806" s="73" t="s">
        <v>431</v>
      </c>
      <c r="Q1806" s="158">
        <v>25.52</v>
      </c>
      <c r="R1806" s="563">
        <f t="shared" si="110"/>
        <v>-2.3650396183538813E-3</v>
      </c>
      <c r="S1806" s="563">
        <f t="shared" si="111"/>
        <v>3.1111111111111089E-2</v>
      </c>
      <c r="AA1806" s="594">
        <v>44334</v>
      </c>
      <c r="AB1806" s="595" t="s">
        <v>449</v>
      </c>
      <c r="AC1806" s="595">
        <v>45981.82</v>
      </c>
      <c r="AD1806" s="596" t="s">
        <v>395</v>
      </c>
      <c r="AE1806" s="595">
        <v>123.96</v>
      </c>
      <c r="AF1806" s="597">
        <f t="shared" si="112"/>
        <v>4.0507630418258334E-3</v>
      </c>
      <c r="AG1806" s="597">
        <f t="shared" si="113"/>
        <v>-7.2080730418068173E-3</v>
      </c>
    </row>
    <row r="1807" spans="13:33" x14ac:dyDescent="0.35">
      <c r="M1807" s="555">
        <v>44337</v>
      </c>
      <c r="N1807" s="543" t="s">
        <v>449</v>
      </c>
      <c r="O1807" s="543">
        <v>45914.98</v>
      </c>
      <c r="P1807" s="73" t="s">
        <v>431</v>
      </c>
      <c r="Q1807" s="158">
        <v>26.13</v>
      </c>
      <c r="R1807" s="563">
        <f t="shared" si="110"/>
        <v>7.4803501201452516E-3</v>
      </c>
      <c r="S1807" s="563">
        <f t="shared" si="111"/>
        <v>2.3902821316614364E-2</v>
      </c>
      <c r="AA1807" s="594">
        <v>44335</v>
      </c>
      <c r="AB1807" s="595" t="s">
        <v>449</v>
      </c>
      <c r="AC1807" s="595">
        <v>45682.11</v>
      </c>
      <c r="AD1807" s="596" t="s">
        <v>395</v>
      </c>
      <c r="AE1807" s="595">
        <v>120.33</v>
      </c>
      <c r="AF1807" s="597">
        <f t="shared" si="112"/>
        <v>-6.5180108138390702E-3</v>
      </c>
      <c r="AG1807" s="597">
        <f t="shared" si="113"/>
        <v>-2.9283639883833423E-2</v>
      </c>
    </row>
    <row r="1808" spans="13:33" x14ac:dyDescent="0.35">
      <c r="M1808" s="555">
        <v>44340</v>
      </c>
      <c r="N1808" s="543" t="s">
        <v>449</v>
      </c>
      <c r="O1808" s="543">
        <v>46097.11</v>
      </c>
      <c r="P1808" s="73" t="s">
        <v>431</v>
      </c>
      <c r="Q1808" s="158">
        <v>25.53</v>
      </c>
      <c r="R1808" s="563">
        <f t="shared" si="110"/>
        <v>3.9666792841899223E-3</v>
      </c>
      <c r="S1808" s="563">
        <f t="shared" si="111"/>
        <v>-2.2962112514351207E-2</v>
      </c>
      <c r="AA1808" s="594">
        <v>44336</v>
      </c>
      <c r="AB1808" s="595" t="s">
        <v>449</v>
      </c>
      <c r="AC1808" s="595">
        <v>45574.07</v>
      </c>
      <c r="AD1808" s="596" t="s">
        <v>395</v>
      </c>
      <c r="AE1808" s="595">
        <v>121.9</v>
      </c>
      <c r="AF1808" s="597">
        <f t="shared" si="112"/>
        <v>-2.3650396183538813E-3</v>
      </c>
      <c r="AG1808" s="597">
        <f t="shared" si="113"/>
        <v>1.3047452838028883E-2</v>
      </c>
    </row>
    <row r="1809" spans="13:33" x14ac:dyDescent="0.35">
      <c r="M1809" s="555">
        <v>44341</v>
      </c>
      <c r="N1809" s="543" t="s">
        <v>449</v>
      </c>
      <c r="O1809" s="543">
        <v>46300.66</v>
      </c>
      <c r="P1809" s="73" t="s">
        <v>431</v>
      </c>
      <c r="Q1809" s="158">
        <v>25.31</v>
      </c>
      <c r="R1809" s="563">
        <f t="shared" si="110"/>
        <v>4.4156781195177075E-3</v>
      </c>
      <c r="S1809" s="563">
        <f t="shared" si="111"/>
        <v>-8.6173129651391234E-3</v>
      </c>
      <c r="AA1809" s="594">
        <v>44337</v>
      </c>
      <c r="AB1809" s="595" t="s">
        <v>449</v>
      </c>
      <c r="AC1809" s="595">
        <v>45914.98</v>
      </c>
      <c r="AD1809" s="596" t="s">
        <v>395</v>
      </c>
      <c r="AE1809" s="595">
        <v>131.04</v>
      </c>
      <c r="AF1809" s="597">
        <f t="shared" si="112"/>
        <v>7.4803501201452516E-3</v>
      </c>
      <c r="AG1809" s="597">
        <f t="shared" si="113"/>
        <v>7.4979491386382158E-2</v>
      </c>
    </row>
    <row r="1810" spans="13:33" x14ac:dyDescent="0.35">
      <c r="M1810" s="555">
        <v>44342</v>
      </c>
      <c r="N1810" s="543" t="s">
        <v>449</v>
      </c>
      <c r="O1810" s="543">
        <v>46812.31</v>
      </c>
      <c r="P1810" s="73" t="s">
        <v>431</v>
      </c>
      <c r="Q1810" s="158">
        <v>25.23</v>
      </c>
      <c r="R1810" s="563">
        <f t="shared" si="110"/>
        <v>1.105059841479572E-2</v>
      </c>
      <c r="S1810" s="563">
        <f t="shared" si="111"/>
        <v>-3.1608060055313691E-3</v>
      </c>
      <c r="AA1810" s="594">
        <v>44340</v>
      </c>
      <c r="AB1810" s="595" t="s">
        <v>449</v>
      </c>
      <c r="AC1810" s="595">
        <v>46097.11</v>
      </c>
      <c r="AD1810" s="596" t="s">
        <v>395</v>
      </c>
      <c r="AE1810" s="595">
        <v>128.1</v>
      </c>
      <c r="AF1810" s="597">
        <f t="shared" si="112"/>
        <v>3.9666792841899223E-3</v>
      </c>
      <c r="AG1810" s="597">
        <f t="shared" si="113"/>
        <v>-2.2435897435897467E-2</v>
      </c>
    </row>
    <row r="1811" spans="13:33" x14ac:dyDescent="0.35">
      <c r="M1811" s="555">
        <v>44343</v>
      </c>
      <c r="N1811" s="543" t="s">
        <v>449</v>
      </c>
      <c r="O1811" s="543">
        <v>46790.75</v>
      </c>
      <c r="P1811" s="73" t="s">
        <v>431</v>
      </c>
      <c r="Q1811" s="158">
        <v>25.07</v>
      </c>
      <c r="R1811" s="563">
        <f t="shared" si="110"/>
        <v>-4.6056261696969525E-4</v>
      </c>
      <c r="S1811" s="563">
        <f t="shared" si="111"/>
        <v>-6.3416567578279404E-3</v>
      </c>
      <c r="AA1811" s="594">
        <v>44341</v>
      </c>
      <c r="AB1811" s="595" t="s">
        <v>449</v>
      </c>
      <c r="AC1811" s="595">
        <v>46300.66</v>
      </c>
      <c r="AD1811" s="596" t="s">
        <v>395</v>
      </c>
      <c r="AE1811" s="595">
        <v>129.06</v>
      </c>
      <c r="AF1811" s="597">
        <f t="shared" si="112"/>
        <v>4.4156781195177075E-3</v>
      </c>
      <c r="AG1811" s="597">
        <f t="shared" si="113"/>
        <v>7.494145199063329E-3</v>
      </c>
    </row>
    <row r="1812" spans="13:33" x14ac:dyDescent="0.35">
      <c r="M1812" s="555">
        <v>44344</v>
      </c>
      <c r="N1812" s="543" t="s">
        <v>449</v>
      </c>
      <c r="O1812" s="543">
        <v>47126.29</v>
      </c>
      <c r="P1812" s="73" t="s">
        <v>431</v>
      </c>
      <c r="Q1812" s="158">
        <v>25.28</v>
      </c>
      <c r="R1812" s="563">
        <f t="shared" si="110"/>
        <v>7.1710754796621146E-3</v>
      </c>
      <c r="S1812" s="563">
        <f t="shared" si="111"/>
        <v>8.3765456721180964E-3</v>
      </c>
      <c r="AA1812" s="594">
        <v>44342</v>
      </c>
      <c r="AB1812" s="595" t="s">
        <v>449</v>
      </c>
      <c r="AC1812" s="595">
        <v>46812.31</v>
      </c>
      <c r="AD1812" s="596" t="s">
        <v>395</v>
      </c>
      <c r="AE1812" s="595">
        <v>128.38</v>
      </c>
      <c r="AF1812" s="597">
        <f t="shared" si="112"/>
        <v>1.105059841479572E-2</v>
      </c>
      <c r="AG1812" s="597">
        <f t="shared" si="113"/>
        <v>-5.2688671935534614E-3</v>
      </c>
    </row>
    <row r="1813" spans="13:33" x14ac:dyDescent="0.35">
      <c r="M1813" s="555">
        <v>44347</v>
      </c>
      <c r="N1813" s="543" t="s">
        <v>449</v>
      </c>
      <c r="O1813" s="543">
        <v>47896.34</v>
      </c>
      <c r="P1813" s="73" t="s">
        <v>431</v>
      </c>
      <c r="Q1813" s="158">
        <v>26.01</v>
      </c>
      <c r="R1813" s="563">
        <f t="shared" si="110"/>
        <v>1.6340136259400007E-2</v>
      </c>
      <c r="S1813" s="563">
        <f t="shared" si="111"/>
        <v>2.8876582278481111E-2</v>
      </c>
      <c r="AA1813" s="594">
        <v>44343</v>
      </c>
      <c r="AB1813" s="595" t="s">
        <v>449</v>
      </c>
      <c r="AC1813" s="595">
        <v>46790.75</v>
      </c>
      <c r="AD1813" s="596" t="s">
        <v>395</v>
      </c>
      <c r="AE1813" s="595">
        <v>127.01</v>
      </c>
      <c r="AF1813" s="597">
        <f t="shared" si="112"/>
        <v>-4.6056261696969525E-4</v>
      </c>
      <c r="AG1813" s="597">
        <f t="shared" si="113"/>
        <v>-1.0671444150179066E-2</v>
      </c>
    </row>
    <row r="1814" spans="13:33" x14ac:dyDescent="0.35">
      <c r="M1814" s="555">
        <v>44348</v>
      </c>
      <c r="N1814" s="543" t="s">
        <v>449</v>
      </c>
      <c r="O1814" s="543">
        <v>48191.26</v>
      </c>
      <c r="P1814" s="73" t="s">
        <v>431</v>
      </c>
      <c r="Q1814" s="158">
        <v>26.08</v>
      </c>
      <c r="R1814" s="563">
        <f t="shared" si="110"/>
        <v>6.1574642237800514E-3</v>
      </c>
      <c r="S1814" s="563">
        <f t="shared" si="111"/>
        <v>2.6912725874661536E-3</v>
      </c>
      <c r="AA1814" s="594">
        <v>44344</v>
      </c>
      <c r="AB1814" s="595" t="s">
        <v>449</v>
      </c>
      <c r="AC1814" s="595">
        <v>47126.29</v>
      </c>
      <c r="AD1814" s="596" t="s">
        <v>395</v>
      </c>
      <c r="AE1814" s="595">
        <v>128.01</v>
      </c>
      <c r="AF1814" s="597">
        <f t="shared" si="112"/>
        <v>7.1710754796621146E-3</v>
      </c>
      <c r="AG1814" s="597">
        <f t="shared" si="113"/>
        <v>7.8733957956065304E-3</v>
      </c>
    </row>
    <row r="1815" spans="13:33" x14ac:dyDescent="0.35">
      <c r="M1815" s="555">
        <v>44349</v>
      </c>
      <c r="N1815" s="543" t="s">
        <v>449</v>
      </c>
      <c r="O1815" s="543">
        <v>48126.9</v>
      </c>
      <c r="P1815" s="73" t="s">
        <v>431</v>
      </c>
      <c r="Q1815" s="158">
        <v>26.72</v>
      </c>
      <c r="R1815" s="563">
        <f t="shared" si="110"/>
        <v>-1.3355118749748263E-3</v>
      </c>
      <c r="S1815" s="563">
        <f t="shared" si="111"/>
        <v>2.4539877300613577E-2</v>
      </c>
      <c r="AA1815" s="594">
        <v>44347</v>
      </c>
      <c r="AB1815" s="595" t="s">
        <v>449</v>
      </c>
      <c r="AC1815" s="595">
        <v>47896.34</v>
      </c>
      <c r="AD1815" s="596" t="s">
        <v>395</v>
      </c>
      <c r="AE1815" s="595">
        <v>131.58000000000001</v>
      </c>
      <c r="AF1815" s="597">
        <f t="shared" si="112"/>
        <v>1.6340136259400007E-2</v>
      </c>
      <c r="AG1815" s="597">
        <f t="shared" si="113"/>
        <v>2.788844621513964E-2</v>
      </c>
    </row>
    <row r="1816" spans="13:33" x14ac:dyDescent="0.35">
      <c r="M1816" s="555">
        <v>44350</v>
      </c>
      <c r="N1816" s="543" t="s">
        <v>449</v>
      </c>
      <c r="O1816" s="543">
        <v>48093.53</v>
      </c>
      <c r="P1816" s="73" t="s">
        <v>431</v>
      </c>
      <c r="Q1816" s="158">
        <v>26.3</v>
      </c>
      <c r="R1816" s="563">
        <f t="shared" si="110"/>
        <v>-6.9337522258872131E-4</v>
      </c>
      <c r="S1816" s="563">
        <f t="shared" si="111"/>
        <v>-1.571856287425144E-2</v>
      </c>
      <c r="AA1816" s="594">
        <v>44348</v>
      </c>
      <c r="AB1816" s="595" t="s">
        <v>449</v>
      </c>
      <c r="AC1816" s="595">
        <v>48191.26</v>
      </c>
      <c r="AD1816" s="596" t="s">
        <v>395</v>
      </c>
      <c r="AE1816" s="595">
        <v>133.9</v>
      </c>
      <c r="AF1816" s="597">
        <f t="shared" si="112"/>
        <v>6.1574642237800514E-3</v>
      </c>
      <c r="AG1816" s="597">
        <f t="shared" si="113"/>
        <v>1.7631858945128309E-2</v>
      </c>
    </row>
    <row r="1817" spans="13:33" x14ac:dyDescent="0.35">
      <c r="M1817" s="555">
        <v>44351</v>
      </c>
      <c r="N1817" s="543" t="s">
        <v>449</v>
      </c>
      <c r="O1817" s="543">
        <v>48211.7</v>
      </c>
      <c r="P1817" s="73" t="s">
        <v>431</v>
      </c>
      <c r="Q1817" s="158">
        <v>26.5</v>
      </c>
      <c r="R1817" s="563">
        <f t="shared" si="110"/>
        <v>2.4570872630891305E-3</v>
      </c>
      <c r="S1817" s="563">
        <f t="shared" si="111"/>
        <v>7.6045627376426506E-3</v>
      </c>
      <c r="AA1817" s="594">
        <v>44349</v>
      </c>
      <c r="AB1817" s="595" t="s">
        <v>449</v>
      </c>
      <c r="AC1817" s="595">
        <v>48126.9</v>
      </c>
      <c r="AD1817" s="596" t="s">
        <v>395</v>
      </c>
      <c r="AE1817" s="595">
        <v>132.53</v>
      </c>
      <c r="AF1817" s="597">
        <f t="shared" si="112"/>
        <v>-1.3355118749748263E-3</v>
      </c>
      <c r="AG1817" s="597">
        <f t="shared" si="113"/>
        <v>-1.023151605675876E-2</v>
      </c>
    </row>
    <row r="1818" spans="13:33" x14ac:dyDescent="0.35">
      <c r="M1818" s="555">
        <v>44354</v>
      </c>
      <c r="N1818" s="543" t="s">
        <v>449</v>
      </c>
      <c r="O1818" s="543">
        <v>48302.66</v>
      </c>
      <c r="P1818" s="73" t="s">
        <v>431</v>
      </c>
      <c r="Q1818" s="158">
        <v>26.05</v>
      </c>
      <c r="R1818" s="563">
        <f t="shared" ref="R1818:R1881" si="114">(O1818/O1817)-1</f>
        <v>1.8866789596716504E-3</v>
      </c>
      <c r="S1818" s="563">
        <f t="shared" ref="S1818:S1881" si="115">(Q1818/Q1817)-1</f>
        <v>-1.6981132075471694E-2</v>
      </c>
      <c r="AA1818" s="594">
        <v>44350</v>
      </c>
      <c r="AB1818" s="595" t="s">
        <v>449</v>
      </c>
      <c r="AC1818" s="595">
        <v>48093.53</v>
      </c>
      <c r="AD1818" s="596" t="s">
        <v>395</v>
      </c>
      <c r="AE1818" s="595">
        <v>133.66999999999999</v>
      </c>
      <c r="AF1818" s="597">
        <f t="shared" si="112"/>
        <v>-6.9337522258872131E-4</v>
      </c>
      <c r="AG1818" s="597">
        <f t="shared" si="113"/>
        <v>8.601826001659818E-3</v>
      </c>
    </row>
    <row r="1819" spans="13:33" x14ac:dyDescent="0.35">
      <c r="M1819" s="555">
        <v>44355</v>
      </c>
      <c r="N1819" s="543" t="s">
        <v>449</v>
      </c>
      <c r="O1819" s="543">
        <v>48147.98</v>
      </c>
      <c r="P1819" s="73" t="s">
        <v>431</v>
      </c>
      <c r="Q1819" s="158">
        <v>25.56</v>
      </c>
      <c r="R1819" s="563">
        <f t="shared" si="114"/>
        <v>-3.2023081130521103E-3</v>
      </c>
      <c r="S1819" s="563">
        <f t="shared" si="115"/>
        <v>-1.8809980806142157E-2</v>
      </c>
      <c r="AA1819" s="594">
        <v>44351</v>
      </c>
      <c r="AB1819" s="595" t="s">
        <v>449</v>
      </c>
      <c r="AC1819" s="595">
        <v>48211.7</v>
      </c>
      <c r="AD1819" s="596" t="s">
        <v>395</v>
      </c>
      <c r="AE1819" s="595">
        <v>135.82</v>
      </c>
      <c r="AF1819" s="597">
        <f t="shared" si="112"/>
        <v>2.4570872630891305E-3</v>
      </c>
      <c r="AG1819" s="597">
        <f t="shared" si="113"/>
        <v>1.6084386923019389E-2</v>
      </c>
    </row>
    <row r="1820" spans="13:33" x14ac:dyDescent="0.35">
      <c r="M1820" s="555">
        <v>44356</v>
      </c>
      <c r="N1820" s="543" t="s">
        <v>449</v>
      </c>
      <c r="O1820" s="543">
        <v>47777.62</v>
      </c>
      <c r="P1820" s="73" t="s">
        <v>431</v>
      </c>
      <c r="Q1820" s="158">
        <v>25.25</v>
      </c>
      <c r="R1820" s="563">
        <f t="shared" si="114"/>
        <v>-7.69211917093926E-3</v>
      </c>
      <c r="S1820" s="563">
        <f t="shared" si="115"/>
        <v>-1.2128325508607096E-2</v>
      </c>
      <c r="AA1820" s="594">
        <v>44354</v>
      </c>
      <c r="AB1820" s="595" t="s">
        <v>449</v>
      </c>
      <c r="AC1820" s="595">
        <v>48302.66</v>
      </c>
      <c r="AD1820" s="596" t="s">
        <v>395</v>
      </c>
      <c r="AE1820" s="595">
        <v>133.5</v>
      </c>
      <c r="AF1820" s="597">
        <f t="shared" ref="AF1820:AF1883" si="116">(AC1820/AC1819)-1</f>
        <v>1.8866789596716504E-3</v>
      </c>
      <c r="AG1820" s="597">
        <f t="shared" ref="AG1820:AG1883" si="117">(AE1820/AE1819)-1</f>
        <v>-1.7081431306140482E-2</v>
      </c>
    </row>
    <row r="1821" spans="13:33" x14ac:dyDescent="0.35">
      <c r="M1821" s="555">
        <v>44357</v>
      </c>
      <c r="N1821" s="543" t="s">
        <v>449</v>
      </c>
      <c r="O1821" s="543">
        <v>48251.49</v>
      </c>
      <c r="P1821" s="73" t="s">
        <v>431</v>
      </c>
      <c r="Q1821" s="158">
        <v>25.92</v>
      </c>
      <c r="R1821" s="563">
        <f t="shared" si="114"/>
        <v>9.9182420555898876E-3</v>
      </c>
      <c r="S1821" s="563">
        <f t="shared" si="115"/>
        <v>2.6534653465346558E-2</v>
      </c>
      <c r="AA1821" s="594">
        <v>44355</v>
      </c>
      <c r="AB1821" s="595" t="s">
        <v>449</v>
      </c>
      <c r="AC1821" s="595">
        <v>48147.98</v>
      </c>
      <c r="AD1821" s="596" t="s">
        <v>395</v>
      </c>
      <c r="AE1821" s="595">
        <v>134.71</v>
      </c>
      <c r="AF1821" s="597">
        <f t="shared" si="116"/>
        <v>-3.2023081130521103E-3</v>
      </c>
      <c r="AG1821" s="597">
        <f t="shared" si="117"/>
        <v>9.0636704119850808E-3</v>
      </c>
    </row>
    <row r="1822" spans="13:33" x14ac:dyDescent="0.35">
      <c r="M1822" s="555">
        <v>44358</v>
      </c>
      <c r="N1822" s="543" t="s">
        <v>449</v>
      </c>
      <c r="O1822" s="543">
        <v>48304.72</v>
      </c>
      <c r="P1822" s="73" t="s">
        <v>431</v>
      </c>
      <c r="Q1822" s="158">
        <v>26.28</v>
      </c>
      <c r="R1822" s="563">
        <f t="shared" si="114"/>
        <v>1.1031783681707541E-3</v>
      </c>
      <c r="S1822" s="563">
        <f t="shared" si="115"/>
        <v>1.388888888888884E-2</v>
      </c>
      <c r="AA1822" s="594">
        <v>44356</v>
      </c>
      <c r="AB1822" s="595" t="s">
        <v>449</v>
      </c>
      <c r="AC1822" s="595">
        <v>47777.62</v>
      </c>
      <c r="AD1822" s="596" t="s">
        <v>395</v>
      </c>
      <c r="AE1822" s="595">
        <v>134.44</v>
      </c>
      <c r="AF1822" s="597">
        <f t="shared" si="116"/>
        <v>-7.69211917093926E-3</v>
      </c>
      <c r="AG1822" s="597">
        <f t="shared" si="117"/>
        <v>-2.0043055452454439E-3</v>
      </c>
    </row>
    <row r="1823" spans="13:33" x14ac:dyDescent="0.35">
      <c r="M1823" s="555">
        <v>44361</v>
      </c>
      <c r="N1823" s="543" t="s">
        <v>449</v>
      </c>
      <c r="O1823" s="543">
        <v>48726.080000000002</v>
      </c>
      <c r="P1823" s="73" t="s">
        <v>431</v>
      </c>
      <c r="Q1823" s="158">
        <v>27.43</v>
      </c>
      <c r="R1823" s="563">
        <f t="shared" si="114"/>
        <v>8.7229570940479118E-3</v>
      </c>
      <c r="S1823" s="563">
        <f t="shared" si="115"/>
        <v>4.3759512937595169E-2</v>
      </c>
      <c r="AA1823" s="594">
        <v>44357</v>
      </c>
      <c r="AB1823" s="595" t="s">
        <v>449</v>
      </c>
      <c r="AC1823" s="595">
        <v>48251.49</v>
      </c>
      <c r="AD1823" s="596" t="s">
        <v>395</v>
      </c>
      <c r="AE1823" s="595">
        <v>134.5</v>
      </c>
      <c r="AF1823" s="597">
        <f t="shared" si="116"/>
        <v>9.9182420555898876E-3</v>
      </c>
      <c r="AG1823" s="597">
        <f t="shared" si="117"/>
        <v>4.4629574531396266E-4</v>
      </c>
    </row>
    <row r="1824" spans="13:33" x14ac:dyDescent="0.35">
      <c r="M1824" s="555">
        <v>44362</v>
      </c>
      <c r="N1824" s="543" t="s">
        <v>449</v>
      </c>
      <c r="O1824" s="543">
        <v>48632.56</v>
      </c>
      <c r="P1824" s="73" t="s">
        <v>431</v>
      </c>
      <c r="Q1824" s="158">
        <v>26.7</v>
      </c>
      <c r="R1824" s="563">
        <f t="shared" si="114"/>
        <v>-1.9193007112413563E-3</v>
      </c>
      <c r="S1824" s="563">
        <f t="shared" si="115"/>
        <v>-2.6613197229310992E-2</v>
      </c>
      <c r="AA1824" s="594">
        <v>44358</v>
      </c>
      <c r="AB1824" s="595" t="s">
        <v>449</v>
      </c>
      <c r="AC1824" s="595">
        <v>48304.72</v>
      </c>
      <c r="AD1824" s="596" t="s">
        <v>395</v>
      </c>
      <c r="AE1824" s="595">
        <v>133.01</v>
      </c>
      <c r="AF1824" s="597">
        <f t="shared" si="116"/>
        <v>1.1031783681707541E-3</v>
      </c>
      <c r="AG1824" s="597">
        <f t="shared" si="117"/>
        <v>-1.1078066914498197E-2</v>
      </c>
    </row>
    <row r="1825" spans="13:33" x14ac:dyDescent="0.35">
      <c r="M1825" s="555">
        <v>44363</v>
      </c>
      <c r="N1825" s="543" t="s">
        <v>449</v>
      </c>
      <c r="O1825" s="543">
        <v>48480.9</v>
      </c>
      <c r="P1825" s="73" t="s">
        <v>431</v>
      </c>
      <c r="Q1825" s="158">
        <v>25.75</v>
      </c>
      <c r="R1825" s="563">
        <f t="shared" si="114"/>
        <v>-3.1184868738145521E-3</v>
      </c>
      <c r="S1825" s="563">
        <f t="shared" si="115"/>
        <v>-3.5580524344569264E-2</v>
      </c>
      <c r="AA1825" s="594">
        <v>44361</v>
      </c>
      <c r="AB1825" s="595" t="s">
        <v>449</v>
      </c>
      <c r="AC1825" s="595">
        <v>48726.080000000002</v>
      </c>
      <c r="AD1825" s="596" t="s">
        <v>395</v>
      </c>
      <c r="AE1825" s="595">
        <v>135</v>
      </c>
      <c r="AF1825" s="597">
        <f t="shared" si="116"/>
        <v>8.7229570940479118E-3</v>
      </c>
      <c r="AG1825" s="597">
        <f t="shared" si="117"/>
        <v>1.496128110668371E-2</v>
      </c>
    </row>
    <row r="1826" spans="13:33" x14ac:dyDescent="0.35">
      <c r="M1826" s="555">
        <v>44364</v>
      </c>
      <c r="N1826" s="543" t="s">
        <v>449</v>
      </c>
      <c r="O1826" s="543">
        <v>48157.63</v>
      </c>
      <c r="P1826" s="73" t="s">
        <v>431</v>
      </c>
      <c r="Q1826" s="158">
        <v>25.41</v>
      </c>
      <c r="R1826" s="563">
        <f t="shared" si="114"/>
        <v>-6.6679867741730181E-3</v>
      </c>
      <c r="S1826" s="563">
        <f t="shared" si="115"/>
        <v>-1.3203883495145674E-2</v>
      </c>
      <c r="AA1826" s="594">
        <v>44362</v>
      </c>
      <c r="AB1826" s="595" t="s">
        <v>449</v>
      </c>
      <c r="AC1826" s="595">
        <v>48632.56</v>
      </c>
      <c r="AD1826" s="596" t="s">
        <v>395</v>
      </c>
      <c r="AE1826" s="595">
        <v>133.28</v>
      </c>
      <c r="AF1826" s="597">
        <f t="shared" si="116"/>
        <v>-1.9193007112413563E-3</v>
      </c>
      <c r="AG1826" s="597">
        <f t="shared" si="117"/>
        <v>-1.2740740740740719E-2</v>
      </c>
    </row>
    <row r="1827" spans="13:33" x14ac:dyDescent="0.35">
      <c r="M1827" s="555">
        <v>44365</v>
      </c>
      <c r="N1827" s="543" t="s">
        <v>449</v>
      </c>
      <c r="O1827" s="543">
        <v>48238.67</v>
      </c>
      <c r="P1827" s="73" t="s">
        <v>431</v>
      </c>
      <c r="Q1827" s="158">
        <v>26.18</v>
      </c>
      <c r="R1827" s="563">
        <f t="shared" si="114"/>
        <v>1.6828070650487525E-3</v>
      </c>
      <c r="S1827" s="563">
        <f t="shared" si="115"/>
        <v>3.0303030303030276E-2</v>
      </c>
      <c r="AA1827" s="594">
        <v>44363</v>
      </c>
      <c r="AB1827" s="595" t="s">
        <v>449</v>
      </c>
      <c r="AC1827" s="595">
        <v>48480.9</v>
      </c>
      <c r="AD1827" s="596" t="s">
        <v>395</v>
      </c>
      <c r="AE1827" s="595">
        <v>137.19</v>
      </c>
      <c r="AF1827" s="597">
        <f t="shared" si="116"/>
        <v>-3.1184868738145521E-3</v>
      </c>
      <c r="AG1827" s="597">
        <f t="shared" si="117"/>
        <v>2.9336734693877542E-2</v>
      </c>
    </row>
    <row r="1828" spans="13:33" x14ac:dyDescent="0.35">
      <c r="M1828" s="555">
        <v>44368</v>
      </c>
      <c r="N1828" s="543" t="s">
        <v>449</v>
      </c>
      <c r="O1828" s="543">
        <v>48012.52</v>
      </c>
      <c r="P1828" s="73" t="s">
        <v>431</v>
      </c>
      <c r="Q1828" s="158">
        <v>25.7</v>
      </c>
      <c r="R1828" s="563">
        <f t="shared" si="114"/>
        <v>-4.688147496603845E-3</v>
      </c>
      <c r="S1828" s="563">
        <f t="shared" si="115"/>
        <v>-1.8334606569900713E-2</v>
      </c>
      <c r="AA1828" s="594">
        <v>44364</v>
      </c>
      <c r="AB1828" s="595" t="s">
        <v>449</v>
      </c>
      <c r="AC1828" s="595">
        <v>48157.63</v>
      </c>
      <c r="AD1828" s="596" t="s">
        <v>395</v>
      </c>
      <c r="AE1828" s="595">
        <v>135.5</v>
      </c>
      <c r="AF1828" s="597">
        <f t="shared" si="116"/>
        <v>-6.6679867741730181E-3</v>
      </c>
      <c r="AG1828" s="597">
        <f t="shared" si="117"/>
        <v>-1.2318682119688007E-2</v>
      </c>
    </row>
    <row r="1829" spans="13:33" x14ac:dyDescent="0.35">
      <c r="M1829" s="555">
        <v>44369</v>
      </c>
      <c r="N1829" s="543" t="s">
        <v>449</v>
      </c>
      <c r="O1829" s="543">
        <v>47987.14</v>
      </c>
      <c r="P1829" s="73" t="s">
        <v>431</v>
      </c>
      <c r="Q1829" s="158">
        <v>25.6</v>
      </c>
      <c r="R1829" s="563">
        <f t="shared" si="114"/>
        <v>-5.2861212033861182E-4</v>
      </c>
      <c r="S1829" s="563">
        <f t="shared" si="115"/>
        <v>-3.8910505836574627E-3</v>
      </c>
      <c r="AA1829" s="594">
        <v>44365</v>
      </c>
      <c r="AB1829" s="595" t="s">
        <v>449</v>
      </c>
      <c r="AC1829" s="595">
        <v>48238.67</v>
      </c>
      <c r="AD1829" s="596" t="s">
        <v>395</v>
      </c>
      <c r="AE1829" s="595">
        <v>136.69999999999999</v>
      </c>
      <c r="AF1829" s="597">
        <f t="shared" si="116"/>
        <v>1.6828070650487525E-3</v>
      </c>
      <c r="AG1829" s="597">
        <f t="shared" si="117"/>
        <v>8.8560885608854889E-3</v>
      </c>
    </row>
    <row r="1830" spans="13:33" x14ac:dyDescent="0.35">
      <c r="M1830" s="555">
        <v>44370</v>
      </c>
      <c r="N1830" s="543" t="s">
        <v>449</v>
      </c>
      <c r="O1830" s="543">
        <v>47900.7</v>
      </c>
      <c r="P1830" s="73" t="s">
        <v>431</v>
      </c>
      <c r="Q1830" s="158">
        <v>25.72</v>
      </c>
      <c r="R1830" s="563">
        <f t="shared" si="114"/>
        <v>-1.8013159358944986E-3</v>
      </c>
      <c r="S1830" s="563">
        <f t="shared" si="115"/>
        <v>4.6874999999999556E-3</v>
      </c>
      <c r="AA1830" s="594">
        <v>44368</v>
      </c>
      <c r="AB1830" s="595" t="s">
        <v>449</v>
      </c>
      <c r="AC1830" s="595">
        <v>48012.52</v>
      </c>
      <c r="AD1830" s="596" t="s">
        <v>395</v>
      </c>
      <c r="AE1830" s="595">
        <v>135.38</v>
      </c>
      <c r="AF1830" s="597">
        <f t="shared" si="116"/>
        <v>-4.688147496603845E-3</v>
      </c>
      <c r="AG1830" s="597">
        <f t="shared" si="117"/>
        <v>-9.6561814191660211E-3</v>
      </c>
    </row>
    <row r="1831" spans="13:33" x14ac:dyDescent="0.35">
      <c r="M1831" s="555">
        <v>44371</v>
      </c>
      <c r="N1831" s="543" t="s">
        <v>449</v>
      </c>
      <c r="O1831" s="543">
        <v>47962.54</v>
      </c>
      <c r="P1831" s="73" t="s">
        <v>431</v>
      </c>
      <c r="Q1831" s="158">
        <v>25.33</v>
      </c>
      <c r="R1831" s="563">
        <f t="shared" si="114"/>
        <v>1.2910040980613768E-3</v>
      </c>
      <c r="S1831" s="563">
        <f t="shared" si="115"/>
        <v>-1.516329704510111E-2</v>
      </c>
      <c r="AA1831" s="594">
        <v>44369</v>
      </c>
      <c r="AB1831" s="595" t="s">
        <v>449</v>
      </c>
      <c r="AC1831" s="595">
        <v>47987.14</v>
      </c>
      <c r="AD1831" s="596" t="s">
        <v>395</v>
      </c>
      <c r="AE1831" s="595">
        <v>137.13999999999999</v>
      </c>
      <c r="AF1831" s="597">
        <f t="shared" si="116"/>
        <v>-5.2861212033861182E-4</v>
      </c>
      <c r="AG1831" s="597">
        <f t="shared" si="117"/>
        <v>1.3000443196927058E-2</v>
      </c>
    </row>
    <row r="1832" spans="13:33" x14ac:dyDescent="0.35">
      <c r="M1832" s="555">
        <v>44372</v>
      </c>
      <c r="N1832" s="543" t="s">
        <v>449</v>
      </c>
      <c r="O1832" s="543">
        <v>47603.360000000001</v>
      </c>
      <c r="P1832" s="73" t="s">
        <v>431</v>
      </c>
      <c r="Q1832" s="158">
        <v>25.02</v>
      </c>
      <c r="R1832" s="563">
        <f t="shared" si="114"/>
        <v>-7.4887610205798261E-3</v>
      </c>
      <c r="S1832" s="563">
        <f t="shared" si="115"/>
        <v>-1.2238452427950963E-2</v>
      </c>
      <c r="AA1832" s="594">
        <v>44370</v>
      </c>
      <c r="AB1832" s="595" t="s">
        <v>449</v>
      </c>
      <c r="AC1832" s="595">
        <v>47900.7</v>
      </c>
      <c r="AD1832" s="596" t="s">
        <v>395</v>
      </c>
      <c r="AE1832" s="595">
        <v>140.85</v>
      </c>
      <c r="AF1832" s="597">
        <f t="shared" si="116"/>
        <v>-1.8013159358944986E-3</v>
      </c>
      <c r="AG1832" s="597">
        <f t="shared" si="117"/>
        <v>2.7052646930144419E-2</v>
      </c>
    </row>
    <row r="1833" spans="13:33" x14ac:dyDescent="0.35">
      <c r="M1833" s="555">
        <v>44375</v>
      </c>
      <c r="N1833" s="543" t="s">
        <v>449</v>
      </c>
      <c r="O1833" s="543">
        <v>47002.35</v>
      </c>
      <c r="P1833" s="73" t="s">
        <v>431</v>
      </c>
      <c r="Q1833" s="158">
        <v>24.28</v>
      </c>
      <c r="R1833" s="563">
        <f t="shared" si="114"/>
        <v>-1.2625369301662803E-2</v>
      </c>
      <c r="S1833" s="563">
        <f t="shared" si="115"/>
        <v>-2.9576338928856805E-2</v>
      </c>
      <c r="AA1833" s="594">
        <v>44371</v>
      </c>
      <c r="AB1833" s="595" t="s">
        <v>449</v>
      </c>
      <c r="AC1833" s="595">
        <v>47962.54</v>
      </c>
      <c r="AD1833" s="596" t="s">
        <v>395</v>
      </c>
      <c r="AE1833" s="595">
        <v>139.94</v>
      </c>
      <c r="AF1833" s="597">
        <f t="shared" si="116"/>
        <v>1.2910040980613768E-3</v>
      </c>
      <c r="AG1833" s="597">
        <f t="shared" si="117"/>
        <v>-6.4607738729144382E-3</v>
      </c>
    </row>
    <row r="1834" spans="13:33" x14ac:dyDescent="0.35">
      <c r="M1834" s="555">
        <v>44376</v>
      </c>
      <c r="N1834" s="543" t="s">
        <v>449</v>
      </c>
      <c r="O1834" s="543">
        <v>47137.77</v>
      </c>
      <c r="P1834" s="73" t="s">
        <v>431</v>
      </c>
      <c r="Q1834" s="158">
        <v>24.32</v>
      </c>
      <c r="R1834" s="563">
        <f t="shared" si="114"/>
        <v>2.8811325391175924E-3</v>
      </c>
      <c r="S1834" s="563">
        <f t="shared" si="115"/>
        <v>1.6474464579900872E-3</v>
      </c>
      <c r="AA1834" s="594">
        <v>44372</v>
      </c>
      <c r="AB1834" s="595" t="s">
        <v>449</v>
      </c>
      <c r="AC1834" s="595">
        <v>47603.360000000001</v>
      </c>
      <c r="AD1834" s="596" t="s">
        <v>395</v>
      </c>
      <c r="AE1834" s="595">
        <v>139.52000000000001</v>
      </c>
      <c r="AF1834" s="597">
        <f t="shared" si="116"/>
        <v>-7.4887610205798261E-3</v>
      </c>
      <c r="AG1834" s="597">
        <f t="shared" si="117"/>
        <v>-3.0012862655423023E-3</v>
      </c>
    </row>
    <row r="1835" spans="13:33" x14ac:dyDescent="0.35">
      <c r="M1835" s="555">
        <v>44377</v>
      </c>
      <c r="N1835" s="543" t="s">
        <v>449</v>
      </c>
      <c r="O1835" s="543">
        <v>47356.02</v>
      </c>
      <c r="P1835" s="73" t="s">
        <v>431</v>
      </c>
      <c r="Q1835" s="158">
        <v>24.61</v>
      </c>
      <c r="R1835" s="563">
        <f t="shared" si="114"/>
        <v>4.630045078500844E-3</v>
      </c>
      <c r="S1835" s="563">
        <f t="shared" si="115"/>
        <v>1.1924342105263053E-2</v>
      </c>
      <c r="AA1835" s="594">
        <v>44375</v>
      </c>
      <c r="AB1835" s="595" t="s">
        <v>449</v>
      </c>
      <c r="AC1835" s="595">
        <v>47002.35</v>
      </c>
      <c r="AD1835" s="596" t="s">
        <v>395</v>
      </c>
      <c r="AE1835" s="595">
        <v>139.58000000000001</v>
      </c>
      <c r="AF1835" s="597">
        <f t="shared" si="116"/>
        <v>-1.2625369301662803E-2</v>
      </c>
      <c r="AG1835" s="597">
        <f t="shared" si="117"/>
        <v>4.3004587155959229E-4</v>
      </c>
    </row>
    <row r="1836" spans="13:33" x14ac:dyDescent="0.35">
      <c r="M1836" s="555">
        <v>44378</v>
      </c>
      <c r="N1836" s="543" t="s">
        <v>449</v>
      </c>
      <c r="O1836" s="543">
        <v>47800.57</v>
      </c>
      <c r="P1836" s="73" t="s">
        <v>431</v>
      </c>
      <c r="Q1836" s="158">
        <v>24.83</v>
      </c>
      <c r="R1836" s="563">
        <f t="shared" si="114"/>
        <v>9.3874020663053948E-3</v>
      </c>
      <c r="S1836" s="563">
        <f t="shared" si="115"/>
        <v>8.9394555058919245E-3</v>
      </c>
      <c r="AA1836" s="594">
        <v>44376</v>
      </c>
      <c r="AB1836" s="595" t="s">
        <v>449</v>
      </c>
      <c r="AC1836" s="595">
        <v>47137.77</v>
      </c>
      <c r="AD1836" s="596" t="s">
        <v>395</v>
      </c>
      <c r="AE1836" s="595">
        <v>138.19</v>
      </c>
      <c r="AF1836" s="597">
        <f t="shared" si="116"/>
        <v>2.8811325391175924E-3</v>
      </c>
      <c r="AG1836" s="597">
        <f t="shared" si="117"/>
        <v>-9.9584467688781375E-3</v>
      </c>
    </row>
    <row r="1837" spans="13:33" x14ac:dyDescent="0.35">
      <c r="M1837" s="555">
        <v>44379</v>
      </c>
      <c r="N1837" s="543" t="s">
        <v>449</v>
      </c>
      <c r="O1837" s="543">
        <v>47686.18</v>
      </c>
      <c r="P1837" s="73" t="s">
        <v>431</v>
      </c>
      <c r="Q1837" s="158">
        <v>24.63</v>
      </c>
      <c r="R1837" s="563">
        <f t="shared" si="114"/>
        <v>-2.3930676977282905E-3</v>
      </c>
      <c r="S1837" s="563">
        <f t="shared" si="115"/>
        <v>-8.0547724526781606E-3</v>
      </c>
      <c r="AA1837" s="594">
        <v>44377</v>
      </c>
      <c r="AB1837" s="595" t="s">
        <v>449</v>
      </c>
      <c r="AC1837" s="595">
        <v>47356.02</v>
      </c>
      <c r="AD1837" s="596" t="s">
        <v>395</v>
      </c>
      <c r="AE1837" s="595">
        <v>138.19999999999999</v>
      </c>
      <c r="AF1837" s="597">
        <f t="shared" si="116"/>
        <v>4.630045078500844E-3</v>
      </c>
      <c r="AG1837" s="597">
        <f t="shared" si="117"/>
        <v>7.2364136334046592E-5</v>
      </c>
    </row>
    <row r="1838" spans="13:33" x14ac:dyDescent="0.35">
      <c r="M1838" s="555">
        <v>44382</v>
      </c>
      <c r="N1838" s="543" t="s">
        <v>449</v>
      </c>
      <c r="O1838" s="543">
        <v>47429.120000000003</v>
      </c>
      <c r="P1838" s="73" t="s">
        <v>431</v>
      </c>
      <c r="Q1838" s="158">
        <v>24.38</v>
      </c>
      <c r="R1838" s="563">
        <f t="shared" si="114"/>
        <v>-5.3906603548449228E-3</v>
      </c>
      <c r="S1838" s="563">
        <f t="shared" si="115"/>
        <v>-1.0150223304912664E-2</v>
      </c>
      <c r="AA1838" s="594">
        <v>44378</v>
      </c>
      <c r="AB1838" s="595" t="s">
        <v>449</v>
      </c>
      <c r="AC1838" s="595">
        <v>47800.57</v>
      </c>
      <c r="AD1838" s="596" t="s">
        <v>395</v>
      </c>
      <c r="AE1838" s="595">
        <v>140.35</v>
      </c>
      <c r="AF1838" s="597">
        <f t="shared" si="116"/>
        <v>9.3874020663053948E-3</v>
      </c>
      <c r="AG1838" s="597">
        <f t="shared" si="117"/>
        <v>1.5557163531114471E-2</v>
      </c>
    </row>
    <row r="1839" spans="13:33" x14ac:dyDescent="0.35">
      <c r="M1839" s="555">
        <v>44383</v>
      </c>
      <c r="N1839" s="543" t="s">
        <v>449</v>
      </c>
      <c r="O1839" s="543">
        <v>47346.16</v>
      </c>
      <c r="P1839" s="73" t="s">
        <v>431</v>
      </c>
      <c r="Q1839" s="158">
        <v>23.7</v>
      </c>
      <c r="R1839" s="563">
        <f t="shared" si="114"/>
        <v>-1.7491363955308703E-3</v>
      </c>
      <c r="S1839" s="563">
        <f t="shared" si="115"/>
        <v>-2.7891714520098421E-2</v>
      </c>
      <c r="AA1839" s="594">
        <v>44379</v>
      </c>
      <c r="AB1839" s="595" t="s">
        <v>449</v>
      </c>
      <c r="AC1839" s="595">
        <v>47686.18</v>
      </c>
      <c r="AD1839" s="596" t="s">
        <v>395</v>
      </c>
      <c r="AE1839" s="595">
        <v>139.9</v>
      </c>
      <c r="AF1839" s="597">
        <f t="shared" si="116"/>
        <v>-2.3930676977282905E-3</v>
      </c>
      <c r="AG1839" s="597">
        <f t="shared" si="117"/>
        <v>-3.2062700391876087E-3</v>
      </c>
    </row>
    <row r="1840" spans="13:33" x14ac:dyDescent="0.35">
      <c r="M1840" s="555">
        <v>44384</v>
      </c>
      <c r="N1840" s="543" t="s">
        <v>449</v>
      </c>
      <c r="O1840" s="543">
        <v>47247.92</v>
      </c>
      <c r="P1840" s="73" t="s">
        <v>431</v>
      </c>
      <c r="Q1840" s="158">
        <v>23.73</v>
      </c>
      <c r="R1840" s="563">
        <f t="shared" si="114"/>
        <v>-2.0749306807564816E-3</v>
      </c>
      <c r="S1840" s="563">
        <f t="shared" si="115"/>
        <v>1.2658227848101333E-3</v>
      </c>
      <c r="AA1840" s="594">
        <v>44382</v>
      </c>
      <c r="AB1840" s="595" t="s">
        <v>449</v>
      </c>
      <c r="AC1840" s="595">
        <v>47429.120000000003</v>
      </c>
      <c r="AD1840" s="596" t="s">
        <v>395</v>
      </c>
      <c r="AE1840" s="595">
        <v>138.36000000000001</v>
      </c>
      <c r="AF1840" s="597">
        <f t="shared" si="116"/>
        <v>-5.3906603548449228E-3</v>
      </c>
      <c r="AG1840" s="597">
        <f t="shared" si="117"/>
        <v>-1.1007862759113585E-2</v>
      </c>
    </row>
    <row r="1841" spans="13:33" x14ac:dyDescent="0.35">
      <c r="M1841" s="555">
        <v>44385</v>
      </c>
      <c r="N1841" s="543" t="s">
        <v>449</v>
      </c>
      <c r="O1841" s="543">
        <v>48053.17</v>
      </c>
      <c r="P1841" s="73" t="s">
        <v>431</v>
      </c>
      <c r="Q1841" s="158">
        <v>24.13</v>
      </c>
      <c r="R1841" s="563">
        <f t="shared" si="114"/>
        <v>1.704307829847318E-2</v>
      </c>
      <c r="S1841" s="563">
        <f t="shared" si="115"/>
        <v>1.6856300042140671E-2</v>
      </c>
      <c r="AA1841" s="594">
        <v>44383</v>
      </c>
      <c r="AB1841" s="595" t="s">
        <v>449</v>
      </c>
      <c r="AC1841" s="595">
        <v>47346.16</v>
      </c>
      <c r="AD1841" s="596" t="s">
        <v>395</v>
      </c>
      <c r="AE1841" s="595">
        <v>136.44</v>
      </c>
      <c r="AF1841" s="597">
        <f t="shared" si="116"/>
        <v>-1.7491363955308703E-3</v>
      </c>
      <c r="AG1841" s="597">
        <f t="shared" si="117"/>
        <v>-1.3876843018213458E-2</v>
      </c>
    </row>
    <row r="1842" spans="13:33" x14ac:dyDescent="0.35">
      <c r="M1842" s="555">
        <v>44386</v>
      </c>
      <c r="N1842" s="543" t="s">
        <v>449</v>
      </c>
      <c r="O1842" s="543">
        <v>47563.45</v>
      </c>
      <c r="P1842" s="73" t="s">
        <v>431</v>
      </c>
      <c r="Q1842" s="158">
        <v>23.86</v>
      </c>
      <c r="R1842" s="563">
        <f t="shared" si="114"/>
        <v>-1.0191211110526122E-2</v>
      </c>
      <c r="S1842" s="563">
        <f t="shared" si="115"/>
        <v>-1.1189390799834165E-2</v>
      </c>
      <c r="AA1842" s="594">
        <v>44384</v>
      </c>
      <c r="AB1842" s="595" t="s">
        <v>449</v>
      </c>
      <c r="AC1842" s="595">
        <v>47247.92</v>
      </c>
      <c r="AD1842" s="596" t="s">
        <v>395</v>
      </c>
      <c r="AE1842" s="595">
        <v>135.68</v>
      </c>
      <c r="AF1842" s="597">
        <f t="shared" si="116"/>
        <v>-2.0749306807564816E-3</v>
      </c>
      <c r="AG1842" s="597">
        <f t="shared" si="117"/>
        <v>-5.5702140134856748E-3</v>
      </c>
    </row>
    <row r="1843" spans="13:33" x14ac:dyDescent="0.35">
      <c r="M1843" s="555">
        <v>44389</v>
      </c>
      <c r="N1843" s="543" t="s">
        <v>449</v>
      </c>
      <c r="O1843" s="543">
        <v>47447.08</v>
      </c>
      <c r="P1843" s="73" t="s">
        <v>431</v>
      </c>
      <c r="Q1843" s="158">
        <v>23.8</v>
      </c>
      <c r="R1843" s="563">
        <f t="shared" si="114"/>
        <v>-2.4466265588386493E-3</v>
      </c>
      <c r="S1843" s="563">
        <f t="shared" si="115"/>
        <v>-2.5146689019278634E-3</v>
      </c>
      <c r="AA1843" s="594">
        <v>44385</v>
      </c>
      <c r="AB1843" s="595" t="s">
        <v>449</v>
      </c>
      <c r="AC1843" s="595">
        <v>48053.17</v>
      </c>
      <c r="AD1843" s="596" t="s">
        <v>395</v>
      </c>
      <c r="AE1843" s="595">
        <v>136.66</v>
      </c>
      <c r="AF1843" s="597">
        <f t="shared" si="116"/>
        <v>1.704307829847318E-2</v>
      </c>
      <c r="AG1843" s="597">
        <f t="shared" si="117"/>
        <v>7.222877358490587E-3</v>
      </c>
    </row>
    <row r="1844" spans="13:33" x14ac:dyDescent="0.35">
      <c r="M1844" s="555">
        <v>44390</v>
      </c>
      <c r="N1844" s="543" t="s">
        <v>449</v>
      </c>
      <c r="O1844" s="543">
        <v>47480.49</v>
      </c>
      <c r="P1844" s="73" t="s">
        <v>431</v>
      </c>
      <c r="Q1844" s="158">
        <v>23.64</v>
      </c>
      <c r="R1844" s="563">
        <f t="shared" si="114"/>
        <v>7.041529215285891E-4</v>
      </c>
      <c r="S1844" s="563">
        <f t="shared" si="115"/>
        <v>-6.7226890756302282E-3</v>
      </c>
      <c r="AA1844" s="594">
        <v>44386</v>
      </c>
      <c r="AB1844" s="595" t="s">
        <v>449</v>
      </c>
      <c r="AC1844" s="595">
        <v>47563.45</v>
      </c>
      <c r="AD1844" s="596" t="s">
        <v>395</v>
      </c>
      <c r="AE1844" s="595">
        <v>138</v>
      </c>
      <c r="AF1844" s="597">
        <f t="shared" si="116"/>
        <v>-1.0191211110526122E-2</v>
      </c>
      <c r="AG1844" s="597">
        <f t="shared" si="117"/>
        <v>9.8053563588467174E-3</v>
      </c>
    </row>
    <row r="1845" spans="13:33" x14ac:dyDescent="0.35">
      <c r="M1845" s="555">
        <v>44391</v>
      </c>
      <c r="N1845" s="543" t="s">
        <v>449</v>
      </c>
      <c r="O1845" s="543">
        <v>47491.47</v>
      </c>
      <c r="P1845" s="73" t="s">
        <v>431</v>
      </c>
      <c r="Q1845" s="158">
        <v>23.79</v>
      </c>
      <c r="R1845" s="563">
        <f t="shared" si="114"/>
        <v>2.3125287881398116E-4</v>
      </c>
      <c r="S1845" s="563">
        <f t="shared" si="115"/>
        <v>6.345177664974555E-3</v>
      </c>
      <c r="AA1845" s="594">
        <v>44389</v>
      </c>
      <c r="AB1845" s="595" t="s">
        <v>449</v>
      </c>
      <c r="AC1845" s="595">
        <v>47447.08</v>
      </c>
      <c r="AD1845" s="596" t="s">
        <v>395</v>
      </c>
      <c r="AE1845" s="595">
        <v>136.94999999999999</v>
      </c>
      <c r="AF1845" s="597">
        <f t="shared" si="116"/>
        <v>-2.4466265588386493E-3</v>
      </c>
      <c r="AG1845" s="597">
        <f t="shared" si="117"/>
        <v>-7.6086956521740357E-3</v>
      </c>
    </row>
    <row r="1846" spans="13:33" x14ac:dyDescent="0.35">
      <c r="M1846" s="555">
        <v>44392</v>
      </c>
      <c r="N1846" s="543" t="s">
        <v>449</v>
      </c>
      <c r="O1846" s="543">
        <v>47628.26</v>
      </c>
      <c r="P1846" s="73" t="s">
        <v>431</v>
      </c>
      <c r="Q1846" s="158">
        <v>23.83</v>
      </c>
      <c r="R1846" s="563">
        <f t="shared" si="114"/>
        <v>2.8803067161324858E-3</v>
      </c>
      <c r="S1846" s="563">
        <f t="shared" si="115"/>
        <v>1.6813787305589578E-3</v>
      </c>
      <c r="AA1846" s="594">
        <v>44390</v>
      </c>
      <c r="AB1846" s="595" t="s">
        <v>449</v>
      </c>
      <c r="AC1846" s="595">
        <v>47480.49</v>
      </c>
      <c r="AD1846" s="596" t="s">
        <v>395</v>
      </c>
      <c r="AE1846" s="595">
        <v>136.1</v>
      </c>
      <c r="AF1846" s="597">
        <f t="shared" si="116"/>
        <v>7.041529215285891E-4</v>
      </c>
      <c r="AG1846" s="597">
        <f t="shared" si="117"/>
        <v>-6.2066447608616349E-3</v>
      </c>
    </row>
    <row r="1847" spans="13:33" x14ac:dyDescent="0.35">
      <c r="M1847" s="555">
        <v>44393</v>
      </c>
      <c r="N1847" s="543" t="s">
        <v>449</v>
      </c>
      <c r="O1847" s="543">
        <v>47834.33</v>
      </c>
      <c r="P1847" s="73" t="s">
        <v>431</v>
      </c>
      <c r="Q1847" s="158">
        <v>24.05</v>
      </c>
      <c r="R1847" s="563">
        <f t="shared" si="114"/>
        <v>4.3266329695856864E-3</v>
      </c>
      <c r="S1847" s="563">
        <f t="shared" si="115"/>
        <v>9.2320604280320406E-3</v>
      </c>
      <c r="AA1847" s="594">
        <v>44391</v>
      </c>
      <c r="AB1847" s="595" t="s">
        <v>449</v>
      </c>
      <c r="AC1847" s="595">
        <v>47491.47</v>
      </c>
      <c r="AD1847" s="596" t="s">
        <v>395</v>
      </c>
      <c r="AE1847" s="595">
        <v>135.03</v>
      </c>
      <c r="AF1847" s="597">
        <f t="shared" si="116"/>
        <v>2.3125287881398116E-4</v>
      </c>
      <c r="AG1847" s="597">
        <f t="shared" si="117"/>
        <v>-7.8618662747979018E-3</v>
      </c>
    </row>
    <row r="1848" spans="13:33" x14ac:dyDescent="0.35">
      <c r="M1848" s="555">
        <v>44396</v>
      </c>
      <c r="N1848" s="543" t="s">
        <v>449</v>
      </c>
      <c r="O1848" s="543">
        <v>47873.26</v>
      </c>
      <c r="P1848" s="73" t="s">
        <v>431</v>
      </c>
      <c r="Q1848" s="158">
        <v>24.35</v>
      </c>
      <c r="R1848" s="563">
        <f t="shared" si="114"/>
        <v>8.1385063823402604E-4</v>
      </c>
      <c r="S1848" s="563">
        <f t="shared" si="115"/>
        <v>1.2474012474012586E-2</v>
      </c>
      <c r="AA1848" s="594">
        <v>44392</v>
      </c>
      <c r="AB1848" s="595" t="s">
        <v>449</v>
      </c>
      <c r="AC1848" s="595">
        <v>47628.26</v>
      </c>
      <c r="AD1848" s="596" t="s">
        <v>395</v>
      </c>
      <c r="AE1848" s="595">
        <v>135.5</v>
      </c>
      <c r="AF1848" s="597">
        <f t="shared" si="116"/>
        <v>2.8803067161324858E-3</v>
      </c>
      <c r="AG1848" s="597">
        <f t="shared" si="117"/>
        <v>3.4807079908167893E-3</v>
      </c>
    </row>
    <row r="1849" spans="13:33" x14ac:dyDescent="0.35">
      <c r="M1849" s="555">
        <v>44400</v>
      </c>
      <c r="N1849" s="543" t="s">
        <v>449</v>
      </c>
      <c r="O1849" s="543">
        <v>47793.07</v>
      </c>
      <c r="P1849" s="73" t="s">
        <v>431</v>
      </c>
      <c r="Q1849" s="158">
        <v>23.83</v>
      </c>
      <c r="R1849" s="563">
        <f t="shared" si="114"/>
        <v>-1.6750478241924771E-3</v>
      </c>
      <c r="S1849" s="563">
        <f t="shared" si="115"/>
        <v>-2.1355236139630529E-2</v>
      </c>
      <c r="AA1849" s="594">
        <v>44393</v>
      </c>
      <c r="AB1849" s="595" t="s">
        <v>449</v>
      </c>
      <c r="AC1849" s="595">
        <v>47834.33</v>
      </c>
      <c r="AD1849" s="596" t="s">
        <v>395</v>
      </c>
      <c r="AE1849" s="595">
        <v>135.79</v>
      </c>
      <c r="AF1849" s="597">
        <f t="shared" si="116"/>
        <v>4.3266329695856864E-3</v>
      </c>
      <c r="AG1849" s="597">
        <f t="shared" si="117"/>
        <v>2.1402214022139265E-3</v>
      </c>
    </row>
    <row r="1850" spans="13:33" x14ac:dyDescent="0.35">
      <c r="M1850" s="555">
        <v>44403</v>
      </c>
      <c r="N1850" s="543" t="s">
        <v>449</v>
      </c>
      <c r="O1850" s="543">
        <v>47672.68</v>
      </c>
      <c r="P1850" s="73" t="s">
        <v>431</v>
      </c>
      <c r="Q1850" s="158">
        <v>24.06</v>
      </c>
      <c r="R1850" s="563">
        <f t="shared" si="114"/>
        <v>-2.5189844469083456E-3</v>
      </c>
      <c r="S1850" s="563">
        <f t="shared" si="115"/>
        <v>9.6516995383970627E-3</v>
      </c>
      <c r="AA1850" s="594">
        <v>44396</v>
      </c>
      <c r="AB1850" s="595" t="s">
        <v>449</v>
      </c>
      <c r="AC1850" s="595">
        <v>47873.26</v>
      </c>
      <c r="AD1850" s="596" t="s">
        <v>395</v>
      </c>
      <c r="AE1850" s="595">
        <v>135.75</v>
      </c>
      <c r="AF1850" s="597">
        <f t="shared" si="116"/>
        <v>8.1385063823402604E-4</v>
      </c>
      <c r="AG1850" s="597">
        <f t="shared" si="117"/>
        <v>-2.9457250165687565E-4</v>
      </c>
    </row>
    <row r="1851" spans="13:33" x14ac:dyDescent="0.35">
      <c r="M1851" s="555">
        <v>44404</v>
      </c>
      <c r="N1851" s="543" t="s">
        <v>449</v>
      </c>
      <c r="O1851" s="543">
        <v>47686.99</v>
      </c>
      <c r="P1851" s="73" t="s">
        <v>431</v>
      </c>
      <c r="Q1851" s="158">
        <v>23.68</v>
      </c>
      <c r="R1851" s="563">
        <f t="shared" si="114"/>
        <v>3.0017192236719836E-4</v>
      </c>
      <c r="S1851" s="563">
        <f t="shared" si="115"/>
        <v>-1.5793848711554426E-2</v>
      </c>
      <c r="AA1851" s="594">
        <v>44400</v>
      </c>
      <c r="AB1851" s="595" t="s">
        <v>449</v>
      </c>
      <c r="AC1851" s="595">
        <v>47793.07</v>
      </c>
      <c r="AD1851" s="596" t="s">
        <v>395</v>
      </c>
      <c r="AE1851" s="595">
        <v>136.33000000000001</v>
      </c>
      <c r="AF1851" s="597">
        <f t="shared" si="116"/>
        <v>-1.6750478241924771E-3</v>
      </c>
      <c r="AG1851" s="597">
        <f t="shared" si="117"/>
        <v>4.2725598526704989E-3</v>
      </c>
    </row>
    <row r="1852" spans="13:33" x14ac:dyDescent="0.35">
      <c r="M1852" s="555">
        <v>44405</v>
      </c>
      <c r="N1852" s="543" t="s">
        <v>449</v>
      </c>
      <c r="O1852" s="543">
        <v>47318.03</v>
      </c>
      <c r="P1852" s="73" t="s">
        <v>431</v>
      </c>
      <c r="Q1852" s="158">
        <v>23.07</v>
      </c>
      <c r="R1852" s="563">
        <f t="shared" si="114"/>
        <v>-7.7371207534800979E-3</v>
      </c>
      <c r="S1852" s="563">
        <f t="shared" si="115"/>
        <v>-2.5760135135135087E-2</v>
      </c>
      <c r="AA1852" s="594">
        <v>44403</v>
      </c>
      <c r="AB1852" s="595" t="s">
        <v>449</v>
      </c>
      <c r="AC1852" s="595">
        <v>47672.68</v>
      </c>
      <c r="AD1852" s="596" t="s">
        <v>395</v>
      </c>
      <c r="AE1852" s="595">
        <v>135.81</v>
      </c>
      <c r="AF1852" s="597">
        <f t="shared" si="116"/>
        <v>-2.5189844469083456E-3</v>
      </c>
      <c r="AG1852" s="597">
        <f t="shared" si="117"/>
        <v>-3.8142741876330266E-3</v>
      </c>
    </row>
    <row r="1853" spans="13:33" x14ac:dyDescent="0.35">
      <c r="M1853" s="555">
        <v>44406</v>
      </c>
      <c r="N1853" s="543" t="s">
        <v>449</v>
      </c>
      <c r="O1853" s="543">
        <v>47312.33</v>
      </c>
      <c r="P1853" s="73" t="s">
        <v>431</v>
      </c>
      <c r="Q1853" s="158">
        <v>23.05</v>
      </c>
      <c r="R1853" s="563">
        <f t="shared" si="114"/>
        <v>-1.2046148159583492E-4</v>
      </c>
      <c r="S1853" s="563">
        <f t="shared" si="115"/>
        <v>-8.6692674469002196E-4</v>
      </c>
      <c r="AA1853" s="594">
        <v>44404</v>
      </c>
      <c r="AB1853" s="595" t="s">
        <v>449</v>
      </c>
      <c r="AC1853" s="595">
        <v>47686.99</v>
      </c>
      <c r="AD1853" s="596" t="s">
        <v>395</v>
      </c>
      <c r="AE1853" s="595">
        <v>137.15</v>
      </c>
      <c r="AF1853" s="597">
        <f t="shared" si="116"/>
        <v>3.0017192236719836E-4</v>
      </c>
      <c r="AG1853" s="597">
        <f t="shared" si="117"/>
        <v>9.8667255724909086E-3</v>
      </c>
    </row>
    <row r="1854" spans="13:33" x14ac:dyDescent="0.35">
      <c r="M1854" s="555">
        <v>44407</v>
      </c>
      <c r="N1854" s="543" t="s">
        <v>449</v>
      </c>
      <c r="O1854" s="543">
        <v>47055.29</v>
      </c>
      <c r="P1854" s="73" t="s">
        <v>431</v>
      </c>
      <c r="Q1854" s="158">
        <v>22.79</v>
      </c>
      <c r="R1854" s="563">
        <f t="shared" si="114"/>
        <v>-5.4328332593216455E-3</v>
      </c>
      <c r="S1854" s="563">
        <f t="shared" si="115"/>
        <v>-1.1279826464208331E-2</v>
      </c>
      <c r="AA1854" s="594">
        <v>44405</v>
      </c>
      <c r="AB1854" s="595" t="s">
        <v>449</v>
      </c>
      <c r="AC1854" s="595">
        <v>47318.03</v>
      </c>
      <c r="AD1854" s="596" t="s">
        <v>395</v>
      </c>
      <c r="AE1854" s="595">
        <v>135.37</v>
      </c>
      <c r="AF1854" s="597">
        <f t="shared" si="116"/>
        <v>-7.7371207534800979E-3</v>
      </c>
      <c r="AG1854" s="597">
        <f t="shared" si="117"/>
        <v>-1.2978490703609236E-2</v>
      </c>
    </row>
    <row r="1855" spans="13:33" x14ac:dyDescent="0.35">
      <c r="M1855" s="555">
        <v>44410</v>
      </c>
      <c r="N1855" s="543" t="s">
        <v>449</v>
      </c>
      <c r="O1855" s="543">
        <v>47453.25</v>
      </c>
      <c r="P1855" s="73" t="s">
        <v>431</v>
      </c>
      <c r="Q1855" s="158">
        <v>22.98</v>
      </c>
      <c r="R1855" s="563">
        <f t="shared" si="114"/>
        <v>8.4572850363902052E-3</v>
      </c>
      <c r="S1855" s="563">
        <f t="shared" si="115"/>
        <v>8.3369899078544751E-3</v>
      </c>
      <c r="AA1855" s="594">
        <v>44406</v>
      </c>
      <c r="AB1855" s="595" t="s">
        <v>449</v>
      </c>
      <c r="AC1855" s="595">
        <v>47312.33</v>
      </c>
      <c r="AD1855" s="596" t="s">
        <v>395</v>
      </c>
      <c r="AE1855" s="595">
        <v>135.46</v>
      </c>
      <c r="AF1855" s="597">
        <f t="shared" si="116"/>
        <v>-1.2046148159583492E-4</v>
      </c>
      <c r="AG1855" s="597">
        <f t="shared" si="117"/>
        <v>6.6484450025861008E-4</v>
      </c>
    </row>
    <row r="1856" spans="13:33" x14ac:dyDescent="0.35">
      <c r="M1856" s="555">
        <v>44411</v>
      </c>
      <c r="N1856" s="543" t="s">
        <v>449</v>
      </c>
      <c r="O1856" s="543">
        <v>47758.32</v>
      </c>
      <c r="P1856" s="73" t="s">
        <v>431</v>
      </c>
      <c r="Q1856" s="158">
        <v>23.99</v>
      </c>
      <c r="R1856" s="563">
        <f t="shared" si="114"/>
        <v>6.4288536612349123E-3</v>
      </c>
      <c r="S1856" s="563">
        <f t="shared" si="115"/>
        <v>4.3951261966927779E-2</v>
      </c>
      <c r="AA1856" s="594">
        <v>44407</v>
      </c>
      <c r="AB1856" s="595" t="s">
        <v>449</v>
      </c>
      <c r="AC1856" s="595">
        <v>47055.29</v>
      </c>
      <c r="AD1856" s="596" t="s">
        <v>395</v>
      </c>
      <c r="AE1856" s="595">
        <v>132.16</v>
      </c>
      <c r="AF1856" s="597">
        <f t="shared" si="116"/>
        <v>-5.4328332593216455E-3</v>
      </c>
      <c r="AG1856" s="597">
        <f t="shared" si="117"/>
        <v>-2.4361435109995666E-2</v>
      </c>
    </row>
    <row r="1857" spans="13:33" x14ac:dyDescent="0.35">
      <c r="M1857" s="555">
        <v>44412</v>
      </c>
      <c r="N1857" s="543" t="s">
        <v>449</v>
      </c>
      <c r="O1857" s="543">
        <v>47789.88</v>
      </c>
      <c r="P1857" s="73" t="s">
        <v>431</v>
      </c>
      <c r="Q1857" s="158">
        <v>23.55</v>
      </c>
      <c r="R1857" s="563">
        <f t="shared" si="114"/>
        <v>6.6082726528060576E-4</v>
      </c>
      <c r="S1857" s="563">
        <f t="shared" si="115"/>
        <v>-1.8340975406419213E-2</v>
      </c>
      <c r="AA1857" s="594">
        <v>44410</v>
      </c>
      <c r="AB1857" s="595" t="s">
        <v>449</v>
      </c>
      <c r="AC1857" s="595">
        <v>47453.25</v>
      </c>
      <c r="AD1857" s="596" t="s">
        <v>395</v>
      </c>
      <c r="AE1857" s="595">
        <v>133.94999999999999</v>
      </c>
      <c r="AF1857" s="597">
        <f t="shared" si="116"/>
        <v>8.4572850363902052E-3</v>
      </c>
      <c r="AG1857" s="597">
        <f t="shared" si="117"/>
        <v>1.3544188861985385E-2</v>
      </c>
    </row>
    <row r="1858" spans="13:33" x14ac:dyDescent="0.35">
      <c r="M1858" s="555">
        <v>44413</v>
      </c>
      <c r="N1858" s="543" t="s">
        <v>449</v>
      </c>
      <c r="O1858" s="543">
        <v>47640.88</v>
      </c>
      <c r="P1858" s="73" t="s">
        <v>431</v>
      </c>
      <c r="Q1858" s="158">
        <v>23.4</v>
      </c>
      <c r="R1858" s="563">
        <f t="shared" si="114"/>
        <v>-3.1178149013975087E-3</v>
      </c>
      <c r="S1858" s="563">
        <f t="shared" si="115"/>
        <v>-6.3694267515924663E-3</v>
      </c>
      <c r="AA1858" s="594">
        <v>44411</v>
      </c>
      <c r="AB1858" s="595" t="s">
        <v>449</v>
      </c>
      <c r="AC1858" s="595">
        <v>47758.32</v>
      </c>
      <c r="AD1858" s="596" t="s">
        <v>395</v>
      </c>
      <c r="AE1858" s="595">
        <v>133.97999999999999</v>
      </c>
      <c r="AF1858" s="597">
        <f t="shared" si="116"/>
        <v>6.4288536612349123E-3</v>
      </c>
      <c r="AG1858" s="597">
        <f t="shared" si="117"/>
        <v>2.2396416573355893E-4</v>
      </c>
    </row>
    <row r="1859" spans="13:33" x14ac:dyDescent="0.35">
      <c r="M1859" s="555">
        <v>44414</v>
      </c>
      <c r="N1859" s="543" t="s">
        <v>449</v>
      </c>
      <c r="O1859" s="543">
        <v>47489.95</v>
      </c>
      <c r="P1859" s="73" t="s">
        <v>431</v>
      </c>
      <c r="Q1859" s="158">
        <v>23.03</v>
      </c>
      <c r="R1859" s="563">
        <f t="shared" si="114"/>
        <v>-3.1680774998278372E-3</v>
      </c>
      <c r="S1859" s="563">
        <f t="shared" si="115"/>
        <v>-1.5811965811965756E-2</v>
      </c>
      <c r="AA1859" s="594">
        <v>44412</v>
      </c>
      <c r="AB1859" s="595" t="s">
        <v>449</v>
      </c>
      <c r="AC1859" s="595">
        <v>47789.88</v>
      </c>
      <c r="AD1859" s="596" t="s">
        <v>395</v>
      </c>
      <c r="AE1859" s="595">
        <v>133.18</v>
      </c>
      <c r="AF1859" s="597">
        <f t="shared" si="116"/>
        <v>6.6082726528060576E-4</v>
      </c>
      <c r="AG1859" s="597">
        <f t="shared" si="117"/>
        <v>-5.9710404537989259E-3</v>
      </c>
    </row>
    <row r="1860" spans="13:33" x14ac:dyDescent="0.35">
      <c r="M1860" s="555">
        <v>44417</v>
      </c>
      <c r="N1860" s="543" t="s">
        <v>449</v>
      </c>
      <c r="O1860" s="543">
        <v>47123.62</v>
      </c>
      <c r="P1860" s="73" t="s">
        <v>431</v>
      </c>
      <c r="Q1860" s="158">
        <v>22.98</v>
      </c>
      <c r="R1860" s="563">
        <f t="shared" si="114"/>
        <v>-7.7138426130158866E-3</v>
      </c>
      <c r="S1860" s="563">
        <f t="shared" si="115"/>
        <v>-2.1710811984368972E-3</v>
      </c>
      <c r="AA1860" s="594">
        <v>44413</v>
      </c>
      <c r="AB1860" s="595" t="s">
        <v>449</v>
      </c>
      <c r="AC1860" s="595">
        <v>47640.88</v>
      </c>
      <c r="AD1860" s="596" t="s">
        <v>395</v>
      </c>
      <c r="AE1860" s="595">
        <v>135</v>
      </c>
      <c r="AF1860" s="597">
        <f t="shared" si="116"/>
        <v>-3.1178149013975087E-3</v>
      </c>
      <c r="AG1860" s="597">
        <f t="shared" si="117"/>
        <v>1.3665715572908743E-2</v>
      </c>
    </row>
    <row r="1861" spans="13:33" x14ac:dyDescent="0.35">
      <c r="M1861" s="555">
        <v>44418</v>
      </c>
      <c r="N1861" s="543" t="s">
        <v>449</v>
      </c>
      <c r="O1861" s="543">
        <v>47135.48</v>
      </c>
      <c r="P1861" s="73" t="s">
        <v>431</v>
      </c>
      <c r="Q1861" s="158">
        <v>22.99</v>
      </c>
      <c r="R1861" s="563">
        <f t="shared" si="114"/>
        <v>2.5167845763962582E-4</v>
      </c>
      <c r="S1861" s="563">
        <f t="shared" si="115"/>
        <v>4.3516100957341486E-4</v>
      </c>
      <c r="AA1861" s="594">
        <v>44414</v>
      </c>
      <c r="AB1861" s="595" t="s">
        <v>449</v>
      </c>
      <c r="AC1861" s="595">
        <v>47489.95</v>
      </c>
      <c r="AD1861" s="596" t="s">
        <v>395</v>
      </c>
      <c r="AE1861" s="595">
        <v>133.91999999999999</v>
      </c>
      <c r="AF1861" s="597">
        <f t="shared" si="116"/>
        <v>-3.1680774998278372E-3</v>
      </c>
      <c r="AG1861" s="597">
        <f t="shared" si="117"/>
        <v>-8.0000000000001181E-3</v>
      </c>
    </row>
    <row r="1862" spans="13:33" x14ac:dyDescent="0.35">
      <c r="M1862" s="555">
        <v>44419</v>
      </c>
      <c r="N1862" s="543" t="s">
        <v>449</v>
      </c>
      <c r="O1862" s="543">
        <v>47377.38</v>
      </c>
      <c r="P1862" s="73" t="s">
        <v>431</v>
      </c>
      <c r="Q1862" s="158">
        <v>23.24</v>
      </c>
      <c r="R1862" s="563">
        <f t="shared" si="114"/>
        <v>5.1320152038336619E-3</v>
      </c>
      <c r="S1862" s="563">
        <f t="shared" si="115"/>
        <v>1.0874293170943794E-2</v>
      </c>
      <c r="AA1862" s="594">
        <v>44417</v>
      </c>
      <c r="AB1862" s="595" t="s">
        <v>449</v>
      </c>
      <c r="AC1862" s="595">
        <v>47123.62</v>
      </c>
      <c r="AD1862" s="596" t="s">
        <v>395</v>
      </c>
      <c r="AE1862" s="595">
        <v>133.08000000000001</v>
      </c>
      <c r="AF1862" s="597">
        <f t="shared" si="116"/>
        <v>-7.7138426130158866E-3</v>
      </c>
      <c r="AG1862" s="597">
        <f t="shared" si="117"/>
        <v>-6.2724014336915657E-3</v>
      </c>
    </row>
    <row r="1863" spans="13:33" x14ac:dyDescent="0.35">
      <c r="M1863" s="555">
        <v>44420</v>
      </c>
      <c r="N1863" s="543" t="s">
        <v>449</v>
      </c>
      <c r="O1863" s="543">
        <v>47270.76</v>
      </c>
      <c r="P1863" s="73" t="s">
        <v>431</v>
      </c>
      <c r="Q1863" s="158">
        <v>22.88</v>
      </c>
      <c r="R1863" s="563">
        <f t="shared" si="114"/>
        <v>-2.2504410332524483E-3</v>
      </c>
      <c r="S1863" s="563">
        <f t="shared" si="115"/>
        <v>-1.5490533562822706E-2</v>
      </c>
      <c r="AA1863" s="594">
        <v>44418</v>
      </c>
      <c r="AB1863" s="595" t="s">
        <v>449</v>
      </c>
      <c r="AC1863" s="595">
        <v>47135.48</v>
      </c>
      <c r="AD1863" s="596" t="s">
        <v>395</v>
      </c>
      <c r="AE1863" s="595">
        <v>132.94999999999999</v>
      </c>
      <c r="AF1863" s="597">
        <f t="shared" si="116"/>
        <v>2.5167845763962582E-4</v>
      </c>
      <c r="AG1863" s="597">
        <f t="shared" si="117"/>
        <v>-9.7685602645047886E-4</v>
      </c>
    </row>
    <row r="1864" spans="13:33" x14ac:dyDescent="0.35">
      <c r="M1864" s="555">
        <v>44421</v>
      </c>
      <c r="N1864" s="543" t="s">
        <v>449</v>
      </c>
      <c r="O1864" s="543">
        <v>47169.84</v>
      </c>
      <c r="P1864" s="73" t="s">
        <v>431</v>
      </c>
      <c r="Q1864" s="158">
        <v>22.52</v>
      </c>
      <c r="R1864" s="563">
        <f t="shared" si="114"/>
        <v>-2.1349349999874034E-3</v>
      </c>
      <c r="S1864" s="563">
        <f t="shared" si="115"/>
        <v>-1.5734265734265729E-2</v>
      </c>
      <c r="AA1864" s="594">
        <v>44419</v>
      </c>
      <c r="AB1864" s="595" t="s">
        <v>449</v>
      </c>
      <c r="AC1864" s="595">
        <v>47377.38</v>
      </c>
      <c r="AD1864" s="596" t="s">
        <v>395</v>
      </c>
      <c r="AE1864" s="595">
        <v>132.80000000000001</v>
      </c>
      <c r="AF1864" s="597">
        <f t="shared" si="116"/>
        <v>5.1320152038336619E-3</v>
      </c>
      <c r="AG1864" s="597">
        <f t="shared" si="117"/>
        <v>-1.128243700639131E-3</v>
      </c>
    </row>
    <row r="1865" spans="13:33" x14ac:dyDescent="0.35">
      <c r="M1865" s="555">
        <v>44424</v>
      </c>
      <c r="N1865" s="543" t="s">
        <v>449</v>
      </c>
      <c r="O1865" s="543">
        <v>46912.79</v>
      </c>
      <c r="P1865" s="73" t="s">
        <v>431</v>
      </c>
      <c r="Q1865" s="158">
        <v>21.99</v>
      </c>
      <c r="R1865" s="563">
        <f t="shared" si="114"/>
        <v>-5.4494566867302474E-3</v>
      </c>
      <c r="S1865" s="563">
        <f t="shared" si="115"/>
        <v>-2.3534635879218557E-2</v>
      </c>
      <c r="AA1865" s="594">
        <v>44420</v>
      </c>
      <c r="AB1865" s="595" t="s">
        <v>449</v>
      </c>
      <c r="AC1865" s="595">
        <v>47270.76</v>
      </c>
      <c r="AD1865" s="596" t="s">
        <v>395</v>
      </c>
      <c r="AE1865" s="595">
        <v>132.05000000000001</v>
      </c>
      <c r="AF1865" s="597">
        <f t="shared" si="116"/>
        <v>-2.2504410332524483E-3</v>
      </c>
      <c r="AG1865" s="597">
        <f t="shared" si="117"/>
        <v>-5.6475903614457978E-3</v>
      </c>
    </row>
    <row r="1866" spans="13:33" x14ac:dyDescent="0.35">
      <c r="M1866" s="555">
        <v>44425</v>
      </c>
      <c r="N1866" s="543" t="s">
        <v>449</v>
      </c>
      <c r="O1866" s="543">
        <v>47258.45</v>
      </c>
      <c r="P1866" s="73" t="s">
        <v>431</v>
      </c>
      <c r="Q1866" s="158">
        <v>22.24</v>
      </c>
      <c r="R1866" s="563">
        <f t="shared" si="114"/>
        <v>7.3681399038512119E-3</v>
      </c>
      <c r="S1866" s="563">
        <f t="shared" si="115"/>
        <v>1.1368804001818944E-2</v>
      </c>
      <c r="AA1866" s="594">
        <v>44421</v>
      </c>
      <c r="AB1866" s="595" t="s">
        <v>449</v>
      </c>
      <c r="AC1866" s="595">
        <v>47169.84</v>
      </c>
      <c r="AD1866" s="596" t="s">
        <v>395</v>
      </c>
      <c r="AE1866" s="595">
        <v>132.51</v>
      </c>
      <c r="AF1866" s="597">
        <f t="shared" si="116"/>
        <v>-2.1349349999874034E-3</v>
      </c>
      <c r="AG1866" s="597">
        <f t="shared" si="117"/>
        <v>3.4835289663004421E-3</v>
      </c>
    </row>
    <row r="1867" spans="13:33" x14ac:dyDescent="0.35">
      <c r="M1867" s="555">
        <v>44428</v>
      </c>
      <c r="N1867" s="543" t="s">
        <v>449</v>
      </c>
      <c r="O1867" s="543">
        <v>47599.82</v>
      </c>
      <c r="P1867" s="73" t="s">
        <v>431</v>
      </c>
      <c r="Q1867" s="158">
        <v>22.58</v>
      </c>
      <c r="R1867" s="563">
        <f t="shared" si="114"/>
        <v>7.2234700884181713E-3</v>
      </c>
      <c r="S1867" s="563">
        <f t="shared" si="115"/>
        <v>1.5287769784172678E-2</v>
      </c>
      <c r="AA1867" s="594">
        <v>44424</v>
      </c>
      <c r="AB1867" s="595" t="s">
        <v>449</v>
      </c>
      <c r="AC1867" s="595">
        <v>46912.79</v>
      </c>
      <c r="AD1867" s="596" t="s">
        <v>395</v>
      </c>
      <c r="AE1867" s="595">
        <v>131.69999999999999</v>
      </c>
      <c r="AF1867" s="597">
        <f t="shared" si="116"/>
        <v>-5.4494566867302474E-3</v>
      </c>
      <c r="AG1867" s="597">
        <f t="shared" si="117"/>
        <v>-6.1127462078334194E-3</v>
      </c>
    </row>
    <row r="1868" spans="13:33" x14ac:dyDescent="0.35">
      <c r="M1868" s="555">
        <v>44431</v>
      </c>
      <c r="N1868" s="543" t="s">
        <v>449</v>
      </c>
      <c r="O1868" s="543">
        <v>48112.21</v>
      </c>
      <c r="P1868" s="73" t="s">
        <v>431</v>
      </c>
      <c r="Q1868" s="158">
        <v>22.69</v>
      </c>
      <c r="R1868" s="563">
        <f t="shared" si="114"/>
        <v>1.0764536504549893E-2</v>
      </c>
      <c r="S1868" s="563">
        <f t="shared" si="115"/>
        <v>4.8715677590789319E-3</v>
      </c>
      <c r="AA1868" s="594">
        <v>44425</v>
      </c>
      <c r="AB1868" s="595" t="s">
        <v>449</v>
      </c>
      <c r="AC1868" s="595">
        <v>47258.45</v>
      </c>
      <c r="AD1868" s="596" t="s">
        <v>395</v>
      </c>
      <c r="AE1868" s="595">
        <v>132.26</v>
      </c>
      <c r="AF1868" s="597">
        <f t="shared" si="116"/>
        <v>7.3681399038512119E-3</v>
      </c>
      <c r="AG1868" s="597">
        <f t="shared" si="117"/>
        <v>4.2520880789673754E-3</v>
      </c>
    </row>
    <row r="1869" spans="13:33" x14ac:dyDescent="0.35">
      <c r="M1869" s="555">
        <v>44432</v>
      </c>
      <c r="N1869" s="543" t="s">
        <v>449</v>
      </c>
      <c r="O1869" s="543">
        <v>47828.71</v>
      </c>
      <c r="P1869" s="73" t="s">
        <v>431</v>
      </c>
      <c r="Q1869" s="158">
        <v>22.49</v>
      </c>
      <c r="R1869" s="563">
        <f t="shared" si="114"/>
        <v>-5.8924751118271113E-3</v>
      </c>
      <c r="S1869" s="563">
        <f t="shared" si="115"/>
        <v>-8.8144557073601693E-3</v>
      </c>
      <c r="AA1869" s="594">
        <v>44428</v>
      </c>
      <c r="AB1869" s="595" t="s">
        <v>449</v>
      </c>
      <c r="AC1869" s="595">
        <v>47599.82</v>
      </c>
      <c r="AD1869" s="596" t="s">
        <v>395</v>
      </c>
      <c r="AE1869" s="595">
        <v>133</v>
      </c>
      <c r="AF1869" s="597">
        <f t="shared" si="116"/>
        <v>7.2234700884181713E-3</v>
      </c>
      <c r="AG1869" s="597">
        <f t="shared" si="117"/>
        <v>5.5950400725843785E-3</v>
      </c>
    </row>
    <row r="1870" spans="13:33" x14ac:dyDescent="0.35">
      <c r="M1870" s="555">
        <v>44433</v>
      </c>
      <c r="N1870" s="543" t="s">
        <v>449</v>
      </c>
      <c r="O1870" s="543">
        <v>47635.9</v>
      </c>
      <c r="P1870" s="73" t="s">
        <v>431</v>
      </c>
      <c r="Q1870" s="158">
        <v>22.35</v>
      </c>
      <c r="R1870" s="563">
        <f t="shared" si="114"/>
        <v>-4.0312607218551122E-3</v>
      </c>
      <c r="S1870" s="563">
        <f t="shared" si="115"/>
        <v>-6.2249888839482903E-3</v>
      </c>
      <c r="AA1870" s="594">
        <v>44431</v>
      </c>
      <c r="AB1870" s="595" t="s">
        <v>449</v>
      </c>
      <c r="AC1870" s="595">
        <v>48112.21</v>
      </c>
      <c r="AD1870" s="596" t="s">
        <v>395</v>
      </c>
      <c r="AE1870" s="595">
        <v>135.28</v>
      </c>
      <c r="AF1870" s="597">
        <f t="shared" si="116"/>
        <v>1.0764536504549893E-2</v>
      </c>
      <c r="AG1870" s="597">
        <f t="shared" si="117"/>
        <v>1.7142857142857126E-2</v>
      </c>
    </row>
    <row r="1871" spans="13:33" x14ac:dyDescent="0.35">
      <c r="M1871" s="555">
        <v>44434</v>
      </c>
      <c r="N1871" s="543" t="s">
        <v>449</v>
      </c>
      <c r="O1871" s="543">
        <v>47363.27</v>
      </c>
      <c r="P1871" s="73" t="s">
        <v>431</v>
      </c>
      <c r="Q1871" s="158">
        <v>22.05</v>
      </c>
      <c r="R1871" s="563">
        <f t="shared" si="114"/>
        <v>-5.7232045579070912E-3</v>
      </c>
      <c r="S1871" s="563">
        <f t="shared" si="115"/>
        <v>-1.3422818791946289E-2</v>
      </c>
      <c r="AA1871" s="594">
        <v>44432</v>
      </c>
      <c r="AB1871" s="595" t="s">
        <v>449</v>
      </c>
      <c r="AC1871" s="595">
        <v>47828.71</v>
      </c>
      <c r="AD1871" s="596" t="s">
        <v>395</v>
      </c>
      <c r="AE1871" s="595">
        <v>137.27000000000001</v>
      </c>
      <c r="AF1871" s="597">
        <f t="shared" si="116"/>
        <v>-5.8924751118271113E-3</v>
      </c>
      <c r="AG1871" s="597">
        <f t="shared" si="117"/>
        <v>1.4710230632761778E-2</v>
      </c>
    </row>
    <row r="1872" spans="13:33" x14ac:dyDescent="0.35">
      <c r="M1872" s="555">
        <v>44435</v>
      </c>
      <c r="N1872" s="543" t="s">
        <v>449</v>
      </c>
      <c r="O1872" s="543">
        <v>47136.53</v>
      </c>
      <c r="P1872" s="73" t="s">
        <v>431</v>
      </c>
      <c r="Q1872" s="158">
        <v>21.57</v>
      </c>
      <c r="R1872" s="563">
        <f t="shared" si="114"/>
        <v>-4.7872539206013087E-3</v>
      </c>
      <c r="S1872" s="563">
        <f t="shared" si="115"/>
        <v>-2.1768707482993199E-2</v>
      </c>
      <c r="AA1872" s="594">
        <v>44433</v>
      </c>
      <c r="AB1872" s="595" t="s">
        <v>449</v>
      </c>
      <c r="AC1872" s="595">
        <v>47635.9</v>
      </c>
      <c r="AD1872" s="596" t="s">
        <v>395</v>
      </c>
      <c r="AE1872" s="595">
        <v>139.19999999999999</v>
      </c>
      <c r="AF1872" s="597">
        <f t="shared" si="116"/>
        <v>-4.0312607218551122E-3</v>
      </c>
      <c r="AG1872" s="597">
        <f t="shared" si="117"/>
        <v>1.4059881984410216E-2</v>
      </c>
    </row>
    <row r="1873" spans="13:33" x14ac:dyDescent="0.35">
      <c r="M1873" s="555">
        <v>44438</v>
      </c>
      <c r="N1873" s="543" t="s">
        <v>449</v>
      </c>
      <c r="O1873" s="543">
        <v>47365.7</v>
      </c>
      <c r="P1873" s="73" t="s">
        <v>431</v>
      </c>
      <c r="Q1873" s="158">
        <v>22.93</v>
      </c>
      <c r="R1873" s="563">
        <f t="shared" si="114"/>
        <v>4.8618343352808679E-3</v>
      </c>
      <c r="S1873" s="563">
        <f t="shared" si="115"/>
        <v>6.3050533147890553E-2</v>
      </c>
      <c r="AA1873" s="594">
        <v>44434</v>
      </c>
      <c r="AB1873" s="595" t="s">
        <v>449</v>
      </c>
      <c r="AC1873" s="595">
        <v>47363.27</v>
      </c>
      <c r="AD1873" s="596" t="s">
        <v>395</v>
      </c>
      <c r="AE1873" s="595">
        <v>137.74</v>
      </c>
      <c r="AF1873" s="597">
        <f t="shared" si="116"/>
        <v>-5.7232045579070912E-3</v>
      </c>
      <c r="AG1873" s="597">
        <f t="shared" si="117"/>
        <v>-1.0488505747126342E-2</v>
      </c>
    </row>
    <row r="1874" spans="13:33" x14ac:dyDescent="0.35">
      <c r="M1874" s="555">
        <v>44439</v>
      </c>
      <c r="N1874" s="543" t="s">
        <v>449</v>
      </c>
      <c r="O1874" s="543">
        <v>47419.74</v>
      </c>
      <c r="P1874" s="73" t="s">
        <v>431</v>
      </c>
      <c r="Q1874" s="158">
        <v>22.85</v>
      </c>
      <c r="R1874" s="563">
        <f t="shared" si="114"/>
        <v>1.1409099833845637E-3</v>
      </c>
      <c r="S1874" s="563">
        <f t="shared" si="115"/>
        <v>-3.4888791975576927E-3</v>
      </c>
      <c r="AA1874" s="594">
        <v>44435</v>
      </c>
      <c r="AB1874" s="595" t="s">
        <v>449</v>
      </c>
      <c r="AC1874" s="595">
        <v>47136.53</v>
      </c>
      <c r="AD1874" s="596" t="s">
        <v>395</v>
      </c>
      <c r="AE1874" s="595">
        <v>136.08000000000001</v>
      </c>
      <c r="AF1874" s="597">
        <f t="shared" si="116"/>
        <v>-4.7872539206013087E-3</v>
      </c>
      <c r="AG1874" s="597">
        <f t="shared" si="117"/>
        <v>-1.2051691592856129E-2</v>
      </c>
    </row>
    <row r="1875" spans="13:33" x14ac:dyDescent="0.35">
      <c r="M1875" s="555">
        <v>44440</v>
      </c>
      <c r="N1875" s="543" t="s">
        <v>449</v>
      </c>
      <c r="O1875" s="543">
        <v>47413.46</v>
      </c>
      <c r="P1875" s="73" t="s">
        <v>431</v>
      </c>
      <c r="Q1875" s="158">
        <v>22.68</v>
      </c>
      <c r="R1875" s="563">
        <f t="shared" si="114"/>
        <v>-1.324342984587723E-4</v>
      </c>
      <c r="S1875" s="563">
        <f t="shared" si="115"/>
        <v>-7.4398249452954923E-3</v>
      </c>
      <c r="AA1875" s="594">
        <v>44438</v>
      </c>
      <c r="AB1875" s="595" t="s">
        <v>449</v>
      </c>
      <c r="AC1875" s="595">
        <v>47365.7</v>
      </c>
      <c r="AD1875" s="596" t="s">
        <v>395</v>
      </c>
      <c r="AE1875" s="595">
        <v>135.05000000000001</v>
      </c>
      <c r="AF1875" s="597">
        <f t="shared" si="116"/>
        <v>4.8618343352808679E-3</v>
      </c>
      <c r="AG1875" s="597">
        <f t="shared" si="117"/>
        <v>-7.5690770135214969E-3</v>
      </c>
    </row>
    <row r="1876" spans="13:33" x14ac:dyDescent="0.35">
      <c r="M1876" s="555">
        <v>44441</v>
      </c>
      <c r="N1876" s="543" t="s">
        <v>449</v>
      </c>
      <c r="O1876" s="543">
        <v>46903.06</v>
      </c>
      <c r="P1876" s="73" t="s">
        <v>431</v>
      </c>
      <c r="Q1876" s="158">
        <v>23.16</v>
      </c>
      <c r="R1876" s="563">
        <f t="shared" si="114"/>
        <v>-1.0764875628144432E-2</v>
      </c>
      <c r="S1876" s="563">
        <f t="shared" si="115"/>
        <v>2.1164021164021163E-2</v>
      </c>
      <c r="AA1876" s="594">
        <v>44439</v>
      </c>
      <c r="AB1876" s="595" t="s">
        <v>449</v>
      </c>
      <c r="AC1876" s="595">
        <v>47419.74</v>
      </c>
      <c r="AD1876" s="596" t="s">
        <v>395</v>
      </c>
      <c r="AE1876" s="595">
        <v>134.66999999999999</v>
      </c>
      <c r="AF1876" s="597">
        <f t="shared" si="116"/>
        <v>1.1409099833845637E-3</v>
      </c>
      <c r="AG1876" s="597">
        <f t="shared" si="117"/>
        <v>-2.8137726767865079E-3</v>
      </c>
    </row>
    <row r="1877" spans="13:33" x14ac:dyDescent="0.35">
      <c r="M1877" s="555">
        <v>44442</v>
      </c>
      <c r="N1877" s="543" t="s">
        <v>449</v>
      </c>
      <c r="O1877" s="543">
        <v>46957.47</v>
      </c>
      <c r="P1877" s="73" t="s">
        <v>431</v>
      </c>
      <c r="Q1877" s="158">
        <v>22.89</v>
      </c>
      <c r="R1877" s="563">
        <f t="shared" si="114"/>
        <v>1.160052243926124E-3</v>
      </c>
      <c r="S1877" s="563">
        <f t="shared" si="115"/>
        <v>-1.1658031088082832E-2</v>
      </c>
      <c r="AA1877" s="594">
        <v>44440</v>
      </c>
      <c r="AB1877" s="595" t="s">
        <v>449</v>
      </c>
      <c r="AC1877" s="595">
        <v>47413.46</v>
      </c>
      <c r="AD1877" s="596" t="s">
        <v>395</v>
      </c>
      <c r="AE1877" s="595">
        <v>133.55000000000001</v>
      </c>
      <c r="AF1877" s="597">
        <f t="shared" si="116"/>
        <v>-1.324342984587723E-4</v>
      </c>
      <c r="AG1877" s="597">
        <f t="shared" si="117"/>
        <v>-8.3166258260932713E-3</v>
      </c>
    </row>
    <row r="1878" spans="13:33" x14ac:dyDescent="0.35">
      <c r="M1878" s="555">
        <v>44445</v>
      </c>
      <c r="N1878" s="543" t="s">
        <v>449</v>
      </c>
      <c r="O1878" s="543">
        <v>46918.52</v>
      </c>
      <c r="P1878" s="73" t="s">
        <v>431</v>
      </c>
      <c r="Q1878" s="158">
        <v>22.48</v>
      </c>
      <c r="R1878" s="563">
        <f t="shared" si="114"/>
        <v>-8.2947398997446076E-4</v>
      </c>
      <c r="S1878" s="563">
        <f t="shared" si="115"/>
        <v>-1.7911751856706015E-2</v>
      </c>
      <c r="AA1878" s="594">
        <v>44441</v>
      </c>
      <c r="AB1878" s="595" t="s">
        <v>449</v>
      </c>
      <c r="AC1878" s="595">
        <v>46903.06</v>
      </c>
      <c r="AD1878" s="596" t="s">
        <v>395</v>
      </c>
      <c r="AE1878" s="595">
        <v>133.96</v>
      </c>
      <c r="AF1878" s="597">
        <f t="shared" si="116"/>
        <v>-1.0764875628144432E-2</v>
      </c>
      <c r="AG1878" s="597">
        <f t="shared" si="117"/>
        <v>3.0700112317483264E-3</v>
      </c>
    </row>
    <row r="1879" spans="13:33" x14ac:dyDescent="0.35">
      <c r="M1879" s="555">
        <v>44446</v>
      </c>
      <c r="N1879" s="543" t="s">
        <v>449</v>
      </c>
      <c r="O1879" s="543">
        <v>46729.96</v>
      </c>
      <c r="P1879" s="73" t="s">
        <v>431</v>
      </c>
      <c r="Q1879" s="158">
        <v>22.43</v>
      </c>
      <c r="R1879" s="563">
        <f t="shared" si="114"/>
        <v>-4.0188820960251892E-3</v>
      </c>
      <c r="S1879" s="563">
        <f t="shared" si="115"/>
        <v>-2.2241992882562345E-3</v>
      </c>
      <c r="AA1879" s="594">
        <v>44442</v>
      </c>
      <c r="AB1879" s="595" t="s">
        <v>449</v>
      </c>
      <c r="AC1879" s="595">
        <v>46957.47</v>
      </c>
      <c r="AD1879" s="596" t="s">
        <v>395</v>
      </c>
      <c r="AE1879" s="595">
        <v>134.5</v>
      </c>
      <c r="AF1879" s="597">
        <f t="shared" si="116"/>
        <v>1.160052243926124E-3</v>
      </c>
      <c r="AG1879" s="597">
        <f t="shared" si="117"/>
        <v>4.0310540459838062E-3</v>
      </c>
    </row>
    <row r="1880" spans="13:33" x14ac:dyDescent="0.35">
      <c r="M1880" s="555">
        <v>44447</v>
      </c>
      <c r="N1880" s="543" t="s">
        <v>449</v>
      </c>
      <c r="O1880" s="543">
        <v>46396.71</v>
      </c>
      <c r="P1880" s="73" t="s">
        <v>431</v>
      </c>
      <c r="Q1880" s="158">
        <v>22.35</v>
      </c>
      <c r="R1880" s="563">
        <f t="shared" si="114"/>
        <v>-7.1313992136949889E-3</v>
      </c>
      <c r="S1880" s="563">
        <f t="shared" si="115"/>
        <v>-3.5666518056174379E-3</v>
      </c>
      <c r="AA1880" s="594">
        <v>44445</v>
      </c>
      <c r="AB1880" s="595" t="s">
        <v>449</v>
      </c>
      <c r="AC1880" s="595">
        <v>46918.52</v>
      </c>
      <c r="AD1880" s="596" t="s">
        <v>395</v>
      </c>
      <c r="AE1880" s="595">
        <v>133.07</v>
      </c>
      <c r="AF1880" s="597">
        <f t="shared" si="116"/>
        <v>-8.2947398997446076E-4</v>
      </c>
      <c r="AG1880" s="597">
        <f t="shared" si="117"/>
        <v>-1.0631970260223111E-2</v>
      </c>
    </row>
    <row r="1881" spans="13:33" x14ac:dyDescent="0.35">
      <c r="M1881" s="555">
        <v>44448</v>
      </c>
      <c r="N1881" s="543" t="s">
        <v>449</v>
      </c>
      <c r="O1881" s="543">
        <v>46625.120000000003</v>
      </c>
      <c r="P1881" s="73" t="s">
        <v>431</v>
      </c>
      <c r="Q1881" s="158">
        <v>22.3</v>
      </c>
      <c r="R1881" s="563">
        <f t="shared" si="114"/>
        <v>4.9229783749753508E-3</v>
      </c>
      <c r="S1881" s="563">
        <f t="shared" si="115"/>
        <v>-2.2371364653244186E-3</v>
      </c>
      <c r="AA1881" s="594">
        <v>44446</v>
      </c>
      <c r="AB1881" s="595" t="s">
        <v>449</v>
      </c>
      <c r="AC1881" s="595">
        <v>46729.96</v>
      </c>
      <c r="AD1881" s="596" t="s">
        <v>395</v>
      </c>
      <c r="AE1881" s="595">
        <v>130.36000000000001</v>
      </c>
      <c r="AF1881" s="597">
        <f t="shared" si="116"/>
        <v>-4.0188820960251892E-3</v>
      </c>
      <c r="AG1881" s="597">
        <f t="shared" si="117"/>
        <v>-2.0365221312091175E-2</v>
      </c>
    </row>
    <row r="1882" spans="13:33" x14ac:dyDescent="0.35">
      <c r="M1882" s="555">
        <v>44449</v>
      </c>
      <c r="N1882" s="543" t="s">
        <v>449</v>
      </c>
      <c r="O1882" s="543">
        <v>47198.29</v>
      </c>
      <c r="P1882" s="73" t="s">
        <v>431</v>
      </c>
      <c r="Q1882" s="158">
        <v>22.78</v>
      </c>
      <c r="R1882" s="563">
        <f t="shared" ref="R1882:R1945" si="118">(O1882/O1881)-1</f>
        <v>1.2293158709296481E-2</v>
      </c>
      <c r="S1882" s="563">
        <f t="shared" ref="S1882:S1945" si="119">(Q1882/Q1881)-1</f>
        <v>2.1524663677130018E-2</v>
      </c>
      <c r="AA1882" s="594">
        <v>44447</v>
      </c>
      <c r="AB1882" s="595" t="s">
        <v>449</v>
      </c>
      <c r="AC1882" s="595">
        <v>46396.71</v>
      </c>
      <c r="AD1882" s="596" t="s">
        <v>395</v>
      </c>
      <c r="AE1882" s="595">
        <v>128.63999999999999</v>
      </c>
      <c r="AF1882" s="597">
        <f t="shared" si="116"/>
        <v>-7.1313992136949889E-3</v>
      </c>
      <c r="AG1882" s="597">
        <f t="shared" si="117"/>
        <v>-1.3194231359312858E-2</v>
      </c>
    </row>
    <row r="1883" spans="13:33" x14ac:dyDescent="0.35">
      <c r="M1883" s="555">
        <v>44452</v>
      </c>
      <c r="N1883" s="543" t="s">
        <v>449</v>
      </c>
      <c r="O1883" s="543">
        <v>47270.46</v>
      </c>
      <c r="P1883" s="73" t="s">
        <v>431</v>
      </c>
      <c r="Q1883" s="158">
        <v>22.7</v>
      </c>
      <c r="R1883" s="563">
        <f t="shared" si="118"/>
        <v>1.5290808205128403E-3</v>
      </c>
      <c r="S1883" s="563">
        <f t="shared" si="119"/>
        <v>-3.5118525021949898E-3</v>
      </c>
      <c r="AA1883" s="594">
        <v>44448</v>
      </c>
      <c r="AB1883" s="595" t="s">
        <v>449</v>
      </c>
      <c r="AC1883" s="595">
        <v>46625.120000000003</v>
      </c>
      <c r="AD1883" s="596" t="s">
        <v>395</v>
      </c>
      <c r="AE1883" s="595">
        <v>128.24</v>
      </c>
      <c r="AF1883" s="597">
        <f t="shared" si="116"/>
        <v>4.9229783749753508E-3</v>
      </c>
      <c r="AG1883" s="597">
        <f t="shared" si="117"/>
        <v>-3.1094527363182412E-3</v>
      </c>
    </row>
    <row r="1884" spans="13:33" x14ac:dyDescent="0.35">
      <c r="M1884" s="555">
        <v>44453</v>
      </c>
      <c r="N1884" s="543" t="s">
        <v>449</v>
      </c>
      <c r="O1884" s="543">
        <v>46891.34</v>
      </c>
      <c r="P1884" s="73" t="s">
        <v>431</v>
      </c>
      <c r="Q1884" s="158">
        <v>21.46</v>
      </c>
      <c r="R1884" s="563">
        <f t="shared" si="118"/>
        <v>-8.0202308164549763E-3</v>
      </c>
      <c r="S1884" s="563">
        <f t="shared" si="119"/>
        <v>-5.4625550660792888E-2</v>
      </c>
      <c r="AA1884" s="594">
        <v>44449</v>
      </c>
      <c r="AB1884" s="595" t="s">
        <v>449</v>
      </c>
      <c r="AC1884" s="595">
        <v>47198.29</v>
      </c>
      <c r="AD1884" s="596" t="s">
        <v>395</v>
      </c>
      <c r="AE1884" s="595">
        <v>128.58000000000001</v>
      </c>
      <c r="AF1884" s="597">
        <f t="shared" ref="AF1884:AF1947" si="120">(AC1884/AC1883)-1</f>
        <v>1.2293158709296481E-2</v>
      </c>
      <c r="AG1884" s="597">
        <f t="shared" ref="AG1884:AG1947" si="121">(AE1884/AE1883)-1</f>
        <v>2.6512788521522168E-3</v>
      </c>
    </row>
    <row r="1885" spans="13:33" x14ac:dyDescent="0.35">
      <c r="M1885" s="555">
        <v>44454</v>
      </c>
      <c r="N1885" s="543" t="s">
        <v>449</v>
      </c>
      <c r="O1885" s="543">
        <v>46716.72</v>
      </c>
      <c r="P1885" s="73" t="s">
        <v>431</v>
      </c>
      <c r="Q1885" s="158">
        <v>21.18</v>
      </c>
      <c r="R1885" s="563">
        <f t="shared" si="118"/>
        <v>-3.7239285548247292E-3</v>
      </c>
      <c r="S1885" s="563">
        <f t="shared" si="119"/>
        <v>-1.3047530288909703E-2</v>
      </c>
      <c r="AA1885" s="594">
        <v>44452</v>
      </c>
      <c r="AB1885" s="595" t="s">
        <v>449</v>
      </c>
      <c r="AC1885" s="595">
        <v>47270.46</v>
      </c>
      <c r="AD1885" s="596" t="s">
        <v>395</v>
      </c>
      <c r="AE1885" s="595">
        <v>129.22</v>
      </c>
      <c r="AF1885" s="597">
        <f t="shared" si="120"/>
        <v>1.5290808205128403E-3</v>
      </c>
      <c r="AG1885" s="597">
        <f t="shared" si="121"/>
        <v>4.9774459480478317E-3</v>
      </c>
    </row>
    <row r="1886" spans="13:33" x14ac:dyDescent="0.35">
      <c r="M1886" s="555">
        <v>44455</v>
      </c>
      <c r="N1886" s="543" t="s">
        <v>449</v>
      </c>
      <c r="O1886" s="543">
        <v>46920.46</v>
      </c>
      <c r="P1886" s="73" t="s">
        <v>431</v>
      </c>
      <c r="Q1886" s="158">
        <v>20.96</v>
      </c>
      <c r="R1886" s="563">
        <f t="shared" si="118"/>
        <v>4.3611794663664938E-3</v>
      </c>
      <c r="S1886" s="563">
        <f t="shared" si="119"/>
        <v>-1.0387157695939564E-2</v>
      </c>
      <c r="AA1886" s="594">
        <v>44453</v>
      </c>
      <c r="AB1886" s="595" t="s">
        <v>449</v>
      </c>
      <c r="AC1886" s="595">
        <v>46891.34</v>
      </c>
      <c r="AD1886" s="596" t="s">
        <v>395</v>
      </c>
      <c r="AE1886" s="595">
        <v>126.9</v>
      </c>
      <c r="AF1886" s="597">
        <f t="shared" si="120"/>
        <v>-8.0202308164549763E-3</v>
      </c>
      <c r="AG1886" s="597">
        <f t="shared" si="121"/>
        <v>-1.7953877108806582E-2</v>
      </c>
    </row>
    <row r="1887" spans="13:33" x14ac:dyDescent="0.35">
      <c r="M1887" s="555">
        <v>44456</v>
      </c>
      <c r="N1887" s="543" t="s">
        <v>449</v>
      </c>
      <c r="O1887" s="543">
        <v>46636.08</v>
      </c>
      <c r="P1887" s="73" t="s">
        <v>431</v>
      </c>
      <c r="Q1887" s="158">
        <v>20.9</v>
      </c>
      <c r="R1887" s="563">
        <f t="shared" si="118"/>
        <v>-6.060895396166166E-3</v>
      </c>
      <c r="S1887" s="563">
        <f t="shared" si="119"/>
        <v>-2.8625954198474579E-3</v>
      </c>
      <c r="AA1887" s="594">
        <v>44454</v>
      </c>
      <c r="AB1887" s="595" t="s">
        <v>449</v>
      </c>
      <c r="AC1887" s="595">
        <v>46716.72</v>
      </c>
      <c r="AD1887" s="596" t="s">
        <v>395</v>
      </c>
      <c r="AE1887" s="595">
        <v>126.55</v>
      </c>
      <c r="AF1887" s="597">
        <f t="shared" si="120"/>
        <v>-3.7239285548247292E-3</v>
      </c>
      <c r="AG1887" s="597">
        <f t="shared" si="121"/>
        <v>-2.758077226162392E-3</v>
      </c>
    </row>
    <row r="1888" spans="13:33" x14ac:dyDescent="0.35">
      <c r="M1888" s="555">
        <v>44459</v>
      </c>
      <c r="N1888" s="543" t="s">
        <v>449</v>
      </c>
      <c r="O1888" s="543">
        <v>46528.21</v>
      </c>
      <c r="P1888" s="73" t="s">
        <v>431</v>
      </c>
      <c r="Q1888" s="158">
        <v>20.25</v>
      </c>
      <c r="R1888" s="563">
        <f t="shared" si="118"/>
        <v>-2.3130160167835756E-3</v>
      </c>
      <c r="S1888" s="563">
        <f t="shared" si="119"/>
        <v>-3.1100478468899406E-2</v>
      </c>
      <c r="AA1888" s="594">
        <v>44455</v>
      </c>
      <c r="AB1888" s="595" t="s">
        <v>449</v>
      </c>
      <c r="AC1888" s="595">
        <v>46920.46</v>
      </c>
      <c r="AD1888" s="596" t="s">
        <v>395</v>
      </c>
      <c r="AE1888" s="595">
        <v>129</v>
      </c>
      <c r="AF1888" s="597">
        <f t="shared" si="120"/>
        <v>4.3611794663664938E-3</v>
      </c>
      <c r="AG1888" s="597">
        <f t="shared" si="121"/>
        <v>1.9359936783879927E-2</v>
      </c>
    </row>
    <row r="1889" spans="13:33" x14ac:dyDescent="0.35">
      <c r="M1889" s="555">
        <v>44460</v>
      </c>
      <c r="N1889" s="543" t="s">
        <v>449</v>
      </c>
      <c r="O1889" s="543">
        <v>46008.85</v>
      </c>
      <c r="P1889" s="73" t="s">
        <v>431</v>
      </c>
      <c r="Q1889" s="158">
        <v>19.29</v>
      </c>
      <c r="R1889" s="563">
        <f t="shared" si="118"/>
        <v>-1.1162260486702547E-2</v>
      </c>
      <c r="S1889" s="563">
        <f t="shared" si="119"/>
        <v>-4.7407407407407454E-2</v>
      </c>
      <c r="AA1889" s="594">
        <v>44456</v>
      </c>
      <c r="AB1889" s="595" t="s">
        <v>449</v>
      </c>
      <c r="AC1889" s="595">
        <v>46636.08</v>
      </c>
      <c r="AD1889" s="596" t="s">
        <v>395</v>
      </c>
      <c r="AE1889" s="595">
        <v>127.1</v>
      </c>
      <c r="AF1889" s="597">
        <f t="shared" si="120"/>
        <v>-6.060895396166166E-3</v>
      </c>
      <c r="AG1889" s="597">
        <f t="shared" si="121"/>
        <v>-1.4728682170542684E-2</v>
      </c>
    </row>
    <row r="1890" spans="13:33" x14ac:dyDescent="0.35">
      <c r="M1890" s="555">
        <v>44461</v>
      </c>
      <c r="N1890" s="543" t="s">
        <v>449</v>
      </c>
      <c r="O1890" s="543">
        <v>45597.24</v>
      </c>
      <c r="P1890" s="73" t="s">
        <v>431</v>
      </c>
      <c r="Q1890" s="158">
        <v>18.350000000000001</v>
      </c>
      <c r="R1890" s="563">
        <f t="shared" si="118"/>
        <v>-8.9463222836476675E-3</v>
      </c>
      <c r="S1890" s="563">
        <f t="shared" si="119"/>
        <v>-4.8729911871435827E-2</v>
      </c>
      <c r="AA1890" s="594">
        <v>44459</v>
      </c>
      <c r="AB1890" s="595" t="s">
        <v>449</v>
      </c>
      <c r="AC1890" s="595">
        <v>46528.21</v>
      </c>
      <c r="AD1890" s="596" t="s">
        <v>395</v>
      </c>
      <c r="AE1890" s="595">
        <v>126.22</v>
      </c>
      <c r="AF1890" s="597">
        <f t="shared" si="120"/>
        <v>-2.3130160167835756E-3</v>
      </c>
      <c r="AG1890" s="597">
        <f t="shared" si="121"/>
        <v>-6.9236821400471271E-3</v>
      </c>
    </row>
    <row r="1891" spans="13:33" x14ac:dyDescent="0.35">
      <c r="M1891" s="555">
        <v>44462</v>
      </c>
      <c r="N1891" s="543" t="s">
        <v>449</v>
      </c>
      <c r="O1891" s="543">
        <v>45296.88</v>
      </c>
      <c r="P1891" s="73" t="s">
        <v>431</v>
      </c>
      <c r="Q1891" s="158">
        <v>17.329999999999998</v>
      </c>
      <c r="R1891" s="563">
        <f t="shared" si="118"/>
        <v>-6.5872408066803834E-3</v>
      </c>
      <c r="S1891" s="563">
        <f t="shared" si="119"/>
        <v>-5.5585831062670454E-2</v>
      </c>
      <c r="AA1891" s="594">
        <v>44460</v>
      </c>
      <c r="AB1891" s="595" t="s">
        <v>449</v>
      </c>
      <c r="AC1891" s="595">
        <v>46008.85</v>
      </c>
      <c r="AD1891" s="596" t="s">
        <v>395</v>
      </c>
      <c r="AE1891" s="595">
        <v>125.71</v>
      </c>
      <c r="AF1891" s="597">
        <f t="shared" si="120"/>
        <v>-1.1162260486702547E-2</v>
      </c>
      <c r="AG1891" s="597">
        <f t="shared" si="121"/>
        <v>-4.0405640944383148E-3</v>
      </c>
    </row>
    <row r="1892" spans="13:33" x14ac:dyDescent="0.35">
      <c r="M1892" s="555">
        <v>44463</v>
      </c>
      <c r="N1892" s="543" t="s">
        <v>449</v>
      </c>
      <c r="O1892" s="543">
        <v>45073.52</v>
      </c>
      <c r="P1892" s="73" t="s">
        <v>431</v>
      </c>
      <c r="Q1892" s="158">
        <v>16.93</v>
      </c>
      <c r="R1892" s="563">
        <f t="shared" si="118"/>
        <v>-4.9310239469031458E-3</v>
      </c>
      <c r="S1892" s="563">
        <f t="shared" si="119"/>
        <v>-2.3081361800346145E-2</v>
      </c>
      <c r="AA1892" s="594">
        <v>44461</v>
      </c>
      <c r="AB1892" s="595" t="s">
        <v>449</v>
      </c>
      <c r="AC1892" s="595">
        <v>45597.24</v>
      </c>
      <c r="AD1892" s="596" t="s">
        <v>395</v>
      </c>
      <c r="AE1892" s="595">
        <v>121.96</v>
      </c>
      <c r="AF1892" s="597">
        <f t="shared" si="120"/>
        <v>-8.9463222836476675E-3</v>
      </c>
      <c r="AG1892" s="597">
        <f t="shared" si="121"/>
        <v>-2.9830562405536609E-2</v>
      </c>
    </row>
    <row r="1893" spans="13:33" x14ac:dyDescent="0.35">
      <c r="M1893" s="555">
        <v>44466</v>
      </c>
      <c r="N1893" s="543" t="s">
        <v>449</v>
      </c>
      <c r="O1893" s="543">
        <v>44817.760000000002</v>
      </c>
      <c r="P1893" s="73" t="s">
        <v>431</v>
      </c>
      <c r="Q1893" s="158">
        <v>15.92</v>
      </c>
      <c r="R1893" s="563">
        <f t="shared" si="118"/>
        <v>-5.674285034760862E-3</v>
      </c>
      <c r="S1893" s="563">
        <f t="shared" si="119"/>
        <v>-5.9657412876550464E-2</v>
      </c>
      <c r="AA1893" s="594">
        <v>44462</v>
      </c>
      <c r="AB1893" s="595" t="s">
        <v>449</v>
      </c>
      <c r="AC1893" s="595">
        <v>45296.88</v>
      </c>
      <c r="AD1893" s="596" t="s">
        <v>395</v>
      </c>
      <c r="AE1893" s="595">
        <v>112.82</v>
      </c>
      <c r="AF1893" s="597">
        <f t="shared" si="120"/>
        <v>-6.5872408066803834E-3</v>
      </c>
      <c r="AG1893" s="597">
        <f t="shared" si="121"/>
        <v>-7.4942604132502422E-2</v>
      </c>
    </row>
    <row r="1894" spans="13:33" x14ac:dyDescent="0.35">
      <c r="M1894" s="555">
        <v>44467</v>
      </c>
      <c r="N1894" s="543" t="s">
        <v>449</v>
      </c>
      <c r="O1894" s="543">
        <v>45274.93</v>
      </c>
      <c r="P1894" s="73" t="s">
        <v>431</v>
      </c>
      <c r="Q1894" s="158">
        <v>16.96</v>
      </c>
      <c r="R1894" s="563">
        <f t="shared" si="118"/>
        <v>1.0200643673400789E-2</v>
      </c>
      <c r="S1894" s="563">
        <f t="shared" si="119"/>
        <v>6.5326633165829096E-2</v>
      </c>
      <c r="AA1894" s="594">
        <v>44463</v>
      </c>
      <c r="AB1894" s="595" t="s">
        <v>449</v>
      </c>
      <c r="AC1894" s="595">
        <v>45073.52</v>
      </c>
      <c r="AD1894" s="596" t="s">
        <v>395</v>
      </c>
      <c r="AE1894" s="595">
        <v>108.14</v>
      </c>
      <c r="AF1894" s="597">
        <f t="shared" si="120"/>
        <v>-4.9310239469031458E-3</v>
      </c>
      <c r="AG1894" s="597">
        <f t="shared" si="121"/>
        <v>-4.1482006736394239E-2</v>
      </c>
    </row>
    <row r="1895" spans="13:33" x14ac:dyDescent="0.35">
      <c r="M1895" s="555">
        <v>44468</v>
      </c>
      <c r="N1895" s="543" t="s">
        <v>449</v>
      </c>
      <c r="O1895" s="543">
        <v>44366.74</v>
      </c>
      <c r="P1895" s="73" t="s">
        <v>431</v>
      </c>
      <c r="Q1895" s="158">
        <v>16.34</v>
      </c>
      <c r="R1895" s="563">
        <f t="shared" si="118"/>
        <v>-2.0059445702069634E-2</v>
      </c>
      <c r="S1895" s="563">
        <f t="shared" si="119"/>
        <v>-3.6556603773584939E-2</v>
      </c>
      <c r="AA1895" s="594">
        <v>44466</v>
      </c>
      <c r="AB1895" s="595" t="s">
        <v>449</v>
      </c>
      <c r="AC1895" s="595">
        <v>44817.760000000002</v>
      </c>
      <c r="AD1895" s="596" t="s">
        <v>395</v>
      </c>
      <c r="AE1895" s="595">
        <v>106.99</v>
      </c>
      <c r="AF1895" s="597">
        <f t="shared" si="120"/>
        <v>-5.674285034760862E-3</v>
      </c>
      <c r="AG1895" s="597">
        <f t="shared" si="121"/>
        <v>-1.0634362862955493E-2</v>
      </c>
    </row>
    <row r="1896" spans="13:33" x14ac:dyDescent="0.35">
      <c r="M1896" s="555">
        <v>44469</v>
      </c>
      <c r="N1896" s="543" t="s">
        <v>449</v>
      </c>
      <c r="O1896" s="543">
        <v>44899.6</v>
      </c>
      <c r="P1896" s="73" t="s">
        <v>431</v>
      </c>
      <c r="Q1896" s="158">
        <v>16.78</v>
      </c>
      <c r="R1896" s="563">
        <f t="shared" si="118"/>
        <v>1.201034829243719E-2</v>
      </c>
      <c r="S1896" s="563">
        <f t="shared" si="119"/>
        <v>2.6927784577723379E-2</v>
      </c>
      <c r="AA1896" s="594">
        <v>44467</v>
      </c>
      <c r="AB1896" s="595" t="s">
        <v>449</v>
      </c>
      <c r="AC1896" s="595">
        <v>45274.93</v>
      </c>
      <c r="AD1896" s="596" t="s">
        <v>395</v>
      </c>
      <c r="AE1896" s="595">
        <v>111.31</v>
      </c>
      <c r="AF1896" s="597">
        <f t="shared" si="120"/>
        <v>1.0200643673400789E-2</v>
      </c>
      <c r="AG1896" s="597">
        <f t="shared" si="121"/>
        <v>4.0377605383680848E-2</v>
      </c>
    </row>
    <row r="1897" spans="13:33" x14ac:dyDescent="0.35">
      <c r="M1897" s="555">
        <v>44470</v>
      </c>
      <c r="N1897" s="543" t="s">
        <v>449</v>
      </c>
      <c r="O1897" s="543">
        <v>44871.7</v>
      </c>
      <c r="P1897" s="73" t="s">
        <v>431</v>
      </c>
      <c r="Q1897" s="158">
        <v>17.12</v>
      </c>
      <c r="R1897" s="563">
        <f t="shared" si="118"/>
        <v>-6.2138638206132857E-4</v>
      </c>
      <c r="S1897" s="563">
        <f t="shared" si="119"/>
        <v>2.0262216924910703E-2</v>
      </c>
      <c r="AA1897" s="594">
        <v>44468</v>
      </c>
      <c r="AB1897" s="595" t="s">
        <v>449</v>
      </c>
      <c r="AC1897" s="595">
        <v>44366.74</v>
      </c>
      <c r="AD1897" s="596" t="s">
        <v>395</v>
      </c>
      <c r="AE1897" s="595">
        <v>108.86</v>
      </c>
      <c r="AF1897" s="597">
        <f t="shared" si="120"/>
        <v>-2.0059445702069634E-2</v>
      </c>
      <c r="AG1897" s="597">
        <f t="shared" si="121"/>
        <v>-2.2010601024166743E-2</v>
      </c>
    </row>
    <row r="1898" spans="13:33" x14ac:dyDescent="0.35">
      <c r="M1898" s="555">
        <v>44473</v>
      </c>
      <c r="N1898" s="543" t="s">
        <v>449</v>
      </c>
      <c r="O1898" s="543">
        <v>45044.5</v>
      </c>
      <c r="P1898" s="73" t="s">
        <v>431</v>
      </c>
      <c r="Q1898" s="158">
        <v>17.440000000000001</v>
      </c>
      <c r="R1898" s="563">
        <f t="shared" si="118"/>
        <v>3.8509795706425098E-3</v>
      </c>
      <c r="S1898" s="563">
        <f t="shared" si="119"/>
        <v>1.8691588785046731E-2</v>
      </c>
      <c r="AA1898" s="594">
        <v>44469</v>
      </c>
      <c r="AB1898" s="595" t="s">
        <v>449</v>
      </c>
      <c r="AC1898" s="595">
        <v>44899.6</v>
      </c>
      <c r="AD1898" s="596" t="s">
        <v>395</v>
      </c>
      <c r="AE1898" s="595">
        <v>108.77</v>
      </c>
      <c r="AF1898" s="597">
        <f t="shared" si="120"/>
        <v>1.201034829243719E-2</v>
      </c>
      <c r="AG1898" s="597">
        <f t="shared" si="121"/>
        <v>-8.2674995406950558E-4</v>
      </c>
    </row>
    <row r="1899" spans="13:33" x14ac:dyDescent="0.35">
      <c r="M1899" s="555">
        <v>44474</v>
      </c>
      <c r="N1899" s="543" t="s">
        <v>449</v>
      </c>
      <c r="O1899" s="543">
        <v>44666.57</v>
      </c>
      <c r="P1899" s="73" t="s">
        <v>431</v>
      </c>
      <c r="Q1899" s="158">
        <v>17.39</v>
      </c>
      <c r="R1899" s="563">
        <f t="shared" si="118"/>
        <v>-8.3901475207850407E-3</v>
      </c>
      <c r="S1899" s="563">
        <f t="shared" si="119"/>
        <v>-2.8669724770642446E-3</v>
      </c>
      <c r="AA1899" s="594">
        <v>44470</v>
      </c>
      <c r="AB1899" s="595" t="s">
        <v>449</v>
      </c>
      <c r="AC1899" s="595">
        <v>44871.7</v>
      </c>
      <c r="AD1899" s="596" t="s">
        <v>395</v>
      </c>
      <c r="AE1899" s="595">
        <v>108.91</v>
      </c>
      <c r="AF1899" s="597">
        <f t="shared" si="120"/>
        <v>-6.2138638206132857E-4</v>
      </c>
      <c r="AG1899" s="597">
        <f t="shared" si="121"/>
        <v>1.2871196101866822E-3</v>
      </c>
    </row>
    <row r="1900" spans="13:33" x14ac:dyDescent="0.35">
      <c r="M1900" s="555">
        <v>44475</v>
      </c>
      <c r="N1900" s="543" t="s">
        <v>449</v>
      </c>
      <c r="O1900" s="543">
        <v>44373.23</v>
      </c>
      <c r="P1900" s="73" t="s">
        <v>431</v>
      </c>
      <c r="Q1900" s="158">
        <v>16.82</v>
      </c>
      <c r="R1900" s="563">
        <f t="shared" si="118"/>
        <v>-6.567327645708998E-3</v>
      </c>
      <c r="S1900" s="563">
        <f t="shared" si="119"/>
        <v>-3.2777458309373175E-2</v>
      </c>
      <c r="AA1900" s="594">
        <v>44473</v>
      </c>
      <c r="AB1900" s="595" t="s">
        <v>449</v>
      </c>
      <c r="AC1900" s="595">
        <v>45044.5</v>
      </c>
      <c r="AD1900" s="596" t="s">
        <v>395</v>
      </c>
      <c r="AE1900" s="595">
        <v>107.43</v>
      </c>
      <c r="AF1900" s="597">
        <f t="shared" si="120"/>
        <v>3.8509795706425098E-3</v>
      </c>
      <c r="AG1900" s="597">
        <f t="shared" si="121"/>
        <v>-1.3589202093471586E-2</v>
      </c>
    </row>
    <row r="1901" spans="13:33" x14ac:dyDescent="0.35">
      <c r="M1901" s="555">
        <v>44476</v>
      </c>
      <c r="N1901" s="543" t="s">
        <v>449</v>
      </c>
      <c r="O1901" s="543">
        <v>44586.04</v>
      </c>
      <c r="P1901" s="73" t="s">
        <v>431</v>
      </c>
      <c r="Q1901" s="158">
        <v>16.899999999999999</v>
      </c>
      <c r="R1901" s="563">
        <f t="shared" si="118"/>
        <v>4.7959096058591832E-3</v>
      </c>
      <c r="S1901" s="563">
        <f t="shared" si="119"/>
        <v>4.7562425683709275E-3</v>
      </c>
      <c r="AA1901" s="594">
        <v>44474</v>
      </c>
      <c r="AB1901" s="595" t="s">
        <v>449</v>
      </c>
      <c r="AC1901" s="595">
        <v>44666.57</v>
      </c>
      <c r="AD1901" s="596" t="s">
        <v>395</v>
      </c>
      <c r="AE1901" s="595">
        <v>108.9</v>
      </c>
      <c r="AF1901" s="597">
        <f t="shared" si="120"/>
        <v>-8.3901475207850407E-3</v>
      </c>
      <c r="AG1901" s="597">
        <f t="shared" si="121"/>
        <v>1.3683328679139795E-2</v>
      </c>
    </row>
    <row r="1902" spans="13:33" x14ac:dyDescent="0.35">
      <c r="M1902" s="555">
        <v>44477</v>
      </c>
      <c r="N1902" s="543" t="s">
        <v>449</v>
      </c>
      <c r="O1902" s="543">
        <v>44477.23</v>
      </c>
      <c r="P1902" s="73" t="s">
        <v>431</v>
      </c>
      <c r="Q1902" s="158">
        <v>16.670000000000002</v>
      </c>
      <c r="R1902" s="563">
        <f t="shared" si="118"/>
        <v>-2.4404499704391291E-3</v>
      </c>
      <c r="S1902" s="563">
        <f t="shared" si="119"/>
        <v>-1.3609467455621083E-2</v>
      </c>
      <c r="AA1902" s="594">
        <v>44475</v>
      </c>
      <c r="AB1902" s="595" t="s">
        <v>449</v>
      </c>
      <c r="AC1902" s="595">
        <v>44373.23</v>
      </c>
      <c r="AD1902" s="596" t="s">
        <v>395</v>
      </c>
      <c r="AE1902" s="595">
        <v>108.76</v>
      </c>
      <c r="AF1902" s="597">
        <f t="shared" si="120"/>
        <v>-6.567327645708998E-3</v>
      </c>
      <c r="AG1902" s="597">
        <f t="shared" si="121"/>
        <v>-1.2855831037649201E-3</v>
      </c>
    </row>
    <row r="1903" spans="13:33" x14ac:dyDescent="0.35">
      <c r="M1903" s="555">
        <v>44480</v>
      </c>
      <c r="N1903" s="543" t="s">
        <v>449</v>
      </c>
      <c r="O1903" s="543">
        <v>43829.35</v>
      </c>
      <c r="P1903" s="73" t="s">
        <v>431</v>
      </c>
      <c r="Q1903" s="158">
        <v>16.16</v>
      </c>
      <c r="R1903" s="563">
        <f t="shared" si="118"/>
        <v>-1.4566554616823102E-2</v>
      </c>
      <c r="S1903" s="563">
        <f t="shared" si="119"/>
        <v>-3.0593881223755393E-2</v>
      </c>
      <c r="AA1903" s="594">
        <v>44476</v>
      </c>
      <c r="AB1903" s="595" t="s">
        <v>449</v>
      </c>
      <c r="AC1903" s="595">
        <v>44586.04</v>
      </c>
      <c r="AD1903" s="596" t="s">
        <v>395</v>
      </c>
      <c r="AE1903" s="595">
        <v>108.75</v>
      </c>
      <c r="AF1903" s="597">
        <f t="shared" si="120"/>
        <v>4.7959096058591832E-3</v>
      </c>
      <c r="AG1903" s="597">
        <f t="shared" si="121"/>
        <v>-9.1945568223672502E-5</v>
      </c>
    </row>
    <row r="1904" spans="13:33" x14ac:dyDescent="0.35">
      <c r="M1904" s="555">
        <v>44481</v>
      </c>
      <c r="N1904" s="543" t="s">
        <v>449</v>
      </c>
      <c r="O1904" s="543">
        <v>43883.08</v>
      </c>
      <c r="P1904" s="73" t="s">
        <v>431</v>
      </c>
      <c r="Q1904" s="158">
        <v>15.95</v>
      </c>
      <c r="R1904" s="563">
        <f t="shared" si="118"/>
        <v>1.2258908699307458E-3</v>
      </c>
      <c r="S1904" s="563">
        <f t="shared" si="119"/>
        <v>-1.2995049504950562E-2</v>
      </c>
      <c r="AA1904" s="594">
        <v>44477</v>
      </c>
      <c r="AB1904" s="595" t="s">
        <v>449</v>
      </c>
      <c r="AC1904" s="595">
        <v>44477.23</v>
      </c>
      <c r="AD1904" s="596" t="s">
        <v>395</v>
      </c>
      <c r="AE1904" s="595">
        <v>109.08</v>
      </c>
      <c r="AF1904" s="597">
        <f t="shared" si="120"/>
        <v>-2.4404499704391291E-3</v>
      </c>
      <c r="AG1904" s="597">
        <f t="shared" si="121"/>
        <v>3.0344827586206158E-3</v>
      </c>
    </row>
    <row r="1905" spans="13:33" x14ac:dyDescent="0.35">
      <c r="M1905" s="555">
        <v>44482</v>
      </c>
      <c r="N1905" s="543" t="s">
        <v>449</v>
      </c>
      <c r="O1905" s="543">
        <v>43221.78</v>
      </c>
      <c r="P1905" s="73" t="s">
        <v>431</v>
      </c>
      <c r="Q1905" s="158">
        <v>15.64</v>
      </c>
      <c r="R1905" s="563">
        <f t="shared" si="118"/>
        <v>-1.5069589463638455E-2</v>
      </c>
      <c r="S1905" s="563">
        <f t="shared" si="119"/>
        <v>-1.9435736677115956E-2</v>
      </c>
      <c r="AA1905" s="594">
        <v>44480</v>
      </c>
      <c r="AB1905" s="595" t="s">
        <v>449</v>
      </c>
      <c r="AC1905" s="595">
        <v>43829.35</v>
      </c>
      <c r="AD1905" s="596" t="s">
        <v>395</v>
      </c>
      <c r="AE1905" s="595">
        <v>107.03</v>
      </c>
      <c r="AF1905" s="597">
        <f t="shared" si="120"/>
        <v>-1.4566554616823102E-2</v>
      </c>
      <c r="AG1905" s="597">
        <f t="shared" si="121"/>
        <v>-1.8793546021268814E-2</v>
      </c>
    </row>
    <row r="1906" spans="13:33" x14ac:dyDescent="0.35">
      <c r="M1906" s="555">
        <v>44483</v>
      </c>
      <c r="N1906" s="543" t="s">
        <v>449</v>
      </c>
      <c r="O1906" s="543">
        <v>44333.68</v>
      </c>
      <c r="P1906" s="73" t="s">
        <v>431</v>
      </c>
      <c r="Q1906" s="158">
        <v>16.350000000000001</v>
      </c>
      <c r="R1906" s="563">
        <f t="shared" si="118"/>
        <v>2.5725456008521608E-2</v>
      </c>
      <c r="S1906" s="563">
        <f t="shared" si="119"/>
        <v>4.5396419437340185E-2</v>
      </c>
      <c r="AA1906" s="594">
        <v>44481</v>
      </c>
      <c r="AB1906" s="595" t="s">
        <v>449</v>
      </c>
      <c r="AC1906" s="595">
        <v>43883.08</v>
      </c>
      <c r="AD1906" s="596" t="s">
        <v>395</v>
      </c>
      <c r="AE1906" s="595">
        <v>106.25</v>
      </c>
      <c r="AF1906" s="597">
        <f t="shared" si="120"/>
        <v>1.2258908699307458E-3</v>
      </c>
      <c r="AG1906" s="597">
        <f t="shared" si="121"/>
        <v>-7.2876763524245547E-3</v>
      </c>
    </row>
    <row r="1907" spans="13:33" x14ac:dyDescent="0.35">
      <c r="M1907" s="555">
        <v>44484</v>
      </c>
      <c r="N1907" s="543" t="s">
        <v>449</v>
      </c>
      <c r="O1907" s="543">
        <v>44821.53</v>
      </c>
      <c r="P1907" s="73" t="s">
        <v>431</v>
      </c>
      <c r="Q1907" s="158">
        <v>17.059999999999999</v>
      </c>
      <c r="R1907" s="563">
        <f t="shared" si="118"/>
        <v>1.1004049291644558E-2</v>
      </c>
      <c r="S1907" s="563">
        <f t="shared" si="119"/>
        <v>4.3425076452599187E-2</v>
      </c>
      <c r="AA1907" s="594">
        <v>44482</v>
      </c>
      <c r="AB1907" s="595" t="s">
        <v>449</v>
      </c>
      <c r="AC1907" s="595">
        <v>43221.78</v>
      </c>
      <c r="AD1907" s="596" t="s">
        <v>395</v>
      </c>
      <c r="AE1907" s="595">
        <v>106.78</v>
      </c>
      <c r="AF1907" s="597">
        <f t="shared" si="120"/>
        <v>-1.5069589463638455E-2</v>
      </c>
      <c r="AG1907" s="597">
        <f t="shared" si="121"/>
        <v>4.9882352941177377E-3</v>
      </c>
    </row>
    <row r="1908" spans="13:33" x14ac:dyDescent="0.35">
      <c r="M1908" s="555">
        <v>44487</v>
      </c>
      <c r="N1908" s="543" t="s">
        <v>449</v>
      </c>
      <c r="O1908" s="543">
        <v>44629.45</v>
      </c>
      <c r="P1908" s="73" t="s">
        <v>431</v>
      </c>
      <c r="Q1908" s="158">
        <v>16.32</v>
      </c>
      <c r="R1908" s="563">
        <f t="shared" si="118"/>
        <v>-4.285440501473281E-3</v>
      </c>
      <c r="S1908" s="563">
        <f t="shared" si="119"/>
        <v>-4.3376318874560282E-2</v>
      </c>
      <c r="AA1908" s="594">
        <v>44483</v>
      </c>
      <c r="AB1908" s="595" t="s">
        <v>449</v>
      </c>
      <c r="AC1908" s="595">
        <v>44333.68</v>
      </c>
      <c r="AD1908" s="596" t="s">
        <v>395</v>
      </c>
      <c r="AE1908" s="595">
        <v>107.2</v>
      </c>
      <c r="AF1908" s="597">
        <f t="shared" si="120"/>
        <v>2.5725456008521608E-2</v>
      </c>
      <c r="AG1908" s="597">
        <f t="shared" si="121"/>
        <v>3.9333208466005853E-3</v>
      </c>
    </row>
    <row r="1909" spans="13:33" x14ac:dyDescent="0.35">
      <c r="M1909" s="555">
        <v>44489</v>
      </c>
      <c r="N1909" s="543" t="s">
        <v>449</v>
      </c>
      <c r="O1909" s="543">
        <v>45499.46</v>
      </c>
      <c r="P1909" s="73" t="s">
        <v>431</v>
      </c>
      <c r="Q1909" s="158">
        <v>16.64</v>
      </c>
      <c r="R1909" s="563">
        <f t="shared" si="118"/>
        <v>1.9494078461643749E-2</v>
      </c>
      <c r="S1909" s="563">
        <f t="shared" si="119"/>
        <v>1.9607843137254832E-2</v>
      </c>
      <c r="AA1909" s="594">
        <v>44484</v>
      </c>
      <c r="AB1909" s="595" t="s">
        <v>449</v>
      </c>
      <c r="AC1909" s="595">
        <v>44821.53</v>
      </c>
      <c r="AD1909" s="596" t="s">
        <v>395</v>
      </c>
      <c r="AE1909" s="595">
        <v>102.5</v>
      </c>
      <c r="AF1909" s="597">
        <f t="shared" si="120"/>
        <v>1.1004049291644558E-2</v>
      </c>
      <c r="AG1909" s="597">
        <f t="shared" si="121"/>
        <v>-4.3843283582089554E-2</v>
      </c>
    </row>
    <row r="1910" spans="13:33" x14ac:dyDescent="0.35">
      <c r="M1910" s="555">
        <v>44490</v>
      </c>
      <c r="N1910" s="543" t="s">
        <v>449</v>
      </c>
      <c r="O1910" s="543">
        <v>45821.4</v>
      </c>
      <c r="P1910" s="73" t="s">
        <v>431</v>
      </c>
      <c r="Q1910" s="158">
        <v>16.440000000000001</v>
      </c>
      <c r="R1910" s="563">
        <f t="shared" si="118"/>
        <v>7.0756883708071872E-3</v>
      </c>
      <c r="S1910" s="563">
        <f t="shared" si="119"/>
        <v>-1.2019230769230727E-2</v>
      </c>
      <c r="AA1910" s="594">
        <v>44487</v>
      </c>
      <c r="AB1910" s="595" t="s">
        <v>449</v>
      </c>
      <c r="AC1910" s="595">
        <v>44629.45</v>
      </c>
      <c r="AD1910" s="596" t="s">
        <v>395</v>
      </c>
      <c r="AE1910" s="595">
        <v>100.16</v>
      </c>
      <c r="AF1910" s="597">
        <f t="shared" si="120"/>
        <v>-4.285440501473281E-3</v>
      </c>
      <c r="AG1910" s="597">
        <f t="shared" si="121"/>
        <v>-2.2829268292682947E-2</v>
      </c>
    </row>
    <row r="1911" spans="13:33" x14ac:dyDescent="0.35">
      <c r="M1911" s="555">
        <v>44491</v>
      </c>
      <c r="N1911" s="543" t="s">
        <v>449</v>
      </c>
      <c r="O1911" s="543">
        <v>45578.36</v>
      </c>
      <c r="P1911" s="73" t="s">
        <v>431</v>
      </c>
      <c r="Q1911" s="158">
        <v>16.22</v>
      </c>
      <c r="R1911" s="563">
        <f t="shared" si="118"/>
        <v>-5.3040718965374767E-3</v>
      </c>
      <c r="S1911" s="563">
        <f t="shared" si="119"/>
        <v>-1.3381995133820102E-2</v>
      </c>
      <c r="AA1911" s="594">
        <v>44489</v>
      </c>
      <c r="AB1911" s="595" t="s">
        <v>449</v>
      </c>
      <c r="AC1911" s="595">
        <v>45499.46</v>
      </c>
      <c r="AD1911" s="596" t="s">
        <v>395</v>
      </c>
      <c r="AE1911" s="595">
        <v>104.63</v>
      </c>
      <c r="AF1911" s="597">
        <f t="shared" si="120"/>
        <v>1.9494078461643749E-2</v>
      </c>
      <c r="AG1911" s="597">
        <f t="shared" si="121"/>
        <v>4.4628594249201292E-2</v>
      </c>
    </row>
    <row r="1912" spans="13:33" x14ac:dyDescent="0.35">
      <c r="M1912" s="526">
        <v>44495</v>
      </c>
      <c r="N1912" s="524" t="s">
        <v>449</v>
      </c>
      <c r="O1912" s="524">
        <v>45255.97</v>
      </c>
      <c r="P1912" s="73" t="s">
        <v>431</v>
      </c>
      <c r="Q1912">
        <v>15.78</v>
      </c>
      <c r="R1912" s="563">
        <f t="shared" si="118"/>
        <v>-7.0733128616299323E-3</v>
      </c>
      <c r="S1912" s="563">
        <f t="shared" si="119"/>
        <v>-2.7127003699136787E-2</v>
      </c>
      <c r="AA1912" s="594">
        <v>44490</v>
      </c>
      <c r="AB1912" s="595" t="s">
        <v>449</v>
      </c>
      <c r="AC1912" s="595">
        <v>45821.4</v>
      </c>
      <c r="AD1912" s="596" t="s">
        <v>395</v>
      </c>
      <c r="AE1912" s="595">
        <v>107.25</v>
      </c>
      <c r="AF1912" s="597">
        <f t="shared" si="120"/>
        <v>7.0756883708071872E-3</v>
      </c>
      <c r="AG1912" s="597">
        <f t="shared" si="121"/>
        <v>2.5040619325241265E-2</v>
      </c>
    </row>
    <row r="1913" spans="13:33" x14ac:dyDescent="0.35">
      <c r="M1913" s="555">
        <v>44496</v>
      </c>
      <c r="N1913" s="543" t="s">
        <v>449</v>
      </c>
      <c r="O1913" s="543">
        <v>45851.040000000001</v>
      </c>
      <c r="P1913" s="73" t="s">
        <v>431</v>
      </c>
      <c r="Q1913" s="158">
        <v>15.87</v>
      </c>
      <c r="R1913" s="563">
        <f t="shared" si="118"/>
        <v>1.3148983437986095E-2</v>
      </c>
      <c r="S1913" s="563">
        <f t="shared" si="119"/>
        <v>5.7034220532319324E-3</v>
      </c>
      <c r="AA1913" s="594">
        <v>44491</v>
      </c>
      <c r="AB1913" s="595" t="s">
        <v>449</v>
      </c>
      <c r="AC1913" s="595">
        <v>45578.36</v>
      </c>
      <c r="AD1913" s="596" t="s">
        <v>395</v>
      </c>
      <c r="AE1913" s="595">
        <v>107.04</v>
      </c>
      <c r="AF1913" s="597">
        <f t="shared" si="120"/>
        <v>-5.3040718965374767E-3</v>
      </c>
      <c r="AG1913" s="597">
        <f t="shared" si="121"/>
        <v>-1.958041958041945E-3</v>
      </c>
    </row>
    <row r="1914" spans="13:33" x14ac:dyDescent="0.35">
      <c r="M1914" s="555">
        <v>44497</v>
      </c>
      <c r="N1914" s="543" t="s">
        <v>449</v>
      </c>
      <c r="O1914" s="543">
        <v>45990.73</v>
      </c>
      <c r="P1914" s="73" t="s">
        <v>431</v>
      </c>
      <c r="Q1914" s="158">
        <v>15.73</v>
      </c>
      <c r="R1914" s="563">
        <f t="shared" si="118"/>
        <v>3.0466048316462047E-3</v>
      </c>
      <c r="S1914" s="563">
        <f t="shared" si="119"/>
        <v>-8.8216761184624071E-3</v>
      </c>
      <c r="AA1914" s="594">
        <v>44495</v>
      </c>
      <c r="AB1914" s="595" t="s">
        <v>449</v>
      </c>
      <c r="AC1914" s="595">
        <v>45255.97</v>
      </c>
      <c r="AD1914" s="596" t="s">
        <v>395</v>
      </c>
      <c r="AE1914" s="595">
        <v>106.03</v>
      </c>
      <c r="AF1914" s="597">
        <f t="shared" si="120"/>
        <v>-7.0733128616299323E-3</v>
      </c>
      <c r="AG1914" s="597">
        <f t="shared" si="121"/>
        <v>-9.4357249626307871E-3</v>
      </c>
    </row>
    <row r="1915" spans="13:33" x14ac:dyDescent="0.35">
      <c r="M1915" s="555">
        <v>44498</v>
      </c>
      <c r="N1915" s="543" t="s">
        <v>449</v>
      </c>
      <c r="O1915" s="543">
        <v>46218.92</v>
      </c>
      <c r="P1915" s="73" t="s">
        <v>431</v>
      </c>
      <c r="Q1915" s="158">
        <v>15.61</v>
      </c>
      <c r="R1915" s="563">
        <f t="shared" si="118"/>
        <v>4.9616520546640341E-3</v>
      </c>
      <c r="S1915" s="563">
        <f t="shared" si="119"/>
        <v>-7.6287349014622086E-3</v>
      </c>
      <c r="AA1915" s="594">
        <v>44496</v>
      </c>
      <c r="AB1915" s="595" t="s">
        <v>449</v>
      </c>
      <c r="AC1915" s="595">
        <v>45851.040000000001</v>
      </c>
      <c r="AD1915" s="596" t="s">
        <v>395</v>
      </c>
      <c r="AE1915" s="595">
        <v>103.58</v>
      </c>
      <c r="AF1915" s="597">
        <f t="shared" si="120"/>
        <v>1.3148983437986095E-2</v>
      </c>
      <c r="AG1915" s="597">
        <f t="shared" si="121"/>
        <v>-2.3106667924172486E-2</v>
      </c>
    </row>
    <row r="1916" spans="13:33" x14ac:dyDescent="0.35">
      <c r="M1916" s="555">
        <v>44501</v>
      </c>
      <c r="N1916" s="543" t="s">
        <v>449</v>
      </c>
      <c r="O1916" s="543">
        <v>46974.78</v>
      </c>
      <c r="P1916" s="73" t="s">
        <v>431</v>
      </c>
      <c r="Q1916" s="158">
        <v>16.600000000000001</v>
      </c>
      <c r="R1916" s="563">
        <f t="shared" si="118"/>
        <v>1.6353908745595946E-2</v>
      </c>
      <c r="S1916" s="563">
        <f t="shared" si="119"/>
        <v>6.3420884048686954E-2</v>
      </c>
      <c r="AA1916" s="594">
        <v>44497</v>
      </c>
      <c r="AB1916" s="595" t="s">
        <v>449</v>
      </c>
      <c r="AC1916" s="595">
        <v>45990.73</v>
      </c>
      <c r="AD1916" s="596" t="s">
        <v>395</v>
      </c>
      <c r="AE1916" s="595">
        <v>105.55</v>
      </c>
      <c r="AF1916" s="597">
        <f t="shared" si="120"/>
        <v>3.0466048316462047E-3</v>
      </c>
      <c r="AG1916" s="597">
        <f t="shared" si="121"/>
        <v>1.9019115659393737E-2</v>
      </c>
    </row>
    <row r="1917" spans="13:33" x14ac:dyDescent="0.35">
      <c r="M1917" s="555">
        <v>44502</v>
      </c>
      <c r="N1917" s="543" t="s">
        <v>449</v>
      </c>
      <c r="O1917" s="543">
        <v>47112.92</v>
      </c>
      <c r="P1917" s="73" t="s">
        <v>431</v>
      </c>
      <c r="Q1917" s="158">
        <v>16.920000000000002</v>
      </c>
      <c r="R1917" s="563">
        <f t="shared" si="118"/>
        <v>2.9407269177206263E-3</v>
      </c>
      <c r="S1917" s="563">
        <f t="shared" si="119"/>
        <v>1.9277108433734869E-2</v>
      </c>
      <c r="AA1917" s="594">
        <v>44498</v>
      </c>
      <c r="AB1917" s="595" t="s">
        <v>449</v>
      </c>
      <c r="AC1917" s="595">
        <v>46218.92</v>
      </c>
      <c r="AD1917" s="596" t="s">
        <v>395</v>
      </c>
      <c r="AE1917" s="595">
        <v>105.71</v>
      </c>
      <c r="AF1917" s="597">
        <f t="shared" si="120"/>
        <v>4.9616520546640341E-3</v>
      </c>
      <c r="AG1917" s="597">
        <f t="shared" si="121"/>
        <v>1.5158692562766696E-3</v>
      </c>
    </row>
    <row r="1918" spans="13:33" x14ac:dyDescent="0.35">
      <c r="M1918" s="555">
        <v>44503</v>
      </c>
      <c r="N1918" s="543" t="s">
        <v>449</v>
      </c>
      <c r="O1918" s="543">
        <v>47032.44</v>
      </c>
      <c r="P1918" s="73" t="s">
        <v>431</v>
      </c>
      <c r="Q1918" s="158">
        <v>17.3</v>
      </c>
      <c r="R1918" s="563">
        <f t="shared" si="118"/>
        <v>-1.7082362969647047E-3</v>
      </c>
      <c r="S1918" s="563">
        <f t="shared" si="119"/>
        <v>2.2458628841607542E-2</v>
      </c>
      <c r="AA1918" s="594">
        <v>44501</v>
      </c>
      <c r="AB1918" s="595" t="s">
        <v>449</v>
      </c>
      <c r="AC1918" s="595">
        <v>46974.78</v>
      </c>
      <c r="AD1918" s="596" t="s">
        <v>395</v>
      </c>
      <c r="AE1918" s="595">
        <v>110</v>
      </c>
      <c r="AF1918" s="597">
        <f t="shared" si="120"/>
        <v>1.6353908745595946E-2</v>
      </c>
      <c r="AG1918" s="597">
        <f t="shared" si="121"/>
        <v>4.058272632674309E-2</v>
      </c>
    </row>
    <row r="1919" spans="13:33" x14ac:dyDescent="0.35">
      <c r="M1919" s="555">
        <v>44504</v>
      </c>
      <c r="N1919" s="543" t="s">
        <v>449</v>
      </c>
      <c r="O1919" s="543">
        <v>47219.18</v>
      </c>
      <c r="P1919" s="73" t="s">
        <v>431</v>
      </c>
      <c r="Q1919" s="158">
        <v>17.920000000000002</v>
      </c>
      <c r="R1919" s="563">
        <f t="shared" si="118"/>
        <v>3.9704510333717913E-3</v>
      </c>
      <c r="S1919" s="563">
        <f t="shared" si="119"/>
        <v>3.583815028901749E-2</v>
      </c>
      <c r="AA1919" s="594">
        <v>44502</v>
      </c>
      <c r="AB1919" s="595" t="s">
        <v>449</v>
      </c>
      <c r="AC1919" s="595">
        <v>47112.92</v>
      </c>
      <c r="AD1919" s="596" t="s">
        <v>395</v>
      </c>
      <c r="AE1919" s="595">
        <v>107.9</v>
      </c>
      <c r="AF1919" s="597">
        <f t="shared" si="120"/>
        <v>2.9407269177206263E-3</v>
      </c>
      <c r="AG1919" s="597">
        <f t="shared" si="121"/>
        <v>-1.9090909090909047E-2</v>
      </c>
    </row>
    <row r="1920" spans="13:33" x14ac:dyDescent="0.35">
      <c r="M1920" s="555">
        <v>44505</v>
      </c>
      <c r="N1920" s="543" t="s">
        <v>449</v>
      </c>
      <c r="O1920" s="543">
        <v>47295.8</v>
      </c>
      <c r="P1920" s="73" t="s">
        <v>431</v>
      </c>
      <c r="Q1920" s="158">
        <v>17.47</v>
      </c>
      <c r="R1920" s="563">
        <f t="shared" si="118"/>
        <v>1.6226457130343874E-3</v>
      </c>
      <c r="S1920" s="563">
        <f t="shared" si="119"/>
        <v>-2.5111607142857317E-2</v>
      </c>
      <c r="AA1920" s="594">
        <v>44503</v>
      </c>
      <c r="AB1920" s="595" t="s">
        <v>449</v>
      </c>
      <c r="AC1920" s="595">
        <v>47032.44</v>
      </c>
      <c r="AD1920" s="596" t="s">
        <v>395</v>
      </c>
      <c r="AE1920" s="595">
        <v>107.03</v>
      </c>
      <c r="AF1920" s="597">
        <f t="shared" si="120"/>
        <v>-1.7082362969647047E-3</v>
      </c>
      <c r="AG1920" s="597">
        <f t="shared" si="121"/>
        <v>-8.0630213160334252E-3</v>
      </c>
    </row>
    <row r="1921" spans="13:33" x14ac:dyDescent="0.35">
      <c r="M1921" s="555">
        <v>44508</v>
      </c>
      <c r="N1921" s="543" t="s">
        <v>449</v>
      </c>
      <c r="O1921" s="543">
        <v>47115.040000000001</v>
      </c>
      <c r="P1921" s="73" t="s">
        <v>431</v>
      </c>
      <c r="Q1921" s="158">
        <v>17.27</v>
      </c>
      <c r="R1921" s="563">
        <f t="shared" si="118"/>
        <v>-3.8219038476989819E-3</v>
      </c>
      <c r="S1921" s="563">
        <f t="shared" si="119"/>
        <v>-1.1448196908986796E-2</v>
      </c>
      <c r="AA1921" s="594">
        <v>44504</v>
      </c>
      <c r="AB1921" s="595" t="s">
        <v>449</v>
      </c>
      <c r="AC1921" s="595">
        <v>47219.18</v>
      </c>
      <c r="AD1921" s="596" t="s">
        <v>395</v>
      </c>
      <c r="AE1921" s="595">
        <v>107.08</v>
      </c>
      <c r="AF1921" s="597">
        <f t="shared" si="120"/>
        <v>3.9704510333717913E-3</v>
      </c>
      <c r="AG1921" s="597">
        <f t="shared" si="121"/>
        <v>4.6715874054004125E-4</v>
      </c>
    </row>
    <row r="1922" spans="13:33" x14ac:dyDescent="0.35">
      <c r="M1922" s="555">
        <v>44509</v>
      </c>
      <c r="N1922" s="543" t="s">
        <v>449</v>
      </c>
      <c r="O1922" s="543">
        <v>46399.91</v>
      </c>
      <c r="P1922" s="73" t="s">
        <v>431</v>
      </c>
      <c r="Q1922" s="158">
        <v>16.22</v>
      </c>
      <c r="R1922" s="563">
        <f t="shared" si="118"/>
        <v>-1.5178380406766001E-2</v>
      </c>
      <c r="S1922" s="563">
        <f t="shared" si="119"/>
        <v>-6.0799073537927129E-2</v>
      </c>
      <c r="AA1922" s="594">
        <v>44505</v>
      </c>
      <c r="AB1922" s="595" t="s">
        <v>449</v>
      </c>
      <c r="AC1922" s="595">
        <v>47295.8</v>
      </c>
      <c r="AD1922" s="596" t="s">
        <v>395</v>
      </c>
      <c r="AE1922" s="595">
        <v>105.77</v>
      </c>
      <c r="AF1922" s="597">
        <f t="shared" si="120"/>
        <v>1.6226457130343874E-3</v>
      </c>
      <c r="AG1922" s="597">
        <f t="shared" si="121"/>
        <v>-1.2233843855061655E-2</v>
      </c>
    </row>
    <row r="1923" spans="13:33" x14ac:dyDescent="0.35">
      <c r="M1923" s="555">
        <v>44510</v>
      </c>
      <c r="N1923" s="543" t="s">
        <v>449</v>
      </c>
      <c r="O1923" s="543">
        <v>46629.88</v>
      </c>
      <c r="P1923" s="73" t="s">
        <v>431</v>
      </c>
      <c r="Q1923" s="158">
        <v>16.28</v>
      </c>
      <c r="R1923" s="563">
        <f t="shared" si="118"/>
        <v>4.9562596134344883E-3</v>
      </c>
      <c r="S1923" s="563">
        <f t="shared" si="119"/>
        <v>3.6991368680643344E-3</v>
      </c>
      <c r="AA1923" s="594">
        <v>44508</v>
      </c>
      <c r="AB1923" s="595" t="s">
        <v>449</v>
      </c>
      <c r="AC1923" s="595">
        <v>47115.040000000001</v>
      </c>
      <c r="AD1923" s="596" t="s">
        <v>395</v>
      </c>
      <c r="AE1923" s="595">
        <v>107.15</v>
      </c>
      <c r="AF1923" s="597">
        <f t="shared" si="120"/>
        <v>-3.8219038476989819E-3</v>
      </c>
      <c r="AG1923" s="597">
        <f t="shared" si="121"/>
        <v>1.3047177838706681E-2</v>
      </c>
    </row>
    <row r="1924" spans="13:33" x14ac:dyDescent="0.35">
      <c r="M1924" s="555">
        <v>44511</v>
      </c>
      <c r="N1924" s="543" t="s">
        <v>449</v>
      </c>
      <c r="O1924" s="543">
        <v>46348.18</v>
      </c>
      <c r="P1924" s="73" t="s">
        <v>431</v>
      </c>
      <c r="Q1924" s="158">
        <v>16.04</v>
      </c>
      <c r="R1924" s="563">
        <f t="shared" si="118"/>
        <v>-6.0411907557985645E-3</v>
      </c>
      <c r="S1924" s="563">
        <f t="shared" si="119"/>
        <v>-1.4742014742014864E-2</v>
      </c>
      <c r="AA1924" s="594">
        <v>44509</v>
      </c>
      <c r="AB1924" s="595" t="s">
        <v>449</v>
      </c>
      <c r="AC1924" s="595">
        <v>46399.91</v>
      </c>
      <c r="AD1924" s="596" t="s">
        <v>395</v>
      </c>
      <c r="AE1924" s="595">
        <v>104.85</v>
      </c>
      <c r="AF1924" s="597">
        <f t="shared" si="120"/>
        <v>-1.5178380406766001E-2</v>
      </c>
      <c r="AG1924" s="597">
        <f t="shared" si="121"/>
        <v>-2.1465235650956704E-2</v>
      </c>
    </row>
    <row r="1925" spans="13:33" x14ac:dyDescent="0.35">
      <c r="M1925" s="555">
        <v>44512</v>
      </c>
      <c r="N1925" s="543" t="s">
        <v>449</v>
      </c>
      <c r="O1925" s="543">
        <v>45749.15</v>
      </c>
      <c r="P1925" s="73" t="s">
        <v>431</v>
      </c>
      <c r="Q1925" s="158">
        <v>15.69</v>
      </c>
      <c r="R1925" s="563">
        <f t="shared" si="118"/>
        <v>-1.2924563596671934E-2</v>
      </c>
      <c r="S1925" s="563">
        <f t="shared" si="119"/>
        <v>-2.1820448877805432E-2</v>
      </c>
      <c r="AA1925" s="594">
        <v>44510</v>
      </c>
      <c r="AB1925" s="595" t="s">
        <v>449</v>
      </c>
      <c r="AC1925" s="595">
        <v>46629.88</v>
      </c>
      <c r="AD1925" s="596" t="s">
        <v>395</v>
      </c>
      <c r="AE1925" s="595">
        <v>105.97</v>
      </c>
      <c r="AF1925" s="597">
        <f t="shared" si="120"/>
        <v>4.9562596134344883E-3</v>
      </c>
      <c r="AG1925" s="597">
        <f t="shared" si="121"/>
        <v>1.068192656175504E-2</v>
      </c>
    </row>
    <row r="1926" spans="13:33" x14ac:dyDescent="0.35">
      <c r="M1926" s="555">
        <v>44515</v>
      </c>
      <c r="N1926" s="543" t="s">
        <v>449</v>
      </c>
      <c r="O1926" s="543">
        <v>45736.26</v>
      </c>
      <c r="P1926" s="73" t="s">
        <v>431</v>
      </c>
      <c r="Q1926" s="158">
        <v>15.61</v>
      </c>
      <c r="R1926" s="563">
        <f t="shared" si="118"/>
        <v>-2.8175386865114671E-4</v>
      </c>
      <c r="S1926" s="563">
        <f t="shared" si="119"/>
        <v>-5.0987890376035239E-3</v>
      </c>
      <c r="AA1926" s="594">
        <v>44511</v>
      </c>
      <c r="AB1926" s="595" t="s">
        <v>449</v>
      </c>
      <c r="AC1926" s="595">
        <v>46348.18</v>
      </c>
      <c r="AD1926" s="596" t="s">
        <v>395</v>
      </c>
      <c r="AE1926" s="595">
        <v>104.13</v>
      </c>
      <c r="AF1926" s="597">
        <f t="shared" si="120"/>
        <v>-6.0411907557985645E-3</v>
      </c>
      <c r="AG1926" s="597">
        <f t="shared" si="121"/>
        <v>-1.736340473718978E-2</v>
      </c>
    </row>
    <row r="1927" spans="13:33" x14ac:dyDescent="0.35">
      <c r="M1927" s="555">
        <v>44516</v>
      </c>
      <c r="N1927" s="543" t="s">
        <v>449</v>
      </c>
      <c r="O1927" s="543">
        <v>46542.91</v>
      </c>
      <c r="P1927" s="73" t="s">
        <v>431</v>
      </c>
      <c r="Q1927" s="158">
        <v>16</v>
      </c>
      <c r="R1927" s="563">
        <f t="shared" si="118"/>
        <v>1.7636990868951763E-2</v>
      </c>
      <c r="S1927" s="563">
        <f t="shared" si="119"/>
        <v>2.4983984625240208E-2</v>
      </c>
      <c r="AA1927" s="594">
        <v>44512</v>
      </c>
      <c r="AB1927" s="595" t="s">
        <v>449</v>
      </c>
      <c r="AC1927" s="595">
        <v>45749.15</v>
      </c>
      <c r="AD1927" s="596" t="s">
        <v>395</v>
      </c>
      <c r="AE1927" s="595">
        <v>102.05</v>
      </c>
      <c r="AF1927" s="597">
        <f t="shared" si="120"/>
        <v>-1.2924563596671934E-2</v>
      </c>
      <c r="AG1927" s="597">
        <f t="shared" si="121"/>
        <v>-1.9975031210986205E-2</v>
      </c>
    </row>
    <row r="1928" spans="13:33" x14ac:dyDescent="0.35">
      <c r="M1928" s="555">
        <v>44517</v>
      </c>
      <c r="N1928" s="543" t="s">
        <v>449</v>
      </c>
      <c r="O1928" s="543">
        <v>46194.42</v>
      </c>
      <c r="P1928" s="73" t="s">
        <v>431</v>
      </c>
      <c r="Q1928" s="158">
        <v>15.65</v>
      </c>
      <c r="R1928" s="563">
        <f t="shared" si="118"/>
        <v>-7.4874991701208149E-3</v>
      </c>
      <c r="S1928" s="563">
        <f t="shared" si="119"/>
        <v>-2.1874999999999978E-2</v>
      </c>
      <c r="AA1928" s="594">
        <v>44515</v>
      </c>
      <c r="AB1928" s="595" t="s">
        <v>449</v>
      </c>
      <c r="AC1928" s="595">
        <v>45736.26</v>
      </c>
      <c r="AD1928" s="596" t="s">
        <v>395</v>
      </c>
      <c r="AE1928" s="595">
        <v>101.19</v>
      </c>
      <c r="AF1928" s="597">
        <f t="shared" si="120"/>
        <v>-2.8175386865114671E-4</v>
      </c>
      <c r="AG1928" s="597">
        <f t="shared" si="121"/>
        <v>-8.4272415482606888E-3</v>
      </c>
    </row>
    <row r="1929" spans="13:33" x14ac:dyDescent="0.35">
      <c r="M1929" s="555">
        <v>44518</v>
      </c>
      <c r="N1929" s="543" t="s">
        <v>449</v>
      </c>
      <c r="O1929" s="543">
        <v>46110.5</v>
      </c>
      <c r="P1929" s="73" t="s">
        <v>431</v>
      </c>
      <c r="Q1929" s="158">
        <v>15.93</v>
      </c>
      <c r="R1929" s="563">
        <f t="shared" si="118"/>
        <v>-1.8166696323927978E-3</v>
      </c>
      <c r="S1929" s="563">
        <f t="shared" si="119"/>
        <v>1.7891373801916854E-2</v>
      </c>
      <c r="AA1929" s="594">
        <v>44516</v>
      </c>
      <c r="AB1929" s="595" t="s">
        <v>449</v>
      </c>
      <c r="AC1929" s="595">
        <v>46542.91</v>
      </c>
      <c r="AD1929" s="596" t="s">
        <v>395</v>
      </c>
      <c r="AE1929" s="595">
        <v>104.5</v>
      </c>
      <c r="AF1929" s="597">
        <f t="shared" si="120"/>
        <v>1.7636990868951763E-2</v>
      </c>
      <c r="AG1929" s="597">
        <f t="shared" si="121"/>
        <v>3.271074216819847E-2</v>
      </c>
    </row>
    <row r="1930" spans="13:33" x14ac:dyDescent="0.35">
      <c r="M1930" s="555">
        <v>44519</v>
      </c>
      <c r="N1930" s="543" t="s">
        <v>449</v>
      </c>
      <c r="O1930" s="543">
        <v>46489.41</v>
      </c>
      <c r="P1930" s="73" t="s">
        <v>431</v>
      </c>
      <c r="Q1930" s="158">
        <v>15.76</v>
      </c>
      <c r="R1930" s="563">
        <f t="shared" si="118"/>
        <v>8.2174342069594175E-3</v>
      </c>
      <c r="S1930" s="563">
        <f t="shared" si="119"/>
        <v>-1.0671688637790333E-2</v>
      </c>
      <c r="AA1930" s="594">
        <v>44517</v>
      </c>
      <c r="AB1930" s="595" t="s">
        <v>449</v>
      </c>
      <c r="AC1930" s="595">
        <v>46194.42</v>
      </c>
      <c r="AD1930" s="596" t="s">
        <v>395</v>
      </c>
      <c r="AE1930" s="595">
        <v>102.1</v>
      </c>
      <c r="AF1930" s="597">
        <f t="shared" si="120"/>
        <v>-7.4874991701208149E-3</v>
      </c>
      <c r="AG1930" s="597">
        <f t="shared" si="121"/>
        <v>-2.2966507177033524E-2</v>
      </c>
    </row>
    <row r="1931" spans="13:33" x14ac:dyDescent="0.35">
      <c r="M1931" s="555">
        <v>44522</v>
      </c>
      <c r="N1931" s="543" t="s">
        <v>449</v>
      </c>
      <c r="O1931" s="543">
        <v>45745</v>
      </c>
      <c r="P1931" s="73" t="s">
        <v>431</v>
      </c>
      <c r="Q1931" s="158">
        <v>14.65</v>
      </c>
      <c r="R1931" s="563">
        <f t="shared" si="118"/>
        <v>-1.6012463913824715E-2</v>
      </c>
      <c r="S1931" s="563">
        <f t="shared" si="119"/>
        <v>-7.0431472081218249E-2</v>
      </c>
      <c r="AA1931" s="594">
        <v>44518</v>
      </c>
      <c r="AB1931" s="595" t="s">
        <v>449</v>
      </c>
      <c r="AC1931" s="595">
        <v>46110.5</v>
      </c>
      <c r="AD1931" s="596" t="s">
        <v>395</v>
      </c>
      <c r="AE1931" s="595">
        <v>101.73</v>
      </c>
      <c r="AF1931" s="597">
        <f t="shared" si="120"/>
        <v>-1.8166696323927978E-3</v>
      </c>
      <c r="AG1931" s="597">
        <f t="shared" si="121"/>
        <v>-3.6238981390792624E-3</v>
      </c>
    </row>
    <row r="1932" spans="13:33" x14ac:dyDescent="0.35">
      <c r="M1932" s="555">
        <v>44523</v>
      </c>
      <c r="N1932" s="543" t="s">
        <v>449</v>
      </c>
      <c r="O1932" s="543">
        <v>44948.52</v>
      </c>
      <c r="P1932" s="73" t="s">
        <v>431</v>
      </c>
      <c r="Q1932" s="158">
        <v>14.08</v>
      </c>
      <c r="R1932" s="563">
        <f t="shared" si="118"/>
        <v>-1.741130178161554E-2</v>
      </c>
      <c r="S1932" s="563">
        <f t="shared" si="119"/>
        <v>-3.8907849829351582E-2</v>
      </c>
      <c r="AA1932" s="594">
        <v>44519</v>
      </c>
      <c r="AB1932" s="595" t="s">
        <v>449</v>
      </c>
      <c r="AC1932" s="595">
        <v>46489.41</v>
      </c>
      <c r="AD1932" s="596" t="s">
        <v>395</v>
      </c>
      <c r="AE1932" s="595">
        <v>101.56</v>
      </c>
      <c r="AF1932" s="597">
        <f t="shared" si="120"/>
        <v>8.2174342069594175E-3</v>
      </c>
      <c r="AG1932" s="597">
        <f t="shared" si="121"/>
        <v>-1.6710901405682099E-3</v>
      </c>
    </row>
    <row r="1933" spans="13:33" x14ac:dyDescent="0.35">
      <c r="M1933" s="555">
        <v>44524</v>
      </c>
      <c r="N1933" s="543" t="s">
        <v>449</v>
      </c>
      <c r="O1933" s="543">
        <v>44363.7</v>
      </c>
      <c r="P1933" s="73" t="s">
        <v>431</v>
      </c>
      <c r="Q1933" s="158">
        <v>13.69</v>
      </c>
      <c r="R1933" s="563">
        <f t="shared" si="118"/>
        <v>-1.3010884451812865E-2</v>
      </c>
      <c r="S1933" s="563">
        <f t="shared" si="119"/>
        <v>-2.7698863636363646E-2</v>
      </c>
      <c r="AA1933" s="594">
        <v>44522</v>
      </c>
      <c r="AB1933" s="595" t="s">
        <v>449</v>
      </c>
      <c r="AC1933" s="595">
        <v>45745</v>
      </c>
      <c r="AD1933" s="596" t="s">
        <v>395</v>
      </c>
      <c r="AE1933" s="595">
        <v>101.08</v>
      </c>
      <c r="AF1933" s="597">
        <f t="shared" si="120"/>
        <v>-1.6012463913824715E-2</v>
      </c>
      <c r="AG1933" s="597">
        <f t="shared" si="121"/>
        <v>-4.7262701851122912E-3</v>
      </c>
    </row>
    <row r="1934" spans="13:33" x14ac:dyDescent="0.35">
      <c r="M1934" s="555">
        <v>44525</v>
      </c>
      <c r="N1934" s="543" t="s">
        <v>449</v>
      </c>
      <c r="O1934" s="543">
        <v>43935.75</v>
      </c>
      <c r="P1934" s="73" t="s">
        <v>431</v>
      </c>
      <c r="Q1934" s="158">
        <v>13.67</v>
      </c>
      <c r="R1934" s="563">
        <f t="shared" si="118"/>
        <v>-9.6464000973768282E-3</v>
      </c>
      <c r="S1934" s="563">
        <f t="shared" si="119"/>
        <v>-1.4609203798392478E-3</v>
      </c>
      <c r="AA1934" s="594">
        <v>44523</v>
      </c>
      <c r="AB1934" s="595" t="s">
        <v>449</v>
      </c>
      <c r="AC1934" s="595">
        <v>44948.52</v>
      </c>
      <c r="AD1934" s="596" t="s">
        <v>395</v>
      </c>
      <c r="AE1934" s="595">
        <v>99.19</v>
      </c>
      <c r="AF1934" s="597">
        <f t="shared" si="120"/>
        <v>-1.741130178161554E-2</v>
      </c>
      <c r="AG1934" s="597">
        <f t="shared" si="121"/>
        <v>-1.8698060941828243E-2</v>
      </c>
    </row>
    <row r="1935" spans="13:33" x14ac:dyDescent="0.35">
      <c r="M1935" s="555">
        <v>44526</v>
      </c>
      <c r="N1935" s="543" t="s">
        <v>449</v>
      </c>
      <c r="O1935" s="543">
        <v>44114.16</v>
      </c>
      <c r="P1935" s="73" t="s">
        <v>431</v>
      </c>
      <c r="Q1935" s="158">
        <v>13.46</v>
      </c>
      <c r="R1935" s="563">
        <f t="shared" si="118"/>
        <v>4.0607022754819422E-3</v>
      </c>
      <c r="S1935" s="563">
        <f t="shared" si="119"/>
        <v>-1.53621068032187E-2</v>
      </c>
      <c r="AA1935" s="594">
        <v>44524</v>
      </c>
      <c r="AB1935" s="595" t="s">
        <v>449</v>
      </c>
      <c r="AC1935" s="595">
        <v>44363.7</v>
      </c>
      <c r="AD1935" s="596" t="s">
        <v>395</v>
      </c>
      <c r="AE1935" s="595">
        <v>98.38</v>
      </c>
      <c r="AF1935" s="597">
        <f t="shared" si="120"/>
        <v>-1.3010884451812865E-2</v>
      </c>
      <c r="AG1935" s="597">
        <f t="shared" si="121"/>
        <v>-8.1661457808247517E-3</v>
      </c>
    </row>
    <row r="1936" spans="13:33" x14ac:dyDescent="0.35">
      <c r="M1936" s="555">
        <v>44529</v>
      </c>
      <c r="N1936" s="543" t="s">
        <v>449</v>
      </c>
      <c r="O1936" s="543">
        <v>45330.05</v>
      </c>
      <c r="P1936" s="73" t="s">
        <v>431</v>
      </c>
      <c r="Q1936" s="158">
        <v>13.75</v>
      </c>
      <c r="R1936" s="563">
        <f t="shared" si="118"/>
        <v>2.7562351861624368E-2</v>
      </c>
      <c r="S1936" s="563">
        <f t="shared" si="119"/>
        <v>2.1545319465081647E-2</v>
      </c>
      <c r="AA1936" s="594">
        <v>44525</v>
      </c>
      <c r="AB1936" s="595" t="s">
        <v>449</v>
      </c>
      <c r="AC1936" s="595">
        <v>43935.75</v>
      </c>
      <c r="AD1936" s="596" t="s">
        <v>395</v>
      </c>
      <c r="AE1936" s="595">
        <v>96.12</v>
      </c>
      <c r="AF1936" s="597">
        <f t="shared" si="120"/>
        <v>-9.6464000973768282E-3</v>
      </c>
      <c r="AG1936" s="597">
        <f t="shared" si="121"/>
        <v>-2.2972148810733839E-2</v>
      </c>
    </row>
    <row r="1937" spans="13:33" x14ac:dyDescent="0.35">
      <c r="M1937" s="555">
        <v>44530</v>
      </c>
      <c r="N1937" s="543" t="s">
        <v>449</v>
      </c>
      <c r="O1937" s="543">
        <v>45072.38</v>
      </c>
      <c r="P1937" s="73" t="s">
        <v>431</v>
      </c>
      <c r="Q1937" s="158">
        <v>13.65</v>
      </c>
      <c r="R1937" s="563">
        <f t="shared" si="118"/>
        <v>-5.6843087532443271E-3</v>
      </c>
      <c r="S1937" s="563">
        <f t="shared" si="119"/>
        <v>-7.2727272727272085E-3</v>
      </c>
      <c r="AA1937" s="594">
        <v>44526</v>
      </c>
      <c r="AB1937" s="595" t="s">
        <v>449</v>
      </c>
      <c r="AC1937" s="595">
        <v>44114.16</v>
      </c>
      <c r="AD1937" s="596" t="s">
        <v>395</v>
      </c>
      <c r="AE1937" s="595">
        <v>97.56</v>
      </c>
      <c r="AF1937" s="597">
        <f t="shared" si="120"/>
        <v>4.0607022754819422E-3</v>
      </c>
      <c r="AG1937" s="597">
        <f t="shared" si="121"/>
        <v>1.4981273408239737E-2</v>
      </c>
    </row>
    <row r="1938" spans="13:33" x14ac:dyDescent="0.35">
      <c r="M1938" s="555">
        <v>44531</v>
      </c>
      <c r="N1938" s="543" t="s">
        <v>449</v>
      </c>
      <c r="O1938" s="543">
        <v>45369.14</v>
      </c>
      <c r="P1938" s="73" t="s">
        <v>431</v>
      </c>
      <c r="Q1938" s="158">
        <v>13.71</v>
      </c>
      <c r="R1938" s="563">
        <f t="shared" si="118"/>
        <v>6.5840765453255568E-3</v>
      </c>
      <c r="S1938" s="563">
        <f t="shared" si="119"/>
        <v>4.39560439560438E-3</v>
      </c>
      <c r="AA1938" s="594">
        <v>44529</v>
      </c>
      <c r="AB1938" s="595" t="s">
        <v>449</v>
      </c>
      <c r="AC1938" s="595">
        <v>45330.05</v>
      </c>
      <c r="AD1938" s="596" t="s">
        <v>395</v>
      </c>
      <c r="AE1938" s="595">
        <v>98.77</v>
      </c>
      <c r="AF1938" s="597">
        <f t="shared" si="120"/>
        <v>2.7562351861624368E-2</v>
      </c>
      <c r="AG1938" s="597">
        <f t="shared" si="121"/>
        <v>1.2402624026240261E-2</v>
      </c>
    </row>
    <row r="1939" spans="13:33" x14ac:dyDescent="0.35">
      <c r="M1939" s="555">
        <v>44532</v>
      </c>
      <c r="N1939" s="543" t="s">
        <v>449</v>
      </c>
      <c r="O1939" s="543">
        <v>43234.15</v>
      </c>
      <c r="P1939" s="73" t="s">
        <v>431</v>
      </c>
      <c r="Q1939" s="158">
        <v>12.69</v>
      </c>
      <c r="R1939" s="563">
        <f t="shared" si="118"/>
        <v>-4.7058198590495648E-2</v>
      </c>
      <c r="S1939" s="563">
        <f t="shared" si="119"/>
        <v>-7.4398249452954146E-2</v>
      </c>
      <c r="AA1939" s="594">
        <v>44530</v>
      </c>
      <c r="AB1939" s="595" t="s">
        <v>449</v>
      </c>
      <c r="AC1939" s="595">
        <v>45072.38</v>
      </c>
      <c r="AD1939" s="596" t="s">
        <v>395</v>
      </c>
      <c r="AE1939" s="595">
        <v>99.09</v>
      </c>
      <c r="AF1939" s="597">
        <f t="shared" si="120"/>
        <v>-5.6843087532443271E-3</v>
      </c>
      <c r="AG1939" s="597">
        <f t="shared" si="121"/>
        <v>3.2398501569304017E-3</v>
      </c>
    </row>
    <row r="1940" spans="13:33" x14ac:dyDescent="0.35">
      <c r="M1940" s="555">
        <v>44533</v>
      </c>
      <c r="N1940" s="543" t="s">
        <v>449</v>
      </c>
      <c r="O1940" s="543">
        <v>43232.83</v>
      </c>
      <c r="P1940" s="73" t="s">
        <v>431</v>
      </c>
      <c r="Q1940" s="158">
        <v>11.98</v>
      </c>
      <c r="R1940" s="563">
        <f t="shared" si="118"/>
        <v>-3.0531420185164748E-5</v>
      </c>
      <c r="S1940" s="563">
        <f t="shared" si="119"/>
        <v>-5.594956658786443E-2</v>
      </c>
      <c r="AA1940" s="594">
        <v>44531</v>
      </c>
      <c r="AB1940" s="595" t="s">
        <v>449</v>
      </c>
      <c r="AC1940" s="595">
        <v>45369.14</v>
      </c>
      <c r="AD1940" s="596" t="s">
        <v>395</v>
      </c>
      <c r="AE1940" s="595">
        <v>99.52</v>
      </c>
      <c r="AF1940" s="597">
        <f t="shared" si="120"/>
        <v>6.5840765453255568E-3</v>
      </c>
      <c r="AG1940" s="597">
        <f t="shared" si="121"/>
        <v>4.339489353113235E-3</v>
      </c>
    </row>
    <row r="1941" spans="13:33" x14ac:dyDescent="0.35">
      <c r="M1941" s="555">
        <v>44536</v>
      </c>
      <c r="N1941" s="543" t="s">
        <v>449</v>
      </c>
      <c r="O1941" s="543">
        <v>43280.77</v>
      </c>
      <c r="P1941" s="73" t="s">
        <v>431</v>
      </c>
      <c r="Q1941" s="158">
        <v>11.86</v>
      </c>
      <c r="R1941" s="563">
        <f t="shared" si="118"/>
        <v>1.1088795251199546E-3</v>
      </c>
      <c r="S1941" s="563">
        <f t="shared" si="119"/>
        <v>-1.0016694490818101E-2</v>
      </c>
      <c r="AA1941" s="594">
        <v>44532</v>
      </c>
      <c r="AB1941" s="595" t="s">
        <v>449</v>
      </c>
      <c r="AC1941" s="595">
        <v>43234.15</v>
      </c>
      <c r="AD1941" s="596" t="s">
        <v>395</v>
      </c>
      <c r="AE1941" s="595">
        <v>94.32</v>
      </c>
      <c r="AF1941" s="597">
        <f t="shared" si="120"/>
        <v>-4.7058198590495648E-2</v>
      </c>
      <c r="AG1941" s="597">
        <f t="shared" si="121"/>
        <v>-5.2250803858520878E-2</v>
      </c>
    </row>
    <row r="1942" spans="13:33" x14ac:dyDescent="0.35">
      <c r="M1942" s="555">
        <v>44537</v>
      </c>
      <c r="N1942" s="543" t="s">
        <v>449</v>
      </c>
      <c r="O1942" s="543">
        <v>43853.49</v>
      </c>
      <c r="P1942" s="73" t="s">
        <v>431</v>
      </c>
      <c r="Q1942" s="158">
        <v>12.38</v>
      </c>
      <c r="R1942" s="563">
        <f t="shared" si="118"/>
        <v>1.3232666609212407E-2</v>
      </c>
      <c r="S1942" s="563">
        <f t="shared" si="119"/>
        <v>4.384485666104565E-2</v>
      </c>
      <c r="AA1942" s="594">
        <v>44533</v>
      </c>
      <c r="AB1942" s="595" t="s">
        <v>449</v>
      </c>
      <c r="AC1942" s="595">
        <v>43232.83</v>
      </c>
      <c r="AD1942" s="596" t="s">
        <v>395</v>
      </c>
      <c r="AE1942" s="595">
        <v>91.86</v>
      </c>
      <c r="AF1942" s="597">
        <f t="shared" si="120"/>
        <v>-3.0531420185164748E-5</v>
      </c>
      <c r="AG1942" s="597">
        <f t="shared" si="121"/>
        <v>-2.6081424936386655E-2</v>
      </c>
    </row>
    <row r="1943" spans="13:33" x14ac:dyDescent="0.35">
      <c r="M1943" s="555">
        <v>44538</v>
      </c>
      <c r="N1943" s="543" t="s">
        <v>449</v>
      </c>
      <c r="O1943" s="543">
        <v>43846.87</v>
      </c>
      <c r="P1943" s="73" t="s">
        <v>431</v>
      </c>
      <c r="Q1943" s="158">
        <v>12.3</v>
      </c>
      <c r="R1943" s="563">
        <f t="shared" si="118"/>
        <v>-1.5095719861735191E-4</v>
      </c>
      <c r="S1943" s="563">
        <f t="shared" si="119"/>
        <v>-6.4620355411955099E-3</v>
      </c>
      <c r="AA1943" s="594">
        <v>44536</v>
      </c>
      <c r="AB1943" s="595" t="s">
        <v>449</v>
      </c>
      <c r="AC1943" s="595">
        <v>43280.77</v>
      </c>
      <c r="AD1943" s="596" t="s">
        <v>395</v>
      </c>
      <c r="AE1943" s="595">
        <v>91.5</v>
      </c>
      <c r="AF1943" s="597">
        <f t="shared" si="120"/>
        <v>1.1088795251199546E-3</v>
      </c>
      <c r="AG1943" s="597">
        <f t="shared" si="121"/>
        <v>-3.9190071848465013E-3</v>
      </c>
    </row>
    <row r="1944" spans="13:33" x14ac:dyDescent="0.35">
      <c r="M1944" s="555">
        <v>44539</v>
      </c>
      <c r="N1944" s="543" t="s">
        <v>449</v>
      </c>
      <c r="O1944" s="543">
        <v>43518.84</v>
      </c>
      <c r="P1944" s="73" t="s">
        <v>431</v>
      </c>
      <c r="Q1944" s="158">
        <v>11.77</v>
      </c>
      <c r="R1944" s="563">
        <f t="shared" si="118"/>
        <v>-7.4812637709374963E-3</v>
      </c>
      <c r="S1944" s="563">
        <f t="shared" si="119"/>
        <v>-4.3089430894309055E-2</v>
      </c>
      <c r="AA1944" s="594">
        <v>44537</v>
      </c>
      <c r="AB1944" s="595" t="s">
        <v>449</v>
      </c>
      <c r="AC1944" s="595">
        <v>43853.49</v>
      </c>
      <c r="AD1944" s="596" t="s">
        <v>395</v>
      </c>
      <c r="AE1944" s="595">
        <v>92.5</v>
      </c>
      <c r="AF1944" s="597">
        <f t="shared" si="120"/>
        <v>1.3232666609212407E-2</v>
      </c>
      <c r="AG1944" s="597">
        <f t="shared" si="121"/>
        <v>1.0928961748633892E-2</v>
      </c>
    </row>
    <row r="1945" spans="13:33" x14ac:dyDescent="0.35">
      <c r="M1945" s="555">
        <v>44540</v>
      </c>
      <c r="N1945" s="543" t="s">
        <v>449</v>
      </c>
      <c r="O1945" s="543">
        <v>43395.78</v>
      </c>
      <c r="P1945" s="73" t="s">
        <v>431</v>
      </c>
      <c r="Q1945" s="158">
        <v>11.72</v>
      </c>
      <c r="R1945" s="563">
        <f t="shared" si="118"/>
        <v>-2.827740812944457E-3</v>
      </c>
      <c r="S1945" s="563">
        <f t="shared" si="119"/>
        <v>-4.2480883602378228E-3</v>
      </c>
      <c r="AA1945" s="594">
        <v>44538</v>
      </c>
      <c r="AB1945" s="595" t="s">
        <v>449</v>
      </c>
      <c r="AC1945" s="595">
        <v>43846.87</v>
      </c>
      <c r="AD1945" s="596" t="s">
        <v>395</v>
      </c>
      <c r="AE1945" s="595">
        <v>91.43</v>
      </c>
      <c r="AF1945" s="597">
        <f t="shared" si="120"/>
        <v>-1.5095719861735191E-4</v>
      </c>
      <c r="AG1945" s="597">
        <f t="shared" si="121"/>
        <v>-1.1567567567567494E-2</v>
      </c>
    </row>
    <row r="1946" spans="13:33" x14ac:dyDescent="0.35">
      <c r="M1946" s="555">
        <v>44543</v>
      </c>
      <c r="N1946" s="543" t="s">
        <v>449</v>
      </c>
      <c r="O1946" s="543">
        <v>42876.37</v>
      </c>
      <c r="P1946" s="73" t="s">
        <v>431</v>
      </c>
      <c r="Q1946" s="158">
        <v>11.37</v>
      </c>
      <c r="R1946" s="563">
        <f t="shared" ref="R1946:R2009" si="122">(O1946/O1945)-1</f>
        <v>-1.1969136169461603E-2</v>
      </c>
      <c r="S1946" s="563">
        <f t="shared" ref="S1946:S2009" si="123">(Q1946/Q1945)-1</f>
        <v>-2.9863481228669109E-2</v>
      </c>
      <c r="AA1946" s="594">
        <v>44539</v>
      </c>
      <c r="AB1946" s="595" t="s">
        <v>449</v>
      </c>
      <c r="AC1946" s="595">
        <v>43518.84</v>
      </c>
      <c r="AD1946" s="596" t="s">
        <v>395</v>
      </c>
      <c r="AE1946" s="595">
        <v>90.25</v>
      </c>
      <c r="AF1946" s="597">
        <f t="shared" si="120"/>
        <v>-7.4812637709374963E-3</v>
      </c>
      <c r="AG1946" s="597">
        <f t="shared" si="121"/>
        <v>-1.2906048342994692E-2</v>
      </c>
    </row>
    <row r="1947" spans="13:33" x14ac:dyDescent="0.35">
      <c r="M1947" s="555">
        <v>44544</v>
      </c>
      <c r="N1947" s="543" t="s">
        <v>449</v>
      </c>
      <c r="O1947" s="543">
        <v>43246.71</v>
      </c>
      <c r="P1947" s="73" t="s">
        <v>431</v>
      </c>
      <c r="Q1947" s="158">
        <v>12</v>
      </c>
      <c r="R1947" s="563">
        <f t="shared" si="122"/>
        <v>8.6373916448616583E-3</v>
      </c>
      <c r="S1947" s="563">
        <f t="shared" si="123"/>
        <v>5.5408970976253302E-2</v>
      </c>
      <c r="AA1947" s="594">
        <v>44540</v>
      </c>
      <c r="AB1947" s="595" t="s">
        <v>449</v>
      </c>
      <c r="AC1947" s="595">
        <v>43395.78</v>
      </c>
      <c r="AD1947" s="596" t="s">
        <v>395</v>
      </c>
      <c r="AE1947" s="595">
        <v>89.85</v>
      </c>
      <c r="AF1947" s="597">
        <f t="shared" si="120"/>
        <v>-2.827740812944457E-3</v>
      </c>
      <c r="AG1947" s="597">
        <f t="shared" si="121"/>
        <v>-4.4321329639890328E-3</v>
      </c>
    </row>
    <row r="1948" spans="13:33" x14ac:dyDescent="0.35">
      <c r="M1948" s="555">
        <v>44545</v>
      </c>
      <c r="N1948" s="543" t="s">
        <v>449</v>
      </c>
      <c r="O1948" s="543">
        <v>44366.86</v>
      </c>
      <c r="P1948" s="73" t="s">
        <v>431</v>
      </c>
      <c r="Q1948" s="158">
        <v>13</v>
      </c>
      <c r="R1948" s="563">
        <f t="shared" si="122"/>
        <v>2.5901392267758672E-2</v>
      </c>
      <c r="S1948" s="563">
        <f t="shared" si="123"/>
        <v>8.3333333333333259E-2</v>
      </c>
      <c r="AA1948" s="594">
        <v>44543</v>
      </c>
      <c r="AB1948" s="595" t="s">
        <v>449</v>
      </c>
      <c r="AC1948" s="595">
        <v>42876.37</v>
      </c>
      <c r="AD1948" s="596" t="s">
        <v>395</v>
      </c>
      <c r="AE1948" s="595">
        <v>90</v>
      </c>
      <c r="AF1948" s="597">
        <f t="shared" ref="AF1948:AF2011" si="124">(AC1948/AC1947)-1</f>
        <v>-1.1969136169461603E-2</v>
      </c>
      <c r="AG1948" s="597">
        <f t="shared" ref="AG1948:AG2011" si="125">(AE1948/AE1947)-1</f>
        <v>1.6694490818029983E-3</v>
      </c>
    </row>
    <row r="1949" spans="13:33" x14ac:dyDescent="0.35">
      <c r="M1949" s="555">
        <v>44546</v>
      </c>
      <c r="N1949" s="543" t="s">
        <v>449</v>
      </c>
      <c r="O1949" s="543">
        <v>43731.199999999997</v>
      </c>
      <c r="P1949" s="73" t="s">
        <v>431</v>
      </c>
      <c r="Q1949" s="158">
        <v>12.48</v>
      </c>
      <c r="R1949" s="563">
        <f t="shared" si="122"/>
        <v>-1.4327360556956381E-2</v>
      </c>
      <c r="S1949" s="563">
        <f t="shared" si="123"/>
        <v>-3.9999999999999925E-2</v>
      </c>
      <c r="AA1949" s="594">
        <v>44544</v>
      </c>
      <c r="AB1949" s="595" t="s">
        <v>449</v>
      </c>
      <c r="AC1949" s="595">
        <v>43246.71</v>
      </c>
      <c r="AD1949" s="596" t="s">
        <v>395</v>
      </c>
      <c r="AE1949" s="595">
        <v>88.32</v>
      </c>
      <c r="AF1949" s="597">
        <f t="shared" si="124"/>
        <v>8.6373916448616583E-3</v>
      </c>
      <c r="AG1949" s="597">
        <f t="shared" si="125"/>
        <v>-1.866666666666672E-2</v>
      </c>
    </row>
    <row r="1950" spans="13:33" x14ac:dyDescent="0.35">
      <c r="M1950" s="555">
        <v>44547</v>
      </c>
      <c r="N1950" s="543" t="s">
        <v>449</v>
      </c>
      <c r="O1950" s="543">
        <v>43900.68</v>
      </c>
      <c r="P1950" s="73" t="s">
        <v>431</v>
      </c>
      <c r="Q1950" s="158">
        <v>12.1</v>
      </c>
      <c r="R1950" s="563">
        <f t="shared" si="122"/>
        <v>3.8754939265330801E-3</v>
      </c>
      <c r="S1950" s="563">
        <f t="shared" si="123"/>
        <v>-3.0448717948718063E-2</v>
      </c>
      <c r="AA1950" s="594">
        <v>44545</v>
      </c>
      <c r="AB1950" s="595" t="s">
        <v>449</v>
      </c>
      <c r="AC1950" s="595">
        <v>44366.86</v>
      </c>
      <c r="AD1950" s="596" t="s">
        <v>395</v>
      </c>
      <c r="AE1950" s="595">
        <v>91.43</v>
      </c>
      <c r="AF1950" s="597">
        <f t="shared" si="124"/>
        <v>2.5901392267758672E-2</v>
      </c>
      <c r="AG1950" s="597">
        <f t="shared" si="125"/>
        <v>3.5212862318840799E-2</v>
      </c>
    </row>
    <row r="1951" spans="13:33" x14ac:dyDescent="0.35">
      <c r="M1951" s="555">
        <v>44550</v>
      </c>
      <c r="N1951" s="543" t="s">
        <v>449</v>
      </c>
      <c r="O1951" s="543">
        <v>44339.95</v>
      </c>
      <c r="P1951" s="73" t="s">
        <v>431</v>
      </c>
      <c r="Q1951" s="158">
        <v>12.13</v>
      </c>
      <c r="R1951" s="563">
        <f t="shared" si="122"/>
        <v>1.0005995351324737E-2</v>
      </c>
      <c r="S1951" s="563">
        <f t="shared" si="123"/>
        <v>2.4793388429753538E-3</v>
      </c>
      <c r="AA1951" s="594">
        <v>44546</v>
      </c>
      <c r="AB1951" s="595" t="s">
        <v>449</v>
      </c>
      <c r="AC1951" s="595">
        <v>43731.199999999997</v>
      </c>
      <c r="AD1951" s="596" t="s">
        <v>395</v>
      </c>
      <c r="AE1951" s="595">
        <v>90</v>
      </c>
      <c r="AF1951" s="597">
        <f t="shared" si="124"/>
        <v>-1.4327360556956381E-2</v>
      </c>
      <c r="AG1951" s="597">
        <f t="shared" si="125"/>
        <v>-1.5640380619052929E-2</v>
      </c>
    </row>
    <row r="1952" spans="13:33" x14ac:dyDescent="0.35">
      <c r="M1952" s="555">
        <v>44551</v>
      </c>
      <c r="N1952" s="543" t="s">
        <v>449</v>
      </c>
      <c r="O1952" s="543">
        <v>44177.07</v>
      </c>
      <c r="P1952" s="73" t="s">
        <v>431</v>
      </c>
      <c r="Q1952" s="158">
        <v>12.25</v>
      </c>
      <c r="R1952" s="563">
        <f t="shared" si="122"/>
        <v>-3.6734367088820941E-3</v>
      </c>
      <c r="S1952" s="563">
        <f t="shared" si="123"/>
        <v>9.8928276999175058E-3</v>
      </c>
      <c r="AA1952" s="594">
        <v>44547</v>
      </c>
      <c r="AB1952" s="595" t="s">
        <v>449</v>
      </c>
      <c r="AC1952" s="595">
        <v>43900.68</v>
      </c>
      <c r="AD1952" s="596" t="s">
        <v>395</v>
      </c>
      <c r="AE1952" s="595">
        <v>90.35</v>
      </c>
      <c r="AF1952" s="597">
        <f t="shared" si="124"/>
        <v>3.8754939265330801E-3</v>
      </c>
      <c r="AG1952" s="597">
        <f t="shared" si="125"/>
        <v>3.8888888888888307E-3</v>
      </c>
    </row>
    <row r="1953" spans="13:33" x14ac:dyDescent="0.35">
      <c r="M1953" s="555">
        <v>44552</v>
      </c>
      <c r="N1953" s="543" t="s">
        <v>449</v>
      </c>
      <c r="O1953" s="543">
        <v>44174.97</v>
      </c>
      <c r="P1953" s="73" t="s">
        <v>431</v>
      </c>
      <c r="Q1953" s="158">
        <v>12.27</v>
      </c>
      <c r="R1953" s="563">
        <f t="shared" si="122"/>
        <v>-4.7535972847456698E-5</v>
      </c>
      <c r="S1953" s="563">
        <f t="shared" si="123"/>
        <v>1.6326530612245094E-3</v>
      </c>
      <c r="AA1953" s="594">
        <v>44550</v>
      </c>
      <c r="AB1953" s="595" t="s">
        <v>449</v>
      </c>
      <c r="AC1953" s="595">
        <v>44339.95</v>
      </c>
      <c r="AD1953" s="596" t="s">
        <v>395</v>
      </c>
      <c r="AE1953" s="595">
        <v>90.02</v>
      </c>
      <c r="AF1953" s="597">
        <f t="shared" si="124"/>
        <v>1.0005995351324737E-2</v>
      </c>
      <c r="AG1953" s="597">
        <f t="shared" si="125"/>
        <v>-3.6524626452684172E-3</v>
      </c>
    </row>
    <row r="1954" spans="13:33" x14ac:dyDescent="0.35">
      <c r="M1954" s="555">
        <v>44553</v>
      </c>
      <c r="N1954" s="543" t="s">
        <v>449</v>
      </c>
      <c r="O1954" s="543">
        <v>44266.9</v>
      </c>
      <c r="P1954" s="73" t="s">
        <v>431</v>
      </c>
      <c r="Q1954" s="158">
        <v>12.26</v>
      </c>
      <c r="R1954" s="563">
        <f t="shared" si="122"/>
        <v>2.0810427262316633E-3</v>
      </c>
      <c r="S1954" s="563">
        <f t="shared" si="123"/>
        <v>-8.1499592502032314E-4</v>
      </c>
      <c r="AA1954" s="594">
        <v>44551</v>
      </c>
      <c r="AB1954" s="595" t="s">
        <v>449</v>
      </c>
      <c r="AC1954" s="595">
        <v>44177.07</v>
      </c>
      <c r="AD1954" s="596" t="s">
        <v>395</v>
      </c>
      <c r="AE1954" s="595">
        <v>90.56</v>
      </c>
      <c r="AF1954" s="597">
        <f t="shared" si="124"/>
        <v>-3.6734367088820941E-3</v>
      </c>
      <c r="AG1954" s="597">
        <f t="shared" si="125"/>
        <v>5.9986669628973033E-3</v>
      </c>
    </row>
    <row r="1955" spans="13:33" x14ac:dyDescent="0.35">
      <c r="M1955" s="555">
        <v>44554</v>
      </c>
      <c r="N1955" s="543" t="s">
        <v>449</v>
      </c>
      <c r="O1955" s="543">
        <v>44118.39</v>
      </c>
      <c r="P1955" s="73" t="s">
        <v>431</v>
      </c>
      <c r="Q1955" s="158">
        <v>12.07</v>
      </c>
      <c r="R1955" s="563">
        <f t="shared" si="122"/>
        <v>-3.3548768944742235E-3</v>
      </c>
      <c r="S1955" s="563">
        <f t="shared" si="123"/>
        <v>-1.5497553017944532E-2</v>
      </c>
      <c r="AA1955" s="594">
        <v>44552</v>
      </c>
      <c r="AB1955" s="595" t="s">
        <v>449</v>
      </c>
      <c r="AC1955" s="595">
        <v>44174.97</v>
      </c>
      <c r="AD1955" s="596" t="s">
        <v>395</v>
      </c>
      <c r="AE1955" s="595">
        <v>91.17</v>
      </c>
      <c r="AF1955" s="597">
        <f t="shared" si="124"/>
        <v>-4.7535972847456698E-5</v>
      </c>
      <c r="AG1955" s="597">
        <f t="shared" si="125"/>
        <v>6.7358657243816733E-3</v>
      </c>
    </row>
    <row r="1956" spans="13:33" x14ac:dyDescent="0.35">
      <c r="M1956" s="555">
        <v>44557</v>
      </c>
      <c r="N1956" s="543" t="s">
        <v>449</v>
      </c>
      <c r="O1956" s="543">
        <v>43913.440000000002</v>
      </c>
      <c r="P1956" s="73" t="s">
        <v>431</v>
      </c>
      <c r="Q1956" s="158">
        <v>12.22</v>
      </c>
      <c r="R1956" s="563">
        <f t="shared" si="122"/>
        <v>-4.6454551038692671E-3</v>
      </c>
      <c r="S1956" s="563">
        <f t="shared" si="123"/>
        <v>1.2427506213753103E-2</v>
      </c>
      <c r="AA1956" s="594">
        <v>44553</v>
      </c>
      <c r="AB1956" s="595" t="s">
        <v>449</v>
      </c>
      <c r="AC1956" s="595">
        <v>44266.9</v>
      </c>
      <c r="AD1956" s="596" t="s">
        <v>395</v>
      </c>
      <c r="AE1956" s="595">
        <v>91.32</v>
      </c>
      <c r="AF1956" s="597">
        <f t="shared" si="124"/>
        <v>2.0810427262316633E-3</v>
      </c>
      <c r="AG1956" s="597">
        <f t="shared" si="125"/>
        <v>1.6452780519906618E-3</v>
      </c>
    </row>
    <row r="1957" spans="13:33" x14ac:dyDescent="0.35">
      <c r="M1957" s="555">
        <v>44558</v>
      </c>
      <c r="N1957" s="543" t="s">
        <v>449</v>
      </c>
      <c r="O1957" s="543">
        <v>44043.74</v>
      </c>
      <c r="P1957" s="73" t="s">
        <v>431</v>
      </c>
      <c r="Q1957" s="158">
        <v>12.48</v>
      </c>
      <c r="R1957" s="563">
        <f t="shared" si="122"/>
        <v>2.9672009298291613E-3</v>
      </c>
      <c r="S1957" s="563">
        <f t="shared" si="123"/>
        <v>2.1276595744680771E-2</v>
      </c>
      <c r="AA1957" s="594">
        <v>44554</v>
      </c>
      <c r="AB1957" s="595" t="s">
        <v>449</v>
      </c>
      <c r="AC1957" s="595">
        <v>44118.39</v>
      </c>
      <c r="AD1957" s="596" t="s">
        <v>395</v>
      </c>
      <c r="AE1957" s="595">
        <v>90.2</v>
      </c>
      <c r="AF1957" s="597">
        <f t="shared" si="124"/>
        <v>-3.3548768944742235E-3</v>
      </c>
      <c r="AG1957" s="597">
        <f t="shared" si="125"/>
        <v>-1.2264564169951697E-2</v>
      </c>
    </row>
    <row r="1958" spans="13:33" x14ac:dyDescent="0.35">
      <c r="M1958" s="555">
        <v>44559</v>
      </c>
      <c r="N1958" s="543" t="s">
        <v>449</v>
      </c>
      <c r="O1958" s="543">
        <v>44260.11</v>
      </c>
      <c r="P1958" s="73" t="s">
        <v>431</v>
      </c>
      <c r="Q1958" s="158">
        <v>13.48</v>
      </c>
      <c r="R1958" s="563">
        <f t="shared" si="122"/>
        <v>4.9126164126842564E-3</v>
      </c>
      <c r="S1958" s="563">
        <f t="shared" si="123"/>
        <v>8.0128205128205066E-2</v>
      </c>
      <c r="AA1958" s="594">
        <v>44557</v>
      </c>
      <c r="AB1958" s="595" t="s">
        <v>449</v>
      </c>
      <c r="AC1958" s="595">
        <v>43913.440000000002</v>
      </c>
      <c r="AD1958" s="596" t="s">
        <v>395</v>
      </c>
      <c r="AE1958" s="595">
        <v>89.54</v>
      </c>
      <c r="AF1958" s="597">
        <f t="shared" si="124"/>
        <v>-4.6454551038692671E-3</v>
      </c>
      <c r="AG1958" s="597">
        <f t="shared" si="125"/>
        <v>-7.3170731707317138E-3</v>
      </c>
    </row>
    <row r="1959" spans="13:33" x14ac:dyDescent="0.35">
      <c r="M1959" s="555">
        <v>44560</v>
      </c>
      <c r="N1959" s="543" t="s">
        <v>449</v>
      </c>
      <c r="O1959" s="543">
        <v>44416.2</v>
      </c>
      <c r="P1959" s="73" t="s">
        <v>431</v>
      </c>
      <c r="Q1959" s="158">
        <v>13.76</v>
      </c>
      <c r="R1959" s="563">
        <f t="shared" si="122"/>
        <v>3.5266518768253263E-3</v>
      </c>
      <c r="S1959" s="563">
        <f t="shared" si="123"/>
        <v>2.0771513353115667E-2</v>
      </c>
      <c r="AA1959" s="594">
        <v>44558</v>
      </c>
      <c r="AB1959" s="595" t="s">
        <v>449</v>
      </c>
      <c r="AC1959" s="595">
        <v>44043.74</v>
      </c>
      <c r="AD1959" s="596" t="s">
        <v>395</v>
      </c>
      <c r="AE1959" s="595">
        <v>89.89</v>
      </c>
      <c r="AF1959" s="597">
        <f t="shared" si="124"/>
        <v>2.9672009298291613E-3</v>
      </c>
      <c r="AG1959" s="597">
        <f t="shared" si="125"/>
        <v>3.9088675452310095E-3</v>
      </c>
    </row>
    <row r="1960" spans="13:33" x14ac:dyDescent="0.35">
      <c r="M1960" s="555">
        <v>44561</v>
      </c>
      <c r="N1960" s="543" t="s">
        <v>449</v>
      </c>
      <c r="O1960" s="543">
        <v>44596.07</v>
      </c>
      <c r="P1960" s="73" t="s">
        <v>431</v>
      </c>
      <c r="Q1960" s="158">
        <v>14.42</v>
      </c>
      <c r="R1960" s="563">
        <f t="shared" si="122"/>
        <v>4.0496485516545722E-3</v>
      </c>
      <c r="S1960" s="563">
        <f t="shared" si="123"/>
        <v>4.7965116279069742E-2</v>
      </c>
      <c r="AA1960" s="594">
        <v>44559</v>
      </c>
      <c r="AB1960" s="595" t="s">
        <v>449</v>
      </c>
      <c r="AC1960" s="595">
        <v>44260.11</v>
      </c>
      <c r="AD1960" s="596" t="s">
        <v>395</v>
      </c>
      <c r="AE1960" s="595">
        <v>89.54</v>
      </c>
      <c r="AF1960" s="597">
        <f t="shared" si="124"/>
        <v>4.9126164126842564E-3</v>
      </c>
      <c r="AG1960" s="597">
        <f t="shared" si="125"/>
        <v>-3.8936477917453916E-3</v>
      </c>
    </row>
    <row r="1961" spans="13:33" x14ac:dyDescent="0.35">
      <c r="M1961" s="555">
        <v>44564</v>
      </c>
      <c r="N1961" s="543" t="s">
        <v>449</v>
      </c>
      <c r="O1961" s="543">
        <v>44886.89</v>
      </c>
      <c r="P1961" s="73" t="s">
        <v>431</v>
      </c>
      <c r="Q1961" s="158">
        <v>14.36</v>
      </c>
      <c r="R1961" s="563">
        <f t="shared" si="122"/>
        <v>6.5212024288239245E-3</v>
      </c>
      <c r="S1961" s="563">
        <f t="shared" si="123"/>
        <v>-4.1608876560332853E-3</v>
      </c>
      <c r="AA1961" s="594">
        <v>44560</v>
      </c>
      <c r="AB1961" s="595" t="s">
        <v>449</v>
      </c>
      <c r="AC1961" s="595">
        <v>44416.2</v>
      </c>
      <c r="AD1961" s="596" t="s">
        <v>395</v>
      </c>
      <c r="AE1961" s="595">
        <v>90.05</v>
      </c>
      <c r="AF1961" s="597">
        <f t="shared" si="124"/>
        <v>3.5266518768253263E-3</v>
      </c>
      <c r="AG1961" s="597">
        <f t="shared" si="125"/>
        <v>5.6957784230511344E-3</v>
      </c>
    </row>
    <row r="1962" spans="13:33" x14ac:dyDescent="0.35">
      <c r="M1962" s="555">
        <v>44565</v>
      </c>
      <c r="N1962" s="543" t="s">
        <v>449</v>
      </c>
      <c r="O1962" s="543">
        <v>45390.84</v>
      </c>
      <c r="P1962" s="73" t="s">
        <v>431</v>
      </c>
      <c r="Q1962" s="158">
        <v>15.37</v>
      </c>
      <c r="R1962" s="563">
        <f t="shared" si="122"/>
        <v>1.122710885071343E-2</v>
      </c>
      <c r="S1962" s="563">
        <f t="shared" si="123"/>
        <v>7.033426183844016E-2</v>
      </c>
      <c r="AA1962" s="594">
        <v>44561</v>
      </c>
      <c r="AB1962" s="595" t="s">
        <v>449</v>
      </c>
      <c r="AC1962" s="595">
        <v>44596.07</v>
      </c>
      <c r="AD1962" s="596" t="s">
        <v>395</v>
      </c>
      <c r="AE1962" s="595">
        <v>89.4</v>
      </c>
      <c r="AF1962" s="597">
        <f t="shared" si="124"/>
        <v>4.0496485516545722E-3</v>
      </c>
      <c r="AG1962" s="597">
        <f t="shared" si="125"/>
        <v>-7.2182121043863345E-3</v>
      </c>
    </row>
    <row r="1963" spans="13:33" x14ac:dyDescent="0.35">
      <c r="M1963" s="555">
        <v>44566</v>
      </c>
      <c r="N1963" s="543" t="s">
        <v>449</v>
      </c>
      <c r="O1963" s="543">
        <v>45407.89</v>
      </c>
      <c r="P1963" s="73" t="s">
        <v>431</v>
      </c>
      <c r="Q1963" s="158">
        <v>15.45</v>
      </c>
      <c r="R1963" s="563">
        <f t="shared" si="122"/>
        <v>3.7562644797950462E-4</v>
      </c>
      <c r="S1963" s="563">
        <f t="shared" si="123"/>
        <v>5.2049446974626878E-3</v>
      </c>
      <c r="AA1963" s="594">
        <v>44564</v>
      </c>
      <c r="AB1963" s="595" t="s">
        <v>449</v>
      </c>
      <c r="AC1963" s="595">
        <v>44886.89</v>
      </c>
      <c r="AD1963" s="596" t="s">
        <v>395</v>
      </c>
      <c r="AE1963" s="595">
        <v>89.5</v>
      </c>
      <c r="AF1963" s="597">
        <f t="shared" si="124"/>
        <v>6.5212024288239245E-3</v>
      </c>
      <c r="AG1963" s="597">
        <f t="shared" si="125"/>
        <v>1.1185682326622093E-3</v>
      </c>
    </row>
    <row r="1964" spans="13:33" x14ac:dyDescent="0.35">
      <c r="M1964" s="555">
        <v>44567</v>
      </c>
      <c r="N1964" s="543" t="s">
        <v>449</v>
      </c>
      <c r="O1964" s="543">
        <v>45082.3</v>
      </c>
      <c r="P1964" s="73" t="s">
        <v>431</v>
      </c>
      <c r="Q1964" s="158">
        <v>14.82</v>
      </c>
      <c r="R1964" s="563">
        <f t="shared" si="122"/>
        <v>-7.1703397801570201E-3</v>
      </c>
      <c r="S1964" s="563">
        <f t="shared" si="123"/>
        <v>-4.0776699029126173E-2</v>
      </c>
      <c r="AA1964" s="594">
        <v>44565</v>
      </c>
      <c r="AB1964" s="595" t="s">
        <v>449</v>
      </c>
      <c r="AC1964" s="595">
        <v>45390.84</v>
      </c>
      <c r="AD1964" s="596" t="s">
        <v>395</v>
      </c>
      <c r="AE1964" s="595">
        <v>91</v>
      </c>
      <c r="AF1964" s="597">
        <f t="shared" si="124"/>
        <v>1.122710885071343E-2</v>
      </c>
      <c r="AG1964" s="597">
        <f t="shared" si="125"/>
        <v>1.6759776536312776E-2</v>
      </c>
    </row>
    <row r="1965" spans="13:33" x14ac:dyDescent="0.35">
      <c r="M1965" s="555">
        <v>44568</v>
      </c>
      <c r="N1965" s="543" t="s">
        <v>449</v>
      </c>
      <c r="O1965" s="543">
        <v>45345.65</v>
      </c>
      <c r="P1965" s="73" t="s">
        <v>431</v>
      </c>
      <c r="Q1965" s="158">
        <v>15.14</v>
      </c>
      <c r="R1965" s="563">
        <f t="shared" si="122"/>
        <v>5.8415386970052108E-3</v>
      </c>
      <c r="S1965" s="563">
        <f t="shared" si="123"/>
        <v>2.1592442645074206E-2</v>
      </c>
      <c r="AA1965" s="594">
        <v>44566</v>
      </c>
      <c r="AB1965" s="595" t="s">
        <v>449</v>
      </c>
      <c r="AC1965" s="595">
        <v>45407.89</v>
      </c>
      <c r="AD1965" s="596" t="s">
        <v>395</v>
      </c>
      <c r="AE1965" s="595">
        <v>91</v>
      </c>
      <c r="AF1965" s="597">
        <f t="shared" si="124"/>
        <v>3.7562644797950462E-4</v>
      </c>
      <c r="AG1965" s="597">
        <f t="shared" si="125"/>
        <v>0</v>
      </c>
    </row>
    <row r="1966" spans="13:33" x14ac:dyDescent="0.35">
      <c r="M1966" s="555">
        <v>44571</v>
      </c>
      <c r="N1966" s="543" t="s">
        <v>449</v>
      </c>
      <c r="O1966" s="543">
        <v>45887.63</v>
      </c>
      <c r="P1966" s="73" t="s">
        <v>431</v>
      </c>
      <c r="Q1966" s="158">
        <v>15.3</v>
      </c>
      <c r="R1966" s="563">
        <f t="shared" si="122"/>
        <v>1.195219387085622E-2</v>
      </c>
      <c r="S1966" s="563">
        <f t="shared" si="123"/>
        <v>1.0568031704095038E-2</v>
      </c>
      <c r="AA1966" s="594">
        <v>44567</v>
      </c>
      <c r="AB1966" s="595" t="s">
        <v>449</v>
      </c>
      <c r="AC1966" s="595">
        <v>45082.3</v>
      </c>
      <c r="AD1966" s="596" t="s">
        <v>395</v>
      </c>
      <c r="AE1966" s="595">
        <v>90.01</v>
      </c>
      <c r="AF1966" s="597">
        <f t="shared" si="124"/>
        <v>-7.1703397801570201E-3</v>
      </c>
      <c r="AG1966" s="597">
        <f t="shared" si="125"/>
        <v>-1.0879120879120796E-2</v>
      </c>
    </row>
    <row r="1967" spans="13:33" x14ac:dyDescent="0.35">
      <c r="M1967" s="555">
        <v>44572</v>
      </c>
      <c r="N1967" s="543" t="s">
        <v>449</v>
      </c>
      <c r="O1967" s="543">
        <v>45881.13</v>
      </c>
      <c r="P1967" s="73" t="s">
        <v>431</v>
      </c>
      <c r="Q1967" s="158">
        <v>15.12</v>
      </c>
      <c r="R1967" s="563">
        <f t="shared" si="122"/>
        <v>-1.4165037505753375E-4</v>
      </c>
      <c r="S1967" s="563">
        <f t="shared" si="123"/>
        <v>-1.176470588235301E-2</v>
      </c>
      <c r="AA1967" s="594">
        <v>44568</v>
      </c>
      <c r="AB1967" s="595" t="s">
        <v>449</v>
      </c>
      <c r="AC1967" s="595">
        <v>45345.65</v>
      </c>
      <c r="AD1967" s="596" t="s">
        <v>395</v>
      </c>
      <c r="AE1967" s="595">
        <v>90.32</v>
      </c>
      <c r="AF1967" s="597">
        <f t="shared" si="124"/>
        <v>5.8415386970052108E-3</v>
      </c>
      <c r="AG1967" s="597">
        <f t="shared" si="125"/>
        <v>3.4440617709141641E-3</v>
      </c>
    </row>
    <row r="1968" spans="13:33" x14ac:dyDescent="0.35">
      <c r="M1968" s="555">
        <v>44573</v>
      </c>
      <c r="N1968" s="543" t="s">
        <v>449</v>
      </c>
      <c r="O1968" s="543">
        <v>45916.25</v>
      </c>
      <c r="P1968" s="73" t="s">
        <v>431</v>
      </c>
      <c r="Q1968" s="158">
        <v>15.18</v>
      </c>
      <c r="R1968" s="563">
        <f t="shared" si="122"/>
        <v>7.6545629979030139E-4</v>
      </c>
      <c r="S1968" s="563">
        <f t="shared" si="123"/>
        <v>3.9682539682539542E-3</v>
      </c>
      <c r="AA1968" s="594">
        <v>44571</v>
      </c>
      <c r="AB1968" s="595" t="s">
        <v>449</v>
      </c>
      <c r="AC1968" s="595">
        <v>45887.63</v>
      </c>
      <c r="AD1968" s="596" t="s">
        <v>395</v>
      </c>
      <c r="AE1968" s="595">
        <v>91.45</v>
      </c>
      <c r="AF1968" s="597">
        <f t="shared" si="124"/>
        <v>1.195219387085622E-2</v>
      </c>
      <c r="AG1968" s="597">
        <f t="shared" si="125"/>
        <v>1.2511071744907065E-2</v>
      </c>
    </row>
    <row r="1969" spans="13:33" x14ac:dyDescent="0.35">
      <c r="M1969" s="555">
        <v>44574</v>
      </c>
      <c r="N1969" s="543" t="s">
        <v>449</v>
      </c>
      <c r="O1969" s="543">
        <v>45763.199999999997</v>
      </c>
      <c r="P1969" s="73" t="s">
        <v>431</v>
      </c>
      <c r="Q1969" s="158">
        <v>15.25</v>
      </c>
      <c r="R1969" s="563">
        <f t="shared" si="122"/>
        <v>-3.3332425884082806E-3</v>
      </c>
      <c r="S1969" s="563">
        <f t="shared" si="123"/>
        <v>4.6113306982873414E-3</v>
      </c>
      <c r="AA1969" s="594">
        <v>44572</v>
      </c>
      <c r="AB1969" s="595" t="s">
        <v>449</v>
      </c>
      <c r="AC1969" s="595">
        <v>45881.13</v>
      </c>
      <c r="AD1969" s="596" t="s">
        <v>395</v>
      </c>
      <c r="AE1969" s="595">
        <v>89.9</v>
      </c>
      <c r="AF1969" s="597">
        <f t="shared" si="124"/>
        <v>-1.4165037505753375E-4</v>
      </c>
      <c r="AG1969" s="597">
        <f t="shared" si="125"/>
        <v>-1.6949152542372836E-2</v>
      </c>
    </row>
    <row r="1970" spans="13:33" x14ac:dyDescent="0.35">
      <c r="M1970" s="555">
        <v>44575</v>
      </c>
      <c r="N1970" s="543" t="s">
        <v>449</v>
      </c>
      <c r="O1970" s="543">
        <v>45763.45</v>
      </c>
      <c r="P1970" s="73" t="s">
        <v>431</v>
      </c>
      <c r="Q1970" s="158">
        <v>15.13</v>
      </c>
      <c r="R1970" s="563">
        <f t="shared" si="122"/>
        <v>5.4629046919441038E-6</v>
      </c>
      <c r="S1970" s="563">
        <f t="shared" si="123"/>
        <v>-7.8688524590163622E-3</v>
      </c>
      <c r="AA1970" s="594">
        <v>44573</v>
      </c>
      <c r="AB1970" s="595" t="s">
        <v>449</v>
      </c>
      <c r="AC1970" s="595">
        <v>45916.25</v>
      </c>
      <c r="AD1970" s="596" t="s">
        <v>395</v>
      </c>
      <c r="AE1970" s="595">
        <v>90.88</v>
      </c>
      <c r="AF1970" s="597">
        <f t="shared" si="124"/>
        <v>7.6545629979030139E-4</v>
      </c>
      <c r="AG1970" s="597">
        <f t="shared" si="125"/>
        <v>1.0901001112346931E-2</v>
      </c>
    </row>
    <row r="1971" spans="13:33" x14ac:dyDescent="0.35">
      <c r="M1971" s="555">
        <v>44578</v>
      </c>
      <c r="N1971" s="543" t="s">
        <v>449</v>
      </c>
      <c r="O1971" s="543">
        <v>45612.2</v>
      </c>
      <c r="P1971" s="73" t="s">
        <v>431</v>
      </c>
      <c r="Q1971" s="158">
        <v>14.71</v>
      </c>
      <c r="R1971" s="563">
        <f t="shared" si="122"/>
        <v>-3.3050392835329845E-3</v>
      </c>
      <c r="S1971" s="563">
        <f t="shared" si="123"/>
        <v>-2.7759418374091238E-2</v>
      </c>
      <c r="AA1971" s="594">
        <v>44574</v>
      </c>
      <c r="AB1971" s="595" t="s">
        <v>449</v>
      </c>
      <c r="AC1971" s="595">
        <v>45763.199999999997</v>
      </c>
      <c r="AD1971" s="596" t="s">
        <v>395</v>
      </c>
      <c r="AE1971" s="595">
        <v>91.2</v>
      </c>
      <c r="AF1971" s="597">
        <f t="shared" si="124"/>
        <v>-3.3332425884082806E-3</v>
      </c>
      <c r="AG1971" s="597">
        <f t="shared" si="125"/>
        <v>3.5211267605634866E-3</v>
      </c>
    </row>
    <row r="1972" spans="13:33" x14ac:dyDescent="0.35">
      <c r="M1972" s="555">
        <v>44579</v>
      </c>
      <c r="N1972" s="543" t="s">
        <v>449</v>
      </c>
      <c r="O1972" s="543">
        <v>45507.41</v>
      </c>
      <c r="P1972" s="73" t="s">
        <v>431</v>
      </c>
      <c r="Q1972" s="158">
        <v>14.83</v>
      </c>
      <c r="R1972" s="563">
        <f t="shared" si="122"/>
        <v>-2.2974116574072667E-3</v>
      </c>
      <c r="S1972" s="563">
        <f t="shared" si="123"/>
        <v>8.1577158395649274E-3</v>
      </c>
      <c r="AA1972" s="594">
        <v>44575</v>
      </c>
      <c r="AB1972" s="595" t="s">
        <v>449</v>
      </c>
      <c r="AC1972" s="595">
        <v>45763.45</v>
      </c>
      <c r="AD1972" s="596" t="s">
        <v>395</v>
      </c>
      <c r="AE1972" s="595">
        <v>89.77</v>
      </c>
      <c r="AF1972" s="597">
        <f t="shared" si="124"/>
        <v>5.4629046919441038E-6</v>
      </c>
      <c r="AG1972" s="597">
        <f t="shared" si="125"/>
        <v>-1.5679824561403599E-2</v>
      </c>
    </row>
    <row r="1973" spans="13:33" x14ac:dyDescent="0.35">
      <c r="M1973" s="555">
        <v>44580</v>
      </c>
      <c r="N1973" s="543" t="s">
        <v>449</v>
      </c>
      <c r="O1973" s="543">
        <v>44833.43</v>
      </c>
      <c r="P1973" s="73" t="s">
        <v>431</v>
      </c>
      <c r="Q1973" s="158">
        <v>14.08</v>
      </c>
      <c r="R1973" s="563">
        <f t="shared" si="122"/>
        <v>-1.4810335283858223E-2</v>
      </c>
      <c r="S1973" s="563">
        <f t="shared" si="123"/>
        <v>-5.0573162508428915E-2</v>
      </c>
      <c r="AA1973" s="594">
        <v>44578</v>
      </c>
      <c r="AB1973" s="595" t="s">
        <v>449</v>
      </c>
      <c r="AC1973" s="595">
        <v>45612.2</v>
      </c>
      <c r="AD1973" s="596" t="s">
        <v>395</v>
      </c>
      <c r="AE1973" s="595">
        <v>90</v>
      </c>
      <c r="AF1973" s="597">
        <f t="shared" si="124"/>
        <v>-3.3050392835329845E-3</v>
      </c>
      <c r="AG1973" s="597">
        <f t="shared" si="125"/>
        <v>2.5621031525009386E-3</v>
      </c>
    </row>
    <row r="1974" spans="13:33" x14ac:dyDescent="0.35">
      <c r="M1974" s="555">
        <v>44581</v>
      </c>
      <c r="N1974" s="543" t="s">
        <v>449</v>
      </c>
      <c r="O1974" s="543">
        <v>44825.97</v>
      </c>
      <c r="P1974" s="73" t="s">
        <v>431</v>
      </c>
      <c r="Q1974" s="158">
        <v>14.27</v>
      </c>
      <c r="R1974" s="563">
        <f t="shared" si="122"/>
        <v>-1.6639369327753339E-4</v>
      </c>
      <c r="S1974" s="563">
        <f t="shared" si="123"/>
        <v>1.3494318181818121E-2</v>
      </c>
      <c r="AA1974" s="594">
        <v>44579</v>
      </c>
      <c r="AB1974" s="595" t="s">
        <v>449</v>
      </c>
      <c r="AC1974" s="595">
        <v>45507.41</v>
      </c>
      <c r="AD1974" s="596" t="s">
        <v>395</v>
      </c>
      <c r="AE1974" s="595">
        <v>90.09</v>
      </c>
      <c r="AF1974" s="597">
        <f t="shared" si="124"/>
        <v>-2.2974116574072667E-3</v>
      </c>
      <c r="AG1974" s="597">
        <f t="shared" si="125"/>
        <v>1.0000000000001119E-3</v>
      </c>
    </row>
    <row r="1975" spans="13:33" x14ac:dyDescent="0.35">
      <c r="M1975" s="555">
        <v>44582</v>
      </c>
      <c r="N1975" s="543" t="s">
        <v>449</v>
      </c>
      <c r="O1975" s="543">
        <v>45018.46</v>
      </c>
      <c r="P1975" s="73" t="s">
        <v>431</v>
      </c>
      <c r="Q1975" s="158">
        <v>14.23</v>
      </c>
      <c r="R1975" s="563">
        <f t="shared" si="122"/>
        <v>4.2941625133823269E-3</v>
      </c>
      <c r="S1975" s="563">
        <f t="shared" si="123"/>
        <v>-2.803083391730854E-3</v>
      </c>
      <c r="AA1975" s="594">
        <v>44580</v>
      </c>
      <c r="AB1975" s="595" t="s">
        <v>449</v>
      </c>
      <c r="AC1975" s="595">
        <v>44833.43</v>
      </c>
      <c r="AD1975" s="596" t="s">
        <v>395</v>
      </c>
      <c r="AE1975" s="595">
        <v>89.5</v>
      </c>
      <c r="AF1975" s="597">
        <f t="shared" si="124"/>
        <v>-1.4810335283858223E-2</v>
      </c>
      <c r="AG1975" s="597">
        <f t="shared" si="125"/>
        <v>-6.5490065490065863E-3</v>
      </c>
    </row>
    <row r="1976" spans="13:33" x14ac:dyDescent="0.35">
      <c r="M1976" s="555">
        <v>44585</v>
      </c>
      <c r="N1976" s="543" t="s">
        <v>449</v>
      </c>
      <c r="O1976" s="543">
        <v>44923.91</v>
      </c>
      <c r="P1976" s="73" t="s">
        <v>431</v>
      </c>
      <c r="Q1976" s="158">
        <v>14.04</v>
      </c>
      <c r="R1976" s="563">
        <f t="shared" si="122"/>
        <v>-2.1002495420766598E-3</v>
      </c>
      <c r="S1976" s="563">
        <f t="shared" si="123"/>
        <v>-1.3352073085031724E-2</v>
      </c>
      <c r="AA1976" s="594">
        <v>44581</v>
      </c>
      <c r="AB1976" s="595" t="s">
        <v>449</v>
      </c>
      <c r="AC1976" s="595">
        <v>44825.97</v>
      </c>
      <c r="AD1976" s="596" t="s">
        <v>395</v>
      </c>
      <c r="AE1976" s="595">
        <v>88.89</v>
      </c>
      <c r="AF1976" s="597">
        <f t="shared" si="124"/>
        <v>-1.6639369327753339E-4</v>
      </c>
      <c r="AG1976" s="597">
        <f t="shared" si="125"/>
        <v>-6.8156424581005126E-3</v>
      </c>
    </row>
    <row r="1977" spans="13:33" x14ac:dyDescent="0.35">
      <c r="M1977" s="555">
        <v>44586</v>
      </c>
      <c r="N1977" s="543" t="s">
        <v>449</v>
      </c>
      <c r="O1977" s="543">
        <v>44887.77</v>
      </c>
      <c r="P1977" s="73" t="s">
        <v>431</v>
      </c>
      <c r="Q1977" s="158">
        <v>14.11</v>
      </c>
      <c r="R1977" s="563">
        <f t="shared" si="122"/>
        <v>-8.0447138283390451E-4</v>
      </c>
      <c r="S1977" s="563">
        <f t="shared" si="123"/>
        <v>4.9857549857550421E-3</v>
      </c>
      <c r="AA1977" s="594">
        <v>44582</v>
      </c>
      <c r="AB1977" s="595" t="s">
        <v>449</v>
      </c>
      <c r="AC1977" s="595">
        <v>45018.46</v>
      </c>
      <c r="AD1977" s="596" t="s">
        <v>395</v>
      </c>
      <c r="AE1977" s="595">
        <v>89.89</v>
      </c>
      <c r="AF1977" s="597">
        <f t="shared" si="124"/>
        <v>4.2941625133823269E-3</v>
      </c>
      <c r="AG1977" s="597">
        <f t="shared" si="125"/>
        <v>1.124985937675782E-2</v>
      </c>
    </row>
    <row r="1978" spans="13:33" x14ac:dyDescent="0.35">
      <c r="M1978" s="555">
        <v>44587</v>
      </c>
      <c r="N1978" s="543" t="s">
        <v>449</v>
      </c>
      <c r="O1978" s="543">
        <v>44955.05</v>
      </c>
      <c r="P1978" s="73" t="s">
        <v>431</v>
      </c>
      <c r="Q1978" s="158">
        <v>14.29</v>
      </c>
      <c r="R1978" s="563">
        <f t="shared" si="122"/>
        <v>1.4988492411185383E-3</v>
      </c>
      <c r="S1978" s="563">
        <f t="shared" si="123"/>
        <v>1.275690999291279E-2</v>
      </c>
      <c r="AA1978" s="594">
        <v>44585</v>
      </c>
      <c r="AB1978" s="595" t="s">
        <v>449</v>
      </c>
      <c r="AC1978" s="595">
        <v>44923.91</v>
      </c>
      <c r="AD1978" s="596" t="s">
        <v>395</v>
      </c>
      <c r="AE1978" s="595">
        <v>88</v>
      </c>
      <c r="AF1978" s="597">
        <f t="shared" si="124"/>
        <v>-2.1002495420766598E-3</v>
      </c>
      <c r="AG1978" s="597">
        <f t="shared" si="125"/>
        <v>-2.1025698075425536E-2</v>
      </c>
    </row>
    <row r="1979" spans="13:33" x14ac:dyDescent="0.35">
      <c r="M1979" s="526">
        <v>44589</v>
      </c>
      <c r="N1979" s="524" t="s">
        <v>449</v>
      </c>
      <c r="O1979" s="524">
        <v>45077.91</v>
      </c>
      <c r="P1979" s="73" t="s">
        <v>431</v>
      </c>
      <c r="Q1979">
        <v>14</v>
      </c>
      <c r="R1979" s="563">
        <f t="shared" si="122"/>
        <v>2.7329521377466026E-3</v>
      </c>
      <c r="S1979" s="563">
        <f t="shared" si="123"/>
        <v>-2.0293911826452016E-2</v>
      </c>
      <c r="AA1979" s="594">
        <v>44586</v>
      </c>
      <c r="AB1979" s="595" t="s">
        <v>449</v>
      </c>
      <c r="AC1979" s="595">
        <v>44887.77</v>
      </c>
      <c r="AD1979" s="596" t="s">
        <v>395</v>
      </c>
      <c r="AE1979" s="595">
        <v>88.15</v>
      </c>
      <c r="AF1979" s="597">
        <f t="shared" si="124"/>
        <v>-8.0447138283390451E-4</v>
      </c>
      <c r="AG1979" s="597">
        <f t="shared" si="125"/>
        <v>1.7045454545454586E-3</v>
      </c>
    </row>
    <row r="1980" spans="13:33" x14ac:dyDescent="0.35">
      <c r="M1980" s="555">
        <v>44592</v>
      </c>
      <c r="N1980" s="543" t="s">
        <v>449</v>
      </c>
      <c r="O1980" s="543">
        <v>45374.68</v>
      </c>
      <c r="P1980" s="73" t="s">
        <v>431</v>
      </c>
      <c r="Q1980" s="158">
        <v>14.29</v>
      </c>
      <c r="R1980" s="563">
        <f t="shared" si="122"/>
        <v>6.5834906720385611E-3</v>
      </c>
      <c r="S1980" s="563">
        <f t="shared" si="123"/>
        <v>2.0714285714285685E-2</v>
      </c>
      <c r="AA1980" s="594">
        <v>44587</v>
      </c>
      <c r="AB1980" s="595" t="s">
        <v>449</v>
      </c>
      <c r="AC1980" s="595">
        <v>44955.05</v>
      </c>
      <c r="AD1980" s="596" t="s">
        <v>395</v>
      </c>
      <c r="AE1980" s="595">
        <v>88</v>
      </c>
      <c r="AF1980" s="597">
        <f t="shared" si="124"/>
        <v>1.4988492411185383E-3</v>
      </c>
      <c r="AG1980" s="597">
        <f t="shared" si="125"/>
        <v>-1.70164492342606E-3</v>
      </c>
    </row>
    <row r="1981" spans="13:33" x14ac:dyDescent="0.35">
      <c r="M1981" s="555">
        <v>44593</v>
      </c>
      <c r="N1981" s="543" t="s">
        <v>449</v>
      </c>
      <c r="O1981" s="543">
        <v>45674.5</v>
      </c>
      <c r="P1981" s="73" t="s">
        <v>431</v>
      </c>
      <c r="Q1981" s="158">
        <v>14.66</v>
      </c>
      <c r="R1981" s="563">
        <f t="shared" si="122"/>
        <v>6.6076499051894722E-3</v>
      </c>
      <c r="S1981" s="563">
        <f t="shared" si="123"/>
        <v>2.5892232330301024E-2</v>
      </c>
      <c r="AA1981" s="594">
        <v>44589</v>
      </c>
      <c r="AB1981" s="595" t="s">
        <v>449</v>
      </c>
      <c r="AC1981" s="595">
        <v>45077.91</v>
      </c>
      <c r="AD1981" s="596" t="s">
        <v>395</v>
      </c>
      <c r="AE1981" s="595">
        <v>88.21</v>
      </c>
      <c r="AF1981" s="597">
        <f t="shared" si="124"/>
        <v>2.7329521377466026E-3</v>
      </c>
      <c r="AG1981" s="597">
        <f t="shared" si="125"/>
        <v>2.3863636363634644E-3</v>
      </c>
    </row>
    <row r="1982" spans="13:33" x14ac:dyDescent="0.35">
      <c r="M1982" s="555">
        <v>44594</v>
      </c>
      <c r="N1982" s="543" t="s">
        <v>449</v>
      </c>
      <c r="O1982" s="543">
        <v>46119.15</v>
      </c>
      <c r="P1982" s="73" t="s">
        <v>431</v>
      </c>
      <c r="Q1982" s="158">
        <v>14.82</v>
      </c>
      <c r="R1982" s="563">
        <f t="shared" si="122"/>
        <v>9.7351914087728808E-3</v>
      </c>
      <c r="S1982" s="563">
        <f t="shared" si="123"/>
        <v>1.0914051841746319E-2</v>
      </c>
      <c r="AA1982" s="594">
        <v>44592</v>
      </c>
      <c r="AB1982" s="595" t="s">
        <v>449</v>
      </c>
      <c r="AC1982" s="595">
        <v>45374.68</v>
      </c>
      <c r="AD1982" s="596" t="s">
        <v>395</v>
      </c>
      <c r="AE1982" s="595">
        <v>89.01</v>
      </c>
      <c r="AF1982" s="597">
        <f t="shared" si="124"/>
        <v>6.5834906720385611E-3</v>
      </c>
      <c r="AG1982" s="597">
        <f t="shared" si="125"/>
        <v>9.069266523070052E-3</v>
      </c>
    </row>
    <row r="1983" spans="13:33" x14ac:dyDescent="0.35">
      <c r="M1983" s="555">
        <v>44595</v>
      </c>
      <c r="N1983" s="543" t="s">
        <v>449</v>
      </c>
      <c r="O1983" s="543">
        <v>45862.93</v>
      </c>
      <c r="P1983" s="73" t="s">
        <v>431</v>
      </c>
      <c r="Q1983" s="158">
        <v>14.43</v>
      </c>
      <c r="R1983" s="563">
        <f t="shared" si="122"/>
        <v>-5.5556097629726464E-3</v>
      </c>
      <c r="S1983" s="563">
        <f t="shared" si="123"/>
        <v>-2.6315789473684292E-2</v>
      </c>
      <c r="AA1983" s="594">
        <v>44593</v>
      </c>
      <c r="AB1983" s="595" t="s">
        <v>449</v>
      </c>
      <c r="AC1983" s="595">
        <v>45674.5</v>
      </c>
      <c r="AD1983" s="596" t="s">
        <v>395</v>
      </c>
      <c r="AE1983" s="595">
        <v>86.77</v>
      </c>
      <c r="AF1983" s="597">
        <f t="shared" si="124"/>
        <v>6.6076499051894722E-3</v>
      </c>
      <c r="AG1983" s="597">
        <f t="shared" si="125"/>
        <v>-2.5165711717784589E-2</v>
      </c>
    </row>
    <row r="1984" spans="13:33" x14ac:dyDescent="0.35">
      <c r="M1984" s="555">
        <v>44596</v>
      </c>
      <c r="N1984" s="543" t="s">
        <v>449</v>
      </c>
      <c r="O1984" s="543">
        <v>45909.65</v>
      </c>
      <c r="P1984" s="73" t="s">
        <v>431</v>
      </c>
      <c r="Q1984" s="158">
        <v>14.51</v>
      </c>
      <c r="R1984" s="563">
        <f t="shared" si="122"/>
        <v>1.0186876416313773E-3</v>
      </c>
      <c r="S1984" s="563">
        <f t="shared" si="123"/>
        <v>5.5440055440054703E-3</v>
      </c>
      <c r="AA1984" s="594">
        <v>44594</v>
      </c>
      <c r="AB1984" s="595" t="s">
        <v>449</v>
      </c>
      <c r="AC1984" s="595">
        <v>46119.15</v>
      </c>
      <c r="AD1984" s="596" t="s">
        <v>395</v>
      </c>
      <c r="AE1984" s="595">
        <v>87.95</v>
      </c>
      <c r="AF1984" s="597">
        <f t="shared" si="124"/>
        <v>9.7351914087728808E-3</v>
      </c>
      <c r="AG1984" s="597">
        <f t="shared" si="125"/>
        <v>1.3599170220122136E-2</v>
      </c>
    </row>
    <row r="1985" spans="13:33" x14ac:dyDescent="0.35">
      <c r="M1985" s="555">
        <v>44599</v>
      </c>
      <c r="N1985" s="543" t="s">
        <v>449</v>
      </c>
      <c r="O1985" s="543">
        <v>45841.25</v>
      </c>
      <c r="P1985" s="73" t="s">
        <v>431</v>
      </c>
      <c r="Q1985" s="158">
        <v>14.31</v>
      </c>
      <c r="R1985" s="563">
        <f t="shared" si="122"/>
        <v>-1.4898828459811719E-3</v>
      </c>
      <c r="S1985" s="563">
        <f t="shared" si="123"/>
        <v>-1.3783597518952417E-2</v>
      </c>
      <c r="AA1985" s="594">
        <v>44595</v>
      </c>
      <c r="AB1985" s="595" t="s">
        <v>449</v>
      </c>
      <c r="AC1985" s="595">
        <v>45862.93</v>
      </c>
      <c r="AD1985" s="596" t="s">
        <v>395</v>
      </c>
      <c r="AE1985" s="595">
        <v>88</v>
      </c>
      <c r="AF1985" s="597">
        <f t="shared" si="124"/>
        <v>-5.5556097629726464E-3</v>
      </c>
      <c r="AG1985" s="597">
        <f t="shared" si="125"/>
        <v>5.6850483229098359E-4</v>
      </c>
    </row>
    <row r="1986" spans="13:33" x14ac:dyDescent="0.35">
      <c r="M1986" s="555">
        <v>44600</v>
      </c>
      <c r="N1986" s="543" t="s">
        <v>449</v>
      </c>
      <c r="O1986" s="543">
        <v>45947.95</v>
      </c>
      <c r="P1986" s="73" t="s">
        <v>431</v>
      </c>
      <c r="Q1986" s="158">
        <v>14.08</v>
      </c>
      <c r="R1986" s="563">
        <f t="shared" si="122"/>
        <v>2.3275979603523123E-3</v>
      </c>
      <c r="S1986" s="563">
        <f t="shared" si="123"/>
        <v>-1.6072676450034962E-2</v>
      </c>
      <c r="AA1986" s="594">
        <v>44596</v>
      </c>
      <c r="AB1986" s="595" t="s">
        <v>449</v>
      </c>
      <c r="AC1986" s="595">
        <v>45909.65</v>
      </c>
      <c r="AD1986" s="596" t="s">
        <v>395</v>
      </c>
      <c r="AE1986" s="595">
        <v>89.73</v>
      </c>
      <c r="AF1986" s="597">
        <f t="shared" si="124"/>
        <v>1.0186876416313773E-3</v>
      </c>
      <c r="AG1986" s="597">
        <f t="shared" si="125"/>
        <v>1.9659090909091015E-2</v>
      </c>
    </row>
    <row r="1987" spans="13:33" x14ac:dyDescent="0.35">
      <c r="M1987" s="555">
        <v>44601</v>
      </c>
      <c r="N1987" s="543" t="s">
        <v>449</v>
      </c>
      <c r="O1987" s="543">
        <v>46339.76</v>
      </c>
      <c r="P1987" s="73" t="s">
        <v>431</v>
      </c>
      <c r="Q1987" s="158">
        <v>14</v>
      </c>
      <c r="R1987" s="563">
        <f t="shared" si="122"/>
        <v>8.5272574728578743E-3</v>
      </c>
      <c r="S1987" s="563">
        <f t="shared" si="123"/>
        <v>-5.6818181818182323E-3</v>
      </c>
      <c r="AA1987" s="594">
        <v>44599</v>
      </c>
      <c r="AB1987" s="595" t="s">
        <v>449</v>
      </c>
      <c r="AC1987" s="595">
        <v>45841.25</v>
      </c>
      <c r="AD1987" s="596" t="s">
        <v>395</v>
      </c>
      <c r="AE1987" s="595">
        <v>90</v>
      </c>
      <c r="AF1987" s="597">
        <f t="shared" si="124"/>
        <v>-1.4898828459811719E-3</v>
      </c>
      <c r="AG1987" s="597">
        <f t="shared" si="125"/>
        <v>3.0090270812437314E-3</v>
      </c>
    </row>
    <row r="1988" spans="13:33" x14ac:dyDescent="0.35">
      <c r="M1988" s="555">
        <v>44602</v>
      </c>
      <c r="N1988" s="543" t="s">
        <v>449</v>
      </c>
      <c r="O1988" s="543">
        <v>45940.04</v>
      </c>
      <c r="P1988" s="73" t="s">
        <v>431</v>
      </c>
      <c r="Q1988" s="158">
        <v>13.88</v>
      </c>
      <c r="R1988" s="563">
        <f t="shared" si="122"/>
        <v>-8.6258539103353238E-3</v>
      </c>
      <c r="S1988" s="563">
        <f t="shared" si="123"/>
        <v>-8.5714285714285632E-3</v>
      </c>
      <c r="AA1988" s="594">
        <v>44600</v>
      </c>
      <c r="AB1988" s="595" t="s">
        <v>449</v>
      </c>
      <c r="AC1988" s="595">
        <v>45947.95</v>
      </c>
      <c r="AD1988" s="596" t="s">
        <v>395</v>
      </c>
      <c r="AE1988" s="595">
        <v>89.9</v>
      </c>
      <c r="AF1988" s="597">
        <f t="shared" si="124"/>
        <v>2.3275979603523123E-3</v>
      </c>
      <c r="AG1988" s="597">
        <f t="shared" si="125"/>
        <v>-1.1111111111110628E-3</v>
      </c>
    </row>
    <row r="1989" spans="13:33" x14ac:dyDescent="0.35">
      <c r="M1989" s="555">
        <v>44603</v>
      </c>
      <c r="N1989" s="543" t="s">
        <v>449</v>
      </c>
      <c r="O1989" s="543">
        <v>46079.37</v>
      </c>
      <c r="P1989" s="73" t="s">
        <v>431</v>
      </c>
      <c r="Q1989" s="158">
        <v>13.8</v>
      </c>
      <c r="R1989" s="563">
        <f t="shared" si="122"/>
        <v>3.0328663187930704E-3</v>
      </c>
      <c r="S1989" s="563">
        <f t="shared" si="123"/>
        <v>-5.7636887608069065E-3</v>
      </c>
      <c r="AA1989" s="594">
        <v>44601</v>
      </c>
      <c r="AB1989" s="595" t="s">
        <v>449</v>
      </c>
      <c r="AC1989" s="595">
        <v>46339.76</v>
      </c>
      <c r="AD1989" s="596" t="s">
        <v>395</v>
      </c>
      <c r="AE1989" s="595">
        <v>93.02</v>
      </c>
      <c r="AF1989" s="597">
        <f t="shared" si="124"/>
        <v>8.5272574728578743E-3</v>
      </c>
      <c r="AG1989" s="597">
        <f t="shared" si="125"/>
        <v>3.4705228031145507E-2</v>
      </c>
    </row>
    <row r="1990" spans="13:33" x14ac:dyDescent="0.35">
      <c r="M1990" s="555">
        <v>44606</v>
      </c>
      <c r="N1990" s="543" t="s">
        <v>449</v>
      </c>
      <c r="O1990" s="543">
        <v>45644.09</v>
      </c>
      <c r="P1990" s="73" t="s">
        <v>431</v>
      </c>
      <c r="Q1990" s="158">
        <v>13.58</v>
      </c>
      <c r="R1990" s="563">
        <f t="shared" si="122"/>
        <v>-9.446309704321143E-3</v>
      </c>
      <c r="S1990" s="563">
        <f t="shared" si="123"/>
        <v>-1.5942028985507339E-2</v>
      </c>
      <c r="AA1990" s="594">
        <v>44602</v>
      </c>
      <c r="AB1990" s="595" t="s">
        <v>449</v>
      </c>
      <c r="AC1990" s="595">
        <v>45940.04</v>
      </c>
      <c r="AD1990" s="596" t="s">
        <v>395</v>
      </c>
      <c r="AE1990" s="595">
        <v>92.13</v>
      </c>
      <c r="AF1990" s="597">
        <f t="shared" si="124"/>
        <v>-8.6258539103353238E-3</v>
      </c>
      <c r="AG1990" s="597">
        <f t="shared" si="125"/>
        <v>-9.5678348742206376E-3</v>
      </c>
    </row>
    <row r="1991" spans="13:33" x14ac:dyDescent="0.35">
      <c r="M1991" s="555">
        <v>44607</v>
      </c>
      <c r="N1991" s="543" t="s">
        <v>449</v>
      </c>
      <c r="O1991" s="543">
        <v>45731.7</v>
      </c>
      <c r="P1991" s="73" t="s">
        <v>431</v>
      </c>
      <c r="Q1991" s="158">
        <v>13.66</v>
      </c>
      <c r="R1991" s="563">
        <f t="shared" si="122"/>
        <v>1.9194160733624344E-3</v>
      </c>
      <c r="S1991" s="563">
        <f t="shared" si="123"/>
        <v>5.8910162002945299E-3</v>
      </c>
      <c r="AA1991" s="594">
        <v>44603</v>
      </c>
      <c r="AB1991" s="595" t="s">
        <v>449</v>
      </c>
      <c r="AC1991" s="595">
        <v>46079.37</v>
      </c>
      <c r="AD1991" s="596" t="s">
        <v>395</v>
      </c>
      <c r="AE1991" s="595">
        <v>92.96</v>
      </c>
      <c r="AF1991" s="597">
        <f t="shared" si="124"/>
        <v>3.0328663187930704E-3</v>
      </c>
      <c r="AG1991" s="597">
        <f t="shared" si="125"/>
        <v>9.009009009008917E-3</v>
      </c>
    </row>
    <row r="1992" spans="13:33" x14ac:dyDescent="0.35">
      <c r="M1992" s="555">
        <v>44608</v>
      </c>
      <c r="N1992" s="543" t="s">
        <v>449</v>
      </c>
      <c r="O1992" s="543">
        <v>45684.800000000003</v>
      </c>
      <c r="P1992" s="73" t="s">
        <v>431</v>
      </c>
      <c r="Q1992" s="158">
        <v>13.62</v>
      </c>
      <c r="R1992" s="563">
        <f t="shared" si="122"/>
        <v>-1.0255468307540649E-3</v>
      </c>
      <c r="S1992" s="563">
        <f t="shared" si="123"/>
        <v>-2.9282576866764831E-3</v>
      </c>
      <c r="AA1992" s="594">
        <v>44606</v>
      </c>
      <c r="AB1992" s="595" t="s">
        <v>449</v>
      </c>
      <c r="AC1992" s="595">
        <v>45644.09</v>
      </c>
      <c r="AD1992" s="596" t="s">
        <v>395</v>
      </c>
      <c r="AE1992" s="595">
        <v>90.3</v>
      </c>
      <c r="AF1992" s="597">
        <f t="shared" si="124"/>
        <v>-9.446309704321143E-3</v>
      </c>
      <c r="AG1992" s="597">
        <f t="shared" si="125"/>
        <v>-2.8614457831325213E-2</v>
      </c>
    </row>
    <row r="1993" spans="13:33" x14ac:dyDescent="0.35">
      <c r="M1993" s="555">
        <v>44609</v>
      </c>
      <c r="N1993" s="543" t="s">
        <v>449</v>
      </c>
      <c r="O1993" s="543">
        <v>45441.1</v>
      </c>
      <c r="P1993" s="73" t="s">
        <v>431</v>
      </c>
      <c r="Q1993" s="158">
        <v>13.55</v>
      </c>
      <c r="R1993" s="563">
        <f t="shared" si="122"/>
        <v>-5.3343781739222385E-3</v>
      </c>
      <c r="S1993" s="563">
        <f t="shared" si="123"/>
        <v>-5.1395007342143195E-3</v>
      </c>
      <c r="AA1993" s="594">
        <v>44607</v>
      </c>
      <c r="AB1993" s="595" t="s">
        <v>449</v>
      </c>
      <c r="AC1993" s="595">
        <v>45731.7</v>
      </c>
      <c r="AD1993" s="596" t="s">
        <v>395</v>
      </c>
      <c r="AE1993" s="595">
        <v>89.49</v>
      </c>
      <c r="AF1993" s="597">
        <f t="shared" si="124"/>
        <v>1.9194160733624344E-3</v>
      </c>
      <c r="AG1993" s="597">
        <f t="shared" si="125"/>
        <v>-8.9700996677740674E-3</v>
      </c>
    </row>
    <row r="1994" spans="13:33" x14ac:dyDescent="0.35">
      <c r="M1994" s="555">
        <v>44610</v>
      </c>
      <c r="N1994" s="543" t="s">
        <v>449</v>
      </c>
      <c r="O1994" s="543">
        <v>45675.87</v>
      </c>
      <c r="P1994" s="73" t="s">
        <v>431</v>
      </c>
      <c r="Q1994" s="158">
        <v>13.62</v>
      </c>
      <c r="R1994" s="563">
        <f t="shared" si="122"/>
        <v>5.1664682413059548E-3</v>
      </c>
      <c r="S1994" s="563">
        <f t="shared" si="123"/>
        <v>5.1660516605165352E-3</v>
      </c>
      <c r="AA1994" s="594">
        <v>44608</v>
      </c>
      <c r="AB1994" s="595" t="s">
        <v>449</v>
      </c>
      <c r="AC1994" s="595">
        <v>45684.800000000003</v>
      </c>
      <c r="AD1994" s="596" t="s">
        <v>395</v>
      </c>
      <c r="AE1994" s="595">
        <v>92.36</v>
      </c>
      <c r="AF1994" s="597">
        <f t="shared" si="124"/>
        <v>-1.0255468307540649E-3</v>
      </c>
      <c r="AG1994" s="597">
        <f t="shared" si="125"/>
        <v>3.2070622415912409E-2</v>
      </c>
    </row>
    <row r="1995" spans="13:33" x14ac:dyDescent="0.35">
      <c r="M1995" s="555">
        <v>44613</v>
      </c>
      <c r="N1995" s="543" t="s">
        <v>449</v>
      </c>
      <c r="O1995" s="543">
        <v>45362.85</v>
      </c>
      <c r="P1995" s="73" t="s">
        <v>431</v>
      </c>
      <c r="Q1995" s="158">
        <v>13.28</v>
      </c>
      <c r="R1995" s="563">
        <f t="shared" si="122"/>
        <v>-6.8530714357494249E-3</v>
      </c>
      <c r="S1995" s="563">
        <f t="shared" si="123"/>
        <v>-2.4963289280469869E-2</v>
      </c>
      <c r="AA1995" s="594">
        <v>44609</v>
      </c>
      <c r="AB1995" s="595" t="s">
        <v>449</v>
      </c>
      <c r="AC1995" s="595">
        <v>45441.1</v>
      </c>
      <c r="AD1995" s="596" t="s">
        <v>395</v>
      </c>
      <c r="AE1995" s="595">
        <v>95.15</v>
      </c>
      <c r="AF1995" s="597">
        <f t="shared" si="124"/>
        <v>-5.3343781739222385E-3</v>
      </c>
      <c r="AG1995" s="597">
        <f t="shared" si="125"/>
        <v>3.0207882200086633E-2</v>
      </c>
    </row>
    <row r="1996" spans="13:33" x14ac:dyDescent="0.35">
      <c r="M1996" s="555">
        <v>44614</v>
      </c>
      <c r="N1996" s="543" t="s">
        <v>449</v>
      </c>
      <c r="O1996" s="543">
        <v>45012.18</v>
      </c>
      <c r="P1996" s="73" t="s">
        <v>431</v>
      </c>
      <c r="Q1996" s="158">
        <v>12.99</v>
      </c>
      <c r="R1996" s="563">
        <f t="shared" si="122"/>
        <v>-7.7303344035922761E-3</v>
      </c>
      <c r="S1996" s="563">
        <f t="shared" si="123"/>
        <v>-2.18373493975903E-2</v>
      </c>
      <c r="AA1996" s="594">
        <v>44610</v>
      </c>
      <c r="AB1996" s="595" t="s">
        <v>449</v>
      </c>
      <c r="AC1996" s="595">
        <v>45675.87</v>
      </c>
      <c r="AD1996" s="596" t="s">
        <v>395</v>
      </c>
      <c r="AE1996" s="595">
        <v>93.74</v>
      </c>
      <c r="AF1996" s="597">
        <f t="shared" si="124"/>
        <v>5.1664682413059548E-3</v>
      </c>
      <c r="AG1996" s="597">
        <f t="shared" si="125"/>
        <v>-1.4818707304256495E-2</v>
      </c>
    </row>
    <row r="1997" spans="13:33" x14ac:dyDescent="0.35">
      <c r="M1997" s="555">
        <v>44615</v>
      </c>
      <c r="N1997" s="543" t="s">
        <v>449</v>
      </c>
      <c r="O1997" s="543">
        <v>45132.92</v>
      </c>
      <c r="P1997" s="73" t="s">
        <v>431</v>
      </c>
      <c r="Q1997" s="158">
        <v>12.98</v>
      </c>
      <c r="R1997" s="563">
        <f t="shared" si="122"/>
        <v>2.6823850788830761E-3</v>
      </c>
      <c r="S1997" s="563">
        <f t="shared" si="123"/>
        <v>-7.698229407235857E-4</v>
      </c>
      <c r="AA1997" s="594">
        <v>44613</v>
      </c>
      <c r="AB1997" s="595" t="s">
        <v>449</v>
      </c>
      <c r="AC1997" s="595">
        <v>45362.85</v>
      </c>
      <c r="AD1997" s="596" t="s">
        <v>395</v>
      </c>
      <c r="AE1997" s="595">
        <v>94</v>
      </c>
      <c r="AF1997" s="597">
        <f t="shared" si="124"/>
        <v>-6.8530714357494249E-3</v>
      </c>
      <c r="AG1997" s="597">
        <f t="shared" si="125"/>
        <v>2.7736291871134355E-3</v>
      </c>
    </row>
    <row r="1998" spans="13:33" x14ac:dyDescent="0.35">
      <c r="M1998" s="555">
        <v>44616</v>
      </c>
      <c r="N1998" s="543" t="s">
        <v>449</v>
      </c>
      <c r="O1998" s="543">
        <v>43830.51</v>
      </c>
      <c r="P1998" s="73" t="s">
        <v>431</v>
      </c>
      <c r="Q1998" s="158">
        <v>12.02</v>
      </c>
      <c r="R1998" s="563">
        <f t="shared" si="122"/>
        <v>-2.8857206668657764E-2</v>
      </c>
      <c r="S1998" s="563">
        <f t="shared" si="123"/>
        <v>-7.3959938366718103E-2</v>
      </c>
      <c r="AA1998" s="594">
        <v>44614</v>
      </c>
      <c r="AB1998" s="595" t="s">
        <v>449</v>
      </c>
      <c r="AC1998" s="595">
        <v>45012.18</v>
      </c>
      <c r="AD1998" s="596" t="s">
        <v>395</v>
      </c>
      <c r="AE1998" s="595">
        <v>94.39</v>
      </c>
      <c r="AF1998" s="597">
        <f t="shared" si="124"/>
        <v>-7.7303344035922761E-3</v>
      </c>
      <c r="AG1998" s="597">
        <f t="shared" si="125"/>
        <v>4.1489361702127248E-3</v>
      </c>
    </row>
    <row r="1999" spans="13:33" x14ac:dyDescent="0.35">
      <c r="M1999" s="555">
        <v>44617</v>
      </c>
      <c r="N1999" s="543" t="s">
        <v>449</v>
      </c>
      <c r="O1999" s="543">
        <v>43984.24</v>
      </c>
      <c r="P1999" s="73" t="s">
        <v>431</v>
      </c>
      <c r="Q1999" s="158">
        <v>12.12</v>
      </c>
      <c r="R1999" s="563">
        <f t="shared" si="122"/>
        <v>3.5073742012126097E-3</v>
      </c>
      <c r="S1999" s="563">
        <f t="shared" si="123"/>
        <v>8.3194675540765317E-3</v>
      </c>
      <c r="AA1999" s="594">
        <v>44615</v>
      </c>
      <c r="AB1999" s="595" t="s">
        <v>449</v>
      </c>
      <c r="AC1999" s="595">
        <v>45132.92</v>
      </c>
      <c r="AD1999" s="596" t="s">
        <v>395</v>
      </c>
      <c r="AE1999" s="595">
        <v>94</v>
      </c>
      <c r="AF1999" s="597">
        <f t="shared" si="124"/>
        <v>2.6823850788830761E-3</v>
      </c>
      <c r="AG1999" s="597">
        <f t="shared" si="125"/>
        <v>-4.1317936222057261E-3</v>
      </c>
    </row>
    <row r="2000" spans="13:33" x14ac:dyDescent="0.35">
      <c r="M2000" s="555">
        <v>44620</v>
      </c>
      <c r="N2000" s="543" t="s">
        <v>449</v>
      </c>
      <c r="O2000" s="543">
        <v>44461.01</v>
      </c>
      <c r="P2000" s="73" t="s">
        <v>431</v>
      </c>
      <c r="Q2000" s="158">
        <v>12.48</v>
      </c>
      <c r="R2000" s="563">
        <f t="shared" si="122"/>
        <v>1.0839564353050113E-2</v>
      </c>
      <c r="S2000" s="563">
        <f t="shared" si="123"/>
        <v>2.9702970297029729E-2</v>
      </c>
      <c r="AA2000" s="594">
        <v>44616</v>
      </c>
      <c r="AB2000" s="595" t="s">
        <v>449</v>
      </c>
      <c r="AC2000" s="595">
        <v>43830.51</v>
      </c>
      <c r="AD2000" s="596" t="s">
        <v>395</v>
      </c>
      <c r="AE2000" s="595">
        <v>91.43</v>
      </c>
      <c r="AF2000" s="597">
        <f t="shared" si="124"/>
        <v>-2.8857206668657764E-2</v>
      </c>
      <c r="AG2000" s="597">
        <f t="shared" si="125"/>
        <v>-2.7340425531914847E-2</v>
      </c>
    </row>
    <row r="2001" spans="13:33" x14ac:dyDescent="0.35">
      <c r="M2001" s="555">
        <v>44621</v>
      </c>
      <c r="N2001" s="543" t="s">
        <v>449</v>
      </c>
      <c r="O2001" s="543">
        <v>44803.58</v>
      </c>
      <c r="P2001" s="73" t="s">
        <v>431</v>
      </c>
      <c r="Q2001" s="158">
        <v>12.8</v>
      </c>
      <c r="R2001" s="563">
        <f t="shared" si="122"/>
        <v>7.7049531713291319E-3</v>
      </c>
      <c r="S2001" s="563">
        <f t="shared" si="123"/>
        <v>2.5641025641025772E-2</v>
      </c>
      <c r="AA2001" s="594">
        <v>44617</v>
      </c>
      <c r="AB2001" s="595" t="s">
        <v>449</v>
      </c>
      <c r="AC2001" s="595">
        <v>43984.24</v>
      </c>
      <c r="AD2001" s="596" t="s">
        <v>395</v>
      </c>
      <c r="AE2001" s="595">
        <v>92.34</v>
      </c>
      <c r="AF2001" s="597">
        <f t="shared" si="124"/>
        <v>3.5073742012126097E-3</v>
      </c>
      <c r="AG2001" s="597">
        <f t="shared" si="125"/>
        <v>9.9529694848516925E-3</v>
      </c>
    </row>
    <row r="2002" spans="13:33" x14ac:dyDescent="0.35">
      <c r="M2002" s="555">
        <v>44622</v>
      </c>
      <c r="N2002" s="543" t="s">
        <v>449</v>
      </c>
      <c r="O2002" s="543">
        <v>44514.12</v>
      </c>
      <c r="P2002" s="73" t="s">
        <v>431</v>
      </c>
      <c r="Q2002" s="158">
        <v>12.35</v>
      </c>
      <c r="R2002" s="563">
        <f t="shared" si="122"/>
        <v>-6.4606444395738372E-3</v>
      </c>
      <c r="S2002" s="563">
        <f t="shared" si="123"/>
        <v>-3.5156250000000111E-2</v>
      </c>
      <c r="AA2002" s="594">
        <v>44620</v>
      </c>
      <c r="AB2002" s="595" t="s">
        <v>449</v>
      </c>
      <c r="AC2002" s="595">
        <v>44461.01</v>
      </c>
      <c r="AD2002" s="596" t="s">
        <v>395</v>
      </c>
      <c r="AE2002" s="595">
        <v>82</v>
      </c>
      <c r="AF2002" s="597">
        <f t="shared" si="124"/>
        <v>1.0839564353050113E-2</v>
      </c>
      <c r="AG2002" s="597">
        <f t="shared" si="125"/>
        <v>-0.11197747455057405</v>
      </c>
    </row>
    <row r="2003" spans="13:33" x14ac:dyDescent="0.35">
      <c r="M2003" s="555">
        <v>44623</v>
      </c>
      <c r="N2003" s="543" t="s">
        <v>449</v>
      </c>
      <c r="O2003" s="543">
        <v>44525.72</v>
      </c>
      <c r="P2003" s="73" t="s">
        <v>431</v>
      </c>
      <c r="Q2003" s="158">
        <v>12.25</v>
      </c>
      <c r="R2003" s="563">
        <f t="shared" si="122"/>
        <v>2.6059147075119249E-4</v>
      </c>
      <c r="S2003" s="563">
        <f t="shared" si="123"/>
        <v>-8.0971659919027994E-3</v>
      </c>
      <c r="AA2003" s="594">
        <v>44621</v>
      </c>
      <c r="AB2003" s="595" t="s">
        <v>449</v>
      </c>
      <c r="AC2003" s="595">
        <v>44803.58</v>
      </c>
      <c r="AD2003" s="596" t="s">
        <v>395</v>
      </c>
      <c r="AE2003" s="595">
        <v>81.5</v>
      </c>
      <c r="AF2003" s="597">
        <f t="shared" si="124"/>
        <v>7.7049531713291319E-3</v>
      </c>
      <c r="AG2003" s="597">
        <f t="shared" si="125"/>
        <v>-6.0975609756097615E-3</v>
      </c>
    </row>
    <row r="2004" spans="13:33" x14ac:dyDescent="0.35">
      <c r="M2004" s="555">
        <v>44624</v>
      </c>
      <c r="N2004" s="543" t="s">
        <v>449</v>
      </c>
      <c r="O2004" s="543">
        <v>44551.35</v>
      </c>
      <c r="P2004" s="73" t="s">
        <v>431</v>
      </c>
      <c r="Q2004" s="158">
        <v>12.22</v>
      </c>
      <c r="R2004" s="563">
        <f t="shared" si="122"/>
        <v>5.7562235939134787E-4</v>
      </c>
      <c r="S2004" s="563">
        <f t="shared" si="123"/>
        <v>-2.448979591836653E-3</v>
      </c>
      <c r="AA2004" s="594">
        <v>44622</v>
      </c>
      <c r="AB2004" s="595" t="s">
        <v>449</v>
      </c>
      <c r="AC2004" s="595">
        <v>44514.12</v>
      </c>
      <c r="AD2004" s="596" t="s">
        <v>395</v>
      </c>
      <c r="AE2004" s="595">
        <v>82.11</v>
      </c>
      <c r="AF2004" s="597">
        <f t="shared" si="124"/>
        <v>-6.4606444395738372E-3</v>
      </c>
      <c r="AG2004" s="597">
        <f t="shared" si="125"/>
        <v>7.4846625766871178E-3</v>
      </c>
    </row>
    <row r="2005" spans="13:33" x14ac:dyDescent="0.35">
      <c r="M2005" s="555">
        <v>44627</v>
      </c>
      <c r="N2005" s="543" t="s">
        <v>449</v>
      </c>
      <c r="O2005" s="543">
        <v>43266.97</v>
      </c>
      <c r="P2005" s="73" t="s">
        <v>431</v>
      </c>
      <c r="Q2005" s="158">
        <v>11.63</v>
      </c>
      <c r="R2005" s="563">
        <f t="shared" si="122"/>
        <v>-2.8829204951140608E-2</v>
      </c>
      <c r="S2005" s="563">
        <f t="shared" si="123"/>
        <v>-4.8281505728314245E-2</v>
      </c>
      <c r="AA2005" s="594">
        <v>44623</v>
      </c>
      <c r="AB2005" s="595" t="s">
        <v>449</v>
      </c>
      <c r="AC2005" s="595">
        <v>44525.72</v>
      </c>
      <c r="AD2005" s="596" t="s">
        <v>395</v>
      </c>
      <c r="AE2005" s="595">
        <v>82</v>
      </c>
      <c r="AF2005" s="597">
        <f t="shared" si="124"/>
        <v>2.6059147075119249E-4</v>
      </c>
      <c r="AG2005" s="597">
        <f t="shared" si="125"/>
        <v>-1.3396663013031107E-3</v>
      </c>
    </row>
    <row r="2006" spans="13:33" x14ac:dyDescent="0.35">
      <c r="M2006" s="555">
        <v>44628</v>
      </c>
      <c r="N2006" s="543" t="s">
        <v>449</v>
      </c>
      <c r="O2006" s="543">
        <v>42878.35</v>
      </c>
      <c r="P2006" s="73" t="s">
        <v>431</v>
      </c>
      <c r="Q2006" s="158">
        <v>11.45</v>
      </c>
      <c r="R2006" s="563">
        <f t="shared" si="122"/>
        <v>-8.981909294780821E-3</v>
      </c>
      <c r="S2006" s="563">
        <f t="shared" si="123"/>
        <v>-1.5477214101461856E-2</v>
      </c>
      <c r="AA2006" s="594">
        <v>44624</v>
      </c>
      <c r="AB2006" s="595" t="s">
        <v>449</v>
      </c>
      <c r="AC2006" s="595">
        <v>44551.35</v>
      </c>
      <c r="AD2006" s="596" t="s">
        <v>395</v>
      </c>
      <c r="AE2006" s="595">
        <v>82.5</v>
      </c>
      <c r="AF2006" s="597">
        <f t="shared" si="124"/>
        <v>5.7562235939134787E-4</v>
      </c>
      <c r="AG2006" s="597">
        <f t="shared" si="125"/>
        <v>6.0975609756097615E-3</v>
      </c>
    </row>
    <row r="2007" spans="13:33" x14ac:dyDescent="0.35">
      <c r="M2007" s="555">
        <v>44629</v>
      </c>
      <c r="N2007" s="543" t="s">
        <v>449</v>
      </c>
      <c r="O2007" s="543">
        <v>43042.96</v>
      </c>
      <c r="P2007" s="73" t="s">
        <v>431</v>
      </c>
      <c r="Q2007" s="158">
        <v>11.43</v>
      </c>
      <c r="R2007" s="563">
        <f t="shared" si="122"/>
        <v>3.8390003346677748E-3</v>
      </c>
      <c r="S2007" s="563">
        <f t="shared" si="123"/>
        <v>-1.7467248908296096E-3</v>
      </c>
      <c r="AA2007" s="594">
        <v>44627</v>
      </c>
      <c r="AB2007" s="595" t="s">
        <v>449</v>
      </c>
      <c r="AC2007" s="595">
        <v>43266.97</v>
      </c>
      <c r="AD2007" s="596" t="s">
        <v>395</v>
      </c>
      <c r="AE2007" s="595">
        <v>79.069999999999993</v>
      </c>
      <c r="AF2007" s="597">
        <f t="shared" si="124"/>
        <v>-2.8829204951140608E-2</v>
      </c>
      <c r="AG2007" s="597">
        <f t="shared" si="125"/>
        <v>-4.157575757575771E-2</v>
      </c>
    </row>
    <row r="2008" spans="13:33" x14ac:dyDescent="0.35">
      <c r="M2008" s="555">
        <v>44630</v>
      </c>
      <c r="N2008" s="543" t="s">
        <v>449</v>
      </c>
      <c r="O2008" s="543">
        <v>43853.62</v>
      </c>
      <c r="P2008" s="73" t="s">
        <v>431</v>
      </c>
      <c r="Q2008" s="158">
        <v>11.63</v>
      </c>
      <c r="R2008" s="563">
        <f t="shared" si="122"/>
        <v>1.8833741917377411E-2</v>
      </c>
      <c r="S2008" s="563">
        <f t="shared" si="123"/>
        <v>1.7497812773403343E-2</v>
      </c>
      <c r="AA2008" s="594">
        <v>44628</v>
      </c>
      <c r="AB2008" s="595" t="s">
        <v>449</v>
      </c>
      <c r="AC2008" s="595">
        <v>42878.35</v>
      </c>
      <c r="AD2008" s="596" t="s">
        <v>395</v>
      </c>
      <c r="AE2008" s="595">
        <v>78</v>
      </c>
      <c r="AF2008" s="597">
        <f t="shared" si="124"/>
        <v>-8.981909294780821E-3</v>
      </c>
      <c r="AG2008" s="597">
        <f t="shared" si="125"/>
        <v>-1.3532313140255381E-2</v>
      </c>
    </row>
    <row r="2009" spans="13:33" x14ac:dyDescent="0.35">
      <c r="M2009" s="555">
        <v>44631</v>
      </c>
      <c r="N2009" s="543" t="s">
        <v>449</v>
      </c>
      <c r="O2009" s="543">
        <v>43653.33</v>
      </c>
      <c r="P2009" s="73" t="s">
        <v>431</v>
      </c>
      <c r="Q2009" s="158">
        <v>11.4</v>
      </c>
      <c r="R2009" s="563">
        <f t="shared" si="122"/>
        <v>-4.5672398310561135E-3</v>
      </c>
      <c r="S2009" s="563">
        <f t="shared" si="123"/>
        <v>-1.9776440240756754E-2</v>
      </c>
      <c r="AA2009" s="594">
        <v>44629</v>
      </c>
      <c r="AB2009" s="595" t="s">
        <v>449</v>
      </c>
      <c r="AC2009" s="595">
        <v>43042.96</v>
      </c>
      <c r="AD2009" s="596" t="s">
        <v>395</v>
      </c>
      <c r="AE2009" s="595">
        <v>78</v>
      </c>
      <c r="AF2009" s="597">
        <f t="shared" si="124"/>
        <v>3.8390003346677748E-3</v>
      </c>
      <c r="AG2009" s="597">
        <f t="shared" si="125"/>
        <v>0</v>
      </c>
    </row>
    <row r="2010" spans="13:33" x14ac:dyDescent="0.35">
      <c r="M2010" s="555">
        <v>44634</v>
      </c>
      <c r="N2010" s="543" t="s">
        <v>449</v>
      </c>
      <c r="O2010" s="543">
        <v>43366.89</v>
      </c>
      <c r="P2010" s="73" t="s">
        <v>431</v>
      </c>
      <c r="Q2010" s="158">
        <v>11.08</v>
      </c>
      <c r="R2010" s="563">
        <f t="shared" ref="R2010:R2073" si="126">(O2010/O2009)-1</f>
        <v>-6.5616987295127327E-3</v>
      </c>
      <c r="S2010" s="563">
        <f t="shared" ref="S2010:S2073" si="127">(Q2010/Q2009)-1</f>
        <v>-2.8070175438596467E-2</v>
      </c>
      <c r="AA2010" s="594">
        <v>44630</v>
      </c>
      <c r="AB2010" s="595" t="s">
        <v>449</v>
      </c>
      <c r="AC2010" s="595">
        <v>43853.62</v>
      </c>
      <c r="AD2010" s="596" t="s">
        <v>395</v>
      </c>
      <c r="AE2010" s="595">
        <v>81</v>
      </c>
      <c r="AF2010" s="597">
        <f t="shared" si="124"/>
        <v>1.8833741917377411E-2</v>
      </c>
      <c r="AG2010" s="597">
        <f t="shared" si="125"/>
        <v>3.8461538461538547E-2</v>
      </c>
    </row>
    <row r="2011" spans="13:33" x14ac:dyDescent="0.35">
      <c r="M2011" s="555">
        <v>44635</v>
      </c>
      <c r="N2011" s="543" t="s">
        <v>449</v>
      </c>
      <c r="O2011" s="543">
        <v>43719.82</v>
      </c>
      <c r="P2011" s="73" t="s">
        <v>431</v>
      </c>
      <c r="Q2011" s="158">
        <v>11.29</v>
      </c>
      <c r="R2011" s="563">
        <f t="shared" si="126"/>
        <v>8.138236336522997E-3</v>
      </c>
      <c r="S2011" s="563">
        <f t="shared" si="127"/>
        <v>1.8953068592057587E-2</v>
      </c>
      <c r="AA2011" s="594">
        <v>44631</v>
      </c>
      <c r="AB2011" s="595" t="s">
        <v>449</v>
      </c>
      <c r="AC2011" s="595">
        <v>43653.33</v>
      </c>
      <c r="AD2011" s="596" t="s">
        <v>395</v>
      </c>
      <c r="AE2011" s="595">
        <v>79.03</v>
      </c>
      <c r="AF2011" s="597">
        <f t="shared" si="124"/>
        <v>-4.5672398310561135E-3</v>
      </c>
      <c r="AG2011" s="597">
        <f t="shared" si="125"/>
        <v>-2.4320987654321002E-2</v>
      </c>
    </row>
    <row r="2012" spans="13:33" x14ac:dyDescent="0.35">
      <c r="M2012" s="555">
        <v>44636</v>
      </c>
      <c r="N2012" s="543" t="s">
        <v>449</v>
      </c>
      <c r="O2012" s="543">
        <v>43975.69</v>
      </c>
      <c r="P2012" s="73" t="s">
        <v>431</v>
      </c>
      <c r="Q2012" s="158">
        <v>11.33</v>
      </c>
      <c r="R2012" s="563">
        <f t="shared" si="126"/>
        <v>5.8524943606812485E-3</v>
      </c>
      <c r="S2012" s="563">
        <f t="shared" si="127"/>
        <v>3.5429583702393241E-3</v>
      </c>
      <c r="AA2012" s="594">
        <v>44634</v>
      </c>
      <c r="AB2012" s="595" t="s">
        <v>449</v>
      </c>
      <c r="AC2012" s="595">
        <v>43366.89</v>
      </c>
      <c r="AD2012" s="596" t="s">
        <v>395</v>
      </c>
      <c r="AE2012" s="595">
        <v>77.5</v>
      </c>
      <c r="AF2012" s="597">
        <f t="shared" ref="AF2012:AF2075" si="128">(AC2012/AC2011)-1</f>
        <v>-6.5616987295127327E-3</v>
      </c>
      <c r="AG2012" s="597">
        <f t="shared" ref="AG2012:AG2075" si="129">(AE2012/AE2011)-1</f>
        <v>-1.935973680880676E-2</v>
      </c>
    </row>
    <row r="2013" spans="13:33" x14ac:dyDescent="0.35">
      <c r="M2013" s="555">
        <v>44637</v>
      </c>
      <c r="N2013" s="543" t="s">
        <v>449</v>
      </c>
      <c r="O2013" s="543">
        <v>43807.23</v>
      </c>
      <c r="P2013" s="73" t="s">
        <v>431</v>
      </c>
      <c r="Q2013" s="158">
        <v>11.39</v>
      </c>
      <c r="R2013" s="563">
        <f t="shared" si="126"/>
        <v>-3.8307528545884484E-3</v>
      </c>
      <c r="S2013" s="563">
        <f t="shared" si="127"/>
        <v>5.295675198587757E-3</v>
      </c>
      <c r="AA2013" s="594">
        <v>44635</v>
      </c>
      <c r="AB2013" s="595" t="s">
        <v>449</v>
      </c>
      <c r="AC2013" s="595">
        <v>43719.82</v>
      </c>
      <c r="AD2013" s="596" t="s">
        <v>395</v>
      </c>
      <c r="AE2013" s="595">
        <v>78.5</v>
      </c>
      <c r="AF2013" s="597">
        <f t="shared" si="128"/>
        <v>8.138236336522997E-3</v>
      </c>
      <c r="AG2013" s="597">
        <f t="shared" si="129"/>
        <v>1.2903225806451646E-2</v>
      </c>
    </row>
    <row r="2014" spans="13:33" x14ac:dyDescent="0.35">
      <c r="M2014" s="555">
        <v>44638</v>
      </c>
      <c r="N2014" s="543" t="s">
        <v>449</v>
      </c>
      <c r="O2014" s="543">
        <v>43029.97</v>
      </c>
      <c r="P2014" s="73" t="s">
        <v>431</v>
      </c>
      <c r="Q2014" s="158">
        <v>10.74</v>
      </c>
      <c r="R2014" s="563">
        <f t="shared" si="126"/>
        <v>-1.7742733334200844E-2</v>
      </c>
      <c r="S2014" s="563">
        <f t="shared" si="127"/>
        <v>-5.706760316066728E-2</v>
      </c>
      <c r="AA2014" s="594">
        <v>44636</v>
      </c>
      <c r="AB2014" s="595" t="s">
        <v>449</v>
      </c>
      <c r="AC2014" s="595">
        <v>43975.69</v>
      </c>
      <c r="AD2014" s="596" t="s">
        <v>395</v>
      </c>
      <c r="AE2014" s="595">
        <v>79.8</v>
      </c>
      <c r="AF2014" s="597">
        <f t="shared" si="128"/>
        <v>5.8524943606812485E-3</v>
      </c>
      <c r="AG2014" s="597">
        <f t="shared" si="129"/>
        <v>1.6560509554140124E-2</v>
      </c>
    </row>
    <row r="2015" spans="13:33" x14ac:dyDescent="0.35">
      <c r="M2015" s="555">
        <v>44641</v>
      </c>
      <c r="N2015" s="543" t="s">
        <v>449</v>
      </c>
      <c r="O2015" s="543">
        <v>43230.22</v>
      </c>
      <c r="P2015" s="73" t="s">
        <v>431</v>
      </c>
      <c r="Q2015" s="158">
        <v>10.85</v>
      </c>
      <c r="R2015" s="563">
        <f t="shared" si="126"/>
        <v>4.653733200371768E-3</v>
      </c>
      <c r="S2015" s="563">
        <f t="shared" si="127"/>
        <v>1.0242085661080091E-2</v>
      </c>
      <c r="AA2015" s="594">
        <v>44637</v>
      </c>
      <c r="AB2015" s="595" t="s">
        <v>449</v>
      </c>
      <c r="AC2015" s="595">
        <v>43807.23</v>
      </c>
      <c r="AD2015" s="596" t="s">
        <v>395</v>
      </c>
      <c r="AE2015" s="595">
        <v>79.55</v>
      </c>
      <c r="AF2015" s="597">
        <f t="shared" si="128"/>
        <v>-3.8307528545884484E-3</v>
      </c>
      <c r="AG2015" s="597">
        <f t="shared" si="129"/>
        <v>-3.1328320802005427E-3</v>
      </c>
    </row>
    <row r="2016" spans="13:33" x14ac:dyDescent="0.35">
      <c r="M2016" s="555">
        <v>44642</v>
      </c>
      <c r="N2016" s="543" t="s">
        <v>449</v>
      </c>
      <c r="O2016" s="543">
        <v>43203.79</v>
      </c>
      <c r="P2016" s="73" t="s">
        <v>431</v>
      </c>
      <c r="Q2016" s="158">
        <v>11.09</v>
      </c>
      <c r="R2016" s="563">
        <f t="shared" si="126"/>
        <v>-6.1137787408904742E-4</v>
      </c>
      <c r="S2016" s="563">
        <f t="shared" si="127"/>
        <v>2.2119815668202758E-2</v>
      </c>
      <c r="AA2016" s="594">
        <v>44638</v>
      </c>
      <c r="AB2016" s="595" t="s">
        <v>449</v>
      </c>
      <c r="AC2016" s="595">
        <v>43029.97</v>
      </c>
      <c r="AD2016" s="596" t="s">
        <v>395</v>
      </c>
      <c r="AE2016" s="595">
        <v>77.510000000000005</v>
      </c>
      <c r="AF2016" s="597">
        <f t="shared" si="128"/>
        <v>-1.7742733334200844E-2</v>
      </c>
      <c r="AG2016" s="597">
        <f t="shared" si="129"/>
        <v>-2.5644248900062783E-2</v>
      </c>
    </row>
    <row r="2017" spans="13:33" x14ac:dyDescent="0.35">
      <c r="M2017" s="555">
        <v>44644</v>
      </c>
      <c r="N2017" s="543" t="s">
        <v>449</v>
      </c>
      <c r="O2017" s="543">
        <v>43522.55</v>
      </c>
      <c r="P2017" s="73" t="s">
        <v>431</v>
      </c>
      <c r="Q2017" s="158">
        <v>11.34</v>
      </c>
      <c r="R2017" s="563">
        <f t="shared" si="126"/>
        <v>7.3780564158838491E-3</v>
      </c>
      <c r="S2017" s="563">
        <f t="shared" si="127"/>
        <v>2.2542831379621209E-2</v>
      </c>
      <c r="AA2017" s="594">
        <v>44641</v>
      </c>
      <c r="AB2017" s="595" t="s">
        <v>449</v>
      </c>
      <c r="AC2017" s="595">
        <v>43230.22</v>
      </c>
      <c r="AD2017" s="596" t="s">
        <v>395</v>
      </c>
      <c r="AE2017" s="595">
        <v>78.510000000000005</v>
      </c>
      <c r="AF2017" s="597">
        <f t="shared" si="128"/>
        <v>4.653733200371768E-3</v>
      </c>
      <c r="AG2017" s="597">
        <f t="shared" si="129"/>
        <v>1.2901561088891844E-2</v>
      </c>
    </row>
    <row r="2018" spans="13:33" x14ac:dyDescent="0.35">
      <c r="M2018" s="555">
        <v>44645</v>
      </c>
      <c r="N2018" s="543" t="s">
        <v>449</v>
      </c>
      <c r="O2018" s="543">
        <v>43551.14</v>
      </c>
      <c r="P2018" s="73" t="s">
        <v>431</v>
      </c>
      <c r="Q2018" s="158">
        <v>12.26</v>
      </c>
      <c r="R2018" s="563">
        <f t="shared" si="126"/>
        <v>6.5690084795111403E-4</v>
      </c>
      <c r="S2018" s="563">
        <f t="shared" si="127"/>
        <v>8.1128747795414347E-2</v>
      </c>
      <c r="AA2018" s="594">
        <v>44642</v>
      </c>
      <c r="AB2018" s="595" t="s">
        <v>449</v>
      </c>
      <c r="AC2018" s="595">
        <v>43203.79</v>
      </c>
      <c r="AD2018" s="596" t="s">
        <v>395</v>
      </c>
      <c r="AE2018" s="595">
        <v>79.97</v>
      </c>
      <c r="AF2018" s="597">
        <f t="shared" si="128"/>
        <v>-6.1137787408904742E-4</v>
      </c>
      <c r="AG2018" s="597">
        <f t="shared" si="129"/>
        <v>1.8596357151955178E-2</v>
      </c>
    </row>
    <row r="2019" spans="13:33" x14ac:dyDescent="0.35">
      <c r="M2019" s="555">
        <v>44648</v>
      </c>
      <c r="N2019" s="543" t="s">
        <v>449</v>
      </c>
      <c r="O2019" s="543">
        <v>43933.56</v>
      </c>
      <c r="P2019" s="73" t="s">
        <v>431</v>
      </c>
      <c r="Q2019" s="158">
        <v>12.33</v>
      </c>
      <c r="R2019" s="563">
        <f t="shared" si="126"/>
        <v>8.7809412107238138E-3</v>
      </c>
      <c r="S2019" s="563">
        <f t="shared" si="127"/>
        <v>5.7096247960848334E-3</v>
      </c>
      <c r="AA2019" s="594">
        <v>44644</v>
      </c>
      <c r="AB2019" s="595" t="s">
        <v>449</v>
      </c>
      <c r="AC2019" s="595">
        <v>43522.55</v>
      </c>
      <c r="AD2019" s="596" t="s">
        <v>395</v>
      </c>
      <c r="AE2019" s="595">
        <v>79.95</v>
      </c>
      <c r="AF2019" s="597">
        <f t="shared" si="128"/>
        <v>7.3780564158838491E-3</v>
      </c>
      <c r="AG2019" s="597">
        <f t="shared" si="129"/>
        <v>-2.5009378516938074E-4</v>
      </c>
    </row>
    <row r="2020" spans="13:33" x14ac:dyDescent="0.35">
      <c r="M2020" s="555">
        <v>44649</v>
      </c>
      <c r="N2020" s="543" t="s">
        <v>449</v>
      </c>
      <c r="O2020" s="543">
        <v>44438.7</v>
      </c>
      <c r="P2020" s="73" t="s">
        <v>431</v>
      </c>
      <c r="Q2020" s="158">
        <v>12.59</v>
      </c>
      <c r="R2020" s="563">
        <f t="shared" si="126"/>
        <v>1.1497816247989068E-2</v>
      </c>
      <c r="S2020" s="563">
        <f t="shared" si="127"/>
        <v>2.108678021086785E-2</v>
      </c>
      <c r="AA2020" s="594">
        <v>44645</v>
      </c>
      <c r="AB2020" s="595" t="s">
        <v>449</v>
      </c>
      <c r="AC2020" s="595">
        <v>43551.14</v>
      </c>
      <c r="AD2020" s="596" t="s">
        <v>395</v>
      </c>
      <c r="AE2020" s="595">
        <v>78.5</v>
      </c>
      <c r="AF2020" s="597">
        <f t="shared" si="128"/>
        <v>6.5690084795111403E-4</v>
      </c>
      <c r="AG2020" s="597">
        <f t="shared" si="129"/>
        <v>-1.8136335209505972E-2</v>
      </c>
    </row>
    <row r="2021" spans="13:33" x14ac:dyDescent="0.35">
      <c r="M2021" s="555">
        <v>44650</v>
      </c>
      <c r="N2021" s="543" t="s">
        <v>449</v>
      </c>
      <c r="O2021" s="543">
        <v>44337.56</v>
      </c>
      <c r="P2021" s="73" t="s">
        <v>431</v>
      </c>
      <c r="Q2021" s="158">
        <v>12.31</v>
      </c>
      <c r="R2021" s="563">
        <f t="shared" si="126"/>
        <v>-2.2759441657833612E-3</v>
      </c>
      <c r="S2021" s="563">
        <f t="shared" si="127"/>
        <v>-2.2239872915011838E-2</v>
      </c>
      <c r="AA2021" s="594">
        <v>44648</v>
      </c>
      <c r="AB2021" s="595" t="s">
        <v>449</v>
      </c>
      <c r="AC2021" s="595">
        <v>43933.56</v>
      </c>
      <c r="AD2021" s="596" t="s">
        <v>395</v>
      </c>
      <c r="AE2021" s="595">
        <v>78</v>
      </c>
      <c r="AF2021" s="597">
        <f t="shared" si="128"/>
        <v>8.7809412107238138E-3</v>
      </c>
      <c r="AG2021" s="597">
        <f t="shared" si="129"/>
        <v>-6.3694267515923553E-3</v>
      </c>
    </row>
    <row r="2022" spans="13:33" x14ac:dyDescent="0.35">
      <c r="M2022" s="555">
        <v>44651</v>
      </c>
      <c r="N2022" s="543" t="s">
        <v>449</v>
      </c>
      <c r="O2022" s="543">
        <v>44928.83</v>
      </c>
      <c r="P2022" s="73" t="s">
        <v>431</v>
      </c>
      <c r="Q2022" s="158">
        <v>12.67</v>
      </c>
      <c r="R2022" s="563">
        <f t="shared" si="126"/>
        <v>1.333564589481262E-2</v>
      </c>
      <c r="S2022" s="563">
        <f t="shared" si="127"/>
        <v>2.9244516653127439E-2</v>
      </c>
      <c r="AA2022" s="594">
        <v>44649</v>
      </c>
      <c r="AB2022" s="595" t="s">
        <v>449</v>
      </c>
      <c r="AC2022" s="595">
        <v>44438.7</v>
      </c>
      <c r="AD2022" s="596" t="s">
        <v>395</v>
      </c>
      <c r="AE2022" s="595">
        <v>78.59</v>
      </c>
      <c r="AF2022" s="597">
        <f t="shared" si="128"/>
        <v>1.1497816247989068E-2</v>
      </c>
      <c r="AG2022" s="597">
        <f t="shared" si="129"/>
        <v>7.5641025641026705E-3</v>
      </c>
    </row>
    <row r="2023" spans="13:33" x14ac:dyDescent="0.35">
      <c r="M2023" s="555">
        <v>44652</v>
      </c>
      <c r="N2023" s="543" t="s">
        <v>449</v>
      </c>
      <c r="O2023" s="543">
        <v>45152.11</v>
      </c>
      <c r="P2023" s="73" t="s">
        <v>431</v>
      </c>
      <c r="Q2023" s="158">
        <v>13.22</v>
      </c>
      <c r="R2023" s="563">
        <f t="shared" si="126"/>
        <v>4.9696375356313993E-3</v>
      </c>
      <c r="S2023" s="563">
        <f t="shared" si="127"/>
        <v>4.3409629044988129E-2</v>
      </c>
      <c r="AA2023" s="594">
        <v>44650</v>
      </c>
      <c r="AB2023" s="595" t="s">
        <v>449</v>
      </c>
      <c r="AC2023" s="595">
        <v>44337.56</v>
      </c>
      <c r="AD2023" s="596" t="s">
        <v>395</v>
      </c>
      <c r="AE2023" s="595">
        <v>76.97</v>
      </c>
      <c r="AF2023" s="597">
        <f t="shared" si="128"/>
        <v>-2.2759441657833612E-3</v>
      </c>
      <c r="AG2023" s="597">
        <f t="shared" si="129"/>
        <v>-2.0613309581371753E-2</v>
      </c>
    </row>
    <row r="2024" spans="13:33" x14ac:dyDescent="0.35">
      <c r="M2024" s="555">
        <v>44655</v>
      </c>
      <c r="N2024" s="543" t="s">
        <v>449</v>
      </c>
      <c r="O2024" s="543">
        <v>43902.04</v>
      </c>
      <c r="P2024" s="73" t="s">
        <v>431</v>
      </c>
      <c r="Q2024" s="158">
        <v>12.23</v>
      </c>
      <c r="R2024" s="563">
        <f t="shared" si="126"/>
        <v>-2.7685749348147826E-2</v>
      </c>
      <c r="S2024" s="563">
        <f t="shared" si="127"/>
        <v>-7.4886535552193711E-2</v>
      </c>
      <c r="AA2024" s="594">
        <v>44651</v>
      </c>
      <c r="AB2024" s="595" t="s">
        <v>449</v>
      </c>
      <c r="AC2024" s="595">
        <v>44928.83</v>
      </c>
      <c r="AD2024" s="596" t="s">
        <v>395</v>
      </c>
      <c r="AE2024" s="595">
        <v>77.72</v>
      </c>
      <c r="AF2024" s="597">
        <f t="shared" si="128"/>
        <v>1.333564589481262E-2</v>
      </c>
      <c r="AG2024" s="597">
        <f t="shared" si="129"/>
        <v>9.7440561257633451E-3</v>
      </c>
    </row>
    <row r="2025" spans="13:33" x14ac:dyDescent="0.35">
      <c r="M2025" s="555">
        <v>44656</v>
      </c>
      <c r="N2025" s="543" t="s">
        <v>449</v>
      </c>
      <c r="O2025" s="543">
        <v>43928.08</v>
      </c>
      <c r="P2025" s="73" t="s">
        <v>431</v>
      </c>
      <c r="Q2025" s="158">
        <v>12.13</v>
      </c>
      <c r="R2025" s="563">
        <f t="shared" si="126"/>
        <v>5.9313872430521997E-4</v>
      </c>
      <c r="S2025" s="563">
        <f t="shared" si="127"/>
        <v>-8.1766148814390593E-3</v>
      </c>
      <c r="AA2025" s="594">
        <v>44652</v>
      </c>
      <c r="AB2025" s="595" t="s">
        <v>449</v>
      </c>
      <c r="AC2025" s="595">
        <v>45152.11</v>
      </c>
      <c r="AD2025" s="596" t="s">
        <v>395</v>
      </c>
      <c r="AE2025" s="595">
        <v>79</v>
      </c>
      <c r="AF2025" s="597">
        <f t="shared" si="128"/>
        <v>4.9696375356313993E-3</v>
      </c>
      <c r="AG2025" s="597">
        <f t="shared" si="129"/>
        <v>1.6469377251672634E-2</v>
      </c>
    </row>
    <row r="2026" spans="13:33" x14ac:dyDescent="0.35">
      <c r="M2026" s="555">
        <v>44657</v>
      </c>
      <c r="N2026" s="543" t="s">
        <v>449</v>
      </c>
      <c r="O2026" s="543">
        <v>44111.1</v>
      </c>
      <c r="P2026" s="73" t="s">
        <v>431</v>
      </c>
      <c r="Q2026" s="158">
        <v>12.22</v>
      </c>
      <c r="R2026" s="563">
        <f t="shared" si="126"/>
        <v>4.1663555520750073E-3</v>
      </c>
      <c r="S2026" s="563">
        <f t="shared" si="127"/>
        <v>7.4196207749381848E-3</v>
      </c>
      <c r="AA2026" s="594">
        <v>44655</v>
      </c>
      <c r="AB2026" s="595" t="s">
        <v>449</v>
      </c>
      <c r="AC2026" s="595">
        <v>43902.04</v>
      </c>
      <c r="AD2026" s="596" t="s">
        <v>395</v>
      </c>
      <c r="AE2026" s="595">
        <v>78.459999999999994</v>
      </c>
      <c r="AF2026" s="597">
        <f t="shared" si="128"/>
        <v>-2.7685749348147826E-2</v>
      </c>
      <c r="AG2026" s="597">
        <f t="shared" si="129"/>
        <v>-6.8354430379747866E-3</v>
      </c>
    </row>
    <row r="2027" spans="13:33" x14ac:dyDescent="0.35">
      <c r="M2027" s="555">
        <v>44658</v>
      </c>
      <c r="N2027" s="543" t="s">
        <v>449</v>
      </c>
      <c r="O2027" s="543">
        <v>43786.83</v>
      </c>
      <c r="P2027" s="73" t="s">
        <v>431</v>
      </c>
      <c r="Q2027" s="158">
        <v>12.31</v>
      </c>
      <c r="R2027" s="563">
        <f t="shared" si="126"/>
        <v>-7.3512109197003683E-3</v>
      </c>
      <c r="S2027" s="563">
        <f t="shared" si="127"/>
        <v>7.3649754500817455E-3</v>
      </c>
      <c r="AA2027" s="594">
        <v>44656</v>
      </c>
      <c r="AB2027" s="595" t="s">
        <v>449</v>
      </c>
      <c r="AC2027" s="595">
        <v>43928.08</v>
      </c>
      <c r="AD2027" s="596" t="s">
        <v>395</v>
      </c>
      <c r="AE2027" s="595">
        <v>78.180000000000007</v>
      </c>
      <c r="AF2027" s="597">
        <f t="shared" si="128"/>
        <v>5.9313872430521997E-4</v>
      </c>
      <c r="AG2027" s="597">
        <f t="shared" si="129"/>
        <v>-3.5686974254395265E-3</v>
      </c>
    </row>
    <row r="2028" spans="13:33" x14ac:dyDescent="0.35">
      <c r="M2028" s="555">
        <v>44659</v>
      </c>
      <c r="N2028" s="543" t="s">
        <v>449</v>
      </c>
      <c r="O2028" s="543">
        <v>44444.58</v>
      </c>
      <c r="P2028" s="73" t="s">
        <v>431</v>
      </c>
      <c r="Q2028" s="158">
        <v>13.09</v>
      </c>
      <c r="R2028" s="563">
        <f t="shared" si="126"/>
        <v>1.5021640068486386E-2</v>
      </c>
      <c r="S2028" s="563">
        <f t="shared" si="127"/>
        <v>6.3363119415109637E-2</v>
      </c>
      <c r="AA2028" s="594">
        <v>44657</v>
      </c>
      <c r="AB2028" s="595" t="s">
        <v>449</v>
      </c>
      <c r="AC2028" s="595">
        <v>44111.1</v>
      </c>
      <c r="AD2028" s="596" t="s">
        <v>395</v>
      </c>
      <c r="AE2028" s="595">
        <v>77.33</v>
      </c>
      <c r="AF2028" s="597">
        <f t="shared" si="128"/>
        <v>4.1663555520750073E-3</v>
      </c>
      <c r="AG2028" s="597">
        <f t="shared" si="129"/>
        <v>-1.0872345868508715E-2</v>
      </c>
    </row>
    <row r="2029" spans="13:33" x14ac:dyDescent="0.35">
      <c r="M2029" s="555">
        <v>44662</v>
      </c>
      <c r="N2029" s="543" t="s">
        <v>449</v>
      </c>
      <c r="O2029" s="543">
        <v>46144.959999999999</v>
      </c>
      <c r="P2029" s="73" t="s">
        <v>431</v>
      </c>
      <c r="Q2029" s="158">
        <v>14.09</v>
      </c>
      <c r="R2029" s="563">
        <f t="shared" si="126"/>
        <v>3.8258433311778361E-2</v>
      </c>
      <c r="S2029" s="563">
        <f t="shared" si="127"/>
        <v>7.6394194041252916E-2</v>
      </c>
      <c r="AA2029" s="594">
        <v>44658</v>
      </c>
      <c r="AB2029" s="595" t="s">
        <v>449</v>
      </c>
      <c r="AC2029" s="595">
        <v>43786.83</v>
      </c>
      <c r="AD2029" s="596" t="s">
        <v>395</v>
      </c>
      <c r="AE2029" s="595">
        <v>76</v>
      </c>
      <c r="AF2029" s="597">
        <f t="shared" si="128"/>
        <v>-7.3512109197003683E-3</v>
      </c>
      <c r="AG2029" s="597">
        <f t="shared" si="129"/>
        <v>-1.7199017199017175E-2</v>
      </c>
    </row>
    <row r="2030" spans="13:33" x14ac:dyDescent="0.35">
      <c r="M2030" s="555">
        <v>44663</v>
      </c>
      <c r="N2030" s="543" t="s">
        <v>449</v>
      </c>
      <c r="O2030" s="543">
        <v>46407.26</v>
      </c>
      <c r="P2030" s="73" t="s">
        <v>431</v>
      </c>
      <c r="Q2030" s="158">
        <v>15.11</v>
      </c>
      <c r="R2030" s="563">
        <f t="shared" si="126"/>
        <v>5.6842610763994106E-3</v>
      </c>
      <c r="S2030" s="563">
        <f t="shared" si="127"/>
        <v>7.2391767210787661E-2</v>
      </c>
      <c r="AA2030" s="594">
        <v>44659</v>
      </c>
      <c r="AB2030" s="595" t="s">
        <v>449</v>
      </c>
      <c r="AC2030" s="595">
        <v>44444.58</v>
      </c>
      <c r="AD2030" s="596" t="s">
        <v>395</v>
      </c>
      <c r="AE2030" s="595">
        <v>76.150000000000006</v>
      </c>
      <c r="AF2030" s="597">
        <f t="shared" si="128"/>
        <v>1.5021640068486386E-2</v>
      </c>
      <c r="AG2030" s="597">
        <f t="shared" si="129"/>
        <v>1.9736842105264607E-3</v>
      </c>
    </row>
    <row r="2031" spans="13:33" x14ac:dyDescent="0.35">
      <c r="M2031" s="555">
        <v>44664</v>
      </c>
      <c r="N2031" s="543" t="s">
        <v>449</v>
      </c>
      <c r="O2031" s="543">
        <v>46165.5</v>
      </c>
      <c r="P2031" s="73" t="s">
        <v>431</v>
      </c>
      <c r="Q2031" s="158">
        <v>15.35</v>
      </c>
      <c r="R2031" s="563">
        <f t="shared" si="126"/>
        <v>-5.2095297158246678E-3</v>
      </c>
      <c r="S2031" s="563">
        <f t="shared" si="127"/>
        <v>1.588352084712108E-2</v>
      </c>
      <c r="AA2031" s="594">
        <v>44662</v>
      </c>
      <c r="AB2031" s="595" t="s">
        <v>449</v>
      </c>
      <c r="AC2031" s="595">
        <v>46144.959999999999</v>
      </c>
      <c r="AD2031" s="596" t="s">
        <v>395</v>
      </c>
      <c r="AE2031" s="595">
        <v>77.349999999999994</v>
      </c>
      <c r="AF2031" s="597">
        <f t="shared" si="128"/>
        <v>3.8258433311778361E-2</v>
      </c>
      <c r="AG2031" s="597">
        <f t="shared" si="129"/>
        <v>1.575837163493099E-2</v>
      </c>
    </row>
    <row r="2032" spans="13:33" x14ac:dyDescent="0.35">
      <c r="M2032" s="555">
        <v>44665</v>
      </c>
      <c r="N2032" s="543" t="s">
        <v>449</v>
      </c>
      <c r="O2032" s="543">
        <v>46484.43</v>
      </c>
      <c r="P2032" s="73" t="s">
        <v>431</v>
      </c>
      <c r="Q2032" s="158">
        <v>16.48</v>
      </c>
      <c r="R2032" s="563">
        <f t="shared" si="126"/>
        <v>6.9084056275789951E-3</v>
      </c>
      <c r="S2032" s="563">
        <f t="shared" si="127"/>
        <v>7.3615635179153038E-2</v>
      </c>
      <c r="AA2032" s="594">
        <v>44663</v>
      </c>
      <c r="AB2032" s="595" t="s">
        <v>449</v>
      </c>
      <c r="AC2032" s="595">
        <v>46407.26</v>
      </c>
      <c r="AD2032" s="596" t="s">
        <v>395</v>
      </c>
      <c r="AE2032" s="595">
        <v>78</v>
      </c>
      <c r="AF2032" s="597">
        <f t="shared" si="128"/>
        <v>5.6842610763994106E-3</v>
      </c>
      <c r="AG2032" s="597">
        <f t="shared" si="129"/>
        <v>8.4033613445377853E-3</v>
      </c>
    </row>
    <row r="2033" spans="13:33" x14ac:dyDescent="0.35">
      <c r="M2033" s="555">
        <v>44666</v>
      </c>
      <c r="N2033" s="543" t="s">
        <v>449</v>
      </c>
      <c r="O2033" s="543">
        <v>46601.54</v>
      </c>
      <c r="P2033" s="73" t="s">
        <v>431</v>
      </c>
      <c r="Q2033" s="158">
        <v>16.010000000000002</v>
      </c>
      <c r="R2033" s="563">
        <f t="shared" si="126"/>
        <v>2.5193381956065686E-3</v>
      </c>
      <c r="S2033" s="563">
        <f t="shared" si="127"/>
        <v>-2.8519417475728059E-2</v>
      </c>
      <c r="AA2033" s="594">
        <v>44664</v>
      </c>
      <c r="AB2033" s="595" t="s">
        <v>449</v>
      </c>
      <c r="AC2033" s="595">
        <v>46165.5</v>
      </c>
      <c r="AD2033" s="596" t="s">
        <v>395</v>
      </c>
      <c r="AE2033" s="595">
        <v>77.239999999999995</v>
      </c>
      <c r="AF2033" s="597">
        <f t="shared" si="128"/>
        <v>-5.2095297158246678E-3</v>
      </c>
      <c r="AG2033" s="597">
        <f t="shared" si="129"/>
        <v>-9.7435897435897978E-3</v>
      </c>
    </row>
    <row r="2034" spans="13:33" x14ac:dyDescent="0.35">
      <c r="M2034" s="555">
        <v>44669</v>
      </c>
      <c r="N2034" s="543" t="s">
        <v>449</v>
      </c>
      <c r="O2034" s="543">
        <v>46539.59</v>
      </c>
      <c r="P2034" s="73" t="s">
        <v>431</v>
      </c>
      <c r="Q2034" s="158">
        <v>15.88</v>
      </c>
      <c r="R2034" s="563">
        <f t="shared" si="126"/>
        <v>-1.329355210149763E-3</v>
      </c>
      <c r="S2034" s="563">
        <f t="shared" si="127"/>
        <v>-8.1199250468457773E-3</v>
      </c>
      <c r="AA2034" s="594">
        <v>44665</v>
      </c>
      <c r="AB2034" s="595" t="s">
        <v>449</v>
      </c>
      <c r="AC2034" s="595">
        <v>46484.43</v>
      </c>
      <c r="AD2034" s="596" t="s">
        <v>395</v>
      </c>
      <c r="AE2034" s="595">
        <v>77.25</v>
      </c>
      <c r="AF2034" s="597">
        <f t="shared" si="128"/>
        <v>6.9084056275789951E-3</v>
      </c>
      <c r="AG2034" s="597">
        <f t="shared" si="129"/>
        <v>1.2946659761792212E-4</v>
      </c>
    </row>
    <row r="2035" spans="13:33" x14ac:dyDescent="0.35">
      <c r="M2035" s="555">
        <v>44670</v>
      </c>
      <c r="N2035" s="543" t="s">
        <v>449</v>
      </c>
      <c r="O2035" s="543">
        <v>46333.36</v>
      </c>
      <c r="P2035" s="73" t="s">
        <v>431</v>
      </c>
      <c r="Q2035" s="158">
        <v>14.81</v>
      </c>
      <c r="R2035" s="563">
        <f t="shared" si="126"/>
        <v>-4.4312809803437325E-3</v>
      </c>
      <c r="S2035" s="563">
        <f t="shared" si="127"/>
        <v>-6.7380352644836328E-2</v>
      </c>
      <c r="AA2035" s="594">
        <v>44666</v>
      </c>
      <c r="AB2035" s="595" t="s">
        <v>449</v>
      </c>
      <c r="AC2035" s="595">
        <v>46601.54</v>
      </c>
      <c r="AD2035" s="596" t="s">
        <v>395</v>
      </c>
      <c r="AE2035" s="595">
        <v>77.05</v>
      </c>
      <c r="AF2035" s="597">
        <f t="shared" si="128"/>
        <v>2.5193381956065686E-3</v>
      </c>
      <c r="AG2035" s="597">
        <f t="shared" si="129"/>
        <v>-2.5889967637541256E-3</v>
      </c>
    </row>
    <row r="2036" spans="13:33" x14ac:dyDescent="0.35">
      <c r="M2036" s="555">
        <v>44671</v>
      </c>
      <c r="N2036" s="543" t="s">
        <v>449</v>
      </c>
      <c r="O2036" s="543">
        <v>45943.16</v>
      </c>
      <c r="P2036" s="73" t="s">
        <v>431</v>
      </c>
      <c r="Q2036" s="158">
        <v>15.15</v>
      </c>
      <c r="R2036" s="563">
        <f t="shared" si="126"/>
        <v>-8.4215778868615976E-3</v>
      </c>
      <c r="S2036" s="563">
        <f t="shared" si="127"/>
        <v>2.2957461174881733E-2</v>
      </c>
      <c r="AA2036" s="594">
        <v>44669</v>
      </c>
      <c r="AB2036" s="595" t="s">
        <v>449</v>
      </c>
      <c r="AC2036" s="595">
        <v>46539.59</v>
      </c>
      <c r="AD2036" s="596" t="s">
        <v>395</v>
      </c>
      <c r="AE2036" s="595">
        <v>76.17</v>
      </c>
      <c r="AF2036" s="597">
        <f t="shared" si="128"/>
        <v>-1.329355210149763E-3</v>
      </c>
      <c r="AG2036" s="597">
        <f t="shared" si="129"/>
        <v>-1.1421155094094693E-2</v>
      </c>
    </row>
    <row r="2037" spans="13:33" x14ac:dyDescent="0.35">
      <c r="M2037" s="555">
        <v>44672</v>
      </c>
      <c r="N2037" s="543" t="s">
        <v>449</v>
      </c>
      <c r="O2037" s="543">
        <v>45652.62</v>
      </c>
      <c r="P2037" s="73" t="s">
        <v>431</v>
      </c>
      <c r="Q2037" s="158">
        <v>16.03</v>
      </c>
      <c r="R2037" s="563">
        <f t="shared" si="126"/>
        <v>-6.3239010986618771E-3</v>
      </c>
      <c r="S2037" s="563">
        <f t="shared" si="127"/>
        <v>5.8085808580858211E-2</v>
      </c>
      <c r="AA2037" s="594">
        <v>44670</v>
      </c>
      <c r="AB2037" s="595" t="s">
        <v>449</v>
      </c>
      <c r="AC2037" s="595">
        <v>46333.36</v>
      </c>
      <c r="AD2037" s="596" t="s">
        <v>395</v>
      </c>
      <c r="AE2037" s="595">
        <v>75.349999999999994</v>
      </c>
      <c r="AF2037" s="597">
        <f t="shared" si="128"/>
        <v>-4.4312809803437325E-3</v>
      </c>
      <c r="AG2037" s="597">
        <f t="shared" si="129"/>
        <v>-1.0765393199422491E-2</v>
      </c>
    </row>
    <row r="2038" spans="13:33" x14ac:dyDescent="0.35">
      <c r="M2038" s="555">
        <v>44673</v>
      </c>
      <c r="N2038" s="543" t="s">
        <v>449</v>
      </c>
      <c r="O2038" s="543">
        <v>45553.02</v>
      </c>
      <c r="P2038" s="73" t="s">
        <v>431</v>
      </c>
      <c r="Q2038" s="158">
        <v>17.23</v>
      </c>
      <c r="R2038" s="563">
        <f t="shared" si="126"/>
        <v>-2.1816929674574048E-3</v>
      </c>
      <c r="S2038" s="563">
        <f t="shared" si="127"/>
        <v>7.4859638178415455E-2</v>
      </c>
      <c r="AA2038" s="594">
        <v>44671</v>
      </c>
      <c r="AB2038" s="595" t="s">
        <v>449</v>
      </c>
      <c r="AC2038" s="595">
        <v>45943.16</v>
      </c>
      <c r="AD2038" s="596" t="s">
        <v>395</v>
      </c>
      <c r="AE2038" s="595">
        <v>75.8</v>
      </c>
      <c r="AF2038" s="597">
        <f t="shared" si="128"/>
        <v>-8.4215778868615976E-3</v>
      </c>
      <c r="AG2038" s="597">
        <f t="shared" si="129"/>
        <v>5.9721300597213034E-3</v>
      </c>
    </row>
    <row r="2039" spans="13:33" x14ac:dyDescent="0.35">
      <c r="M2039" s="555">
        <v>44676</v>
      </c>
      <c r="N2039" s="543" t="s">
        <v>449</v>
      </c>
      <c r="O2039" s="543">
        <v>46073.25</v>
      </c>
      <c r="P2039" s="73" t="s">
        <v>431</v>
      </c>
      <c r="Q2039" s="158">
        <v>16.86</v>
      </c>
      <c r="R2039" s="563">
        <f t="shared" si="126"/>
        <v>1.1420318565048104E-2</v>
      </c>
      <c r="S2039" s="563">
        <f t="shared" si="127"/>
        <v>-2.1474172954149773E-2</v>
      </c>
      <c r="AA2039" s="594">
        <v>44672</v>
      </c>
      <c r="AB2039" s="595" t="s">
        <v>449</v>
      </c>
      <c r="AC2039" s="595">
        <v>45652.62</v>
      </c>
      <c r="AD2039" s="596" t="s">
        <v>395</v>
      </c>
      <c r="AE2039" s="595">
        <v>77.77</v>
      </c>
      <c r="AF2039" s="597">
        <f t="shared" si="128"/>
        <v>-6.3239010986618771E-3</v>
      </c>
      <c r="AG2039" s="597">
        <f t="shared" si="129"/>
        <v>2.5989445910290288E-2</v>
      </c>
    </row>
    <row r="2040" spans="13:33" x14ac:dyDescent="0.35">
      <c r="M2040" s="555">
        <v>44677</v>
      </c>
      <c r="N2040" s="543" t="s">
        <v>449</v>
      </c>
      <c r="O2040" s="543">
        <v>45817.67</v>
      </c>
      <c r="P2040" s="73" t="s">
        <v>431</v>
      </c>
      <c r="Q2040" s="158">
        <v>16.190000000000001</v>
      </c>
      <c r="R2040" s="563">
        <f t="shared" si="126"/>
        <v>-5.547253558192744E-3</v>
      </c>
      <c r="S2040" s="563">
        <f t="shared" si="127"/>
        <v>-3.9739027283511197E-2</v>
      </c>
      <c r="AA2040" s="594">
        <v>44673</v>
      </c>
      <c r="AB2040" s="595" t="s">
        <v>449</v>
      </c>
      <c r="AC2040" s="595">
        <v>45553.02</v>
      </c>
      <c r="AD2040" s="596" t="s">
        <v>395</v>
      </c>
      <c r="AE2040" s="595">
        <v>78.33</v>
      </c>
      <c r="AF2040" s="597">
        <f t="shared" si="128"/>
        <v>-2.1816929674574048E-3</v>
      </c>
      <c r="AG2040" s="597">
        <f t="shared" si="129"/>
        <v>7.2007200720072273E-3</v>
      </c>
    </row>
    <row r="2041" spans="13:33" x14ac:dyDescent="0.35">
      <c r="M2041" s="555">
        <v>44678</v>
      </c>
      <c r="N2041" s="543" t="s">
        <v>449</v>
      </c>
      <c r="O2041" s="543">
        <v>45533.3</v>
      </c>
      <c r="P2041" s="73" t="s">
        <v>431</v>
      </c>
      <c r="Q2041" s="158">
        <v>17.170000000000002</v>
      </c>
      <c r="R2041" s="563">
        <f t="shared" si="126"/>
        <v>-6.2065574264250634E-3</v>
      </c>
      <c r="S2041" s="563">
        <f t="shared" si="127"/>
        <v>6.0531192093885133E-2</v>
      </c>
      <c r="AA2041" s="594">
        <v>44676</v>
      </c>
      <c r="AB2041" s="595" t="s">
        <v>449</v>
      </c>
      <c r="AC2041" s="595">
        <v>46073.25</v>
      </c>
      <c r="AD2041" s="596" t="s">
        <v>395</v>
      </c>
      <c r="AE2041" s="595">
        <v>75.150000000000006</v>
      </c>
      <c r="AF2041" s="597">
        <f t="shared" si="128"/>
        <v>1.1420318565048104E-2</v>
      </c>
      <c r="AG2041" s="597">
        <f t="shared" si="129"/>
        <v>-4.0597472232860921E-2</v>
      </c>
    </row>
    <row r="2042" spans="13:33" x14ac:dyDescent="0.35">
      <c r="M2042" s="555">
        <v>44679</v>
      </c>
      <c r="N2042" s="543" t="s">
        <v>449</v>
      </c>
      <c r="O2042" s="543">
        <v>45249.41</v>
      </c>
      <c r="P2042" s="73" t="s">
        <v>431</v>
      </c>
      <c r="Q2042" s="158">
        <v>17.239999999999998</v>
      </c>
      <c r="R2042" s="563">
        <f t="shared" si="126"/>
        <v>-6.2347776242881459E-3</v>
      </c>
      <c r="S2042" s="563">
        <f t="shared" si="127"/>
        <v>4.0768782760627342E-3</v>
      </c>
      <c r="AA2042" s="594">
        <v>44677</v>
      </c>
      <c r="AB2042" s="595" t="s">
        <v>449</v>
      </c>
      <c r="AC2042" s="595">
        <v>45817.67</v>
      </c>
      <c r="AD2042" s="596" t="s">
        <v>395</v>
      </c>
      <c r="AE2042" s="595">
        <v>77.459999999999994</v>
      </c>
      <c r="AF2042" s="597">
        <f t="shared" si="128"/>
        <v>-5.547253558192744E-3</v>
      </c>
      <c r="AG2042" s="597">
        <f t="shared" si="129"/>
        <v>3.073852295409174E-2</v>
      </c>
    </row>
    <row r="2043" spans="13:33" x14ac:dyDescent="0.35">
      <c r="M2043" s="555">
        <v>44687</v>
      </c>
      <c r="N2043" s="543" t="s">
        <v>449</v>
      </c>
      <c r="O2043" s="543">
        <v>44840.81</v>
      </c>
      <c r="P2043" s="73" t="s">
        <v>431</v>
      </c>
      <c r="Q2043" s="158">
        <v>16.21</v>
      </c>
      <c r="R2043" s="563">
        <f t="shared" si="126"/>
        <v>-9.0299519927443672E-3</v>
      </c>
      <c r="S2043" s="563">
        <f t="shared" si="127"/>
        <v>-5.9744779582366458E-2</v>
      </c>
      <c r="AA2043" s="594">
        <v>44678</v>
      </c>
      <c r="AB2043" s="595" t="s">
        <v>449</v>
      </c>
      <c r="AC2043" s="595">
        <v>45533.3</v>
      </c>
      <c r="AD2043" s="596" t="s">
        <v>395</v>
      </c>
      <c r="AE2043" s="595">
        <v>75.11</v>
      </c>
      <c r="AF2043" s="597">
        <f t="shared" si="128"/>
        <v>-6.2065574264250634E-3</v>
      </c>
      <c r="AG2043" s="597">
        <f t="shared" si="129"/>
        <v>-3.0338239091143748E-2</v>
      </c>
    </row>
    <row r="2044" spans="13:33" x14ac:dyDescent="0.35">
      <c r="M2044" s="555">
        <v>44690</v>
      </c>
      <c r="N2044" s="543" t="s">
        <v>449</v>
      </c>
      <c r="O2044" s="543">
        <v>43393.14</v>
      </c>
      <c r="P2044" s="73" t="s">
        <v>431</v>
      </c>
      <c r="Q2044" s="158">
        <v>15</v>
      </c>
      <c r="R2044" s="563">
        <f t="shared" si="126"/>
        <v>-3.2284653198726754E-2</v>
      </c>
      <c r="S2044" s="563">
        <f t="shared" si="127"/>
        <v>-7.464528069093157E-2</v>
      </c>
      <c r="AA2044" s="594">
        <v>44679</v>
      </c>
      <c r="AB2044" s="595" t="s">
        <v>449</v>
      </c>
      <c r="AC2044" s="595">
        <v>45249.41</v>
      </c>
      <c r="AD2044" s="596" t="s">
        <v>395</v>
      </c>
      <c r="AE2044" s="595">
        <v>74.39</v>
      </c>
      <c r="AF2044" s="597">
        <f t="shared" si="128"/>
        <v>-6.2347776242881459E-3</v>
      </c>
      <c r="AG2044" s="597">
        <f t="shared" si="129"/>
        <v>-9.5859406204233943E-3</v>
      </c>
    </row>
    <row r="2045" spans="13:33" x14ac:dyDescent="0.35">
      <c r="M2045" s="555">
        <v>44691</v>
      </c>
      <c r="N2045" s="543" t="s">
        <v>449</v>
      </c>
      <c r="O2045" s="543">
        <v>43504.36</v>
      </c>
      <c r="P2045" s="73" t="s">
        <v>431</v>
      </c>
      <c r="Q2045" s="158">
        <v>15.01</v>
      </c>
      <c r="R2045" s="563">
        <f t="shared" si="126"/>
        <v>2.5630779427348038E-3</v>
      </c>
      <c r="S2045" s="563">
        <f t="shared" si="127"/>
        <v>6.6666666666659324E-4</v>
      </c>
      <c r="AA2045" s="594">
        <v>44687</v>
      </c>
      <c r="AB2045" s="595" t="s">
        <v>449</v>
      </c>
      <c r="AC2045" s="595">
        <v>44840.81</v>
      </c>
      <c r="AD2045" s="596" t="s">
        <v>395</v>
      </c>
      <c r="AE2045" s="595">
        <v>73.89</v>
      </c>
      <c r="AF2045" s="597">
        <f t="shared" si="128"/>
        <v>-9.0299519927443672E-3</v>
      </c>
      <c r="AG2045" s="597">
        <f t="shared" si="129"/>
        <v>-6.7213335125688722E-3</v>
      </c>
    </row>
    <row r="2046" spans="13:33" x14ac:dyDescent="0.35">
      <c r="M2046" s="555">
        <v>44692</v>
      </c>
      <c r="N2046" s="543" t="s">
        <v>449</v>
      </c>
      <c r="O2046" s="543">
        <v>42863.15</v>
      </c>
      <c r="P2046" s="73" t="s">
        <v>431</v>
      </c>
      <c r="Q2046" s="158">
        <v>14.35</v>
      </c>
      <c r="R2046" s="563">
        <f t="shared" si="126"/>
        <v>-1.4738982483594731E-2</v>
      </c>
      <c r="S2046" s="563">
        <f t="shared" si="127"/>
        <v>-4.3970686209193866E-2</v>
      </c>
      <c r="AA2046" s="594">
        <v>44690</v>
      </c>
      <c r="AB2046" s="595" t="s">
        <v>449</v>
      </c>
      <c r="AC2046" s="595">
        <v>43393.14</v>
      </c>
      <c r="AD2046" s="596" t="s">
        <v>395</v>
      </c>
      <c r="AE2046" s="595">
        <v>70.55</v>
      </c>
      <c r="AF2046" s="597">
        <f t="shared" si="128"/>
        <v>-3.2284653198726754E-2</v>
      </c>
      <c r="AG2046" s="597">
        <f t="shared" si="129"/>
        <v>-4.5202327784544694E-2</v>
      </c>
    </row>
    <row r="2047" spans="13:33" x14ac:dyDescent="0.35">
      <c r="M2047" s="555">
        <v>44693</v>
      </c>
      <c r="N2047" s="543" t="s">
        <v>449</v>
      </c>
      <c r="O2047" s="543">
        <v>42898.44</v>
      </c>
      <c r="P2047" s="73" t="s">
        <v>431</v>
      </c>
      <c r="Q2047" s="158">
        <v>15.02</v>
      </c>
      <c r="R2047" s="563">
        <f t="shared" si="126"/>
        <v>8.2331793160328459E-4</v>
      </c>
      <c r="S2047" s="563">
        <f t="shared" si="127"/>
        <v>4.668989547038338E-2</v>
      </c>
      <c r="AA2047" s="594">
        <v>44691</v>
      </c>
      <c r="AB2047" s="595" t="s">
        <v>449</v>
      </c>
      <c r="AC2047" s="595">
        <v>43504.36</v>
      </c>
      <c r="AD2047" s="596" t="s">
        <v>395</v>
      </c>
      <c r="AE2047" s="595">
        <v>71</v>
      </c>
      <c r="AF2047" s="597">
        <f t="shared" si="128"/>
        <v>2.5630779427348038E-3</v>
      </c>
      <c r="AG2047" s="597">
        <f t="shared" si="129"/>
        <v>6.3784549964565063E-3</v>
      </c>
    </row>
    <row r="2048" spans="13:33" x14ac:dyDescent="0.35">
      <c r="M2048" s="555">
        <v>44694</v>
      </c>
      <c r="N2048" s="543" t="s">
        <v>449</v>
      </c>
      <c r="O2048" s="543">
        <v>43486.46</v>
      </c>
      <c r="P2048" s="73" t="s">
        <v>431</v>
      </c>
      <c r="Q2048" s="158">
        <v>15.41</v>
      </c>
      <c r="R2048" s="563">
        <f t="shared" si="126"/>
        <v>1.3707258352518181E-2</v>
      </c>
      <c r="S2048" s="563">
        <f t="shared" si="127"/>
        <v>2.5965379494008012E-2</v>
      </c>
      <c r="AA2048" s="594">
        <v>44692</v>
      </c>
      <c r="AB2048" s="595" t="s">
        <v>449</v>
      </c>
      <c r="AC2048" s="595">
        <v>42863.15</v>
      </c>
      <c r="AD2048" s="596" t="s">
        <v>395</v>
      </c>
      <c r="AE2048" s="595">
        <v>71</v>
      </c>
      <c r="AF2048" s="597">
        <f t="shared" si="128"/>
        <v>-1.4738982483594731E-2</v>
      </c>
      <c r="AG2048" s="597">
        <f t="shared" si="129"/>
        <v>0</v>
      </c>
    </row>
    <row r="2049" spans="13:33" x14ac:dyDescent="0.35">
      <c r="M2049" s="555">
        <v>44697</v>
      </c>
      <c r="N2049" s="543" t="s">
        <v>449</v>
      </c>
      <c r="O2049" s="543">
        <v>42667.32</v>
      </c>
      <c r="P2049" s="73" t="s">
        <v>431</v>
      </c>
      <c r="Q2049" s="158">
        <v>14.84</v>
      </c>
      <c r="R2049" s="563">
        <f t="shared" si="126"/>
        <v>-1.8836667781189864E-2</v>
      </c>
      <c r="S2049" s="563">
        <f t="shared" si="127"/>
        <v>-3.6988968202465999E-2</v>
      </c>
      <c r="AA2049" s="594">
        <v>44693</v>
      </c>
      <c r="AB2049" s="595" t="s">
        <v>449</v>
      </c>
      <c r="AC2049" s="595">
        <v>42898.44</v>
      </c>
      <c r="AD2049" s="596" t="s">
        <v>395</v>
      </c>
      <c r="AE2049" s="595">
        <v>68.510000000000005</v>
      </c>
      <c r="AF2049" s="597">
        <f t="shared" si="128"/>
        <v>8.2331793160328459E-4</v>
      </c>
      <c r="AG2049" s="597">
        <f t="shared" si="129"/>
        <v>-3.5070422535211199E-2</v>
      </c>
    </row>
    <row r="2050" spans="13:33" x14ac:dyDescent="0.35">
      <c r="M2050" s="555">
        <v>44698</v>
      </c>
      <c r="N2050" s="543" t="s">
        <v>449</v>
      </c>
      <c r="O2050" s="543">
        <v>42726.06</v>
      </c>
      <c r="P2050" s="73" t="s">
        <v>431</v>
      </c>
      <c r="Q2050" s="158">
        <v>15.11</v>
      </c>
      <c r="R2050" s="563">
        <f t="shared" si="126"/>
        <v>1.3766976693168065E-3</v>
      </c>
      <c r="S2050" s="563">
        <f t="shared" si="127"/>
        <v>1.819407008086249E-2</v>
      </c>
      <c r="AA2050" s="594">
        <v>44694</v>
      </c>
      <c r="AB2050" s="595" t="s">
        <v>449</v>
      </c>
      <c r="AC2050" s="595">
        <v>43486.46</v>
      </c>
      <c r="AD2050" s="596" t="s">
        <v>395</v>
      </c>
      <c r="AE2050" s="595">
        <v>70.25</v>
      </c>
      <c r="AF2050" s="597">
        <f t="shared" si="128"/>
        <v>1.3707258352518181E-2</v>
      </c>
      <c r="AG2050" s="597">
        <f t="shared" si="129"/>
        <v>2.5397752152970243E-2</v>
      </c>
    </row>
    <row r="2051" spans="13:33" x14ac:dyDescent="0.35">
      <c r="M2051" s="526">
        <v>44700</v>
      </c>
      <c r="N2051" s="524" t="s">
        <v>449</v>
      </c>
      <c r="O2051" s="524">
        <v>42983.45</v>
      </c>
      <c r="P2051" s="73" t="s">
        <v>431</v>
      </c>
      <c r="Q2051">
        <v>15.05</v>
      </c>
      <c r="R2051" s="563">
        <f t="shared" si="126"/>
        <v>6.0241922611166121E-3</v>
      </c>
      <c r="S2051" s="563">
        <f t="shared" si="127"/>
        <v>-3.9708802117801589E-3</v>
      </c>
      <c r="AA2051" s="594">
        <v>44697</v>
      </c>
      <c r="AB2051" s="595" t="s">
        <v>449</v>
      </c>
      <c r="AC2051" s="595">
        <v>42667.32</v>
      </c>
      <c r="AD2051" s="596" t="s">
        <v>395</v>
      </c>
      <c r="AE2051" s="595">
        <v>69.2</v>
      </c>
      <c r="AF2051" s="597">
        <f t="shared" si="128"/>
        <v>-1.8836667781189864E-2</v>
      </c>
      <c r="AG2051" s="597">
        <f t="shared" si="129"/>
        <v>-1.4946619217081847E-2</v>
      </c>
    </row>
    <row r="2052" spans="13:33" x14ac:dyDescent="0.35">
      <c r="M2052" s="555">
        <v>44701</v>
      </c>
      <c r="N2052" s="543" t="s">
        <v>449</v>
      </c>
      <c r="O2052" s="543">
        <v>43100.7</v>
      </c>
      <c r="P2052" s="73" t="s">
        <v>431</v>
      </c>
      <c r="Q2052" s="158">
        <v>15.59</v>
      </c>
      <c r="R2052" s="563">
        <f t="shared" si="126"/>
        <v>2.7277940695780156E-3</v>
      </c>
      <c r="S2052" s="563">
        <f t="shared" si="127"/>
        <v>3.588039867109627E-2</v>
      </c>
      <c r="AA2052" s="594">
        <v>44698</v>
      </c>
      <c r="AB2052" s="595" t="s">
        <v>449</v>
      </c>
      <c r="AC2052" s="595">
        <v>42726.06</v>
      </c>
      <c r="AD2052" s="596" t="s">
        <v>395</v>
      </c>
      <c r="AE2052" s="595">
        <v>69.5</v>
      </c>
      <c r="AF2052" s="597">
        <f t="shared" si="128"/>
        <v>1.3766976693168065E-3</v>
      </c>
      <c r="AG2052" s="597">
        <f t="shared" si="129"/>
        <v>4.3352601156068094E-3</v>
      </c>
    </row>
    <row r="2053" spans="13:33" x14ac:dyDescent="0.35">
      <c r="M2053" s="555">
        <v>44704</v>
      </c>
      <c r="N2053" s="543" t="s">
        <v>449</v>
      </c>
      <c r="O2053" s="543">
        <v>42440.24</v>
      </c>
      <c r="P2053" s="73" t="s">
        <v>431</v>
      </c>
      <c r="Q2053" s="158">
        <v>15.28</v>
      </c>
      <c r="R2053" s="563">
        <f t="shared" si="126"/>
        <v>-1.5323649035862474E-2</v>
      </c>
      <c r="S2053" s="563">
        <f t="shared" si="127"/>
        <v>-1.9884541372674813E-2</v>
      </c>
      <c r="AA2053" s="594">
        <v>44700</v>
      </c>
      <c r="AB2053" s="595" t="s">
        <v>449</v>
      </c>
      <c r="AC2053" s="595">
        <v>42983.45</v>
      </c>
      <c r="AD2053" s="596" t="s">
        <v>395</v>
      </c>
      <c r="AE2053" s="595">
        <v>70.28</v>
      </c>
      <c r="AF2053" s="597">
        <f t="shared" si="128"/>
        <v>6.0241922611166121E-3</v>
      </c>
      <c r="AG2053" s="597">
        <f t="shared" si="129"/>
        <v>1.1223021582733805E-2</v>
      </c>
    </row>
    <row r="2054" spans="13:33" x14ac:dyDescent="0.35">
      <c r="M2054" s="555">
        <v>44705</v>
      </c>
      <c r="N2054" s="543" t="s">
        <v>449</v>
      </c>
      <c r="O2054" s="543">
        <v>41950.32</v>
      </c>
      <c r="P2054" s="73" t="s">
        <v>431</v>
      </c>
      <c r="Q2054" s="158">
        <v>15.74</v>
      </c>
      <c r="R2054" s="563">
        <f t="shared" si="126"/>
        <v>-1.154376129823953E-2</v>
      </c>
      <c r="S2054" s="563">
        <f t="shared" si="127"/>
        <v>3.0104712041884918E-2</v>
      </c>
      <c r="AA2054" s="594">
        <v>44701</v>
      </c>
      <c r="AB2054" s="595" t="s">
        <v>449</v>
      </c>
      <c r="AC2054" s="595">
        <v>43100.7</v>
      </c>
      <c r="AD2054" s="596" t="s">
        <v>395</v>
      </c>
      <c r="AE2054" s="595">
        <v>69.150000000000006</v>
      </c>
      <c r="AF2054" s="597">
        <f t="shared" si="128"/>
        <v>2.7277940695780156E-3</v>
      </c>
      <c r="AG2054" s="597">
        <f t="shared" si="129"/>
        <v>-1.607854297097322E-2</v>
      </c>
    </row>
    <row r="2055" spans="13:33" x14ac:dyDescent="0.35">
      <c r="M2055" s="555">
        <v>44706</v>
      </c>
      <c r="N2055" s="543" t="s">
        <v>449</v>
      </c>
      <c r="O2055" s="543">
        <v>42012.66</v>
      </c>
      <c r="P2055" s="73" t="s">
        <v>431</v>
      </c>
      <c r="Q2055" s="158">
        <v>16.64</v>
      </c>
      <c r="R2055" s="563">
        <f t="shared" si="126"/>
        <v>1.4860434914443221E-3</v>
      </c>
      <c r="S2055" s="563">
        <f t="shared" si="127"/>
        <v>5.7179161372299836E-2</v>
      </c>
      <c r="AA2055" s="594">
        <v>44704</v>
      </c>
      <c r="AB2055" s="595" t="s">
        <v>449</v>
      </c>
      <c r="AC2055" s="595">
        <v>42440.24</v>
      </c>
      <c r="AD2055" s="596" t="s">
        <v>395</v>
      </c>
      <c r="AE2055" s="595">
        <v>68.5</v>
      </c>
      <c r="AF2055" s="597">
        <f t="shared" si="128"/>
        <v>-1.5323649035862474E-2</v>
      </c>
      <c r="AG2055" s="597">
        <f t="shared" si="129"/>
        <v>-9.3998553868402945E-3</v>
      </c>
    </row>
    <row r="2056" spans="13:33" x14ac:dyDescent="0.35">
      <c r="M2056" s="555">
        <v>44707</v>
      </c>
      <c r="N2056" s="543" t="s">
        <v>449</v>
      </c>
      <c r="O2056" s="543">
        <v>42541.71</v>
      </c>
      <c r="P2056" s="73" t="s">
        <v>431</v>
      </c>
      <c r="Q2056" s="158">
        <v>17.88</v>
      </c>
      <c r="R2056" s="563">
        <f t="shared" si="126"/>
        <v>1.259263279211531E-2</v>
      </c>
      <c r="S2056" s="563">
        <f t="shared" si="127"/>
        <v>7.4519230769230616E-2</v>
      </c>
      <c r="AA2056" s="594">
        <v>44705</v>
      </c>
      <c r="AB2056" s="595" t="s">
        <v>449</v>
      </c>
      <c r="AC2056" s="595">
        <v>41950.32</v>
      </c>
      <c r="AD2056" s="596" t="s">
        <v>395</v>
      </c>
      <c r="AE2056" s="595">
        <v>68</v>
      </c>
      <c r="AF2056" s="597">
        <f t="shared" si="128"/>
        <v>-1.154376129823953E-2</v>
      </c>
      <c r="AG2056" s="597">
        <f t="shared" si="129"/>
        <v>-7.2992700729926918E-3</v>
      </c>
    </row>
    <row r="2057" spans="13:33" x14ac:dyDescent="0.35">
      <c r="M2057" s="555">
        <v>44708</v>
      </c>
      <c r="N2057" s="543" t="s">
        <v>449</v>
      </c>
      <c r="O2057" s="543">
        <v>42861.45</v>
      </c>
      <c r="P2057" s="73" t="s">
        <v>431</v>
      </c>
      <c r="Q2057" s="158">
        <v>17.79</v>
      </c>
      <c r="R2057" s="563">
        <f t="shared" si="126"/>
        <v>7.5159179073900351E-3</v>
      </c>
      <c r="S2057" s="563">
        <f t="shared" si="127"/>
        <v>-5.0335570469798308E-3</v>
      </c>
      <c r="AA2057" s="594">
        <v>44706</v>
      </c>
      <c r="AB2057" s="595" t="s">
        <v>449</v>
      </c>
      <c r="AC2057" s="595">
        <v>42012.66</v>
      </c>
      <c r="AD2057" s="596" t="s">
        <v>395</v>
      </c>
      <c r="AE2057" s="595">
        <v>68.45</v>
      </c>
      <c r="AF2057" s="597">
        <f t="shared" si="128"/>
        <v>1.4860434914443221E-3</v>
      </c>
      <c r="AG2057" s="597">
        <f t="shared" si="129"/>
        <v>6.6176470588235059E-3</v>
      </c>
    </row>
    <row r="2058" spans="13:33" x14ac:dyDescent="0.35">
      <c r="M2058" s="555">
        <v>44711</v>
      </c>
      <c r="N2058" s="543" t="s">
        <v>449</v>
      </c>
      <c r="O2058" s="543">
        <v>43040.14</v>
      </c>
      <c r="P2058" s="73" t="s">
        <v>431</v>
      </c>
      <c r="Q2058" s="158">
        <v>17.82</v>
      </c>
      <c r="R2058" s="563">
        <f t="shared" si="126"/>
        <v>4.1690143473913643E-3</v>
      </c>
      <c r="S2058" s="563">
        <f t="shared" si="127"/>
        <v>1.6863406408094139E-3</v>
      </c>
      <c r="AA2058" s="594">
        <v>44707</v>
      </c>
      <c r="AB2058" s="595" t="s">
        <v>449</v>
      </c>
      <c r="AC2058" s="595">
        <v>42541.71</v>
      </c>
      <c r="AD2058" s="596" t="s">
        <v>395</v>
      </c>
      <c r="AE2058" s="595">
        <v>69.45</v>
      </c>
      <c r="AF2058" s="597">
        <f t="shared" si="128"/>
        <v>1.259263279211531E-2</v>
      </c>
      <c r="AG2058" s="597">
        <f t="shared" si="129"/>
        <v>1.4609203798392922E-2</v>
      </c>
    </row>
    <row r="2059" spans="13:33" x14ac:dyDescent="0.35">
      <c r="M2059" s="555">
        <v>44712</v>
      </c>
      <c r="N2059" s="543" t="s">
        <v>449</v>
      </c>
      <c r="O2059" s="543">
        <v>43078.14</v>
      </c>
      <c r="P2059" s="73" t="s">
        <v>431</v>
      </c>
      <c r="Q2059" s="158">
        <v>17.989999999999998</v>
      </c>
      <c r="R2059" s="563">
        <f t="shared" si="126"/>
        <v>8.8289675637676091E-4</v>
      </c>
      <c r="S2059" s="563">
        <f t="shared" si="127"/>
        <v>9.5398428731761076E-3</v>
      </c>
      <c r="AA2059" s="594">
        <v>44708</v>
      </c>
      <c r="AB2059" s="595" t="s">
        <v>449</v>
      </c>
      <c r="AC2059" s="595">
        <v>42861.45</v>
      </c>
      <c r="AD2059" s="596" t="s">
        <v>395</v>
      </c>
      <c r="AE2059" s="595">
        <v>69.5</v>
      </c>
      <c r="AF2059" s="597">
        <f t="shared" si="128"/>
        <v>7.5159179073900351E-3</v>
      </c>
      <c r="AG2059" s="597">
        <f t="shared" si="129"/>
        <v>7.1994240460759862E-4</v>
      </c>
    </row>
    <row r="2060" spans="13:33" x14ac:dyDescent="0.35">
      <c r="M2060" s="555">
        <v>44713</v>
      </c>
      <c r="N2060" s="543" t="s">
        <v>449</v>
      </c>
      <c r="O2060" s="543">
        <v>42756.04</v>
      </c>
      <c r="P2060" s="73" t="s">
        <v>431</v>
      </c>
      <c r="Q2060" s="158">
        <v>17.760000000000002</v>
      </c>
      <c r="R2060" s="563">
        <f t="shared" si="126"/>
        <v>-7.4771102002082479E-3</v>
      </c>
      <c r="S2060" s="563">
        <f t="shared" si="127"/>
        <v>-1.2784880489160488E-2</v>
      </c>
      <c r="AA2060" s="594">
        <v>44711</v>
      </c>
      <c r="AB2060" s="595" t="s">
        <v>449</v>
      </c>
      <c r="AC2060" s="595">
        <v>43040.14</v>
      </c>
      <c r="AD2060" s="596" t="s">
        <v>395</v>
      </c>
      <c r="AE2060" s="595">
        <v>69.2</v>
      </c>
      <c r="AF2060" s="597">
        <f t="shared" si="128"/>
        <v>4.1690143473913643E-3</v>
      </c>
      <c r="AG2060" s="597">
        <f t="shared" si="129"/>
        <v>-4.3165467625898568E-3</v>
      </c>
    </row>
    <row r="2061" spans="13:33" x14ac:dyDescent="0.35">
      <c r="M2061" s="555">
        <v>44714</v>
      </c>
      <c r="N2061" s="543" t="s">
        <v>449</v>
      </c>
      <c r="O2061" s="543">
        <v>42237.91</v>
      </c>
      <c r="P2061" s="73" t="s">
        <v>431</v>
      </c>
      <c r="Q2061" s="158">
        <v>17.95</v>
      </c>
      <c r="R2061" s="563">
        <f t="shared" si="126"/>
        <v>-1.2118287848921439E-2</v>
      </c>
      <c r="S2061" s="563">
        <f t="shared" si="127"/>
        <v>1.0698198198198172E-2</v>
      </c>
      <c r="AA2061" s="594">
        <v>44712</v>
      </c>
      <c r="AB2061" s="595" t="s">
        <v>449</v>
      </c>
      <c r="AC2061" s="595">
        <v>43078.14</v>
      </c>
      <c r="AD2061" s="596" t="s">
        <v>395</v>
      </c>
      <c r="AE2061" s="595">
        <v>69.25</v>
      </c>
      <c r="AF2061" s="597">
        <f t="shared" si="128"/>
        <v>8.8289675637676091E-4</v>
      </c>
      <c r="AG2061" s="597">
        <f t="shared" si="129"/>
        <v>7.2254335260102387E-4</v>
      </c>
    </row>
    <row r="2062" spans="13:33" x14ac:dyDescent="0.35">
      <c r="M2062" s="555">
        <v>44715</v>
      </c>
      <c r="N2062" s="543" t="s">
        <v>449</v>
      </c>
      <c r="O2062" s="543">
        <v>41314.879999999997</v>
      </c>
      <c r="P2062" s="73" t="s">
        <v>431</v>
      </c>
      <c r="Q2062" s="158">
        <v>17.37</v>
      </c>
      <c r="R2062" s="563">
        <f t="shared" si="126"/>
        <v>-2.1853117258879617E-2</v>
      </c>
      <c r="S2062" s="563">
        <f t="shared" si="127"/>
        <v>-3.2311977715877349E-2</v>
      </c>
      <c r="AA2062" s="594">
        <v>44713</v>
      </c>
      <c r="AB2062" s="595" t="s">
        <v>449</v>
      </c>
      <c r="AC2062" s="595">
        <v>42756.04</v>
      </c>
      <c r="AD2062" s="596" t="s">
        <v>395</v>
      </c>
      <c r="AE2062" s="595">
        <v>70.010000000000005</v>
      </c>
      <c r="AF2062" s="597">
        <f t="shared" si="128"/>
        <v>-7.4771102002082479E-3</v>
      </c>
      <c r="AG2062" s="597">
        <f t="shared" si="129"/>
        <v>1.0974729241877368E-2</v>
      </c>
    </row>
    <row r="2063" spans="13:33" x14ac:dyDescent="0.35">
      <c r="M2063" s="555">
        <v>44718</v>
      </c>
      <c r="N2063" s="543" t="s">
        <v>449</v>
      </c>
      <c r="O2063" s="543">
        <v>41577.21</v>
      </c>
      <c r="P2063" s="73" t="s">
        <v>431</v>
      </c>
      <c r="Q2063" s="158">
        <v>17.46</v>
      </c>
      <c r="R2063" s="563">
        <f t="shared" si="126"/>
        <v>6.349528305540364E-3</v>
      </c>
      <c r="S2063" s="563">
        <f t="shared" si="127"/>
        <v>5.1813471502590858E-3</v>
      </c>
      <c r="AA2063" s="594">
        <v>44714</v>
      </c>
      <c r="AB2063" s="595" t="s">
        <v>449</v>
      </c>
      <c r="AC2063" s="595">
        <v>42237.91</v>
      </c>
      <c r="AD2063" s="596" t="s">
        <v>395</v>
      </c>
      <c r="AE2063" s="595">
        <v>70</v>
      </c>
      <c r="AF2063" s="597">
        <f t="shared" si="128"/>
        <v>-1.2118287848921439E-2</v>
      </c>
      <c r="AG2063" s="597">
        <f t="shared" si="129"/>
        <v>-1.4283673760895343E-4</v>
      </c>
    </row>
    <row r="2064" spans="13:33" x14ac:dyDescent="0.35">
      <c r="M2064" s="555">
        <v>44719</v>
      </c>
      <c r="N2064" s="543" t="s">
        <v>449</v>
      </c>
      <c r="O2064" s="543">
        <v>41568.410000000003</v>
      </c>
      <c r="P2064" s="73" t="s">
        <v>431</v>
      </c>
      <c r="Q2064" s="158">
        <v>17.05</v>
      </c>
      <c r="R2064" s="563">
        <f t="shared" si="126"/>
        <v>-2.1165441355963655E-4</v>
      </c>
      <c r="S2064" s="563">
        <f t="shared" si="127"/>
        <v>-2.3482245131729695E-2</v>
      </c>
      <c r="AA2064" s="594">
        <v>44715</v>
      </c>
      <c r="AB2064" s="595" t="s">
        <v>449</v>
      </c>
      <c r="AC2064" s="595">
        <v>41314.879999999997</v>
      </c>
      <c r="AD2064" s="596" t="s">
        <v>395</v>
      </c>
      <c r="AE2064" s="595">
        <v>68.680000000000007</v>
      </c>
      <c r="AF2064" s="597">
        <f t="shared" si="128"/>
        <v>-2.1853117258879617E-2</v>
      </c>
      <c r="AG2064" s="597">
        <f t="shared" si="129"/>
        <v>-1.8857142857142795E-2</v>
      </c>
    </row>
    <row r="2065" spans="13:33" x14ac:dyDescent="0.35">
      <c r="M2065" s="555">
        <v>44720</v>
      </c>
      <c r="N2065" s="543" t="s">
        <v>449</v>
      </c>
      <c r="O2065" s="543">
        <v>41553.160000000003</v>
      </c>
      <c r="P2065" s="73" t="s">
        <v>431</v>
      </c>
      <c r="Q2065" s="158">
        <v>17.100000000000001</v>
      </c>
      <c r="R2065" s="563">
        <f t="shared" si="126"/>
        <v>-3.6686512666705973E-4</v>
      </c>
      <c r="S2065" s="563">
        <f t="shared" si="127"/>
        <v>2.9325513196480912E-3</v>
      </c>
      <c r="AA2065" s="594">
        <v>44718</v>
      </c>
      <c r="AB2065" s="595" t="s">
        <v>449</v>
      </c>
      <c r="AC2065" s="595">
        <v>41577.21</v>
      </c>
      <c r="AD2065" s="596" t="s">
        <v>395</v>
      </c>
      <c r="AE2065" s="595">
        <v>69</v>
      </c>
      <c r="AF2065" s="597">
        <f t="shared" si="128"/>
        <v>6.349528305540364E-3</v>
      </c>
      <c r="AG2065" s="597">
        <f t="shared" si="129"/>
        <v>4.659289458357474E-3</v>
      </c>
    </row>
    <row r="2066" spans="13:33" x14ac:dyDescent="0.35">
      <c r="M2066" s="555">
        <v>44721</v>
      </c>
      <c r="N2066" s="543" t="s">
        <v>449</v>
      </c>
      <c r="O2066" s="543">
        <v>41735.96</v>
      </c>
      <c r="P2066" s="73" t="s">
        <v>431</v>
      </c>
      <c r="Q2066" s="158">
        <v>17.14</v>
      </c>
      <c r="R2066" s="563">
        <f t="shared" si="126"/>
        <v>4.3991840813069061E-3</v>
      </c>
      <c r="S2066" s="563">
        <f t="shared" si="127"/>
        <v>2.3391812865496409E-3</v>
      </c>
      <c r="AA2066" s="594">
        <v>44719</v>
      </c>
      <c r="AB2066" s="595" t="s">
        <v>449</v>
      </c>
      <c r="AC2066" s="595">
        <v>41568.410000000003</v>
      </c>
      <c r="AD2066" s="596" t="s">
        <v>395</v>
      </c>
      <c r="AE2066" s="595">
        <v>68.13</v>
      </c>
      <c r="AF2066" s="597">
        <f t="shared" si="128"/>
        <v>-2.1165441355963655E-4</v>
      </c>
      <c r="AG2066" s="597">
        <f t="shared" si="129"/>
        <v>-1.2608695652173929E-2</v>
      </c>
    </row>
    <row r="2067" spans="13:33" x14ac:dyDescent="0.35">
      <c r="M2067" s="555">
        <v>44722</v>
      </c>
      <c r="N2067" s="543" t="s">
        <v>449</v>
      </c>
      <c r="O2067" s="543">
        <v>42014.73</v>
      </c>
      <c r="P2067" s="73" t="s">
        <v>431</v>
      </c>
      <c r="Q2067" s="158">
        <v>17.2</v>
      </c>
      <c r="R2067" s="563">
        <f t="shared" si="126"/>
        <v>6.6793719372935101E-3</v>
      </c>
      <c r="S2067" s="563">
        <f t="shared" si="127"/>
        <v>3.500583430571691E-3</v>
      </c>
      <c r="AA2067" s="594">
        <v>44720</v>
      </c>
      <c r="AB2067" s="595" t="s">
        <v>449</v>
      </c>
      <c r="AC2067" s="595">
        <v>41553.160000000003</v>
      </c>
      <c r="AD2067" s="596" t="s">
        <v>395</v>
      </c>
      <c r="AE2067" s="595">
        <v>67.5</v>
      </c>
      <c r="AF2067" s="597">
        <f t="shared" si="128"/>
        <v>-3.6686512666705973E-4</v>
      </c>
      <c r="AG2067" s="597">
        <f t="shared" si="129"/>
        <v>-9.2470277410831025E-3</v>
      </c>
    </row>
    <row r="2068" spans="13:33" x14ac:dyDescent="0.35">
      <c r="M2068" s="555">
        <v>44725</v>
      </c>
      <c r="N2068" s="543" t="s">
        <v>449</v>
      </c>
      <c r="O2068" s="543">
        <v>40879.93</v>
      </c>
      <c r="P2068" s="73" t="s">
        <v>431</v>
      </c>
      <c r="Q2068" s="158">
        <v>16.739999999999998</v>
      </c>
      <c r="R2068" s="563">
        <f t="shared" si="126"/>
        <v>-2.7009574975252804E-2</v>
      </c>
      <c r="S2068" s="563">
        <f t="shared" si="127"/>
        <v>-2.6744186046511631E-2</v>
      </c>
      <c r="AA2068" s="594">
        <v>44721</v>
      </c>
      <c r="AB2068" s="595" t="s">
        <v>449</v>
      </c>
      <c r="AC2068" s="595">
        <v>41735.96</v>
      </c>
      <c r="AD2068" s="596" t="s">
        <v>395</v>
      </c>
      <c r="AE2068" s="595">
        <v>68.5</v>
      </c>
      <c r="AF2068" s="597">
        <f t="shared" si="128"/>
        <v>4.3991840813069061E-3</v>
      </c>
      <c r="AG2068" s="597">
        <f t="shared" si="129"/>
        <v>1.4814814814814836E-2</v>
      </c>
    </row>
    <row r="2069" spans="13:33" x14ac:dyDescent="0.35">
      <c r="M2069" s="526">
        <v>44727</v>
      </c>
      <c r="N2069" s="524" t="s">
        <v>449</v>
      </c>
      <c r="O2069" s="524">
        <v>41438.79</v>
      </c>
      <c r="P2069" s="73" t="s">
        <v>431</v>
      </c>
      <c r="Q2069">
        <v>17.239999999999998</v>
      </c>
      <c r="R2069" s="563">
        <f t="shared" si="126"/>
        <v>1.3670767048769461E-2</v>
      </c>
      <c r="S2069" s="563">
        <f t="shared" si="127"/>
        <v>2.9868578255675127E-2</v>
      </c>
      <c r="AA2069" s="594">
        <v>44722</v>
      </c>
      <c r="AB2069" s="595" t="s">
        <v>449</v>
      </c>
      <c r="AC2069" s="595">
        <v>42014.73</v>
      </c>
      <c r="AD2069" s="596" t="s">
        <v>395</v>
      </c>
      <c r="AE2069" s="595">
        <v>69.94</v>
      </c>
      <c r="AF2069" s="597">
        <f t="shared" si="128"/>
        <v>6.6793719372935101E-3</v>
      </c>
      <c r="AG2069" s="597">
        <f t="shared" si="129"/>
        <v>2.1021897810219015E-2</v>
      </c>
    </row>
    <row r="2070" spans="13:33" x14ac:dyDescent="0.35">
      <c r="M2070" s="555">
        <v>44728</v>
      </c>
      <c r="N2070" s="543" t="s">
        <v>449</v>
      </c>
      <c r="O2070" s="543">
        <v>41730.160000000003</v>
      </c>
      <c r="P2070" s="73" t="s">
        <v>431</v>
      </c>
      <c r="Q2070" s="158">
        <v>17.399999999999999</v>
      </c>
      <c r="R2070" s="563">
        <f t="shared" si="126"/>
        <v>7.0313346504566887E-3</v>
      </c>
      <c r="S2070" s="563">
        <f t="shared" si="127"/>
        <v>9.2807424593968069E-3</v>
      </c>
      <c r="AA2070" s="594">
        <v>44725</v>
      </c>
      <c r="AB2070" s="595" t="s">
        <v>449</v>
      </c>
      <c r="AC2070" s="595">
        <v>40879.93</v>
      </c>
      <c r="AD2070" s="596" t="s">
        <v>395</v>
      </c>
      <c r="AE2070" s="595">
        <v>67.510000000000005</v>
      </c>
      <c r="AF2070" s="597">
        <f t="shared" si="128"/>
        <v>-2.7009574975252804E-2</v>
      </c>
      <c r="AG2070" s="597">
        <f t="shared" si="129"/>
        <v>-3.4744066342579205E-2</v>
      </c>
    </row>
    <row r="2071" spans="13:33" x14ac:dyDescent="0.35">
      <c r="M2071" s="555">
        <v>44729</v>
      </c>
      <c r="N2071" s="543" t="s">
        <v>449</v>
      </c>
      <c r="O2071" s="543">
        <v>42140.76</v>
      </c>
      <c r="P2071" s="73" t="s">
        <v>431</v>
      </c>
      <c r="Q2071" s="158">
        <v>17.91</v>
      </c>
      <c r="R2071" s="563">
        <f t="shared" si="126"/>
        <v>9.8394063190747616E-3</v>
      </c>
      <c r="S2071" s="563">
        <f t="shared" si="127"/>
        <v>2.931034482758621E-2</v>
      </c>
      <c r="AA2071" s="594">
        <v>44727</v>
      </c>
      <c r="AB2071" s="595" t="s">
        <v>449</v>
      </c>
      <c r="AC2071" s="595">
        <v>41438.79</v>
      </c>
      <c r="AD2071" s="596" t="s">
        <v>395</v>
      </c>
      <c r="AE2071" s="595">
        <v>66.7</v>
      </c>
      <c r="AF2071" s="597">
        <f t="shared" si="128"/>
        <v>1.3670767048769461E-2</v>
      </c>
      <c r="AG2071" s="597">
        <f t="shared" si="129"/>
        <v>-1.1998222485557708E-2</v>
      </c>
    </row>
    <row r="2072" spans="13:33" x14ac:dyDescent="0.35">
      <c r="M2072" s="555">
        <v>44732</v>
      </c>
      <c r="N2072" s="543" t="s">
        <v>449</v>
      </c>
      <c r="O2072" s="543">
        <v>41776.980000000003</v>
      </c>
      <c r="P2072" s="73" t="s">
        <v>431</v>
      </c>
      <c r="Q2072" s="158">
        <v>17.690000000000001</v>
      </c>
      <c r="R2072" s="563">
        <f t="shared" si="126"/>
        <v>-8.632497373089576E-3</v>
      </c>
      <c r="S2072" s="563">
        <f t="shared" si="127"/>
        <v>-1.2283640424343933E-2</v>
      </c>
      <c r="AA2072" s="594">
        <v>44728</v>
      </c>
      <c r="AB2072" s="595" t="s">
        <v>449</v>
      </c>
      <c r="AC2072" s="595">
        <v>41730.160000000003</v>
      </c>
      <c r="AD2072" s="596" t="s">
        <v>395</v>
      </c>
      <c r="AE2072" s="595">
        <v>67</v>
      </c>
      <c r="AF2072" s="597">
        <f t="shared" si="128"/>
        <v>7.0313346504566887E-3</v>
      </c>
      <c r="AG2072" s="597">
        <f t="shared" si="129"/>
        <v>4.4977511244377322E-3</v>
      </c>
    </row>
    <row r="2073" spans="13:33" x14ac:dyDescent="0.35">
      <c r="M2073" s="555">
        <v>44733</v>
      </c>
      <c r="N2073" s="543" t="s">
        <v>449</v>
      </c>
      <c r="O2073" s="543">
        <v>42525.95</v>
      </c>
      <c r="P2073" s="73" t="s">
        <v>431</v>
      </c>
      <c r="Q2073" s="158">
        <v>18.850000000000001</v>
      </c>
      <c r="R2073" s="563">
        <f t="shared" si="126"/>
        <v>1.7927815749247511E-2</v>
      </c>
      <c r="S2073" s="563">
        <f t="shared" si="127"/>
        <v>6.5573770491803351E-2</v>
      </c>
      <c r="AA2073" s="594">
        <v>44729</v>
      </c>
      <c r="AB2073" s="595" t="s">
        <v>449</v>
      </c>
      <c r="AC2073" s="595">
        <v>42140.76</v>
      </c>
      <c r="AD2073" s="596" t="s">
        <v>395</v>
      </c>
      <c r="AE2073" s="595">
        <v>66.650000000000006</v>
      </c>
      <c r="AF2073" s="597">
        <f t="shared" si="128"/>
        <v>9.8394063190747616E-3</v>
      </c>
      <c r="AG2073" s="597">
        <f t="shared" si="129"/>
        <v>-5.2238805970148405E-3</v>
      </c>
    </row>
    <row r="2074" spans="13:33" x14ac:dyDescent="0.35">
      <c r="M2074" s="526">
        <v>44735</v>
      </c>
      <c r="N2074" s="524" t="s">
        <v>449</v>
      </c>
      <c r="O2074" s="524">
        <v>42716.97</v>
      </c>
      <c r="P2074" s="73" t="s">
        <v>431</v>
      </c>
      <c r="Q2074">
        <v>19.54</v>
      </c>
      <c r="R2074" s="563">
        <f t="shared" ref="R2074:R2137" si="130">(O2074/O2073)-1</f>
        <v>4.4918455672360302E-3</v>
      </c>
      <c r="S2074" s="563">
        <f t="shared" ref="S2074:S2137" si="131">(Q2074/Q2073)-1</f>
        <v>3.6604774535808904E-2</v>
      </c>
      <c r="AA2074" s="594">
        <v>44732</v>
      </c>
      <c r="AB2074" s="595" t="s">
        <v>449</v>
      </c>
      <c r="AC2074" s="595">
        <v>41776.980000000003</v>
      </c>
      <c r="AD2074" s="596" t="s">
        <v>395</v>
      </c>
      <c r="AE2074" s="595">
        <v>66.7</v>
      </c>
      <c r="AF2074" s="597">
        <f t="shared" si="128"/>
        <v>-8.632497373089576E-3</v>
      </c>
      <c r="AG2074" s="597">
        <f t="shared" si="129"/>
        <v>7.5018754688671585E-4</v>
      </c>
    </row>
    <row r="2075" spans="13:33" x14ac:dyDescent="0.35">
      <c r="M2075" s="555">
        <v>44736</v>
      </c>
      <c r="N2075" s="543" t="s">
        <v>449</v>
      </c>
      <c r="O2075" s="543">
        <v>41051.79</v>
      </c>
      <c r="P2075" s="73" t="s">
        <v>431</v>
      </c>
      <c r="Q2075" s="158">
        <v>18.100000000000001</v>
      </c>
      <c r="R2075" s="563">
        <f t="shared" si="130"/>
        <v>-3.8981697437809881E-2</v>
      </c>
      <c r="S2075" s="563">
        <f t="shared" si="131"/>
        <v>-7.369498464687807E-2</v>
      </c>
      <c r="AA2075" s="594">
        <v>44733</v>
      </c>
      <c r="AB2075" s="595" t="s">
        <v>449</v>
      </c>
      <c r="AC2075" s="595">
        <v>42525.95</v>
      </c>
      <c r="AD2075" s="596" t="s">
        <v>395</v>
      </c>
      <c r="AE2075" s="595">
        <v>67.900000000000006</v>
      </c>
      <c r="AF2075" s="597">
        <f t="shared" si="128"/>
        <v>1.7927815749247511E-2</v>
      </c>
      <c r="AG2075" s="597">
        <f t="shared" si="129"/>
        <v>1.7991004497751151E-2</v>
      </c>
    </row>
    <row r="2076" spans="13:33" x14ac:dyDescent="0.35">
      <c r="M2076" s="555">
        <v>44739</v>
      </c>
      <c r="N2076" s="543" t="s">
        <v>449</v>
      </c>
      <c r="O2076" s="543">
        <v>41878.57</v>
      </c>
      <c r="P2076" s="73" t="s">
        <v>431</v>
      </c>
      <c r="Q2076" s="158">
        <v>18.47</v>
      </c>
      <c r="R2076" s="563">
        <f t="shared" si="130"/>
        <v>2.0139925688989369E-2</v>
      </c>
      <c r="S2076" s="563">
        <f t="shared" si="131"/>
        <v>2.0441988950276047E-2</v>
      </c>
      <c r="AA2076" s="594">
        <v>44735</v>
      </c>
      <c r="AB2076" s="595" t="s">
        <v>449</v>
      </c>
      <c r="AC2076" s="595">
        <v>42716.97</v>
      </c>
      <c r="AD2076" s="596" t="s">
        <v>395</v>
      </c>
      <c r="AE2076" s="595">
        <v>70</v>
      </c>
      <c r="AF2076" s="597">
        <f t="shared" ref="AF2076:AF2139" si="132">(AC2076/AC2075)-1</f>
        <v>4.4918455672360302E-3</v>
      </c>
      <c r="AG2076" s="597">
        <f t="shared" ref="AG2076:AG2139" si="133">(AE2076/AE2075)-1</f>
        <v>3.0927835051546282E-2</v>
      </c>
    </row>
    <row r="2077" spans="13:33" x14ac:dyDescent="0.35">
      <c r="M2077" s="555">
        <v>44740</v>
      </c>
      <c r="N2077" s="543" t="s">
        <v>449</v>
      </c>
      <c r="O2077" s="543">
        <v>41765.620000000003</v>
      </c>
      <c r="P2077" s="73" t="s">
        <v>431</v>
      </c>
      <c r="Q2077" s="158">
        <v>18.21</v>
      </c>
      <c r="R2077" s="563">
        <f t="shared" si="130"/>
        <v>-2.6970834964039625E-3</v>
      </c>
      <c r="S2077" s="563">
        <f t="shared" si="131"/>
        <v>-1.4076881429344823E-2</v>
      </c>
      <c r="AA2077" s="594">
        <v>44736</v>
      </c>
      <c r="AB2077" s="595" t="s">
        <v>449</v>
      </c>
      <c r="AC2077" s="595">
        <v>41051.79</v>
      </c>
      <c r="AD2077" s="596" t="s">
        <v>395</v>
      </c>
      <c r="AE2077" s="595">
        <v>67</v>
      </c>
      <c r="AF2077" s="597">
        <f t="shared" si="132"/>
        <v>-3.8981697437809881E-2</v>
      </c>
      <c r="AG2077" s="597">
        <f t="shared" si="133"/>
        <v>-4.2857142857142816E-2</v>
      </c>
    </row>
    <row r="2078" spans="13:33" x14ac:dyDescent="0.35">
      <c r="M2078" s="555">
        <v>44741</v>
      </c>
      <c r="N2078" s="543" t="s">
        <v>449</v>
      </c>
      <c r="O2078" s="543">
        <v>41297.730000000003</v>
      </c>
      <c r="P2078" s="73" t="s">
        <v>431</v>
      </c>
      <c r="Q2078" s="158">
        <v>18.100000000000001</v>
      </c>
      <c r="R2078" s="563">
        <f t="shared" si="130"/>
        <v>-1.120275480167654E-2</v>
      </c>
      <c r="S2078" s="563">
        <f t="shared" si="131"/>
        <v>-6.0406370126303566E-3</v>
      </c>
      <c r="AA2078" s="589">
        <v>44739</v>
      </c>
      <c r="AB2078" s="590" t="s">
        <v>449</v>
      </c>
      <c r="AC2078" s="590">
        <v>41878.57</v>
      </c>
      <c r="AD2078" s="591" t="s">
        <v>395</v>
      </c>
      <c r="AE2078" s="590">
        <v>65.040000000000006</v>
      </c>
      <c r="AF2078" s="592">
        <f t="shared" si="132"/>
        <v>2.0139925688989369E-2</v>
      </c>
      <c r="AG2078" s="592">
        <f t="shared" si="133"/>
        <v>-2.9253731343283462E-2</v>
      </c>
    </row>
    <row r="2079" spans="13:33" x14ac:dyDescent="0.35">
      <c r="M2079" s="555">
        <v>44742</v>
      </c>
      <c r="N2079" s="543" t="s">
        <v>449</v>
      </c>
      <c r="O2079" s="543">
        <v>41540.83</v>
      </c>
      <c r="P2079" s="73" t="s">
        <v>431</v>
      </c>
      <c r="Q2079" s="158">
        <v>17.89</v>
      </c>
      <c r="R2079" s="563">
        <f t="shared" si="130"/>
        <v>5.8865220921342498E-3</v>
      </c>
      <c r="S2079" s="563">
        <f t="shared" si="131"/>
        <v>-1.1602209944751474E-2</v>
      </c>
      <c r="AA2079" s="589">
        <v>44740</v>
      </c>
      <c r="AB2079" s="590" t="s">
        <v>449</v>
      </c>
      <c r="AC2079" s="590">
        <v>41765.620000000003</v>
      </c>
      <c r="AD2079" s="591" t="s">
        <v>395</v>
      </c>
      <c r="AE2079" s="590">
        <v>65.38</v>
      </c>
      <c r="AF2079" s="592">
        <f t="shared" si="132"/>
        <v>-2.6970834964039625E-3</v>
      </c>
      <c r="AG2079" s="592">
        <f t="shared" si="133"/>
        <v>5.2275522755225179E-3</v>
      </c>
    </row>
    <row r="2080" spans="13:33" x14ac:dyDescent="0.35">
      <c r="M2080" s="555">
        <v>44743</v>
      </c>
      <c r="N2080" s="543" t="s">
        <v>449</v>
      </c>
      <c r="O2080" s="543">
        <v>41630.35</v>
      </c>
      <c r="P2080" s="73" t="s">
        <v>431</v>
      </c>
      <c r="Q2080" s="158">
        <v>17.47</v>
      </c>
      <c r="R2080" s="563">
        <f t="shared" si="130"/>
        <v>2.1549882368743223E-3</v>
      </c>
      <c r="S2080" s="563">
        <f t="shared" si="131"/>
        <v>-2.3476802683063291E-2</v>
      </c>
      <c r="AA2080" s="594">
        <v>44741</v>
      </c>
      <c r="AB2080" s="595" t="s">
        <v>449</v>
      </c>
      <c r="AC2080" s="595">
        <v>41297.730000000003</v>
      </c>
      <c r="AD2080" s="596" t="s">
        <v>395</v>
      </c>
      <c r="AE2080" s="595">
        <v>65.75</v>
      </c>
      <c r="AF2080" s="597">
        <f t="shared" si="132"/>
        <v>-1.120275480167654E-2</v>
      </c>
      <c r="AG2080" s="597">
        <f t="shared" si="133"/>
        <v>5.6592230039769209E-3</v>
      </c>
    </row>
    <row r="2081" spans="13:33" x14ac:dyDescent="0.35">
      <c r="M2081" s="555">
        <v>44746</v>
      </c>
      <c r="N2081" s="543" t="s">
        <v>449</v>
      </c>
      <c r="O2081" s="543">
        <v>41348.19</v>
      </c>
      <c r="P2081" s="73" t="s">
        <v>431</v>
      </c>
      <c r="Q2081" s="158">
        <v>16.91</v>
      </c>
      <c r="R2081" s="563">
        <f t="shared" si="130"/>
        <v>-6.777747484707608E-3</v>
      </c>
      <c r="S2081" s="563">
        <f t="shared" si="131"/>
        <v>-3.2054951345163119E-2</v>
      </c>
      <c r="AA2081" s="594">
        <v>44742</v>
      </c>
      <c r="AB2081" s="595" t="s">
        <v>449</v>
      </c>
      <c r="AC2081" s="595">
        <v>41540.83</v>
      </c>
      <c r="AD2081" s="596" t="s">
        <v>395</v>
      </c>
      <c r="AE2081" s="595">
        <v>67</v>
      </c>
      <c r="AF2081" s="597">
        <f t="shared" si="132"/>
        <v>5.8865220921342498E-3</v>
      </c>
      <c r="AG2081" s="597">
        <f t="shared" si="133"/>
        <v>1.9011406844106515E-2</v>
      </c>
    </row>
    <row r="2082" spans="13:33" x14ac:dyDescent="0.35">
      <c r="M2082" s="555">
        <v>44747</v>
      </c>
      <c r="N2082" s="543" t="s">
        <v>449</v>
      </c>
      <c r="O2082" s="543">
        <v>41102.57</v>
      </c>
      <c r="P2082" s="73" t="s">
        <v>431</v>
      </c>
      <c r="Q2082" s="158">
        <v>17.100000000000001</v>
      </c>
      <c r="R2082" s="563">
        <f t="shared" si="130"/>
        <v>-5.9402842059108618E-3</v>
      </c>
      <c r="S2082" s="563">
        <f t="shared" si="131"/>
        <v>1.1235955056179803E-2</v>
      </c>
      <c r="AA2082" s="594">
        <v>44743</v>
      </c>
      <c r="AB2082" s="595" t="s">
        <v>449</v>
      </c>
      <c r="AC2082" s="595">
        <v>41630.35</v>
      </c>
      <c r="AD2082" s="596" t="s">
        <v>395</v>
      </c>
      <c r="AE2082" s="595">
        <v>69.83</v>
      </c>
      <c r="AF2082" s="597">
        <f t="shared" si="132"/>
        <v>2.1549882368743223E-3</v>
      </c>
      <c r="AG2082" s="597">
        <f t="shared" si="133"/>
        <v>4.2238805970149285E-2</v>
      </c>
    </row>
    <row r="2083" spans="13:33" x14ac:dyDescent="0.35">
      <c r="M2083" s="555">
        <v>44748</v>
      </c>
      <c r="N2083" s="543" t="s">
        <v>449</v>
      </c>
      <c r="O2083" s="543">
        <v>41159.79</v>
      </c>
      <c r="P2083" s="73" t="s">
        <v>431</v>
      </c>
      <c r="Q2083" s="158">
        <v>17.2</v>
      </c>
      <c r="R2083" s="563">
        <f t="shared" si="130"/>
        <v>1.3921270616412684E-3</v>
      </c>
      <c r="S2083" s="563">
        <f t="shared" si="131"/>
        <v>5.8479532163742132E-3</v>
      </c>
      <c r="AA2083" s="594">
        <v>44746</v>
      </c>
      <c r="AB2083" s="595" t="s">
        <v>449</v>
      </c>
      <c r="AC2083" s="595">
        <v>41348.19</v>
      </c>
      <c r="AD2083" s="596" t="s">
        <v>395</v>
      </c>
      <c r="AE2083" s="595">
        <v>68</v>
      </c>
      <c r="AF2083" s="597">
        <f t="shared" si="132"/>
        <v>-6.777747484707608E-3</v>
      </c>
      <c r="AG2083" s="597">
        <f t="shared" si="133"/>
        <v>-2.6206501503651669E-2</v>
      </c>
    </row>
    <row r="2084" spans="13:33" x14ac:dyDescent="0.35">
      <c r="M2084" s="555">
        <v>44749</v>
      </c>
      <c r="N2084" s="543" t="s">
        <v>449</v>
      </c>
      <c r="O2084" s="543">
        <v>41344.01</v>
      </c>
      <c r="P2084" s="73" t="s">
        <v>431</v>
      </c>
      <c r="Q2084" s="158">
        <v>17.079999999999998</v>
      </c>
      <c r="R2084" s="563">
        <f t="shared" si="130"/>
        <v>4.4757274028852656E-3</v>
      </c>
      <c r="S2084" s="563">
        <f t="shared" si="131"/>
        <v>-6.9767441860465462E-3</v>
      </c>
      <c r="AA2084" s="594">
        <v>44747</v>
      </c>
      <c r="AB2084" s="595" t="s">
        <v>449</v>
      </c>
      <c r="AC2084" s="595">
        <v>41102.57</v>
      </c>
      <c r="AD2084" s="596" t="s">
        <v>395</v>
      </c>
      <c r="AE2084" s="595">
        <v>70.12</v>
      </c>
      <c r="AF2084" s="597">
        <f t="shared" si="132"/>
        <v>-5.9402842059108618E-3</v>
      </c>
      <c r="AG2084" s="597">
        <f t="shared" si="133"/>
        <v>3.1176470588235361E-2</v>
      </c>
    </row>
    <row r="2085" spans="13:33" x14ac:dyDescent="0.35">
      <c r="M2085" s="555">
        <v>44755</v>
      </c>
      <c r="N2085" s="543" t="s">
        <v>449</v>
      </c>
      <c r="O2085" s="543">
        <v>41862.769999999997</v>
      </c>
      <c r="P2085" s="73" t="s">
        <v>431</v>
      </c>
      <c r="Q2085" s="158">
        <v>17.86</v>
      </c>
      <c r="R2085" s="563">
        <f t="shared" si="130"/>
        <v>1.2547404085863745E-2</v>
      </c>
      <c r="S2085" s="563">
        <f t="shared" si="131"/>
        <v>4.5667447306791731E-2</v>
      </c>
      <c r="AA2085" s="594">
        <v>44748</v>
      </c>
      <c r="AB2085" s="595" t="s">
        <v>449</v>
      </c>
      <c r="AC2085" s="595">
        <v>41159.79</v>
      </c>
      <c r="AD2085" s="596" t="s">
        <v>395</v>
      </c>
      <c r="AE2085" s="595">
        <v>71.989999999999995</v>
      </c>
      <c r="AF2085" s="597">
        <f t="shared" si="132"/>
        <v>1.3921270616412684E-3</v>
      </c>
      <c r="AG2085" s="597">
        <f t="shared" si="133"/>
        <v>2.6668568168853213E-2</v>
      </c>
    </row>
    <row r="2086" spans="13:33" x14ac:dyDescent="0.35">
      <c r="M2086" s="555">
        <v>44756</v>
      </c>
      <c r="N2086" s="543" t="s">
        <v>449</v>
      </c>
      <c r="O2086" s="543">
        <v>42348.91</v>
      </c>
      <c r="P2086" s="73" t="s">
        <v>431</v>
      </c>
      <c r="Q2086" s="158">
        <v>17.75</v>
      </c>
      <c r="R2086" s="563">
        <f t="shared" si="130"/>
        <v>1.1612705036002424E-2</v>
      </c>
      <c r="S2086" s="563">
        <f t="shared" si="131"/>
        <v>-6.1590145576707611E-3</v>
      </c>
      <c r="AA2086" s="594">
        <v>44749</v>
      </c>
      <c r="AB2086" s="595" t="s">
        <v>449</v>
      </c>
      <c r="AC2086" s="595">
        <v>41344.01</v>
      </c>
      <c r="AD2086" s="596" t="s">
        <v>395</v>
      </c>
      <c r="AE2086" s="595">
        <v>71.489999999999995</v>
      </c>
      <c r="AF2086" s="597">
        <f t="shared" si="132"/>
        <v>4.4757274028852656E-3</v>
      </c>
      <c r="AG2086" s="597">
        <f t="shared" si="133"/>
        <v>-6.9454090845950667E-3</v>
      </c>
    </row>
    <row r="2087" spans="13:33" x14ac:dyDescent="0.35">
      <c r="M2087" s="555">
        <v>44757</v>
      </c>
      <c r="N2087" s="543" t="s">
        <v>449</v>
      </c>
      <c r="O2087" s="543">
        <v>42074.91</v>
      </c>
      <c r="P2087" s="73" t="s">
        <v>431</v>
      </c>
      <c r="Q2087" s="158">
        <v>17.36</v>
      </c>
      <c r="R2087" s="563">
        <f t="shared" si="130"/>
        <v>-6.4700602683752662E-3</v>
      </c>
      <c r="S2087" s="563">
        <f t="shared" si="131"/>
        <v>-2.1971830985915486E-2</v>
      </c>
      <c r="AA2087" s="594">
        <v>44755</v>
      </c>
      <c r="AB2087" s="595" t="s">
        <v>449</v>
      </c>
      <c r="AC2087" s="595">
        <v>41862.769999999997</v>
      </c>
      <c r="AD2087" s="596" t="s">
        <v>395</v>
      </c>
      <c r="AE2087" s="595">
        <v>73.989999999999995</v>
      </c>
      <c r="AF2087" s="597">
        <f t="shared" si="132"/>
        <v>1.2547404085863745E-2</v>
      </c>
      <c r="AG2087" s="597">
        <f t="shared" si="133"/>
        <v>3.4969925863757245E-2</v>
      </c>
    </row>
    <row r="2088" spans="13:33" x14ac:dyDescent="0.35">
      <c r="M2088" s="555">
        <v>44760</v>
      </c>
      <c r="N2088" s="543" t="s">
        <v>449</v>
      </c>
      <c r="O2088" s="543">
        <v>41367.11</v>
      </c>
      <c r="P2088" s="73" t="s">
        <v>431</v>
      </c>
      <c r="Q2088" s="158">
        <v>16.579999999999998</v>
      </c>
      <c r="R2088" s="563">
        <f t="shared" si="130"/>
        <v>-1.6822377041329495E-2</v>
      </c>
      <c r="S2088" s="563">
        <f t="shared" si="131"/>
        <v>-4.4930875576036922E-2</v>
      </c>
      <c r="AA2088" s="594">
        <v>44756</v>
      </c>
      <c r="AB2088" s="595" t="s">
        <v>449</v>
      </c>
      <c r="AC2088" s="595">
        <v>42348.91</v>
      </c>
      <c r="AD2088" s="596" t="s">
        <v>395</v>
      </c>
      <c r="AE2088" s="595">
        <v>76</v>
      </c>
      <c r="AF2088" s="597">
        <f t="shared" si="132"/>
        <v>1.1612705036002424E-2</v>
      </c>
      <c r="AG2088" s="597">
        <f t="shared" si="133"/>
        <v>2.7165833220705649E-2</v>
      </c>
    </row>
    <row r="2089" spans="13:33" x14ac:dyDescent="0.35">
      <c r="M2089" s="555">
        <v>44761</v>
      </c>
      <c r="N2089" s="543" t="s">
        <v>449</v>
      </c>
      <c r="O2089" s="543">
        <v>40389.07</v>
      </c>
      <c r="P2089" s="73" t="s">
        <v>431</v>
      </c>
      <c r="Q2089" s="158">
        <v>16.05</v>
      </c>
      <c r="R2089" s="563">
        <f t="shared" si="130"/>
        <v>-2.3642937589790525E-2</v>
      </c>
      <c r="S2089" s="563">
        <f t="shared" si="131"/>
        <v>-3.1966224366706708E-2</v>
      </c>
      <c r="AA2089" s="594">
        <v>44757</v>
      </c>
      <c r="AB2089" s="595" t="s">
        <v>449</v>
      </c>
      <c r="AC2089" s="595">
        <v>42074.91</v>
      </c>
      <c r="AD2089" s="596" t="s">
        <v>395</v>
      </c>
      <c r="AE2089" s="595">
        <v>75.349999999999994</v>
      </c>
      <c r="AF2089" s="597">
        <f t="shared" si="132"/>
        <v>-6.4700602683752662E-3</v>
      </c>
      <c r="AG2089" s="597">
        <f t="shared" si="133"/>
        <v>-8.5526315789474783E-3</v>
      </c>
    </row>
    <row r="2090" spans="13:33" x14ac:dyDescent="0.35">
      <c r="M2090" s="555">
        <v>44762</v>
      </c>
      <c r="N2090" s="543" t="s">
        <v>449</v>
      </c>
      <c r="O2090" s="543">
        <v>40459.699999999997</v>
      </c>
      <c r="P2090" s="73" t="s">
        <v>431</v>
      </c>
      <c r="Q2090" s="158">
        <v>16.059999999999999</v>
      </c>
      <c r="R2090" s="563">
        <f t="shared" si="130"/>
        <v>1.748740438935581E-3</v>
      </c>
      <c r="S2090" s="563">
        <f t="shared" si="131"/>
        <v>6.2305295950149109E-4</v>
      </c>
      <c r="AA2090" s="594">
        <v>44760</v>
      </c>
      <c r="AB2090" s="595" t="s">
        <v>449</v>
      </c>
      <c r="AC2090" s="595">
        <v>41367.11</v>
      </c>
      <c r="AD2090" s="596" t="s">
        <v>395</v>
      </c>
      <c r="AE2090" s="595">
        <v>73</v>
      </c>
      <c r="AF2090" s="597">
        <f t="shared" si="132"/>
        <v>-1.6822377041329495E-2</v>
      </c>
      <c r="AG2090" s="597">
        <f t="shared" si="133"/>
        <v>-3.1187790311877794E-2</v>
      </c>
    </row>
    <row r="2091" spans="13:33" x14ac:dyDescent="0.35">
      <c r="M2091" s="555">
        <v>44763</v>
      </c>
      <c r="N2091" s="543" t="s">
        <v>449</v>
      </c>
      <c r="O2091" s="543">
        <v>39831.75</v>
      </c>
      <c r="P2091" s="73" t="s">
        <v>431</v>
      </c>
      <c r="Q2091" s="158">
        <v>15.09</v>
      </c>
      <c r="R2091" s="563">
        <f t="shared" si="130"/>
        <v>-1.5520382009752809E-2</v>
      </c>
      <c r="S2091" s="563">
        <f t="shared" si="131"/>
        <v>-6.0398505603984964E-2</v>
      </c>
      <c r="AA2091" s="594">
        <v>44761</v>
      </c>
      <c r="AB2091" s="595" t="s">
        <v>449</v>
      </c>
      <c r="AC2091" s="595">
        <v>40389.07</v>
      </c>
      <c r="AD2091" s="596" t="s">
        <v>395</v>
      </c>
      <c r="AE2091" s="595">
        <v>70</v>
      </c>
      <c r="AF2091" s="597">
        <f t="shared" si="132"/>
        <v>-2.3642937589790525E-2</v>
      </c>
      <c r="AG2091" s="597">
        <f t="shared" si="133"/>
        <v>-4.1095890410958957E-2</v>
      </c>
    </row>
    <row r="2092" spans="13:33" x14ac:dyDescent="0.35">
      <c r="M2092" s="555">
        <v>44764</v>
      </c>
      <c r="N2092" s="543" t="s">
        <v>449</v>
      </c>
      <c r="O2092" s="543">
        <v>40077.300000000003</v>
      </c>
      <c r="P2092" s="73" t="s">
        <v>431</v>
      </c>
      <c r="Q2092" s="158">
        <v>15.51</v>
      </c>
      <c r="R2092" s="563">
        <f t="shared" si="130"/>
        <v>6.1646801860326672E-3</v>
      </c>
      <c r="S2092" s="563">
        <f t="shared" si="131"/>
        <v>2.7833001988071482E-2</v>
      </c>
      <c r="AA2092" s="594">
        <v>44762</v>
      </c>
      <c r="AB2092" s="595" t="s">
        <v>449</v>
      </c>
      <c r="AC2092" s="595">
        <v>40459.699999999997</v>
      </c>
      <c r="AD2092" s="596" t="s">
        <v>395</v>
      </c>
      <c r="AE2092" s="595">
        <v>68.34</v>
      </c>
      <c r="AF2092" s="597">
        <f t="shared" si="132"/>
        <v>1.748740438935581E-3</v>
      </c>
      <c r="AG2092" s="597">
        <f t="shared" si="133"/>
        <v>-2.3714285714285688E-2</v>
      </c>
    </row>
    <row r="2093" spans="13:33" x14ac:dyDescent="0.35">
      <c r="M2093" s="555">
        <v>44767</v>
      </c>
      <c r="N2093" s="543" t="s">
        <v>449</v>
      </c>
      <c r="O2093" s="543">
        <v>39844.019999999997</v>
      </c>
      <c r="P2093" s="73" t="s">
        <v>431</v>
      </c>
      <c r="Q2093" s="158">
        <v>15.64</v>
      </c>
      <c r="R2093" s="563">
        <f t="shared" si="130"/>
        <v>-5.8207513979237069E-3</v>
      </c>
      <c r="S2093" s="563">
        <f t="shared" si="131"/>
        <v>8.3816892327530645E-3</v>
      </c>
      <c r="AA2093" s="594">
        <v>44763</v>
      </c>
      <c r="AB2093" s="595" t="s">
        <v>449</v>
      </c>
      <c r="AC2093" s="595">
        <v>39831.75</v>
      </c>
      <c r="AD2093" s="596" t="s">
        <v>395</v>
      </c>
      <c r="AE2093" s="595">
        <v>64.760000000000005</v>
      </c>
      <c r="AF2093" s="597">
        <f t="shared" si="132"/>
        <v>-1.5520382009752809E-2</v>
      </c>
      <c r="AG2093" s="597">
        <f t="shared" si="133"/>
        <v>-5.2385133157740627E-2</v>
      </c>
    </row>
    <row r="2094" spans="13:33" x14ac:dyDescent="0.35">
      <c r="M2094" s="526">
        <v>44769</v>
      </c>
      <c r="N2094" s="524" t="s">
        <v>449</v>
      </c>
      <c r="O2094" s="524">
        <v>39972.639999999999</v>
      </c>
      <c r="P2094" s="73" t="s">
        <v>431</v>
      </c>
      <c r="Q2094">
        <v>15.71</v>
      </c>
      <c r="R2094" s="563">
        <f t="shared" si="130"/>
        <v>3.2280879288786313E-3</v>
      </c>
      <c r="S2094" s="563">
        <f t="shared" si="131"/>
        <v>4.4757033248081779E-3</v>
      </c>
      <c r="AA2094" s="594">
        <v>44764</v>
      </c>
      <c r="AB2094" s="595" t="s">
        <v>449</v>
      </c>
      <c r="AC2094" s="595">
        <v>40077.300000000003</v>
      </c>
      <c r="AD2094" s="596" t="s">
        <v>395</v>
      </c>
      <c r="AE2094" s="595">
        <v>67.400000000000006</v>
      </c>
      <c r="AF2094" s="597">
        <f t="shared" si="132"/>
        <v>6.1646801860326672E-3</v>
      </c>
      <c r="AG2094" s="597">
        <f t="shared" si="133"/>
        <v>4.0765904879555226E-2</v>
      </c>
    </row>
    <row r="2095" spans="13:33" x14ac:dyDescent="0.35">
      <c r="M2095" s="555">
        <v>44770</v>
      </c>
      <c r="N2095" s="543" t="s">
        <v>449</v>
      </c>
      <c r="O2095" s="543">
        <v>40276.639999999999</v>
      </c>
      <c r="P2095" s="73" t="s">
        <v>431</v>
      </c>
      <c r="Q2095" s="158">
        <v>15.85</v>
      </c>
      <c r="R2095" s="563">
        <f t="shared" si="130"/>
        <v>7.605201958139407E-3</v>
      </c>
      <c r="S2095" s="563">
        <f t="shared" si="131"/>
        <v>8.9115213239974178E-3</v>
      </c>
      <c r="AA2095" s="594">
        <v>44767</v>
      </c>
      <c r="AB2095" s="595" t="s">
        <v>449</v>
      </c>
      <c r="AC2095" s="595">
        <v>39844.019999999997</v>
      </c>
      <c r="AD2095" s="596" t="s">
        <v>395</v>
      </c>
      <c r="AE2095" s="595">
        <v>66.67</v>
      </c>
      <c r="AF2095" s="597">
        <f t="shared" si="132"/>
        <v>-5.8207513979237069E-3</v>
      </c>
      <c r="AG2095" s="597">
        <f t="shared" si="133"/>
        <v>-1.0830860534124742E-2</v>
      </c>
    </row>
    <row r="2096" spans="13:33" x14ac:dyDescent="0.35">
      <c r="M2096" s="526">
        <v>44774</v>
      </c>
      <c r="N2096" s="524" t="s">
        <v>449</v>
      </c>
      <c r="O2096" s="524">
        <v>40075.96</v>
      </c>
      <c r="P2096" s="73" t="s">
        <v>431</v>
      </c>
      <c r="Q2096">
        <v>15.3</v>
      </c>
      <c r="R2096" s="563">
        <f t="shared" si="130"/>
        <v>-4.9825407481856043E-3</v>
      </c>
      <c r="S2096" s="563">
        <f t="shared" si="131"/>
        <v>-3.4700315457413144E-2</v>
      </c>
      <c r="AA2096" s="594">
        <v>44769</v>
      </c>
      <c r="AB2096" s="595" t="s">
        <v>449</v>
      </c>
      <c r="AC2096" s="595">
        <v>39972.639999999999</v>
      </c>
      <c r="AD2096" s="596" t="s">
        <v>395</v>
      </c>
      <c r="AE2096" s="595">
        <v>66</v>
      </c>
      <c r="AF2096" s="597">
        <f t="shared" si="132"/>
        <v>3.2280879288786313E-3</v>
      </c>
      <c r="AG2096" s="597">
        <f t="shared" si="133"/>
        <v>-1.0049497525123741E-2</v>
      </c>
    </row>
    <row r="2097" spans="13:33" x14ac:dyDescent="0.35">
      <c r="M2097" s="555">
        <v>44775</v>
      </c>
      <c r="N2097" s="543" t="s">
        <v>449</v>
      </c>
      <c r="O2097" s="543">
        <v>40191.61</v>
      </c>
      <c r="P2097" s="73" t="s">
        <v>431</v>
      </c>
      <c r="Q2097" s="158">
        <v>16.07</v>
      </c>
      <c r="R2097" s="563">
        <f t="shared" si="130"/>
        <v>2.8857699229163369E-3</v>
      </c>
      <c r="S2097" s="563">
        <f t="shared" si="131"/>
        <v>5.0326797385620958E-2</v>
      </c>
      <c r="AA2097" s="594">
        <v>44770</v>
      </c>
      <c r="AB2097" s="595" t="s">
        <v>449</v>
      </c>
      <c r="AC2097" s="595">
        <v>40276.639999999999</v>
      </c>
      <c r="AD2097" s="596" t="s">
        <v>395</v>
      </c>
      <c r="AE2097" s="595">
        <v>66.67</v>
      </c>
      <c r="AF2097" s="597">
        <f t="shared" si="132"/>
        <v>7.605201958139407E-3</v>
      </c>
      <c r="AG2097" s="597">
        <f t="shared" si="133"/>
        <v>1.0151515151515245E-2</v>
      </c>
    </row>
    <row r="2098" spans="13:33" x14ac:dyDescent="0.35">
      <c r="M2098" s="555">
        <v>44776</v>
      </c>
      <c r="N2098" s="543" t="s">
        <v>449</v>
      </c>
      <c r="O2098" s="543">
        <v>41068.870000000003</v>
      </c>
      <c r="P2098" s="73" t="s">
        <v>431</v>
      </c>
      <c r="Q2098" s="158">
        <v>17.02</v>
      </c>
      <c r="R2098" s="563">
        <f t="shared" si="130"/>
        <v>2.1826943483975958E-2</v>
      </c>
      <c r="S2098" s="563">
        <f t="shared" si="131"/>
        <v>5.9116365899190892E-2</v>
      </c>
      <c r="AA2098" s="594">
        <v>44774</v>
      </c>
      <c r="AB2098" s="595" t="s">
        <v>449</v>
      </c>
      <c r="AC2098" s="595">
        <v>40075.96</v>
      </c>
      <c r="AD2098" s="596" t="s">
        <v>395</v>
      </c>
      <c r="AE2098" s="595">
        <v>65.09</v>
      </c>
      <c r="AF2098" s="597">
        <f t="shared" si="132"/>
        <v>-4.9825407481856043E-3</v>
      </c>
      <c r="AG2098" s="597">
        <f t="shared" si="133"/>
        <v>-2.369881505924698E-2</v>
      </c>
    </row>
    <row r="2099" spans="13:33" x14ac:dyDescent="0.35">
      <c r="M2099" s="555">
        <v>44777</v>
      </c>
      <c r="N2099" s="543" t="s">
        <v>449</v>
      </c>
      <c r="O2099" s="543">
        <v>41425.370000000003</v>
      </c>
      <c r="P2099" s="73" t="s">
        <v>431</v>
      </c>
      <c r="Q2099" s="158">
        <v>16.84</v>
      </c>
      <c r="R2099" s="563">
        <f t="shared" si="130"/>
        <v>8.6805407599479523E-3</v>
      </c>
      <c r="S2099" s="563">
        <f t="shared" si="131"/>
        <v>-1.0575793184488869E-2</v>
      </c>
      <c r="AA2099" s="594">
        <v>44775</v>
      </c>
      <c r="AB2099" s="595" t="s">
        <v>449</v>
      </c>
      <c r="AC2099" s="595">
        <v>40191.61</v>
      </c>
      <c r="AD2099" s="596" t="s">
        <v>395</v>
      </c>
      <c r="AE2099" s="595">
        <v>69</v>
      </c>
      <c r="AF2099" s="597">
        <f t="shared" si="132"/>
        <v>2.8857699229163369E-3</v>
      </c>
      <c r="AG2099" s="597">
        <f t="shared" si="133"/>
        <v>6.0070671378091856E-2</v>
      </c>
    </row>
    <row r="2100" spans="13:33" x14ac:dyDescent="0.35">
      <c r="M2100" s="555">
        <v>44778</v>
      </c>
      <c r="N2100" s="543" t="s">
        <v>449</v>
      </c>
      <c r="O2100" s="543">
        <v>42096.24</v>
      </c>
      <c r="P2100" s="73" t="s">
        <v>431</v>
      </c>
      <c r="Q2100" s="158">
        <v>18.010000000000002</v>
      </c>
      <c r="R2100" s="563">
        <f t="shared" si="130"/>
        <v>1.6194665249821494E-2</v>
      </c>
      <c r="S2100" s="563">
        <f t="shared" si="131"/>
        <v>6.9477434679334982E-2</v>
      </c>
      <c r="AA2100" s="594">
        <v>44776</v>
      </c>
      <c r="AB2100" s="595" t="s">
        <v>449</v>
      </c>
      <c r="AC2100" s="595">
        <v>41068.870000000003</v>
      </c>
      <c r="AD2100" s="596" t="s">
        <v>395</v>
      </c>
      <c r="AE2100" s="595">
        <v>68</v>
      </c>
      <c r="AF2100" s="597">
        <f t="shared" si="132"/>
        <v>2.1826943483975958E-2</v>
      </c>
      <c r="AG2100" s="597">
        <f t="shared" si="133"/>
        <v>-1.4492753623188359E-2</v>
      </c>
    </row>
    <row r="2101" spans="13:33" x14ac:dyDescent="0.35">
      <c r="M2101" s="555">
        <v>44783</v>
      </c>
      <c r="N2101" s="543" t="s">
        <v>449</v>
      </c>
      <c r="O2101" s="543">
        <v>42494.85</v>
      </c>
      <c r="P2101" s="73" t="s">
        <v>431</v>
      </c>
      <c r="Q2101" s="158">
        <v>18.100000000000001</v>
      </c>
      <c r="R2101" s="563">
        <f t="shared" si="130"/>
        <v>9.4690167102811085E-3</v>
      </c>
      <c r="S2101" s="563">
        <f t="shared" si="131"/>
        <v>4.9972237645752315E-3</v>
      </c>
      <c r="AA2101" s="594">
        <v>44777</v>
      </c>
      <c r="AB2101" s="595" t="s">
        <v>449</v>
      </c>
      <c r="AC2101" s="595">
        <v>41425.370000000003</v>
      </c>
      <c r="AD2101" s="596" t="s">
        <v>395</v>
      </c>
      <c r="AE2101" s="595">
        <v>68.09</v>
      </c>
      <c r="AF2101" s="597">
        <f t="shared" si="132"/>
        <v>8.6805407599479523E-3</v>
      </c>
      <c r="AG2101" s="597">
        <f t="shared" si="133"/>
        <v>1.3235294117648344E-3</v>
      </c>
    </row>
    <row r="2102" spans="13:33" x14ac:dyDescent="0.35">
      <c r="M2102" s="555">
        <v>44784</v>
      </c>
      <c r="N2102" s="543" t="s">
        <v>449</v>
      </c>
      <c r="O2102" s="543">
        <v>42243.33</v>
      </c>
      <c r="P2102" s="73" t="s">
        <v>431</v>
      </c>
      <c r="Q2102" s="158">
        <v>18.11</v>
      </c>
      <c r="R2102" s="563">
        <f t="shared" si="130"/>
        <v>-5.9188348705783156E-3</v>
      </c>
      <c r="S2102" s="563">
        <f t="shared" si="131"/>
        <v>5.5248618784520254E-4</v>
      </c>
      <c r="AA2102" s="594">
        <v>44778</v>
      </c>
      <c r="AB2102" s="595" t="s">
        <v>449</v>
      </c>
      <c r="AC2102" s="595">
        <v>42096.24</v>
      </c>
      <c r="AD2102" s="596" t="s">
        <v>395</v>
      </c>
      <c r="AE2102" s="595">
        <v>69.86</v>
      </c>
      <c r="AF2102" s="597">
        <f t="shared" si="132"/>
        <v>1.6194665249821494E-2</v>
      </c>
      <c r="AG2102" s="597">
        <f t="shared" si="133"/>
        <v>2.5995006608899862E-2</v>
      </c>
    </row>
    <row r="2103" spans="13:33" x14ac:dyDescent="0.35">
      <c r="M2103" s="555">
        <v>44785</v>
      </c>
      <c r="N2103" s="543" t="s">
        <v>449</v>
      </c>
      <c r="O2103" s="543">
        <v>42857.57</v>
      </c>
      <c r="P2103" s="73" t="s">
        <v>431</v>
      </c>
      <c r="Q2103" s="158">
        <v>19.46</v>
      </c>
      <c r="R2103" s="563">
        <f t="shared" si="130"/>
        <v>1.4540520361439269E-2</v>
      </c>
      <c r="S2103" s="563">
        <f t="shared" si="131"/>
        <v>7.4544450579790311E-2</v>
      </c>
      <c r="AA2103" s="594">
        <v>44783</v>
      </c>
      <c r="AB2103" s="595" t="s">
        <v>449</v>
      </c>
      <c r="AC2103" s="595">
        <v>42494.85</v>
      </c>
      <c r="AD2103" s="596" t="s">
        <v>395</v>
      </c>
      <c r="AE2103" s="595">
        <v>75.09</v>
      </c>
      <c r="AF2103" s="597">
        <f t="shared" si="132"/>
        <v>9.4690167102811085E-3</v>
      </c>
      <c r="AG2103" s="597">
        <f t="shared" si="133"/>
        <v>7.486401374176932E-2</v>
      </c>
    </row>
    <row r="2104" spans="13:33" x14ac:dyDescent="0.35">
      <c r="M2104" s="555">
        <v>44788</v>
      </c>
      <c r="N2104" s="543" t="s">
        <v>449</v>
      </c>
      <c r="O2104" s="543">
        <v>43621.82</v>
      </c>
      <c r="P2104" s="73" t="s">
        <v>431</v>
      </c>
      <c r="Q2104" s="158">
        <v>19.72</v>
      </c>
      <c r="R2104" s="563">
        <f t="shared" si="130"/>
        <v>1.7832322271188028E-2</v>
      </c>
      <c r="S2104" s="563">
        <f t="shared" si="131"/>
        <v>1.3360739979444869E-2</v>
      </c>
      <c r="AA2104" s="594">
        <v>44784</v>
      </c>
      <c r="AB2104" s="595" t="s">
        <v>449</v>
      </c>
      <c r="AC2104" s="595">
        <v>42243.33</v>
      </c>
      <c r="AD2104" s="596" t="s">
        <v>395</v>
      </c>
      <c r="AE2104" s="595">
        <v>77</v>
      </c>
      <c r="AF2104" s="597">
        <f t="shared" si="132"/>
        <v>-5.9188348705783156E-3</v>
      </c>
      <c r="AG2104" s="597">
        <f t="shared" si="133"/>
        <v>2.5436143294712998E-2</v>
      </c>
    </row>
    <row r="2105" spans="13:33" x14ac:dyDescent="0.35">
      <c r="M2105" s="555">
        <v>44789</v>
      </c>
      <c r="N2105" s="543" t="s">
        <v>449</v>
      </c>
      <c r="O2105" s="543">
        <v>43436.480000000003</v>
      </c>
      <c r="P2105" s="73" t="s">
        <v>431</v>
      </c>
      <c r="Q2105" s="158">
        <v>19.04</v>
      </c>
      <c r="R2105" s="563">
        <f t="shared" si="130"/>
        <v>-4.24879108666254E-3</v>
      </c>
      <c r="S2105" s="563">
        <f t="shared" si="131"/>
        <v>-3.4482758620689613E-2</v>
      </c>
      <c r="AA2105" s="594">
        <v>44785</v>
      </c>
      <c r="AB2105" s="595" t="s">
        <v>449</v>
      </c>
      <c r="AC2105" s="595">
        <v>42857.57</v>
      </c>
      <c r="AD2105" s="596" t="s">
        <v>395</v>
      </c>
      <c r="AE2105" s="595">
        <v>75.5</v>
      </c>
      <c r="AF2105" s="597">
        <f t="shared" si="132"/>
        <v>1.4540520361439269E-2</v>
      </c>
      <c r="AG2105" s="597">
        <f t="shared" si="133"/>
        <v>-1.9480519480519431E-2</v>
      </c>
    </row>
    <row r="2106" spans="13:33" x14ac:dyDescent="0.35">
      <c r="M2106" s="555">
        <v>44790</v>
      </c>
      <c r="N2106" s="543" t="s">
        <v>449</v>
      </c>
      <c r="O2106" s="543">
        <v>43676.56</v>
      </c>
      <c r="P2106" s="73" t="s">
        <v>431</v>
      </c>
      <c r="Q2106" s="158">
        <v>18.989999999999998</v>
      </c>
      <c r="R2106" s="563">
        <f t="shared" si="130"/>
        <v>5.5271513713817111E-3</v>
      </c>
      <c r="S2106" s="563">
        <f t="shared" si="131"/>
        <v>-2.6260504201680579E-3</v>
      </c>
      <c r="AA2106" s="594">
        <v>44788</v>
      </c>
      <c r="AB2106" s="595" t="s">
        <v>449</v>
      </c>
      <c r="AC2106" s="595">
        <v>43621.82</v>
      </c>
      <c r="AD2106" s="596" t="s">
        <v>395</v>
      </c>
      <c r="AE2106" s="595">
        <v>77.48</v>
      </c>
      <c r="AF2106" s="597">
        <f t="shared" si="132"/>
        <v>1.7832322271188028E-2</v>
      </c>
      <c r="AG2106" s="597">
        <f t="shared" si="133"/>
        <v>2.6225165562913988E-2</v>
      </c>
    </row>
    <row r="2107" spans="13:33" x14ac:dyDescent="0.35">
      <c r="M2107" s="555">
        <v>44791</v>
      </c>
      <c r="N2107" s="543" t="s">
        <v>449</v>
      </c>
      <c r="O2107" s="543">
        <v>43481.5</v>
      </c>
      <c r="P2107" s="73" t="s">
        <v>431</v>
      </c>
      <c r="Q2107" s="158">
        <v>19.91</v>
      </c>
      <c r="R2107" s="563">
        <f t="shared" si="130"/>
        <v>-4.4660110594789693E-3</v>
      </c>
      <c r="S2107" s="563">
        <f t="shared" si="131"/>
        <v>4.8446550816219069E-2</v>
      </c>
      <c r="AA2107" s="594">
        <v>44789</v>
      </c>
      <c r="AB2107" s="595" t="s">
        <v>449</v>
      </c>
      <c r="AC2107" s="595">
        <v>43436.480000000003</v>
      </c>
      <c r="AD2107" s="596" t="s">
        <v>395</v>
      </c>
      <c r="AE2107" s="595">
        <v>77</v>
      </c>
      <c r="AF2107" s="597">
        <f t="shared" si="132"/>
        <v>-4.24879108666254E-3</v>
      </c>
      <c r="AG2107" s="597">
        <f t="shared" si="133"/>
        <v>-6.1951471347444498E-3</v>
      </c>
    </row>
    <row r="2108" spans="13:33" x14ac:dyDescent="0.35">
      <c r="M2108" s="555">
        <v>44792</v>
      </c>
      <c r="N2108" s="543" t="s">
        <v>449</v>
      </c>
      <c r="O2108" s="543">
        <v>43270.65</v>
      </c>
      <c r="P2108" s="73" t="s">
        <v>431</v>
      </c>
      <c r="Q2108" s="158">
        <v>19.829999999999998</v>
      </c>
      <c r="R2108" s="563">
        <f t="shared" si="130"/>
        <v>-4.8491887354391583E-3</v>
      </c>
      <c r="S2108" s="563">
        <f t="shared" si="131"/>
        <v>-4.0180813661477854E-3</v>
      </c>
      <c r="AA2108" s="594">
        <v>44790</v>
      </c>
      <c r="AB2108" s="595" t="s">
        <v>449</v>
      </c>
      <c r="AC2108" s="595">
        <v>43676.56</v>
      </c>
      <c r="AD2108" s="596" t="s">
        <v>395</v>
      </c>
      <c r="AE2108" s="595">
        <v>75.14</v>
      </c>
      <c r="AF2108" s="597">
        <f t="shared" si="132"/>
        <v>5.5271513713817111E-3</v>
      </c>
      <c r="AG2108" s="597">
        <f t="shared" si="133"/>
        <v>-2.4155844155844153E-2</v>
      </c>
    </row>
    <row r="2109" spans="13:33" x14ac:dyDescent="0.35">
      <c r="M2109" s="555">
        <v>44795</v>
      </c>
      <c r="N2109" s="543" t="s">
        <v>449</v>
      </c>
      <c r="O2109" s="543">
        <v>42826.66</v>
      </c>
      <c r="P2109" s="73" t="s">
        <v>431</v>
      </c>
      <c r="Q2109" s="158">
        <v>19.14</v>
      </c>
      <c r="R2109" s="563">
        <f t="shared" si="130"/>
        <v>-1.0260765669108274E-2</v>
      </c>
      <c r="S2109" s="563">
        <f t="shared" si="131"/>
        <v>-3.4795763993948459E-2</v>
      </c>
      <c r="AA2109" s="594">
        <v>44791</v>
      </c>
      <c r="AB2109" s="595" t="s">
        <v>449</v>
      </c>
      <c r="AC2109" s="595">
        <v>43481.5</v>
      </c>
      <c r="AD2109" s="596" t="s">
        <v>395</v>
      </c>
      <c r="AE2109" s="595">
        <v>74.489999999999995</v>
      </c>
      <c r="AF2109" s="597">
        <f t="shared" si="132"/>
        <v>-4.4660110594789693E-3</v>
      </c>
      <c r="AG2109" s="597">
        <f t="shared" si="133"/>
        <v>-8.65051903114189E-3</v>
      </c>
    </row>
    <row r="2110" spans="13:33" x14ac:dyDescent="0.35">
      <c r="M2110" s="555">
        <v>44796</v>
      </c>
      <c r="N2110" s="543" t="s">
        <v>449</v>
      </c>
      <c r="O2110" s="543">
        <v>43366.77</v>
      </c>
      <c r="P2110" s="73" t="s">
        <v>431</v>
      </c>
      <c r="Q2110" s="158">
        <v>19.21</v>
      </c>
      <c r="R2110" s="563">
        <f t="shared" si="130"/>
        <v>1.2611536832430881E-2</v>
      </c>
      <c r="S2110" s="563">
        <f t="shared" si="131"/>
        <v>3.6572622779520447E-3</v>
      </c>
      <c r="AA2110" s="594">
        <v>44792</v>
      </c>
      <c r="AB2110" s="595" t="s">
        <v>449</v>
      </c>
      <c r="AC2110" s="595">
        <v>43270.65</v>
      </c>
      <c r="AD2110" s="596" t="s">
        <v>395</v>
      </c>
      <c r="AE2110" s="595">
        <v>75.900000000000006</v>
      </c>
      <c r="AF2110" s="597">
        <f t="shared" si="132"/>
        <v>-4.8491887354391583E-3</v>
      </c>
      <c r="AG2110" s="597">
        <f t="shared" si="133"/>
        <v>1.8928715263794027E-2</v>
      </c>
    </row>
    <row r="2111" spans="13:33" x14ac:dyDescent="0.35">
      <c r="M2111" s="555">
        <v>44797</v>
      </c>
      <c r="N2111" s="543" t="s">
        <v>449</v>
      </c>
      <c r="O2111" s="543">
        <v>43337.97</v>
      </c>
      <c r="P2111" s="73" t="s">
        <v>431</v>
      </c>
      <c r="Q2111" s="158">
        <v>19.190000000000001</v>
      </c>
      <c r="R2111" s="563">
        <f t="shared" si="130"/>
        <v>-6.6410295256014162E-4</v>
      </c>
      <c r="S2111" s="563">
        <f t="shared" si="131"/>
        <v>-1.0411244143675447E-3</v>
      </c>
      <c r="AA2111" s="594">
        <v>44795</v>
      </c>
      <c r="AB2111" s="595" t="s">
        <v>449</v>
      </c>
      <c r="AC2111" s="595">
        <v>42826.66</v>
      </c>
      <c r="AD2111" s="596" t="s">
        <v>395</v>
      </c>
      <c r="AE2111" s="595">
        <v>73</v>
      </c>
      <c r="AF2111" s="597">
        <f t="shared" si="132"/>
        <v>-1.0260765669108274E-2</v>
      </c>
      <c r="AG2111" s="597">
        <f t="shared" si="133"/>
        <v>-3.820816864295129E-2</v>
      </c>
    </row>
    <row r="2112" spans="13:33" x14ac:dyDescent="0.35">
      <c r="M2112" s="526">
        <v>44799</v>
      </c>
      <c r="N2112" s="524" t="s">
        <v>449</v>
      </c>
      <c r="O2112" s="524">
        <v>42591.51</v>
      </c>
      <c r="P2112" s="73" t="s">
        <v>431</v>
      </c>
      <c r="Q2112">
        <v>19.079999999999998</v>
      </c>
      <c r="R2112" s="563">
        <f t="shared" si="130"/>
        <v>-1.7224157015199304E-2</v>
      </c>
      <c r="S2112" s="563">
        <f t="shared" si="131"/>
        <v>-5.7321521625848249E-3</v>
      </c>
      <c r="AA2112" s="594">
        <v>44796</v>
      </c>
      <c r="AB2112" s="595" t="s">
        <v>449</v>
      </c>
      <c r="AC2112" s="595">
        <v>43366.77</v>
      </c>
      <c r="AD2112" s="596" t="s">
        <v>395</v>
      </c>
      <c r="AE2112" s="595">
        <v>73</v>
      </c>
      <c r="AF2112" s="597">
        <f t="shared" si="132"/>
        <v>1.2611536832430881E-2</v>
      </c>
      <c r="AG2112" s="597">
        <f t="shared" si="133"/>
        <v>0</v>
      </c>
    </row>
    <row r="2113" spans="13:33" x14ac:dyDescent="0.35">
      <c r="M2113" s="555">
        <v>44802</v>
      </c>
      <c r="N2113" s="543" t="s">
        <v>449</v>
      </c>
      <c r="O2113" s="543">
        <v>42504.34</v>
      </c>
      <c r="P2113" s="73" t="s">
        <v>431</v>
      </c>
      <c r="Q2113" s="158">
        <v>18.98</v>
      </c>
      <c r="R2113" s="563">
        <f t="shared" si="130"/>
        <v>-2.0466520205554284E-3</v>
      </c>
      <c r="S2113" s="563">
        <f t="shared" si="131"/>
        <v>-5.2410901467504489E-3</v>
      </c>
      <c r="AA2113" s="594">
        <v>44797</v>
      </c>
      <c r="AB2113" s="595" t="s">
        <v>449</v>
      </c>
      <c r="AC2113" s="595">
        <v>43337.97</v>
      </c>
      <c r="AD2113" s="596" t="s">
        <v>395</v>
      </c>
      <c r="AE2113" s="595">
        <v>72.599999999999994</v>
      </c>
      <c r="AF2113" s="597">
        <f t="shared" si="132"/>
        <v>-6.6410295256014162E-4</v>
      </c>
      <c r="AG2113" s="597">
        <f t="shared" si="133"/>
        <v>-5.4794520547946091E-3</v>
      </c>
    </row>
    <row r="2114" spans="13:33" x14ac:dyDescent="0.35">
      <c r="M2114" s="555">
        <v>44803</v>
      </c>
      <c r="N2114" s="543" t="s">
        <v>449</v>
      </c>
      <c r="O2114" s="543">
        <v>42195.25</v>
      </c>
      <c r="P2114" s="73" t="s">
        <v>431</v>
      </c>
      <c r="Q2114" s="158">
        <v>18.91</v>
      </c>
      <c r="R2114" s="563">
        <f t="shared" si="130"/>
        <v>-7.2719632865725359E-3</v>
      </c>
      <c r="S2114" s="563">
        <f t="shared" si="131"/>
        <v>-3.6880927291886856E-3</v>
      </c>
      <c r="AA2114" s="594">
        <v>44799</v>
      </c>
      <c r="AB2114" s="595" t="s">
        <v>449</v>
      </c>
      <c r="AC2114" s="595">
        <v>42591.51</v>
      </c>
      <c r="AD2114" s="596" t="s">
        <v>395</v>
      </c>
      <c r="AE2114" s="595">
        <v>70.3</v>
      </c>
      <c r="AF2114" s="597">
        <f t="shared" si="132"/>
        <v>-1.7224157015199304E-2</v>
      </c>
      <c r="AG2114" s="597">
        <f t="shared" si="133"/>
        <v>-3.1680440771349794E-2</v>
      </c>
    </row>
    <row r="2115" spans="13:33" x14ac:dyDescent="0.35">
      <c r="M2115" s="555">
        <v>44804</v>
      </c>
      <c r="N2115" s="543" t="s">
        <v>449</v>
      </c>
      <c r="O2115" s="543">
        <v>42351.15</v>
      </c>
      <c r="P2115" s="73" t="s">
        <v>431</v>
      </c>
      <c r="Q2115" s="158">
        <v>18.829999999999998</v>
      </c>
      <c r="R2115" s="563">
        <f t="shared" si="130"/>
        <v>3.6947286720661054E-3</v>
      </c>
      <c r="S2115" s="563">
        <f t="shared" si="131"/>
        <v>-4.230565838180933E-3</v>
      </c>
      <c r="AA2115" s="594">
        <v>44802</v>
      </c>
      <c r="AB2115" s="595" t="s">
        <v>449</v>
      </c>
      <c r="AC2115" s="595">
        <v>42504.34</v>
      </c>
      <c r="AD2115" s="596" t="s">
        <v>395</v>
      </c>
      <c r="AE2115" s="595">
        <v>69.5</v>
      </c>
      <c r="AF2115" s="597">
        <f t="shared" si="132"/>
        <v>-2.0466520205554284E-3</v>
      </c>
      <c r="AG2115" s="597">
        <f t="shared" si="133"/>
        <v>-1.1379800853485E-2</v>
      </c>
    </row>
    <row r="2116" spans="13:33" x14ac:dyDescent="0.35">
      <c r="M2116" s="555">
        <v>44805</v>
      </c>
      <c r="N2116" s="543" t="s">
        <v>449</v>
      </c>
      <c r="O2116" s="543">
        <v>42460.08</v>
      </c>
      <c r="P2116" s="73" t="s">
        <v>431</v>
      </c>
      <c r="Q2116" s="158">
        <v>19.14</v>
      </c>
      <c r="R2116" s="563">
        <f t="shared" si="130"/>
        <v>2.5720671103381942E-3</v>
      </c>
      <c r="S2116" s="563">
        <f t="shared" si="131"/>
        <v>1.6463090812533387E-2</v>
      </c>
      <c r="AA2116" s="594">
        <v>44803</v>
      </c>
      <c r="AB2116" s="595" t="s">
        <v>449</v>
      </c>
      <c r="AC2116" s="595">
        <v>42195.25</v>
      </c>
      <c r="AD2116" s="596" t="s">
        <v>395</v>
      </c>
      <c r="AE2116" s="595">
        <v>69.010000000000005</v>
      </c>
      <c r="AF2116" s="597">
        <f t="shared" si="132"/>
        <v>-7.2719632865725359E-3</v>
      </c>
      <c r="AG2116" s="597">
        <f t="shared" si="133"/>
        <v>-7.0503597122301143E-3</v>
      </c>
    </row>
    <row r="2117" spans="13:33" x14ac:dyDescent="0.35">
      <c r="M2117" s="555">
        <v>44806</v>
      </c>
      <c r="N2117" s="543" t="s">
        <v>449</v>
      </c>
      <c r="O2117" s="543">
        <v>42309.11</v>
      </c>
      <c r="P2117" s="73" t="s">
        <v>431</v>
      </c>
      <c r="Q2117" s="158">
        <v>18.82</v>
      </c>
      <c r="R2117" s="563">
        <f t="shared" si="130"/>
        <v>-3.5555750248233986E-3</v>
      </c>
      <c r="S2117" s="563">
        <f t="shared" si="131"/>
        <v>-1.6718913270637459E-2</v>
      </c>
      <c r="AA2117" s="594">
        <v>44804</v>
      </c>
      <c r="AB2117" s="595" t="s">
        <v>449</v>
      </c>
      <c r="AC2117" s="595">
        <v>42351.15</v>
      </c>
      <c r="AD2117" s="596" t="s">
        <v>395</v>
      </c>
      <c r="AE2117" s="595">
        <v>72.5</v>
      </c>
      <c r="AF2117" s="597">
        <f t="shared" si="132"/>
        <v>3.6947286720661054E-3</v>
      </c>
      <c r="AG2117" s="597">
        <f t="shared" si="133"/>
        <v>5.057238081437454E-2</v>
      </c>
    </row>
    <row r="2118" spans="13:33" x14ac:dyDescent="0.35">
      <c r="M2118" s="526">
        <v>44810</v>
      </c>
      <c r="N2118" s="524" t="s">
        <v>449</v>
      </c>
      <c r="O2118" s="524">
        <v>41860.36</v>
      </c>
      <c r="P2118" s="73" t="s">
        <v>431</v>
      </c>
      <c r="Q2118">
        <v>17.93</v>
      </c>
      <c r="R2118" s="563">
        <f t="shared" si="130"/>
        <v>-1.0606462768892988E-2</v>
      </c>
      <c r="S2118" s="563">
        <f t="shared" si="131"/>
        <v>-4.72901168969182E-2</v>
      </c>
      <c r="AA2118" s="594">
        <v>44805</v>
      </c>
      <c r="AB2118" s="595" t="s">
        <v>449</v>
      </c>
      <c r="AC2118" s="595">
        <v>42460.08</v>
      </c>
      <c r="AD2118" s="596" t="s">
        <v>395</v>
      </c>
      <c r="AE2118" s="595">
        <v>70.02</v>
      </c>
      <c r="AF2118" s="597">
        <f t="shared" si="132"/>
        <v>2.5720671103381942E-3</v>
      </c>
      <c r="AG2118" s="597">
        <f t="shared" si="133"/>
        <v>-3.4206896551724153E-2</v>
      </c>
    </row>
    <row r="2119" spans="13:33" x14ac:dyDescent="0.35">
      <c r="M2119" s="555">
        <v>44811</v>
      </c>
      <c r="N2119" s="543" t="s">
        <v>449</v>
      </c>
      <c r="O2119" s="543">
        <v>41766.050000000003</v>
      </c>
      <c r="P2119" s="73" t="s">
        <v>431</v>
      </c>
      <c r="Q2119" s="158">
        <v>17.95</v>
      </c>
      <c r="R2119" s="563">
        <f t="shared" si="130"/>
        <v>-2.2529667685609045E-3</v>
      </c>
      <c r="S2119" s="563">
        <f t="shared" si="131"/>
        <v>1.115448968209698E-3</v>
      </c>
      <c r="AA2119" s="594">
        <v>44806</v>
      </c>
      <c r="AB2119" s="595" t="s">
        <v>449</v>
      </c>
      <c r="AC2119" s="595">
        <v>42309.11</v>
      </c>
      <c r="AD2119" s="596" t="s">
        <v>395</v>
      </c>
      <c r="AE2119" s="595">
        <v>69.5</v>
      </c>
      <c r="AF2119" s="597">
        <f t="shared" si="132"/>
        <v>-3.5555750248233986E-3</v>
      </c>
      <c r="AG2119" s="597">
        <f t="shared" si="133"/>
        <v>-7.4264495858326063E-3</v>
      </c>
    </row>
    <row r="2120" spans="13:33" x14ac:dyDescent="0.35">
      <c r="M2120" s="555">
        <v>44812</v>
      </c>
      <c r="N2120" s="543" t="s">
        <v>449</v>
      </c>
      <c r="O2120" s="543">
        <v>41824.79</v>
      </c>
      <c r="P2120" s="73" t="s">
        <v>431</v>
      </c>
      <c r="Q2120" s="158">
        <v>17.920000000000002</v>
      </c>
      <c r="R2120" s="563">
        <f t="shared" si="130"/>
        <v>1.4064054417404215E-3</v>
      </c>
      <c r="S2120" s="563">
        <f t="shared" si="131"/>
        <v>-1.6713091922003764E-3</v>
      </c>
      <c r="AA2120" s="594">
        <v>44810</v>
      </c>
      <c r="AB2120" s="595" t="s">
        <v>449</v>
      </c>
      <c r="AC2120" s="595">
        <v>41860.36</v>
      </c>
      <c r="AD2120" s="596" t="s">
        <v>395</v>
      </c>
      <c r="AE2120" s="595">
        <v>69</v>
      </c>
      <c r="AF2120" s="597">
        <f t="shared" si="132"/>
        <v>-1.0606462768892988E-2</v>
      </c>
      <c r="AG2120" s="597">
        <f t="shared" si="133"/>
        <v>-7.194244604316502E-3</v>
      </c>
    </row>
    <row r="2121" spans="13:33" x14ac:dyDescent="0.35">
      <c r="M2121" s="555">
        <v>44813</v>
      </c>
      <c r="N2121" s="543" t="s">
        <v>449</v>
      </c>
      <c r="O2121" s="543">
        <v>41948.160000000003</v>
      </c>
      <c r="P2121" s="73" t="s">
        <v>431</v>
      </c>
      <c r="Q2121" s="158">
        <v>17.78</v>
      </c>
      <c r="R2121" s="563">
        <f t="shared" si="130"/>
        <v>2.9496860593920537E-3</v>
      </c>
      <c r="S2121" s="563">
        <f t="shared" si="131"/>
        <v>-7.8125E-3</v>
      </c>
      <c r="AA2121" s="594">
        <v>44811</v>
      </c>
      <c r="AB2121" s="595" t="s">
        <v>449</v>
      </c>
      <c r="AC2121" s="595">
        <v>41766.050000000003</v>
      </c>
      <c r="AD2121" s="596" t="s">
        <v>395</v>
      </c>
      <c r="AE2121" s="595">
        <v>70</v>
      </c>
      <c r="AF2121" s="597">
        <f t="shared" si="132"/>
        <v>-2.2529667685609045E-3</v>
      </c>
      <c r="AG2121" s="597">
        <f t="shared" si="133"/>
        <v>1.449275362318847E-2</v>
      </c>
    </row>
    <row r="2122" spans="13:33" x14ac:dyDescent="0.35">
      <c r="M2122" s="555">
        <v>44816</v>
      </c>
      <c r="N2122" s="543" t="s">
        <v>449</v>
      </c>
      <c r="O2122" s="543">
        <v>41862.29</v>
      </c>
      <c r="P2122" s="73" t="s">
        <v>431</v>
      </c>
      <c r="Q2122" s="158">
        <v>17.739999999999998</v>
      </c>
      <c r="R2122" s="563">
        <f t="shared" si="130"/>
        <v>-2.0470504546564738E-3</v>
      </c>
      <c r="S2122" s="563">
        <f t="shared" si="131"/>
        <v>-2.2497187851520106E-3</v>
      </c>
      <c r="AA2122" s="594">
        <v>44812</v>
      </c>
      <c r="AB2122" s="595" t="s">
        <v>449</v>
      </c>
      <c r="AC2122" s="595">
        <v>41824.79</v>
      </c>
      <c r="AD2122" s="596" t="s">
        <v>395</v>
      </c>
      <c r="AE2122" s="595">
        <v>70.5</v>
      </c>
      <c r="AF2122" s="597">
        <f t="shared" si="132"/>
        <v>1.4064054417404215E-3</v>
      </c>
      <c r="AG2122" s="597">
        <f t="shared" si="133"/>
        <v>7.1428571428571175E-3</v>
      </c>
    </row>
    <row r="2123" spans="13:33" x14ac:dyDescent="0.35">
      <c r="M2123" s="555">
        <v>44817</v>
      </c>
      <c r="N2123" s="543" t="s">
        <v>449</v>
      </c>
      <c r="O2123" s="543">
        <v>42001.34</v>
      </c>
      <c r="P2123" s="73" t="s">
        <v>431</v>
      </c>
      <c r="Q2123" s="158">
        <v>17.649999999999999</v>
      </c>
      <c r="R2123" s="563">
        <f t="shared" si="130"/>
        <v>3.321605196466626E-3</v>
      </c>
      <c r="S2123" s="563">
        <f t="shared" si="131"/>
        <v>-5.0732807215332354E-3</v>
      </c>
      <c r="AA2123" s="594">
        <v>44813</v>
      </c>
      <c r="AB2123" s="595" t="s">
        <v>449</v>
      </c>
      <c r="AC2123" s="595">
        <v>41948.160000000003</v>
      </c>
      <c r="AD2123" s="596" t="s">
        <v>395</v>
      </c>
      <c r="AE2123" s="595">
        <v>70.78</v>
      </c>
      <c r="AF2123" s="597">
        <f t="shared" si="132"/>
        <v>2.9496860593920537E-3</v>
      </c>
      <c r="AG2123" s="597">
        <f t="shared" si="133"/>
        <v>3.9716312056736758E-3</v>
      </c>
    </row>
    <row r="2124" spans="13:33" x14ac:dyDescent="0.35">
      <c r="M2124" s="555">
        <v>44818</v>
      </c>
      <c r="N2124" s="543" t="s">
        <v>449</v>
      </c>
      <c r="O2124" s="543">
        <v>42011.82</v>
      </c>
      <c r="P2124" s="73" t="s">
        <v>431</v>
      </c>
      <c r="Q2124" s="158">
        <v>17.559999999999999</v>
      </c>
      <c r="R2124" s="563">
        <f t="shared" si="130"/>
        <v>2.4951584878007971E-4</v>
      </c>
      <c r="S2124" s="563">
        <f t="shared" si="131"/>
        <v>-5.0991501416430829E-3</v>
      </c>
      <c r="AA2124" s="594">
        <v>44816</v>
      </c>
      <c r="AB2124" s="595" t="s">
        <v>449</v>
      </c>
      <c r="AC2124" s="595">
        <v>41862.29</v>
      </c>
      <c r="AD2124" s="596" t="s">
        <v>395</v>
      </c>
      <c r="AE2124" s="595">
        <v>65.83</v>
      </c>
      <c r="AF2124" s="597">
        <f t="shared" si="132"/>
        <v>-2.0470504546564738E-3</v>
      </c>
      <c r="AG2124" s="597">
        <f t="shared" si="133"/>
        <v>-6.9935009889799393E-2</v>
      </c>
    </row>
    <row r="2125" spans="13:33" x14ac:dyDescent="0.35">
      <c r="M2125" s="555">
        <v>44819</v>
      </c>
      <c r="N2125" s="543" t="s">
        <v>449</v>
      </c>
      <c r="O2125" s="543">
        <v>41772.089999999997</v>
      </c>
      <c r="P2125" s="73" t="s">
        <v>431</v>
      </c>
      <c r="Q2125" s="158">
        <v>17.510000000000002</v>
      </c>
      <c r="R2125" s="563">
        <f t="shared" si="130"/>
        <v>-5.7062512407223265E-3</v>
      </c>
      <c r="S2125" s="563">
        <f t="shared" si="131"/>
        <v>-2.8473804100226374E-3</v>
      </c>
      <c r="AA2125" s="594">
        <v>44817</v>
      </c>
      <c r="AB2125" s="595" t="s">
        <v>449</v>
      </c>
      <c r="AC2125" s="595">
        <v>42001.34</v>
      </c>
      <c r="AD2125" s="596" t="s">
        <v>395</v>
      </c>
      <c r="AE2125" s="595">
        <v>66.2</v>
      </c>
      <c r="AF2125" s="597">
        <f t="shared" si="132"/>
        <v>3.321605196466626E-3</v>
      </c>
      <c r="AG2125" s="597">
        <f t="shared" si="133"/>
        <v>5.6205377487468233E-3</v>
      </c>
    </row>
    <row r="2126" spans="13:33" x14ac:dyDescent="0.35">
      <c r="M2126" s="555">
        <v>44820</v>
      </c>
      <c r="N2126" s="543" t="s">
        <v>449</v>
      </c>
      <c r="O2126" s="543">
        <v>41679.49</v>
      </c>
      <c r="P2126" s="73" t="s">
        <v>431</v>
      </c>
      <c r="Q2126" s="158">
        <v>17.46</v>
      </c>
      <c r="R2126" s="563">
        <f t="shared" si="130"/>
        <v>-2.2167911636692406E-3</v>
      </c>
      <c r="S2126" s="563">
        <f t="shared" si="131"/>
        <v>-2.855511136493516E-3</v>
      </c>
      <c r="AA2126" s="594">
        <v>44818</v>
      </c>
      <c r="AB2126" s="595" t="s">
        <v>449</v>
      </c>
      <c r="AC2126" s="595">
        <v>42011.82</v>
      </c>
      <c r="AD2126" s="596" t="s">
        <v>395</v>
      </c>
      <c r="AE2126" s="595">
        <v>66</v>
      </c>
      <c r="AF2126" s="597">
        <f t="shared" si="132"/>
        <v>2.4951584878007971E-4</v>
      </c>
      <c r="AG2126" s="597">
        <f t="shared" si="133"/>
        <v>-3.0211480362538623E-3</v>
      </c>
    </row>
    <row r="2127" spans="13:33" x14ac:dyDescent="0.35">
      <c r="M2127" s="555">
        <v>44823</v>
      </c>
      <c r="N2127" s="543" t="s">
        <v>449</v>
      </c>
      <c r="O2127" s="543">
        <v>41520.589999999997</v>
      </c>
      <c r="P2127" s="73" t="s">
        <v>431</v>
      </c>
      <c r="Q2127" s="158">
        <v>17.239999999999998</v>
      </c>
      <c r="R2127" s="563">
        <f t="shared" si="130"/>
        <v>-3.8124266875626533E-3</v>
      </c>
      <c r="S2127" s="563">
        <f t="shared" si="131"/>
        <v>-1.2600229095074633E-2</v>
      </c>
      <c r="AA2127" s="594">
        <v>44819</v>
      </c>
      <c r="AB2127" s="595" t="s">
        <v>449</v>
      </c>
      <c r="AC2127" s="595">
        <v>41772.089999999997</v>
      </c>
      <c r="AD2127" s="596" t="s">
        <v>395</v>
      </c>
      <c r="AE2127" s="595">
        <v>67.099999999999994</v>
      </c>
      <c r="AF2127" s="597">
        <f t="shared" si="132"/>
        <v>-5.7062512407223265E-3</v>
      </c>
      <c r="AG2127" s="597">
        <f t="shared" si="133"/>
        <v>1.6666666666666607E-2</v>
      </c>
    </row>
    <row r="2128" spans="13:33" x14ac:dyDescent="0.35">
      <c r="M2128" s="555">
        <v>44824</v>
      </c>
      <c r="N2128" s="543" t="s">
        <v>449</v>
      </c>
      <c r="O2128" s="543">
        <v>41220.910000000003</v>
      </c>
      <c r="P2128" s="73" t="s">
        <v>431</v>
      </c>
      <c r="Q2128" s="158">
        <v>17.11</v>
      </c>
      <c r="R2128" s="563">
        <f t="shared" si="130"/>
        <v>-7.217623834343212E-3</v>
      </c>
      <c r="S2128" s="563">
        <f t="shared" si="131"/>
        <v>-7.5406032482597807E-3</v>
      </c>
      <c r="AA2128" s="594">
        <v>44820</v>
      </c>
      <c r="AB2128" s="595" t="s">
        <v>449</v>
      </c>
      <c r="AC2128" s="595">
        <v>41679.49</v>
      </c>
      <c r="AD2128" s="596" t="s">
        <v>395</v>
      </c>
      <c r="AE2128" s="595">
        <v>68.38</v>
      </c>
      <c r="AF2128" s="597">
        <f t="shared" si="132"/>
        <v>-2.2167911636692406E-3</v>
      </c>
      <c r="AG2128" s="597">
        <f t="shared" si="133"/>
        <v>1.9076005961251807E-2</v>
      </c>
    </row>
    <row r="2129" spans="13:33" x14ac:dyDescent="0.35">
      <c r="M2129" s="526">
        <v>44826</v>
      </c>
      <c r="N2129" s="524" t="s">
        <v>449</v>
      </c>
      <c r="O2129" s="524">
        <v>40927.949999999997</v>
      </c>
      <c r="P2129" s="73" t="s">
        <v>431</v>
      </c>
      <c r="Q2129">
        <v>16.55</v>
      </c>
      <c r="R2129" s="563">
        <f t="shared" si="130"/>
        <v>-7.1070725998044759E-3</v>
      </c>
      <c r="S2129" s="563">
        <f t="shared" si="131"/>
        <v>-3.2729398012857902E-2</v>
      </c>
      <c r="AA2129" s="594">
        <v>44823</v>
      </c>
      <c r="AB2129" s="595" t="s">
        <v>449</v>
      </c>
      <c r="AC2129" s="595">
        <v>41520.589999999997</v>
      </c>
      <c r="AD2129" s="596" t="s">
        <v>395</v>
      </c>
      <c r="AE2129" s="595">
        <v>68.38</v>
      </c>
      <c r="AF2129" s="597">
        <f t="shared" si="132"/>
        <v>-3.8124266875626533E-3</v>
      </c>
      <c r="AG2129" s="597">
        <f t="shared" si="133"/>
        <v>0</v>
      </c>
    </row>
    <row r="2130" spans="13:33" x14ac:dyDescent="0.35">
      <c r="M2130" s="555">
        <v>44827</v>
      </c>
      <c r="N2130" s="543" t="s">
        <v>449</v>
      </c>
      <c r="O2130" s="543">
        <v>40620.21</v>
      </c>
      <c r="P2130" s="73" t="s">
        <v>431</v>
      </c>
      <c r="Q2130" s="158">
        <v>16.18</v>
      </c>
      <c r="R2130" s="563">
        <f t="shared" si="130"/>
        <v>-7.5190670434263085E-3</v>
      </c>
      <c r="S2130" s="563">
        <f t="shared" si="131"/>
        <v>-2.2356495468278004E-2</v>
      </c>
      <c r="AA2130" s="594">
        <v>44824</v>
      </c>
      <c r="AB2130" s="595" t="s">
        <v>449</v>
      </c>
      <c r="AC2130" s="595">
        <v>41220.910000000003</v>
      </c>
      <c r="AD2130" s="596" t="s">
        <v>395</v>
      </c>
      <c r="AE2130" s="595">
        <v>68</v>
      </c>
      <c r="AF2130" s="597">
        <f t="shared" si="132"/>
        <v>-7.217623834343212E-3</v>
      </c>
      <c r="AG2130" s="597">
        <f t="shared" si="133"/>
        <v>-5.55718046212339E-3</v>
      </c>
    </row>
    <row r="2131" spans="13:33" x14ac:dyDescent="0.35">
      <c r="M2131" s="555">
        <v>44830</v>
      </c>
      <c r="N2131" s="543" t="s">
        <v>449</v>
      </c>
      <c r="O2131" s="543">
        <v>41151.54</v>
      </c>
      <c r="P2131" s="73" t="s">
        <v>431</v>
      </c>
      <c r="Q2131" s="158">
        <v>17.34</v>
      </c>
      <c r="R2131" s="563">
        <f t="shared" si="130"/>
        <v>1.3080434591549395E-2</v>
      </c>
      <c r="S2131" s="563">
        <f t="shared" si="131"/>
        <v>7.1693448702101259E-2</v>
      </c>
      <c r="AA2131" s="594">
        <v>44826</v>
      </c>
      <c r="AB2131" s="595" t="s">
        <v>449</v>
      </c>
      <c r="AC2131" s="595">
        <v>40927.949999999997</v>
      </c>
      <c r="AD2131" s="596" t="s">
        <v>395</v>
      </c>
      <c r="AE2131" s="595">
        <v>67.78</v>
      </c>
      <c r="AF2131" s="597">
        <f t="shared" si="132"/>
        <v>-7.1070725998044759E-3</v>
      </c>
      <c r="AG2131" s="597">
        <f t="shared" si="133"/>
        <v>-3.2352941176470029E-3</v>
      </c>
    </row>
    <row r="2132" spans="13:33" x14ac:dyDescent="0.35">
      <c r="M2132" s="555">
        <v>44831</v>
      </c>
      <c r="N2132" s="543" t="s">
        <v>449</v>
      </c>
      <c r="O2132" s="543">
        <v>41518.230000000003</v>
      </c>
      <c r="P2132" s="73" t="s">
        <v>431</v>
      </c>
      <c r="Q2132" s="158">
        <v>17.579999999999998</v>
      </c>
      <c r="R2132" s="563">
        <f t="shared" si="130"/>
        <v>8.9107236327001793E-3</v>
      </c>
      <c r="S2132" s="563">
        <f t="shared" si="131"/>
        <v>1.384083044982698E-2</v>
      </c>
      <c r="AA2132" s="594">
        <v>44827</v>
      </c>
      <c r="AB2132" s="595" t="s">
        <v>449</v>
      </c>
      <c r="AC2132" s="595">
        <v>40620.21</v>
      </c>
      <c r="AD2132" s="596" t="s">
        <v>395</v>
      </c>
      <c r="AE2132" s="595">
        <v>63.61</v>
      </c>
      <c r="AF2132" s="597">
        <f t="shared" si="132"/>
        <v>-7.5190670434263085E-3</v>
      </c>
      <c r="AG2132" s="597">
        <f t="shared" si="133"/>
        <v>-6.1522573030392436E-2</v>
      </c>
    </row>
    <row r="2133" spans="13:33" x14ac:dyDescent="0.35">
      <c r="M2133" s="555">
        <v>44832</v>
      </c>
      <c r="N2133" s="543" t="s">
        <v>449</v>
      </c>
      <c r="O2133" s="543">
        <v>41435.129999999997</v>
      </c>
      <c r="P2133" s="73" t="s">
        <v>431</v>
      </c>
      <c r="Q2133" s="158">
        <v>17.600000000000001</v>
      </c>
      <c r="R2133" s="563">
        <f t="shared" si="130"/>
        <v>-2.0015304120625244E-3</v>
      </c>
      <c r="S2133" s="563">
        <f t="shared" si="131"/>
        <v>1.1376564277589818E-3</v>
      </c>
      <c r="AA2133" s="594">
        <v>44830</v>
      </c>
      <c r="AB2133" s="595" t="s">
        <v>449</v>
      </c>
      <c r="AC2133" s="595">
        <v>41151.54</v>
      </c>
      <c r="AD2133" s="596" t="s">
        <v>395</v>
      </c>
      <c r="AE2133" s="595">
        <v>63.16</v>
      </c>
      <c r="AF2133" s="597">
        <f t="shared" si="132"/>
        <v>1.3080434591549395E-2</v>
      </c>
      <c r="AG2133" s="597">
        <f t="shared" si="133"/>
        <v>-7.074359377456374E-3</v>
      </c>
    </row>
    <row r="2134" spans="13:33" x14ac:dyDescent="0.35">
      <c r="M2134" s="555">
        <v>44833</v>
      </c>
      <c r="N2134" s="543" t="s">
        <v>449</v>
      </c>
      <c r="O2134" s="543">
        <v>41013.86</v>
      </c>
      <c r="P2134" s="73" t="s">
        <v>431</v>
      </c>
      <c r="Q2134" s="158">
        <v>17.38</v>
      </c>
      <c r="R2134" s="563">
        <f t="shared" si="130"/>
        <v>-1.0166976669314098E-2</v>
      </c>
      <c r="S2134" s="563">
        <f t="shared" si="131"/>
        <v>-1.2500000000000178E-2</v>
      </c>
      <c r="AA2134" s="594">
        <v>44831</v>
      </c>
      <c r="AB2134" s="595" t="s">
        <v>449</v>
      </c>
      <c r="AC2134" s="595">
        <v>41518.230000000003</v>
      </c>
      <c r="AD2134" s="596" t="s">
        <v>395</v>
      </c>
      <c r="AE2134" s="595">
        <v>63.05</v>
      </c>
      <c r="AF2134" s="597">
        <f t="shared" si="132"/>
        <v>8.9107236327001793E-3</v>
      </c>
      <c r="AG2134" s="597">
        <f t="shared" si="133"/>
        <v>-1.741608613046175E-3</v>
      </c>
    </row>
    <row r="2135" spans="13:33" x14ac:dyDescent="0.35">
      <c r="M2135" s="555">
        <v>44834</v>
      </c>
      <c r="N2135" s="543" t="s">
        <v>449</v>
      </c>
      <c r="O2135" s="543">
        <v>41128.67</v>
      </c>
      <c r="P2135" s="73" t="s">
        <v>431</v>
      </c>
      <c r="Q2135" s="158">
        <v>17.22</v>
      </c>
      <c r="R2135" s="563">
        <f t="shared" si="130"/>
        <v>2.799297603298001E-3</v>
      </c>
      <c r="S2135" s="563">
        <f t="shared" si="131"/>
        <v>-9.205983889528202E-3</v>
      </c>
      <c r="AA2135" s="594">
        <v>44832</v>
      </c>
      <c r="AB2135" s="595" t="s">
        <v>449</v>
      </c>
      <c r="AC2135" s="595">
        <v>41435.129999999997</v>
      </c>
      <c r="AD2135" s="596" t="s">
        <v>395</v>
      </c>
      <c r="AE2135" s="595">
        <v>62.29</v>
      </c>
      <c r="AF2135" s="597">
        <f t="shared" si="132"/>
        <v>-2.0015304120625244E-3</v>
      </c>
      <c r="AG2135" s="597">
        <f t="shared" si="133"/>
        <v>-1.2053925455987269E-2</v>
      </c>
    </row>
    <row r="2136" spans="13:33" x14ac:dyDescent="0.35">
      <c r="M2136" s="555">
        <v>44837</v>
      </c>
      <c r="N2136" s="543" t="s">
        <v>449</v>
      </c>
      <c r="O2136" s="73">
        <v>41211.699999999997</v>
      </c>
      <c r="Q2136" s="158">
        <v>16.98</v>
      </c>
      <c r="R2136" s="563">
        <f t="shared" si="130"/>
        <v>2.0187864086049778E-3</v>
      </c>
      <c r="S2136" s="563">
        <f t="shared" si="131"/>
        <v>-1.3937282229965042E-2</v>
      </c>
      <c r="AA2136" s="594">
        <v>44833</v>
      </c>
      <c r="AB2136" s="595" t="s">
        <v>449</v>
      </c>
      <c r="AC2136" s="595">
        <v>41013.86</v>
      </c>
      <c r="AD2136" s="596" t="s">
        <v>395</v>
      </c>
      <c r="AE2136" s="595">
        <v>62</v>
      </c>
      <c r="AF2136" s="597">
        <f t="shared" si="132"/>
        <v>-1.0166976669314098E-2</v>
      </c>
      <c r="AG2136" s="597">
        <f t="shared" si="133"/>
        <v>-4.6556429603467064E-3</v>
      </c>
    </row>
    <row r="2137" spans="13:33" x14ac:dyDescent="0.35">
      <c r="M2137" s="555">
        <v>44838</v>
      </c>
      <c r="N2137" s="543" t="s">
        <v>449</v>
      </c>
      <c r="O2137" s="73">
        <v>41350.43</v>
      </c>
      <c r="Q2137" s="158">
        <v>16.95</v>
      </c>
      <c r="R2137" s="563">
        <f t="shared" si="130"/>
        <v>3.366277052390565E-3</v>
      </c>
      <c r="S2137" s="563">
        <f t="shared" si="131"/>
        <v>-1.7667844522968323E-3</v>
      </c>
      <c r="AA2137" s="594">
        <v>44834</v>
      </c>
      <c r="AB2137" s="595" t="s">
        <v>449</v>
      </c>
      <c r="AC2137" s="595">
        <v>41128.67</v>
      </c>
      <c r="AD2137" s="596" t="s">
        <v>395</v>
      </c>
      <c r="AE2137" s="595">
        <v>62</v>
      </c>
      <c r="AF2137" s="597">
        <f t="shared" si="132"/>
        <v>2.799297603298001E-3</v>
      </c>
      <c r="AG2137" s="597">
        <f t="shared" si="133"/>
        <v>0</v>
      </c>
    </row>
    <row r="2138" spans="13:33" x14ac:dyDescent="0.35">
      <c r="M2138" s="555">
        <v>44839</v>
      </c>
      <c r="N2138" s="543" t="s">
        <v>449</v>
      </c>
      <c r="O2138" s="73">
        <v>41611.42</v>
      </c>
      <c r="Q2138" s="158">
        <v>16.95</v>
      </c>
      <c r="R2138" s="563">
        <f t="shared" ref="R2138:R2201" si="134">(O2138/O2137)-1</f>
        <v>6.3116635062803184E-3</v>
      </c>
      <c r="S2138" s="563">
        <f t="shared" ref="S2138:S2201" si="135">(Q2138/Q2137)-1</f>
        <v>0</v>
      </c>
      <c r="AA2138" s="594">
        <v>44837</v>
      </c>
      <c r="AB2138" s="595" t="s">
        <v>449</v>
      </c>
      <c r="AC2138" s="595">
        <v>41211.699999999997</v>
      </c>
      <c r="AD2138" s="596" t="s">
        <v>395</v>
      </c>
      <c r="AE2138" s="595">
        <v>63</v>
      </c>
      <c r="AF2138" s="597">
        <f t="shared" si="132"/>
        <v>2.0187864086049778E-3</v>
      </c>
      <c r="AG2138" s="597">
        <f t="shared" si="133"/>
        <v>1.6129032258064502E-2</v>
      </c>
    </row>
    <row r="2139" spans="13:33" x14ac:dyDescent="0.35">
      <c r="M2139" s="555">
        <v>44840</v>
      </c>
      <c r="N2139" s="543" t="s">
        <v>449</v>
      </c>
      <c r="O2139" s="73">
        <v>42160.57</v>
      </c>
      <c r="Q2139" s="158">
        <v>17.45</v>
      </c>
      <c r="R2139" s="563">
        <f t="shared" si="134"/>
        <v>1.3197098296573451E-2</v>
      </c>
      <c r="S2139" s="563">
        <f t="shared" si="135"/>
        <v>2.9498525073746285E-2</v>
      </c>
      <c r="AA2139" s="594">
        <v>44838</v>
      </c>
      <c r="AB2139" s="595" t="s">
        <v>449</v>
      </c>
      <c r="AC2139" s="595">
        <v>41350.43</v>
      </c>
      <c r="AD2139" s="596" t="s">
        <v>395</v>
      </c>
      <c r="AE2139" s="595">
        <v>62.5</v>
      </c>
      <c r="AF2139" s="597">
        <f t="shared" si="132"/>
        <v>3.366277052390565E-3</v>
      </c>
      <c r="AG2139" s="597">
        <f t="shared" si="133"/>
        <v>-7.9365079365079083E-3</v>
      </c>
    </row>
    <row r="2140" spans="13:33" x14ac:dyDescent="0.35">
      <c r="M2140" s="555">
        <v>44841</v>
      </c>
      <c r="N2140" s="543" t="s">
        <v>449</v>
      </c>
      <c r="O2140" s="73">
        <v>42085.25</v>
      </c>
      <c r="Q2140" s="158">
        <v>17.13</v>
      </c>
      <c r="R2140" s="563">
        <f t="shared" si="134"/>
        <v>-1.7865033608416292E-3</v>
      </c>
      <c r="S2140" s="563">
        <f t="shared" si="135"/>
        <v>-1.833810888252152E-2</v>
      </c>
      <c r="AA2140" s="594">
        <v>44839</v>
      </c>
      <c r="AB2140" s="595" t="s">
        <v>449</v>
      </c>
      <c r="AC2140" s="595">
        <v>41611.42</v>
      </c>
      <c r="AD2140" s="596" t="s">
        <v>395</v>
      </c>
      <c r="AE2140" s="595">
        <v>62.53</v>
      </c>
      <c r="AF2140" s="597">
        <f t="shared" ref="AF2140:AF2203" si="136">(AC2140/AC2139)-1</f>
        <v>6.3116635062803184E-3</v>
      </c>
      <c r="AG2140" s="597">
        <f t="shared" ref="AG2140:AG2203" si="137">(AE2140/AE2139)-1</f>
        <v>4.8000000000003595E-4</v>
      </c>
    </row>
    <row r="2141" spans="13:33" x14ac:dyDescent="0.35">
      <c r="M2141" s="555">
        <v>44844</v>
      </c>
      <c r="N2141" s="543" t="s">
        <v>449</v>
      </c>
      <c r="O2141" s="73">
        <v>42211.64</v>
      </c>
      <c r="Q2141" s="158">
        <v>17.46</v>
      </c>
      <c r="R2141" s="563">
        <f t="shared" si="134"/>
        <v>3.0031899537248385E-3</v>
      </c>
      <c r="S2141" s="563">
        <f t="shared" si="135"/>
        <v>1.9264448336252293E-2</v>
      </c>
      <c r="AA2141" s="594">
        <v>44840</v>
      </c>
      <c r="AB2141" s="595" t="s">
        <v>449</v>
      </c>
      <c r="AC2141" s="595">
        <v>42160.57</v>
      </c>
      <c r="AD2141" s="596" t="s">
        <v>395</v>
      </c>
      <c r="AE2141" s="595">
        <v>63.5</v>
      </c>
      <c r="AF2141" s="597">
        <f t="shared" si="136"/>
        <v>1.3197098296573451E-2</v>
      </c>
      <c r="AG2141" s="597">
        <f t="shared" si="137"/>
        <v>1.5512553974092347E-2</v>
      </c>
    </row>
    <row r="2142" spans="13:33" x14ac:dyDescent="0.35">
      <c r="M2142" s="555">
        <v>44845</v>
      </c>
      <c r="N2142" s="543" t="s">
        <v>449</v>
      </c>
      <c r="O2142" s="73">
        <v>42155.48</v>
      </c>
      <c r="Q2142" s="158">
        <v>18.22</v>
      </c>
      <c r="R2142" s="563">
        <f t="shared" si="134"/>
        <v>-1.3304387131131135E-3</v>
      </c>
      <c r="S2142" s="563">
        <f t="shared" si="135"/>
        <v>4.3528064146620693E-2</v>
      </c>
      <c r="AA2142" s="594">
        <v>44841</v>
      </c>
      <c r="AB2142" s="595" t="s">
        <v>449</v>
      </c>
      <c r="AC2142" s="595">
        <v>42085.25</v>
      </c>
      <c r="AD2142" s="596" t="s">
        <v>395</v>
      </c>
      <c r="AE2142" s="595">
        <v>62</v>
      </c>
      <c r="AF2142" s="597">
        <f t="shared" si="136"/>
        <v>-1.7865033608416292E-3</v>
      </c>
      <c r="AG2142" s="597">
        <f t="shared" si="137"/>
        <v>-2.3622047244094446E-2</v>
      </c>
    </row>
    <row r="2143" spans="13:33" x14ac:dyDescent="0.35">
      <c r="M2143" s="555">
        <v>44846</v>
      </c>
      <c r="N2143" s="543" t="s">
        <v>449</v>
      </c>
      <c r="O2143" s="73">
        <v>42007.14</v>
      </c>
      <c r="Q2143" s="158">
        <v>17.82</v>
      </c>
      <c r="R2143" s="563">
        <f t="shared" si="134"/>
        <v>-3.5188782099030425E-3</v>
      </c>
      <c r="S2143" s="563">
        <f t="shared" si="135"/>
        <v>-2.1953896816684915E-2</v>
      </c>
      <c r="AA2143" s="594">
        <v>44844</v>
      </c>
      <c r="AB2143" s="595" t="s">
        <v>449</v>
      </c>
      <c r="AC2143" s="595">
        <v>42211.64</v>
      </c>
      <c r="AD2143" s="596" t="s">
        <v>395</v>
      </c>
      <c r="AE2143" s="595">
        <v>63</v>
      </c>
      <c r="AF2143" s="597">
        <f t="shared" si="136"/>
        <v>3.0031899537248385E-3</v>
      </c>
      <c r="AG2143" s="597">
        <f t="shared" si="137"/>
        <v>1.6129032258064502E-2</v>
      </c>
    </row>
    <row r="2144" spans="13:33" x14ac:dyDescent="0.35">
      <c r="M2144" s="555">
        <v>44847</v>
      </c>
      <c r="N2144" s="543" t="s">
        <v>449</v>
      </c>
      <c r="O2144" s="73">
        <v>42085.72</v>
      </c>
      <c r="Q2144" s="158">
        <v>17.98</v>
      </c>
      <c r="R2144" s="563">
        <f t="shared" si="134"/>
        <v>1.8706343731089703E-3</v>
      </c>
      <c r="S2144" s="563">
        <f t="shared" si="135"/>
        <v>8.9786756453422711E-3</v>
      </c>
      <c r="AA2144" s="594">
        <v>44845</v>
      </c>
      <c r="AB2144" s="595" t="s">
        <v>449</v>
      </c>
      <c r="AC2144" s="595">
        <v>42155.48</v>
      </c>
      <c r="AD2144" s="596" t="s">
        <v>395</v>
      </c>
      <c r="AE2144" s="595">
        <v>62.9</v>
      </c>
      <c r="AF2144" s="597">
        <f t="shared" si="136"/>
        <v>-1.3304387131131135E-3</v>
      </c>
      <c r="AG2144" s="597">
        <f t="shared" si="137"/>
        <v>-1.5873015873015817E-3</v>
      </c>
    </row>
    <row r="2145" spans="13:33" x14ac:dyDescent="0.35">
      <c r="M2145" s="555">
        <v>44848</v>
      </c>
      <c r="N2145" s="543" t="s">
        <v>449</v>
      </c>
      <c r="O2145" s="73">
        <v>41948.5</v>
      </c>
      <c r="Q2145" s="158">
        <v>17.62</v>
      </c>
      <c r="R2145" s="563">
        <f t="shared" si="134"/>
        <v>-3.2604883556702768E-3</v>
      </c>
      <c r="S2145" s="563">
        <f t="shared" si="135"/>
        <v>-2.0022246941045596E-2</v>
      </c>
      <c r="AA2145" s="594">
        <v>44846</v>
      </c>
      <c r="AB2145" s="595" t="s">
        <v>449</v>
      </c>
      <c r="AC2145" s="595">
        <v>42007.14</v>
      </c>
      <c r="AD2145" s="596" t="s">
        <v>395</v>
      </c>
      <c r="AE2145" s="595">
        <v>62.35</v>
      </c>
      <c r="AF2145" s="597">
        <f t="shared" si="136"/>
        <v>-3.5188782099030425E-3</v>
      </c>
      <c r="AG2145" s="597">
        <f t="shared" si="137"/>
        <v>-8.7440381558028246E-3</v>
      </c>
    </row>
    <row r="2146" spans="13:33" x14ac:dyDescent="0.35">
      <c r="M2146" s="555">
        <v>44851</v>
      </c>
      <c r="N2146" s="543" t="s">
        <v>449</v>
      </c>
      <c r="O2146" s="73">
        <v>41755.449999999997</v>
      </c>
      <c r="Q2146" s="158">
        <v>17.23</v>
      </c>
      <c r="R2146" s="563">
        <f t="shared" si="134"/>
        <v>-4.6020715877803653E-3</v>
      </c>
      <c r="S2146" s="563">
        <f t="shared" si="135"/>
        <v>-2.2133938706015877E-2</v>
      </c>
      <c r="AA2146" s="589">
        <v>44847</v>
      </c>
      <c r="AB2146" s="590" t="s">
        <v>449</v>
      </c>
      <c r="AC2146" s="590">
        <v>42085.72</v>
      </c>
      <c r="AD2146" s="591" t="s">
        <v>395</v>
      </c>
      <c r="AE2146" s="590">
        <v>61.22</v>
      </c>
      <c r="AF2146" s="592">
        <f t="shared" si="136"/>
        <v>1.8706343731089703E-3</v>
      </c>
      <c r="AG2146" s="592">
        <f t="shared" si="137"/>
        <v>-1.8123496391339255E-2</v>
      </c>
    </row>
    <row r="2147" spans="13:33" x14ac:dyDescent="0.35">
      <c r="M2147" s="555">
        <v>44852</v>
      </c>
      <c r="N2147" s="543" t="s">
        <v>449</v>
      </c>
      <c r="O2147" s="73">
        <v>41839.26</v>
      </c>
      <c r="Q2147" s="158">
        <v>16.97</v>
      </c>
      <c r="R2147" s="563">
        <f t="shared" si="134"/>
        <v>2.0071631367881704E-3</v>
      </c>
      <c r="S2147" s="563">
        <f t="shared" si="135"/>
        <v>-1.5089959373186357E-2</v>
      </c>
      <c r="AA2147" s="589">
        <v>44848</v>
      </c>
      <c r="AB2147" s="590" t="s">
        <v>449</v>
      </c>
      <c r="AC2147" s="590">
        <v>41948.5</v>
      </c>
      <c r="AD2147" s="591" t="s">
        <v>395</v>
      </c>
      <c r="AE2147" s="590">
        <v>61</v>
      </c>
      <c r="AF2147" s="592">
        <f t="shared" si="136"/>
        <v>-3.2604883556702768E-3</v>
      </c>
      <c r="AG2147" s="592">
        <f t="shared" si="137"/>
        <v>-3.5935968637700322E-3</v>
      </c>
    </row>
    <row r="2148" spans="13:33" x14ac:dyDescent="0.35">
      <c r="M2148" s="555">
        <v>44853</v>
      </c>
      <c r="N2148" s="543" t="s">
        <v>449</v>
      </c>
      <c r="O2148" s="73">
        <v>42226.05</v>
      </c>
      <c r="Q2148" s="158">
        <v>17.329999999999998</v>
      </c>
      <c r="R2148" s="563">
        <f t="shared" si="134"/>
        <v>9.2446663731624579E-3</v>
      </c>
      <c r="S2148" s="563">
        <f t="shared" si="135"/>
        <v>2.121390689451963E-2</v>
      </c>
      <c r="AA2148" s="594">
        <v>44851</v>
      </c>
      <c r="AB2148" s="595" t="s">
        <v>449</v>
      </c>
      <c r="AC2148" s="595">
        <v>41755.449999999997</v>
      </c>
      <c r="AD2148" s="596" t="s">
        <v>395</v>
      </c>
      <c r="AE2148" s="595">
        <v>60.11</v>
      </c>
      <c r="AF2148" s="597">
        <f t="shared" si="136"/>
        <v>-4.6020715877803653E-3</v>
      </c>
      <c r="AG2148" s="597">
        <f t="shared" si="137"/>
        <v>-1.4590163934426248E-2</v>
      </c>
    </row>
    <row r="2149" spans="13:33" x14ac:dyDescent="0.35">
      <c r="M2149" s="555">
        <v>44854</v>
      </c>
      <c r="N2149" s="543" t="s">
        <v>449</v>
      </c>
      <c r="O2149" s="73">
        <v>42137.04</v>
      </c>
      <c r="Q2149" s="158">
        <v>17.43</v>
      </c>
      <c r="R2149" s="563">
        <f t="shared" si="134"/>
        <v>-2.1079404775015131E-3</v>
      </c>
      <c r="S2149" s="563">
        <f t="shared" si="135"/>
        <v>5.7703404500866196E-3</v>
      </c>
      <c r="AA2149" s="594">
        <v>44852</v>
      </c>
      <c r="AB2149" s="595" t="s">
        <v>449</v>
      </c>
      <c r="AC2149" s="595">
        <v>41839.26</v>
      </c>
      <c r="AD2149" s="596" t="s">
        <v>395</v>
      </c>
      <c r="AE2149" s="595">
        <v>60</v>
      </c>
      <c r="AF2149" s="597">
        <f t="shared" si="136"/>
        <v>2.0071631367881704E-3</v>
      </c>
      <c r="AG2149" s="597">
        <f t="shared" si="137"/>
        <v>-1.8299783729828212E-3</v>
      </c>
    </row>
    <row r="2150" spans="13:33" x14ac:dyDescent="0.35">
      <c r="M2150" s="555">
        <v>44855</v>
      </c>
      <c r="N2150" s="543" t="s">
        <v>449</v>
      </c>
      <c r="O2150" s="73">
        <v>42213.48</v>
      </c>
      <c r="Q2150" s="158">
        <v>17.809999999999999</v>
      </c>
      <c r="R2150" s="563">
        <f t="shared" si="134"/>
        <v>1.8140809131348412E-3</v>
      </c>
      <c r="S2150" s="563">
        <f t="shared" si="135"/>
        <v>2.1801491681009644E-2</v>
      </c>
      <c r="AA2150" s="594">
        <v>44853</v>
      </c>
      <c r="AB2150" s="595" t="s">
        <v>449</v>
      </c>
      <c r="AC2150" s="595">
        <v>42226.05</v>
      </c>
      <c r="AD2150" s="596" t="s">
        <v>395</v>
      </c>
      <c r="AE2150" s="595">
        <v>59.35</v>
      </c>
      <c r="AF2150" s="597">
        <f t="shared" si="136"/>
        <v>9.2446663731624579E-3</v>
      </c>
      <c r="AG2150" s="597">
        <f t="shared" si="137"/>
        <v>-1.0833333333333361E-2</v>
      </c>
    </row>
    <row r="2151" spans="13:33" x14ac:dyDescent="0.35">
      <c r="M2151" s="555">
        <v>44858</v>
      </c>
      <c r="N2151" s="543" t="s">
        <v>449</v>
      </c>
      <c r="O2151" s="73">
        <v>42347.23</v>
      </c>
      <c r="Q2151" s="158">
        <v>17.91</v>
      </c>
      <c r="R2151" s="563">
        <f t="shared" si="134"/>
        <v>3.1684191874254974E-3</v>
      </c>
      <c r="S2151" s="563">
        <f t="shared" si="135"/>
        <v>5.6148231330714893E-3</v>
      </c>
      <c r="AA2151" s="594">
        <v>44854</v>
      </c>
      <c r="AB2151" s="595" t="s">
        <v>449</v>
      </c>
      <c r="AC2151" s="595">
        <v>42137.04</v>
      </c>
      <c r="AD2151" s="596" t="s">
        <v>395</v>
      </c>
      <c r="AE2151" s="595">
        <v>62.5</v>
      </c>
      <c r="AF2151" s="597">
        <f t="shared" si="136"/>
        <v>-2.1079404775015131E-3</v>
      </c>
      <c r="AG2151" s="597">
        <f t="shared" si="137"/>
        <v>5.3074978938500328E-2</v>
      </c>
    </row>
    <row r="2152" spans="13:33" x14ac:dyDescent="0.35">
      <c r="M2152" s="555">
        <v>44859</v>
      </c>
      <c r="N2152" s="543" t="s">
        <v>449</v>
      </c>
      <c r="O2152" s="73">
        <v>42190.02</v>
      </c>
      <c r="Q2152" s="158">
        <v>17.57</v>
      </c>
      <c r="R2152" s="563">
        <f t="shared" si="134"/>
        <v>-3.7124033850621796E-3</v>
      </c>
      <c r="S2152" s="563">
        <f t="shared" si="135"/>
        <v>-1.8983807928531493E-2</v>
      </c>
      <c r="AA2152" s="594">
        <v>44855</v>
      </c>
      <c r="AB2152" s="595" t="s">
        <v>449</v>
      </c>
      <c r="AC2152" s="595">
        <v>42213.48</v>
      </c>
      <c r="AD2152" s="596" t="s">
        <v>395</v>
      </c>
      <c r="AE2152" s="595">
        <v>61.95</v>
      </c>
      <c r="AF2152" s="597">
        <f t="shared" si="136"/>
        <v>1.8140809131348412E-3</v>
      </c>
      <c r="AG2152" s="597">
        <f t="shared" si="137"/>
        <v>-8.799999999999919E-3</v>
      </c>
    </row>
    <row r="2153" spans="13:33" x14ac:dyDescent="0.35">
      <c r="M2153" s="555">
        <v>44860</v>
      </c>
      <c r="N2153" s="543" t="s">
        <v>449</v>
      </c>
      <c r="O2153" s="73">
        <v>41540.03</v>
      </c>
      <c r="Q2153" s="158">
        <v>16.8</v>
      </c>
      <c r="R2153" s="563">
        <f t="shared" si="134"/>
        <v>-1.540625010369745E-2</v>
      </c>
      <c r="S2153" s="563">
        <f t="shared" si="135"/>
        <v>-4.3824701195219085E-2</v>
      </c>
      <c r="AA2153" s="594">
        <v>44858</v>
      </c>
      <c r="AB2153" s="595" t="s">
        <v>449</v>
      </c>
      <c r="AC2153" s="595">
        <v>42347.23</v>
      </c>
      <c r="AD2153" s="596" t="s">
        <v>395</v>
      </c>
      <c r="AE2153" s="595">
        <v>61.9</v>
      </c>
      <c r="AF2153" s="597">
        <f t="shared" si="136"/>
        <v>3.1684191874254974E-3</v>
      </c>
      <c r="AG2153" s="597">
        <f t="shared" si="137"/>
        <v>-8.071025020178757E-4</v>
      </c>
    </row>
    <row r="2154" spans="13:33" x14ac:dyDescent="0.35">
      <c r="M2154" s="555">
        <v>44861</v>
      </c>
      <c r="N2154" s="543" t="s">
        <v>449</v>
      </c>
      <c r="O2154" s="73">
        <v>41602.85</v>
      </c>
      <c r="Q2154" s="158">
        <v>16.96</v>
      </c>
      <c r="R2154" s="563">
        <f t="shared" si="134"/>
        <v>1.512276230902998E-3</v>
      </c>
      <c r="S2154" s="563">
        <f t="shared" si="135"/>
        <v>9.52380952380949E-3</v>
      </c>
      <c r="AA2154" s="594">
        <v>44859</v>
      </c>
      <c r="AB2154" s="595" t="s">
        <v>449</v>
      </c>
      <c r="AC2154" s="595">
        <v>42190.02</v>
      </c>
      <c r="AD2154" s="596" t="s">
        <v>395</v>
      </c>
      <c r="AE2154" s="595">
        <v>59.35</v>
      </c>
      <c r="AF2154" s="597">
        <f t="shared" si="136"/>
        <v>-3.7124033850621796E-3</v>
      </c>
      <c r="AG2154" s="597">
        <f t="shared" si="137"/>
        <v>-4.1195476575121126E-2</v>
      </c>
    </row>
    <row r="2155" spans="13:33" x14ac:dyDescent="0.35">
      <c r="M2155" s="526">
        <v>44865</v>
      </c>
      <c r="N2155" s="524" t="s">
        <v>449</v>
      </c>
      <c r="O2155" s="73">
        <v>41264.660000000003</v>
      </c>
      <c r="Q2155">
        <v>16.399999999999999</v>
      </c>
      <c r="R2155" s="563">
        <f t="shared" si="134"/>
        <v>-8.1290103923167267E-3</v>
      </c>
      <c r="S2155" s="563">
        <f t="shared" si="135"/>
        <v>-3.3018867924528461E-2</v>
      </c>
      <c r="AA2155" s="594">
        <v>44860</v>
      </c>
      <c r="AB2155" s="595" t="s">
        <v>449</v>
      </c>
      <c r="AC2155" s="595">
        <v>41540.03</v>
      </c>
      <c r="AD2155" s="596" t="s">
        <v>395</v>
      </c>
      <c r="AE2155" s="595">
        <v>58.1</v>
      </c>
      <c r="AF2155" s="597">
        <f t="shared" si="136"/>
        <v>-1.540625010369745E-2</v>
      </c>
      <c r="AG2155" s="597">
        <f t="shared" si="137"/>
        <v>-2.1061499578770015E-2</v>
      </c>
    </row>
    <row r="2156" spans="13:33" x14ac:dyDescent="0.35">
      <c r="M2156" s="555">
        <v>44866</v>
      </c>
      <c r="N2156" s="543" t="s">
        <v>449</v>
      </c>
      <c r="O2156" s="73">
        <v>41808.69</v>
      </c>
      <c r="Q2156" s="158">
        <v>17.16</v>
      </c>
      <c r="R2156" s="563">
        <f t="shared" si="134"/>
        <v>1.3183920575136288E-2</v>
      </c>
      <c r="S2156" s="563">
        <f t="shared" si="135"/>
        <v>4.6341463414634188E-2</v>
      </c>
      <c r="AA2156" s="594">
        <v>44861</v>
      </c>
      <c r="AB2156" s="595" t="s">
        <v>449</v>
      </c>
      <c r="AC2156" s="595">
        <v>41602.85</v>
      </c>
      <c r="AD2156" s="596" t="s">
        <v>395</v>
      </c>
      <c r="AE2156" s="595">
        <v>58</v>
      </c>
      <c r="AF2156" s="597">
        <f t="shared" si="136"/>
        <v>1.512276230902998E-3</v>
      </c>
      <c r="AG2156" s="597">
        <f t="shared" si="137"/>
        <v>-1.7211703958691649E-3</v>
      </c>
    </row>
    <row r="2157" spans="13:33" x14ac:dyDescent="0.35">
      <c r="M2157" s="555">
        <v>44867</v>
      </c>
      <c r="N2157" s="543" t="s">
        <v>449</v>
      </c>
      <c r="O2157" s="73">
        <v>41944.59</v>
      </c>
      <c r="Q2157" s="158">
        <v>17</v>
      </c>
      <c r="R2157" s="563">
        <f t="shared" si="134"/>
        <v>3.2505204061641368E-3</v>
      </c>
      <c r="S2157" s="563">
        <f t="shared" si="135"/>
        <v>-9.3240093240093413E-3</v>
      </c>
      <c r="AA2157" s="594">
        <v>44865</v>
      </c>
      <c r="AB2157" s="595" t="s">
        <v>449</v>
      </c>
      <c r="AC2157" s="595">
        <v>41264.660000000003</v>
      </c>
      <c r="AD2157" s="596" t="s">
        <v>395</v>
      </c>
      <c r="AE2157" s="595">
        <v>57.5</v>
      </c>
      <c r="AF2157" s="597">
        <f t="shared" si="136"/>
        <v>-8.1290103923167267E-3</v>
      </c>
      <c r="AG2157" s="597">
        <f t="shared" si="137"/>
        <v>-8.6206896551723755E-3</v>
      </c>
    </row>
    <row r="2158" spans="13:33" x14ac:dyDescent="0.35">
      <c r="M2158" s="555">
        <v>44868</v>
      </c>
      <c r="N2158" s="543" t="s">
        <v>449</v>
      </c>
      <c r="O2158" s="73">
        <v>42090.71</v>
      </c>
      <c r="Q2158" s="158">
        <v>17.07</v>
      </c>
      <c r="R2158" s="563">
        <f t="shared" si="134"/>
        <v>3.4836435402039179E-3</v>
      </c>
      <c r="S2158" s="563">
        <f t="shared" si="135"/>
        <v>4.1176470588235592E-3</v>
      </c>
      <c r="AA2158" s="594">
        <v>44866</v>
      </c>
      <c r="AB2158" s="595" t="s">
        <v>449</v>
      </c>
      <c r="AC2158" s="595">
        <v>41808.69</v>
      </c>
      <c r="AD2158" s="596" t="s">
        <v>395</v>
      </c>
      <c r="AE2158" s="595">
        <v>58.54</v>
      </c>
      <c r="AF2158" s="597">
        <f t="shared" si="136"/>
        <v>1.3183920575136288E-2</v>
      </c>
      <c r="AG2158" s="597">
        <f t="shared" si="137"/>
        <v>1.8086956521739195E-2</v>
      </c>
    </row>
    <row r="2159" spans="13:33" x14ac:dyDescent="0.35">
      <c r="M2159" s="555">
        <v>44869</v>
      </c>
      <c r="N2159" s="543" t="s">
        <v>449</v>
      </c>
      <c r="O2159" s="73">
        <v>41856.31</v>
      </c>
      <c r="Q2159" s="158">
        <v>16.739999999999998</v>
      </c>
      <c r="R2159" s="563">
        <f t="shared" si="134"/>
        <v>-5.5689248292557503E-3</v>
      </c>
      <c r="S2159" s="563">
        <f t="shared" si="135"/>
        <v>-1.9332161687170557E-2</v>
      </c>
      <c r="AA2159" s="594">
        <v>44867</v>
      </c>
      <c r="AB2159" s="595" t="s">
        <v>449</v>
      </c>
      <c r="AC2159" s="595">
        <v>41944.59</v>
      </c>
      <c r="AD2159" s="596" t="s">
        <v>395</v>
      </c>
      <c r="AE2159" s="595">
        <v>59.6</v>
      </c>
      <c r="AF2159" s="597">
        <f t="shared" si="136"/>
        <v>3.2505204061641368E-3</v>
      </c>
      <c r="AG2159" s="597">
        <f t="shared" si="137"/>
        <v>1.8107277075503969E-2</v>
      </c>
    </row>
    <row r="2160" spans="13:33" x14ac:dyDescent="0.35">
      <c r="M2160" s="555">
        <v>44872</v>
      </c>
      <c r="N2160" s="543" t="s">
        <v>449</v>
      </c>
      <c r="O2160" s="73">
        <v>42047.360000000001</v>
      </c>
      <c r="Q2160" s="158">
        <v>16.920000000000002</v>
      </c>
      <c r="R2160" s="563">
        <f t="shared" si="134"/>
        <v>4.5644252921483996E-3</v>
      </c>
      <c r="S2160" s="563">
        <f t="shared" si="135"/>
        <v>1.0752688172043223E-2</v>
      </c>
      <c r="AA2160" s="594">
        <v>44868</v>
      </c>
      <c r="AB2160" s="595" t="s">
        <v>449</v>
      </c>
      <c r="AC2160" s="595">
        <v>42090.71</v>
      </c>
      <c r="AD2160" s="596" t="s">
        <v>395</v>
      </c>
      <c r="AE2160" s="595">
        <v>60.59</v>
      </c>
      <c r="AF2160" s="597">
        <f t="shared" si="136"/>
        <v>3.4836435402039179E-3</v>
      </c>
      <c r="AG2160" s="597">
        <f t="shared" si="137"/>
        <v>1.6610738255033564E-2</v>
      </c>
    </row>
    <row r="2161" spans="13:33" x14ac:dyDescent="0.35">
      <c r="M2161" s="555">
        <v>44873</v>
      </c>
      <c r="N2161" s="543" t="s">
        <v>449</v>
      </c>
      <c r="O2161" s="73">
        <v>42265.36</v>
      </c>
      <c r="Q2161" s="158">
        <v>17.190000000000001</v>
      </c>
      <c r="R2161" s="563">
        <f t="shared" si="134"/>
        <v>5.1846299030426923E-3</v>
      </c>
      <c r="S2161" s="563">
        <f t="shared" si="135"/>
        <v>1.5957446808510634E-2</v>
      </c>
      <c r="AA2161" s="594">
        <v>44869</v>
      </c>
      <c r="AB2161" s="595" t="s">
        <v>449</v>
      </c>
      <c r="AC2161" s="595">
        <v>41856.31</v>
      </c>
      <c r="AD2161" s="596" t="s">
        <v>395</v>
      </c>
      <c r="AE2161" s="595">
        <v>59.77</v>
      </c>
      <c r="AF2161" s="597">
        <f t="shared" si="136"/>
        <v>-5.5689248292557503E-3</v>
      </c>
      <c r="AG2161" s="597">
        <f t="shared" si="137"/>
        <v>-1.3533586400396147E-2</v>
      </c>
    </row>
    <row r="2162" spans="13:33" x14ac:dyDescent="0.35">
      <c r="M2162" s="555">
        <v>44875</v>
      </c>
      <c r="N2162" s="543" t="s">
        <v>449</v>
      </c>
      <c r="O2162" s="73">
        <v>42901.27</v>
      </c>
      <c r="Q2162" s="158">
        <v>17.82</v>
      </c>
      <c r="R2162" s="563">
        <f t="shared" si="134"/>
        <v>1.5045654408243347E-2</v>
      </c>
      <c r="S2162" s="563">
        <f t="shared" si="135"/>
        <v>3.6649214659685736E-2</v>
      </c>
      <c r="AA2162" s="594">
        <v>44872</v>
      </c>
      <c r="AB2162" s="595" t="s">
        <v>449</v>
      </c>
      <c r="AC2162" s="595">
        <v>42047.360000000001</v>
      </c>
      <c r="AD2162" s="596" t="s">
        <v>395</v>
      </c>
      <c r="AE2162" s="595">
        <v>60.6</v>
      </c>
      <c r="AF2162" s="597">
        <f t="shared" si="136"/>
        <v>4.5644252921483996E-3</v>
      </c>
      <c r="AG2162" s="597">
        <f t="shared" si="137"/>
        <v>1.3886565166471465E-2</v>
      </c>
    </row>
    <row r="2163" spans="13:33" x14ac:dyDescent="0.35">
      <c r="M2163" s="555">
        <v>44876</v>
      </c>
      <c r="N2163" s="543" t="s">
        <v>449</v>
      </c>
      <c r="O2163" s="73">
        <v>43092.95</v>
      </c>
      <c r="Q2163" s="158">
        <v>17.940000000000001</v>
      </c>
      <c r="R2163" s="563">
        <f t="shared" si="134"/>
        <v>4.4679330005847895E-3</v>
      </c>
      <c r="S2163" s="563">
        <f t="shared" si="135"/>
        <v>6.7340067340067034E-3</v>
      </c>
      <c r="AA2163" s="594">
        <v>44873</v>
      </c>
      <c r="AB2163" s="595" t="s">
        <v>449</v>
      </c>
      <c r="AC2163" s="595">
        <v>42265.36</v>
      </c>
      <c r="AD2163" s="596" t="s">
        <v>395</v>
      </c>
      <c r="AE2163" s="595">
        <v>60.02</v>
      </c>
      <c r="AF2163" s="597">
        <f t="shared" si="136"/>
        <v>5.1846299030426923E-3</v>
      </c>
      <c r="AG2163" s="597">
        <f t="shared" si="137"/>
        <v>-9.5709570957095425E-3</v>
      </c>
    </row>
    <row r="2164" spans="13:33" x14ac:dyDescent="0.35">
      <c r="M2164" s="555">
        <v>44879</v>
      </c>
      <c r="N2164" s="543" t="s">
        <v>449</v>
      </c>
      <c r="O2164" s="73">
        <v>42850.83</v>
      </c>
      <c r="Q2164" s="158">
        <v>17.350000000000001</v>
      </c>
      <c r="R2164" s="563">
        <f t="shared" si="134"/>
        <v>-5.6185524546357168E-3</v>
      </c>
      <c r="S2164" s="563">
        <f t="shared" si="135"/>
        <v>-3.2887402452619785E-2</v>
      </c>
      <c r="AA2164" s="594">
        <v>44875</v>
      </c>
      <c r="AB2164" s="595" t="s">
        <v>449</v>
      </c>
      <c r="AC2164" s="595">
        <v>42901.27</v>
      </c>
      <c r="AD2164" s="596" t="s">
        <v>395</v>
      </c>
      <c r="AE2164" s="595">
        <v>60.2</v>
      </c>
      <c r="AF2164" s="597">
        <f t="shared" si="136"/>
        <v>1.5045654408243347E-2</v>
      </c>
      <c r="AG2164" s="597">
        <f t="shared" si="137"/>
        <v>2.9990003332223125E-3</v>
      </c>
    </row>
    <row r="2165" spans="13:33" x14ac:dyDescent="0.35">
      <c r="M2165" s="555">
        <v>44880</v>
      </c>
      <c r="N2165" s="543" t="s">
        <v>449</v>
      </c>
      <c r="O2165" s="73">
        <v>42796.85</v>
      </c>
      <c r="Q2165" s="158">
        <v>17.53</v>
      </c>
      <c r="R2165" s="563">
        <f t="shared" si="134"/>
        <v>-1.2597188899259315E-3</v>
      </c>
      <c r="S2165" s="563">
        <f t="shared" si="135"/>
        <v>1.037463976945241E-2</v>
      </c>
      <c r="AA2165" s="594">
        <v>44876</v>
      </c>
      <c r="AB2165" s="595" t="s">
        <v>449</v>
      </c>
      <c r="AC2165" s="595">
        <v>43092.95</v>
      </c>
      <c r="AD2165" s="596" t="s">
        <v>395</v>
      </c>
      <c r="AE2165" s="595">
        <v>60.25</v>
      </c>
      <c r="AF2165" s="597">
        <f t="shared" si="136"/>
        <v>4.4679330005847895E-3</v>
      </c>
      <c r="AG2165" s="597">
        <f t="shared" si="137"/>
        <v>8.3056478405318934E-4</v>
      </c>
    </row>
    <row r="2166" spans="13:33" x14ac:dyDescent="0.35">
      <c r="M2166" s="555">
        <v>44881</v>
      </c>
      <c r="N2166" s="543" t="s">
        <v>449</v>
      </c>
      <c r="O2166" s="73">
        <v>42983.75</v>
      </c>
      <c r="Q2166" s="158">
        <v>17.510000000000002</v>
      </c>
      <c r="R2166" s="563">
        <f t="shared" si="134"/>
        <v>4.367143843530652E-3</v>
      </c>
      <c r="S2166" s="563">
        <f t="shared" si="135"/>
        <v>-1.1409013120364797E-3</v>
      </c>
      <c r="AA2166" s="594">
        <v>44879</v>
      </c>
      <c r="AB2166" s="595" t="s">
        <v>449</v>
      </c>
      <c r="AC2166" s="595">
        <v>42850.83</v>
      </c>
      <c r="AD2166" s="596" t="s">
        <v>395</v>
      </c>
      <c r="AE2166" s="595">
        <v>58.68</v>
      </c>
      <c r="AF2166" s="597">
        <f t="shared" si="136"/>
        <v>-5.6185524546357168E-3</v>
      </c>
      <c r="AG2166" s="597">
        <f t="shared" si="137"/>
        <v>-2.6058091286307095E-2</v>
      </c>
    </row>
    <row r="2167" spans="13:33" x14ac:dyDescent="0.35">
      <c r="M2167" s="555">
        <v>44882</v>
      </c>
      <c r="N2167" s="543" t="s">
        <v>449</v>
      </c>
      <c r="O2167" s="73">
        <v>42819.72</v>
      </c>
      <c r="Q2167" s="158">
        <v>17.2</v>
      </c>
      <c r="R2167" s="563">
        <f t="shared" si="134"/>
        <v>-3.8160932910692447E-3</v>
      </c>
      <c r="S2167" s="563">
        <f t="shared" si="135"/>
        <v>-1.7704169046259377E-2</v>
      </c>
      <c r="AA2167" s="594">
        <v>44880</v>
      </c>
      <c r="AB2167" s="595" t="s">
        <v>449</v>
      </c>
      <c r="AC2167" s="595">
        <v>42796.85</v>
      </c>
      <c r="AD2167" s="596" t="s">
        <v>395</v>
      </c>
      <c r="AE2167" s="595">
        <v>59.5</v>
      </c>
      <c r="AF2167" s="597">
        <f t="shared" si="136"/>
        <v>-1.2597188899259315E-3</v>
      </c>
      <c r="AG2167" s="597">
        <f t="shared" si="137"/>
        <v>1.3974096796182778E-2</v>
      </c>
    </row>
    <row r="2168" spans="13:33" x14ac:dyDescent="0.35">
      <c r="M2168" s="526">
        <v>44886</v>
      </c>
      <c r="N2168" s="524" t="s">
        <v>449</v>
      </c>
      <c r="O2168" s="73">
        <v>42761.19</v>
      </c>
      <c r="Q2168">
        <v>17.23</v>
      </c>
      <c r="R2168" s="563">
        <f t="shared" si="134"/>
        <v>-1.3668935714665764E-3</v>
      </c>
      <c r="S2168" s="563">
        <f t="shared" si="135"/>
        <v>1.7441860465117198E-3</v>
      </c>
      <c r="AA2168" s="594">
        <v>44881</v>
      </c>
      <c r="AB2168" s="595" t="s">
        <v>449</v>
      </c>
      <c r="AC2168" s="595">
        <v>42983.75</v>
      </c>
      <c r="AD2168" s="596" t="s">
        <v>395</v>
      </c>
      <c r="AE2168" s="595">
        <v>59.45</v>
      </c>
      <c r="AF2168" s="597">
        <f t="shared" si="136"/>
        <v>4.367143843530652E-3</v>
      </c>
      <c r="AG2168" s="597">
        <f t="shared" si="137"/>
        <v>-8.4033613445377853E-4</v>
      </c>
    </row>
    <row r="2169" spans="13:33" x14ac:dyDescent="0.35">
      <c r="M2169" s="555">
        <v>44887</v>
      </c>
      <c r="N2169" s="543" t="s">
        <v>449</v>
      </c>
      <c r="O2169" s="73">
        <v>42928.62</v>
      </c>
      <c r="Q2169" s="158">
        <v>17.28</v>
      </c>
      <c r="R2169" s="563">
        <f t="shared" si="134"/>
        <v>3.9154663375833287E-3</v>
      </c>
      <c r="S2169" s="563">
        <f t="shared" si="135"/>
        <v>2.9019152640743506E-3</v>
      </c>
      <c r="AA2169" s="594">
        <v>44882</v>
      </c>
      <c r="AB2169" s="595" t="s">
        <v>449</v>
      </c>
      <c r="AC2169" s="595">
        <v>42819.72</v>
      </c>
      <c r="AD2169" s="596" t="s">
        <v>395</v>
      </c>
      <c r="AE2169" s="595">
        <v>60.25</v>
      </c>
      <c r="AF2169" s="597">
        <f t="shared" si="136"/>
        <v>-3.8160932910692447E-3</v>
      </c>
      <c r="AG2169" s="597">
        <f t="shared" si="137"/>
        <v>1.345668629100083E-2</v>
      </c>
    </row>
    <row r="2170" spans="13:33" x14ac:dyDescent="0.35">
      <c r="M2170" s="555">
        <v>44888</v>
      </c>
      <c r="N2170" s="543" t="s">
        <v>449</v>
      </c>
      <c r="O2170" s="73">
        <v>42880.31</v>
      </c>
      <c r="Q2170" s="158">
        <v>17.190000000000001</v>
      </c>
      <c r="R2170" s="563">
        <f t="shared" si="134"/>
        <v>-1.1253564638230573E-3</v>
      </c>
      <c r="S2170" s="563">
        <f t="shared" si="135"/>
        <v>-5.2083333333333703E-3</v>
      </c>
      <c r="AA2170" s="594">
        <v>44886</v>
      </c>
      <c r="AB2170" s="595" t="s">
        <v>449</v>
      </c>
      <c r="AC2170" s="595">
        <v>42761.19</v>
      </c>
      <c r="AD2170" s="596" t="s">
        <v>395</v>
      </c>
      <c r="AE2170" s="595">
        <v>60.07</v>
      </c>
      <c r="AF2170" s="597">
        <f t="shared" si="136"/>
        <v>-1.3668935714665764E-3</v>
      </c>
      <c r="AG2170" s="597">
        <f t="shared" si="137"/>
        <v>-2.9875518672198842E-3</v>
      </c>
    </row>
    <row r="2171" spans="13:33" x14ac:dyDescent="0.35">
      <c r="M2171" s="555">
        <v>44889</v>
      </c>
      <c r="N2171" s="543" t="s">
        <v>449</v>
      </c>
      <c r="O2171" s="73">
        <v>42903.65</v>
      </c>
      <c r="Q2171" s="158">
        <v>17.29</v>
      </c>
      <c r="R2171" s="563">
        <f t="shared" si="134"/>
        <v>5.443057664462625E-4</v>
      </c>
      <c r="S2171" s="563">
        <f t="shared" si="135"/>
        <v>5.8173356602675419E-3</v>
      </c>
      <c r="AA2171" s="594">
        <v>44887</v>
      </c>
      <c r="AB2171" s="595" t="s">
        <v>449</v>
      </c>
      <c r="AC2171" s="595">
        <v>42928.62</v>
      </c>
      <c r="AD2171" s="596" t="s">
        <v>395</v>
      </c>
      <c r="AE2171" s="595">
        <v>59.44</v>
      </c>
      <c r="AF2171" s="597">
        <f t="shared" si="136"/>
        <v>3.9154663375833287E-3</v>
      </c>
      <c r="AG2171" s="597">
        <f t="shared" si="137"/>
        <v>-1.0487764275012523E-2</v>
      </c>
    </row>
    <row r="2172" spans="13:33" x14ac:dyDescent="0.35">
      <c r="M2172" s="555">
        <v>44890</v>
      </c>
      <c r="N2172" s="543" t="s">
        <v>449</v>
      </c>
      <c r="O2172" s="73">
        <v>42936.73</v>
      </c>
      <c r="Q2172" s="158">
        <v>17.010000000000002</v>
      </c>
      <c r="R2172" s="563">
        <f t="shared" si="134"/>
        <v>7.7102997064359968E-4</v>
      </c>
      <c r="S2172" s="563">
        <f t="shared" si="135"/>
        <v>-1.6194331983805488E-2</v>
      </c>
      <c r="AA2172" s="594">
        <v>44888</v>
      </c>
      <c r="AB2172" s="595" t="s">
        <v>449</v>
      </c>
      <c r="AC2172" s="595">
        <v>42880.31</v>
      </c>
      <c r="AD2172" s="596" t="s">
        <v>395</v>
      </c>
      <c r="AE2172" s="595">
        <v>60.5</v>
      </c>
      <c r="AF2172" s="597">
        <f t="shared" si="136"/>
        <v>-1.1253564638230573E-3</v>
      </c>
      <c r="AG2172" s="597">
        <f t="shared" si="137"/>
        <v>1.7833109017496573E-2</v>
      </c>
    </row>
    <row r="2173" spans="13:33" x14ac:dyDescent="0.35">
      <c r="M2173" s="555">
        <v>44893</v>
      </c>
      <c r="N2173" s="543" t="s">
        <v>449</v>
      </c>
      <c r="O2173" s="73">
        <v>42071.34</v>
      </c>
      <c r="Q2173" s="158">
        <v>16.37</v>
      </c>
      <c r="R2173" s="563">
        <f t="shared" si="134"/>
        <v>-2.0155004817553834E-2</v>
      </c>
      <c r="S2173" s="563">
        <f t="shared" si="135"/>
        <v>-3.7624926513815438E-2</v>
      </c>
      <c r="AA2173" s="594">
        <v>44889</v>
      </c>
      <c r="AB2173" s="595" t="s">
        <v>449</v>
      </c>
      <c r="AC2173" s="595">
        <v>42903.65</v>
      </c>
      <c r="AD2173" s="596" t="s">
        <v>395</v>
      </c>
      <c r="AE2173" s="595">
        <v>60.75</v>
      </c>
      <c r="AF2173" s="597">
        <f t="shared" si="136"/>
        <v>5.443057664462625E-4</v>
      </c>
      <c r="AG2173" s="597">
        <f t="shared" si="137"/>
        <v>4.1322314049587749E-3</v>
      </c>
    </row>
    <row r="2174" spans="13:33" x14ac:dyDescent="0.35">
      <c r="M2174" s="555">
        <v>44894</v>
      </c>
      <c r="N2174" s="543" t="s">
        <v>449</v>
      </c>
      <c r="O2174" s="73">
        <v>42373.59</v>
      </c>
      <c r="Q2174" s="158">
        <v>16.48</v>
      </c>
      <c r="R2174" s="563">
        <f t="shared" si="134"/>
        <v>7.184225651001297E-3</v>
      </c>
      <c r="S2174" s="563">
        <f t="shared" si="135"/>
        <v>6.7196090409284981E-3</v>
      </c>
      <c r="AA2174" s="594">
        <v>44890</v>
      </c>
      <c r="AB2174" s="595" t="s">
        <v>449</v>
      </c>
      <c r="AC2174" s="595">
        <v>42936.73</v>
      </c>
      <c r="AD2174" s="596" t="s">
        <v>395</v>
      </c>
      <c r="AE2174" s="595">
        <v>61.1</v>
      </c>
      <c r="AF2174" s="597">
        <f t="shared" si="136"/>
        <v>7.7102997064359968E-4</v>
      </c>
      <c r="AG2174" s="597">
        <f t="shared" si="137"/>
        <v>5.7613168724279795E-3</v>
      </c>
    </row>
    <row r="2175" spans="13:33" x14ac:dyDescent="0.35">
      <c r="M2175" s="555">
        <v>44895</v>
      </c>
      <c r="N2175" s="543" t="s">
        <v>449</v>
      </c>
      <c r="O2175" s="73">
        <v>42348.63</v>
      </c>
      <c r="Q2175" s="158">
        <v>16.27</v>
      </c>
      <c r="R2175" s="563">
        <f t="shared" si="134"/>
        <v>-5.8904614879218276E-4</v>
      </c>
      <c r="S2175" s="563">
        <f t="shared" si="135"/>
        <v>-1.2742718446602019E-2</v>
      </c>
      <c r="AA2175" s="594">
        <v>44893</v>
      </c>
      <c r="AB2175" s="595" t="s">
        <v>449</v>
      </c>
      <c r="AC2175" s="595">
        <v>42071.34</v>
      </c>
      <c r="AD2175" s="596" t="s">
        <v>395</v>
      </c>
      <c r="AE2175" s="595">
        <v>60</v>
      </c>
      <c r="AF2175" s="597">
        <f t="shared" si="136"/>
        <v>-2.0155004817553834E-2</v>
      </c>
      <c r="AG2175" s="597">
        <f t="shared" si="137"/>
        <v>-1.8003273322422242E-2</v>
      </c>
    </row>
    <row r="2176" spans="13:33" x14ac:dyDescent="0.35">
      <c r="M2176" s="555">
        <v>44896</v>
      </c>
      <c r="N2176" s="543" t="s">
        <v>449</v>
      </c>
      <c r="O2176" s="73">
        <v>42393.52</v>
      </c>
      <c r="Q2176" s="158">
        <v>16.309999999999999</v>
      </c>
      <c r="R2176" s="563">
        <f t="shared" si="134"/>
        <v>1.0600106780314089E-3</v>
      </c>
      <c r="S2176" s="563">
        <f t="shared" si="135"/>
        <v>2.4585125998770607E-3</v>
      </c>
      <c r="AA2176" s="594">
        <v>44894</v>
      </c>
      <c r="AB2176" s="595" t="s">
        <v>449</v>
      </c>
      <c r="AC2176" s="595">
        <v>42373.59</v>
      </c>
      <c r="AD2176" s="596" t="s">
        <v>395</v>
      </c>
      <c r="AE2176" s="595">
        <v>59.25</v>
      </c>
      <c r="AF2176" s="597">
        <f t="shared" si="136"/>
        <v>7.184225651001297E-3</v>
      </c>
      <c r="AG2176" s="597">
        <f t="shared" si="137"/>
        <v>-1.2499999999999956E-2</v>
      </c>
    </row>
    <row r="2177" spans="13:33" x14ac:dyDescent="0.35">
      <c r="M2177" s="555">
        <v>44897</v>
      </c>
      <c r="N2177" s="543" t="s">
        <v>449</v>
      </c>
      <c r="O2177" s="73">
        <v>42150.1</v>
      </c>
      <c r="Q2177" s="158">
        <v>16.100000000000001</v>
      </c>
      <c r="R2177" s="563">
        <f t="shared" si="134"/>
        <v>-5.7419152738437118E-3</v>
      </c>
      <c r="S2177" s="563">
        <f t="shared" si="135"/>
        <v>-1.2875536480686511E-2</v>
      </c>
      <c r="AA2177" s="594">
        <v>44895</v>
      </c>
      <c r="AB2177" s="595" t="s">
        <v>449</v>
      </c>
      <c r="AC2177" s="595">
        <v>42348.63</v>
      </c>
      <c r="AD2177" s="596" t="s">
        <v>395</v>
      </c>
      <c r="AE2177" s="595">
        <v>61.87</v>
      </c>
      <c r="AF2177" s="597">
        <f t="shared" si="136"/>
        <v>-5.8904614879218276E-4</v>
      </c>
      <c r="AG2177" s="597">
        <f t="shared" si="137"/>
        <v>4.4219409282700406E-2</v>
      </c>
    </row>
    <row r="2178" spans="13:33" x14ac:dyDescent="0.35">
      <c r="M2178" s="555">
        <v>44900</v>
      </c>
      <c r="N2178" s="543" t="s">
        <v>449</v>
      </c>
      <c r="O2178" s="73">
        <v>41612.67</v>
      </c>
      <c r="Q2178" s="158">
        <v>15.8</v>
      </c>
      <c r="R2178" s="563">
        <f t="shared" si="134"/>
        <v>-1.2750384933843617E-2</v>
      </c>
      <c r="S2178" s="563">
        <f t="shared" si="135"/>
        <v>-1.8633540372670843E-2</v>
      </c>
      <c r="AA2178" s="594">
        <v>44896</v>
      </c>
      <c r="AB2178" s="595" t="s">
        <v>449</v>
      </c>
      <c r="AC2178" s="595">
        <v>42393.52</v>
      </c>
      <c r="AD2178" s="596" t="s">
        <v>395</v>
      </c>
      <c r="AE2178" s="595">
        <v>61</v>
      </c>
      <c r="AF2178" s="597">
        <f t="shared" si="136"/>
        <v>1.0600106780314089E-3</v>
      </c>
      <c r="AG2178" s="597">
        <f t="shared" si="137"/>
        <v>-1.4061742363019158E-2</v>
      </c>
    </row>
    <row r="2179" spans="13:33" x14ac:dyDescent="0.35">
      <c r="M2179" s="555">
        <v>44901</v>
      </c>
      <c r="N2179" s="543" t="s">
        <v>449</v>
      </c>
      <c r="O2179" s="73">
        <v>41539.94</v>
      </c>
      <c r="Q2179" s="158">
        <v>15.75</v>
      </c>
      <c r="R2179" s="563">
        <f t="shared" si="134"/>
        <v>-1.7477849895235487E-3</v>
      </c>
      <c r="S2179" s="563">
        <f t="shared" si="135"/>
        <v>-3.1645569620253333E-3</v>
      </c>
      <c r="AA2179" s="594">
        <v>44897</v>
      </c>
      <c r="AB2179" s="595" t="s">
        <v>449</v>
      </c>
      <c r="AC2179" s="595">
        <v>42150.1</v>
      </c>
      <c r="AD2179" s="596" t="s">
        <v>395</v>
      </c>
      <c r="AE2179" s="595">
        <v>60.99</v>
      </c>
      <c r="AF2179" s="597">
        <f t="shared" si="136"/>
        <v>-5.7419152738437118E-3</v>
      </c>
      <c r="AG2179" s="597">
        <f t="shared" si="137"/>
        <v>-1.6393442622952836E-4</v>
      </c>
    </row>
    <row r="2180" spans="13:33" x14ac:dyDescent="0.35">
      <c r="M2180" s="555">
        <v>44902</v>
      </c>
      <c r="N2180" s="543" t="s">
        <v>449</v>
      </c>
      <c r="O2180" s="73">
        <v>41819.29</v>
      </c>
      <c r="Q2180" s="158">
        <v>16.079999999999998</v>
      </c>
      <c r="R2180" s="563">
        <f t="shared" si="134"/>
        <v>6.7248532376309456E-3</v>
      </c>
      <c r="S2180" s="563">
        <f t="shared" si="135"/>
        <v>2.0952380952380834E-2</v>
      </c>
      <c r="AA2180" s="594">
        <v>44900</v>
      </c>
      <c r="AB2180" s="595" t="s">
        <v>449</v>
      </c>
      <c r="AC2180" s="595">
        <v>41612.67</v>
      </c>
      <c r="AD2180" s="596" t="s">
        <v>395</v>
      </c>
      <c r="AE2180" s="595">
        <v>61.45</v>
      </c>
      <c r="AF2180" s="597">
        <f t="shared" si="136"/>
        <v>-1.2750384933843617E-2</v>
      </c>
      <c r="AG2180" s="597">
        <f t="shared" si="137"/>
        <v>7.542220036071523E-3</v>
      </c>
    </row>
    <row r="2181" spans="13:33" x14ac:dyDescent="0.35">
      <c r="M2181" s="526">
        <v>44904</v>
      </c>
      <c r="N2181" s="524" t="s">
        <v>449</v>
      </c>
      <c r="O2181" s="73">
        <v>41698.28</v>
      </c>
      <c r="Q2181">
        <v>15.66</v>
      </c>
      <c r="R2181" s="563">
        <f t="shared" si="134"/>
        <v>-2.8936407098255623E-3</v>
      </c>
      <c r="S2181" s="563">
        <f t="shared" si="135"/>
        <v>-2.6119402985074536E-2</v>
      </c>
      <c r="AA2181" s="594">
        <v>44901</v>
      </c>
      <c r="AB2181" s="595" t="s">
        <v>449</v>
      </c>
      <c r="AC2181" s="595">
        <v>41539.94</v>
      </c>
      <c r="AD2181" s="596" t="s">
        <v>395</v>
      </c>
      <c r="AE2181" s="595">
        <v>61</v>
      </c>
      <c r="AF2181" s="597">
        <f t="shared" si="136"/>
        <v>-1.7477849895235487E-3</v>
      </c>
      <c r="AG2181" s="597">
        <f t="shared" si="137"/>
        <v>-7.3230268510985352E-3</v>
      </c>
    </row>
    <row r="2182" spans="13:33" x14ac:dyDescent="0.35">
      <c r="M2182" s="555">
        <v>44907</v>
      </c>
      <c r="N2182" s="543" t="s">
        <v>449</v>
      </c>
      <c r="O2182" s="73">
        <v>41540.550000000003</v>
      </c>
      <c r="Q2182" s="158">
        <v>15.51</v>
      </c>
      <c r="R2182" s="563">
        <f t="shared" si="134"/>
        <v>-3.7826500277707842E-3</v>
      </c>
      <c r="S2182" s="563">
        <f t="shared" si="135"/>
        <v>-9.5785440613026518E-3</v>
      </c>
      <c r="AA2182" s="594">
        <v>44902</v>
      </c>
      <c r="AB2182" s="595" t="s">
        <v>449</v>
      </c>
      <c r="AC2182" s="595">
        <v>41819.29</v>
      </c>
      <c r="AD2182" s="596" t="s">
        <v>395</v>
      </c>
      <c r="AE2182" s="595">
        <v>61.26</v>
      </c>
      <c r="AF2182" s="597">
        <f t="shared" si="136"/>
        <v>6.7248532376309456E-3</v>
      </c>
      <c r="AG2182" s="597">
        <f t="shared" si="137"/>
        <v>4.2622950819670713E-3</v>
      </c>
    </row>
    <row r="2183" spans="13:33" x14ac:dyDescent="0.35">
      <c r="M2183" s="555">
        <v>44908</v>
      </c>
      <c r="N2183" s="543" t="s">
        <v>449</v>
      </c>
      <c r="O2183" s="73">
        <v>41714.300000000003</v>
      </c>
      <c r="Q2183" s="158">
        <v>15.64</v>
      </c>
      <c r="R2183" s="563">
        <f t="shared" si="134"/>
        <v>4.1826600755165977E-3</v>
      </c>
      <c r="S2183" s="563">
        <f t="shared" si="135"/>
        <v>8.3816892327530645E-3</v>
      </c>
      <c r="AA2183" s="594">
        <v>44904</v>
      </c>
      <c r="AB2183" s="595" t="s">
        <v>449</v>
      </c>
      <c r="AC2183" s="595">
        <v>41698.28</v>
      </c>
      <c r="AD2183" s="596" t="s">
        <v>395</v>
      </c>
      <c r="AE2183" s="595">
        <v>60.99</v>
      </c>
      <c r="AF2183" s="597">
        <f t="shared" si="136"/>
        <v>-2.8936407098255623E-3</v>
      </c>
      <c r="AG2183" s="597">
        <f t="shared" si="137"/>
        <v>-4.4074436826639918E-3</v>
      </c>
    </row>
    <row r="2184" spans="13:33" x14ac:dyDescent="0.35">
      <c r="M2184" s="555">
        <v>44909</v>
      </c>
      <c r="N2184" s="543" t="s">
        <v>449</v>
      </c>
      <c r="O2184" s="73">
        <v>41737.620000000003</v>
      </c>
      <c r="Q2184" s="158">
        <v>15.63</v>
      </c>
      <c r="R2184" s="563">
        <f t="shared" si="134"/>
        <v>5.5904090443803511E-4</v>
      </c>
      <c r="S2184" s="563">
        <f t="shared" si="135"/>
        <v>-6.3938618925829527E-4</v>
      </c>
      <c r="AA2184" s="594">
        <v>44907</v>
      </c>
      <c r="AB2184" s="595" t="s">
        <v>449</v>
      </c>
      <c r="AC2184" s="595">
        <v>41540.550000000003</v>
      </c>
      <c r="AD2184" s="596" t="s">
        <v>395</v>
      </c>
      <c r="AE2184" s="595">
        <v>59.49</v>
      </c>
      <c r="AF2184" s="597">
        <f t="shared" si="136"/>
        <v>-3.7826500277707842E-3</v>
      </c>
      <c r="AG2184" s="597">
        <f t="shared" si="137"/>
        <v>-2.4594195769798377E-2</v>
      </c>
    </row>
    <row r="2185" spans="13:33" x14ac:dyDescent="0.35">
      <c r="M2185" s="555">
        <v>44910</v>
      </c>
      <c r="N2185" s="543" t="s">
        <v>449</v>
      </c>
      <c r="O2185" s="73">
        <v>41179.760000000002</v>
      </c>
      <c r="Q2185" s="158">
        <v>15.43</v>
      </c>
      <c r="R2185" s="563">
        <f t="shared" si="134"/>
        <v>-1.3365879511098133E-2</v>
      </c>
      <c r="S2185" s="563">
        <f t="shared" si="135"/>
        <v>-1.2795905310300726E-2</v>
      </c>
      <c r="AA2185" s="594">
        <v>44908</v>
      </c>
      <c r="AB2185" s="595" t="s">
        <v>449</v>
      </c>
      <c r="AC2185" s="595">
        <v>41714.300000000003</v>
      </c>
      <c r="AD2185" s="596" t="s">
        <v>395</v>
      </c>
      <c r="AE2185" s="595">
        <v>59.85</v>
      </c>
      <c r="AF2185" s="597">
        <f t="shared" si="136"/>
        <v>4.1826600755165977E-3</v>
      </c>
      <c r="AG2185" s="597">
        <f t="shared" si="137"/>
        <v>6.0514372163389396E-3</v>
      </c>
    </row>
    <row r="2186" spans="13:33" x14ac:dyDescent="0.35">
      <c r="M2186" s="555">
        <v>44911</v>
      </c>
      <c r="N2186" s="543" t="s">
        <v>449</v>
      </c>
      <c r="O2186" s="73">
        <v>41301.480000000003</v>
      </c>
      <c r="Q2186" s="158">
        <v>15.36</v>
      </c>
      <c r="R2186" s="563">
        <f t="shared" si="134"/>
        <v>2.9558210149840392E-3</v>
      </c>
      <c r="S2186" s="563">
        <f t="shared" si="135"/>
        <v>-4.5366169799092582E-3</v>
      </c>
      <c r="AA2186" s="594">
        <v>44909</v>
      </c>
      <c r="AB2186" s="595" t="s">
        <v>449</v>
      </c>
      <c r="AC2186" s="595">
        <v>41737.620000000003</v>
      </c>
      <c r="AD2186" s="596" t="s">
        <v>395</v>
      </c>
      <c r="AE2186" s="595">
        <v>60.89</v>
      </c>
      <c r="AF2186" s="597">
        <f t="shared" si="136"/>
        <v>5.5904090443803511E-4</v>
      </c>
      <c r="AG2186" s="597">
        <f t="shared" si="137"/>
        <v>1.7376775271512157E-2</v>
      </c>
    </row>
    <row r="2187" spans="13:33" x14ac:dyDescent="0.35">
      <c r="M2187" s="555">
        <v>44914</v>
      </c>
      <c r="N2187" s="543" t="s">
        <v>449</v>
      </c>
      <c r="O2187" s="73">
        <v>40970.82</v>
      </c>
      <c r="Q2187" s="158">
        <v>15.14</v>
      </c>
      <c r="R2187" s="563">
        <f t="shared" si="134"/>
        <v>-8.006008501390327E-3</v>
      </c>
      <c r="S2187" s="563">
        <f t="shared" si="135"/>
        <v>-1.432291666666663E-2</v>
      </c>
      <c r="AA2187" s="594">
        <v>44910</v>
      </c>
      <c r="AB2187" s="595" t="s">
        <v>449</v>
      </c>
      <c r="AC2187" s="595">
        <v>41179.760000000002</v>
      </c>
      <c r="AD2187" s="596" t="s">
        <v>395</v>
      </c>
      <c r="AE2187" s="595">
        <v>58.44</v>
      </c>
      <c r="AF2187" s="597">
        <f t="shared" si="136"/>
        <v>-1.3365879511098133E-2</v>
      </c>
      <c r="AG2187" s="597">
        <f t="shared" si="137"/>
        <v>-4.023649203481694E-2</v>
      </c>
    </row>
    <row r="2188" spans="13:33" x14ac:dyDescent="0.35">
      <c r="M2188" s="555">
        <v>44915</v>
      </c>
      <c r="N2188" s="543" t="s">
        <v>449</v>
      </c>
      <c r="O2188" s="73">
        <v>39832.449999999997</v>
      </c>
      <c r="Q2188" s="158">
        <v>14.01</v>
      </c>
      <c r="R2188" s="563">
        <f t="shared" si="134"/>
        <v>-2.7784896665480563E-2</v>
      </c>
      <c r="S2188" s="563">
        <f t="shared" si="135"/>
        <v>-7.4636723910171732E-2</v>
      </c>
      <c r="AA2188" s="594">
        <v>44911</v>
      </c>
      <c r="AB2188" s="595" t="s">
        <v>449</v>
      </c>
      <c r="AC2188" s="595">
        <v>41301.480000000003</v>
      </c>
      <c r="AD2188" s="596" t="s">
        <v>395</v>
      </c>
      <c r="AE2188" s="595">
        <v>59.99</v>
      </c>
      <c r="AF2188" s="597">
        <f t="shared" si="136"/>
        <v>2.9558210149840392E-3</v>
      </c>
      <c r="AG2188" s="597">
        <f t="shared" si="137"/>
        <v>2.6522929500342407E-2</v>
      </c>
    </row>
    <row r="2189" spans="13:33" x14ac:dyDescent="0.35">
      <c r="M2189" s="555">
        <v>44916</v>
      </c>
      <c r="N2189" s="543" t="s">
        <v>449</v>
      </c>
      <c r="O2189" s="73">
        <v>39342.89</v>
      </c>
      <c r="Q2189" s="158">
        <v>12.96</v>
      </c>
      <c r="R2189" s="563">
        <f t="shared" si="134"/>
        <v>-1.2290481755453109E-2</v>
      </c>
      <c r="S2189" s="563">
        <f t="shared" si="135"/>
        <v>-7.4946466809421741E-2</v>
      </c>
      <c r="AA2189" s="594">
        <v>44914</v>
      </c>
      <c r="AB2189" s="595" t="s">
        <v>449</v>
      </c>
      <c r="AC2189" s="595">
        <v>40970.82</v>
      </c>
      <c r="AD2189" s="596" t="s">
        <v>395</v>
      </c>
      <c r="AE2189" s="595">
        <v>58.01</v>
      </c>
      <c r="AF2189" s="597">
        <f t="shared" si="136"/>
        <v>-8.006008501390327E-3</v>
      </c>
      <c r="AG2189" s="597">
        <f t="shared" si="137"/>
        <v>-3.300550091681953E-2</v>
      </c>
    </row>
    <row r="2190" spans="13:33" x14ac:dyDescent="0.35">
      <c r="M2190" s="555">
        <v>44917</v>
      </c>
      <c r="N2190" s="543" t="s">
        <v>449</v>
      </c>
      <c r="O2190" s="73">
        <v>39838.33</v>
      </c>
      <c r="Q2190" s="158">
        <v>13.23</v>
      </c>
      <c r="R2190" s="563">
        <f t="shared" si="134"/>
        <v>1.2592872562234403E-2</v>
      </c>
      <c r="S2190" s="563">
        <f t="shared" si="135"/>
        <v>2.0833333333333259E-2</v>
      </c>
      <c r="AA2190" s="594">
        <v>44915</v>
      </c>
      <c r="AB2190" s="595" t="s">
        <v>449</v>
      </c>
      <c r="AC2190" s="595">
        <v>39832.449999999997</v>
      </c>
      <c r="AD2190" s="596" t="s">
        <v>395</v>
      </c>
      <c r="AE2190" s="595">
        <v>57.11</v>
      </c>
      <c r="AF2190" s="597">
        <f t="shared" si="136"/>
        <v>-2.7784896665480563E-2</v>
      </c>
      <c r="AG2190" s="597">
        <f t="shared" si="137"/>
        <v>-1.5514566454059575E-2</v>
      </c>
    </row>
    <row r="2191" spans="13:33" x14ac:dyDescent="0.35">
      <c r="M2191" s="555">
        <v>44918</v>
      </c>
      <c r="N2191" s="543" t="s">
        <v>449</v>
      </c>
      <c r="O2191" s="73">
        <v>39669.199999999997</v>
      </c>
      <c r="Q2191" s="158">
        <v>12.63</v>
      </c>
      <c r="R2191" s="563">
        <f t="shared" si="134"/>
        <v>-4.2454088813462798E-3</v>
      </c>
      <c r="S2191" s="563">
        <f t="shared" si="135"/>
        <v>-4.5351473922902508E-2</v>
      </c>
      <c r="AA2191" s="594">
        <v>44916</v>
      </c>
      <c r="AB2191" s="595" t="s">
        <v>449</v>
      </c>
      <c r="AC2191" s="595">
        <v>39342.89</v>
      </c>
      <c r="AD2191" s="596" t="s">
        <v>395</v>
      </c>
      <c r="AE2191" s="595">
        <v>57.38</v>
      </c>
      <c r="AF2191" s="597">
        <f t="shared" si="136"/>
        <v>-1.2290481755453109E-2</v>
      </c>
      <c r="AG2191" s="597">
        <f t="shared" si="137"/>
        <v>4.7277184381020465E-3</v>
      </c>
    </row>
    <row r="2192" spans="13:33" x14ac:dyDescent="0.35">
      <c r="M2192" s="555">
        <v>44921</v>
      </c>
      <c r="N2192" s="543" t="s">
        <v>449</v>
      </c>
      <c r="O2192" s="73">
        <v>40155.160000000003</v>
      </c>
      <c r="Q2192" s="158">
        <v>13.32</v>
      </c>
      <c r="R2192" s="563">
        <f t="shared" si="134"/>
        <v>1.2250310064231273E-2</v>
      </c>
      <c r="S2192" s="563">
        <f t="shared" si="135"/>
        <v>5.4631828978622288E-2</v>
      </c>
      <c r="AA2192" s="594">
        <v>44917</v>
      </c>
      <c r="AB2192" s="595" t="s">
        <v>449</v>
      </c>
      <c r="AC2192" s="595">
        <v>39838.33</v>
      </c>
      <c r="AD2192" s="596" t="s">
        <v>395</v>
      </c>
      <c r="AE2192" s="595">
        <v>59</v>
      </c>
      <c r="AF2192" s="597">
        <f t="shared" si="136"/>
        <v>1.2592872562234403E-2</v>
      </c>
      <c r="AG2192" s="597">
        <f t="shared" si="137"/>
        <v>2.8232833739979091E-2</v>
      </c>
    </row>
    <row r="2193" spans="13:33" x14ac:dyDescent="0.35">
      <c r="M2193" s="555">
        <v>44922</v>
      </c>
      <c r="N2193" s="543" t="s">
        <v>449</v>
      </c>
      <c r="O2193" s="73">
        <v>39802.910000000003</v>
      </c>
      <c r="Q2193" s="158">
        <v>13</v>
      </c>
      <c r="R2193" s="563">
        <f t="shared" si="134"/>
        <v>-8.7722225487334438E-3</v>
      </c>
      <c r="S2193" s="563">
        <f t="shared" si="135"/>
        <v>-2.4024024024024038E-2</v>
      </c>
      <c r="AA2193" s="594">
        <v>44918</v>
      </c>
      <c r="AB2193" s="595" t="s">
        <v>449</v>
      </c>
      <c r="AC2193" s="595">
        <v>39669.199999999997</v>
      </c>
      <c r="AD2193" s="596" t="s">
        <v>395</v>
      </c>
      <c r="AE2193" s="595">
        <v>56.05</v>
      </c>
      <c r="AF2193" s="597">
        <f t="shared" si="136"/>
        <v>-4.2454088813462798E-3</v>
      </c>
      <c r="AG2193" s="597">
        <f t="shared" si="137"/>
        <v>-5.0000000000000044E-2</v>
      </c>
    </row>
    <row r="2194" spans="13:33" x14ac:dyDescent="0.35">
      <c r="M2194" s="555">
        <v>44923</v>
      </c>
      <c r="N2194" s="543" t="s">
        <v>449</v>
      </c>
      <c r="O2194" s="73">
        <v>39279.43</v>
      </c>
      <c r="Q2194" s="158">
        <v>13.02</v>
      </c>
      <c r="R2194" s="563">
        <f t="shared" si="134"/>
        <v>-1.3151802217476138E-2</v>
      </c>
      <c r="S2194" s="563">
        <f t="shared" si="135"/>
        <v>1.5384615384614886E-3</v>
      </c>
      <c r="AA2194" s="594">
        <v>44921</v>
      </c>
      <c r="AB2194" s="595" t="s">
        <v>449</v>
      </c>
      <c r="AC2194" s="595">
        <v>40155.160000000003</v>
      </c>
      <c r="AD2194" s="596" t="s">
        <v>395</v>
      </c>
      <c r="AE2194" s="595">
        <v>58.96</v>
      </c>
      <c r="AF2194" s="597">
        <f t="shared" si="136"/>
        <v>1.2250310064231273E-2</v>
      </c>
      <c r="AG2194" s="597">
        <f t="shared" si="137"/>
        <v>5.191793041926851E-2</v>
      </c>
    </row>
    <row r="2195" spans="13:33" x14ac:dyDescent="0.35">
      <c r="M2195" s="555">
        <v>44924</v>
      </c>
      <c r="N2195" s="543" t="s">
        <v>449</v>
      </c>
      <c r="O2195" s="73">
        <v>39747.360000000001</v>
      </c>
      <c r="Q2195" s="158">
        <v>12.9</v>
      </c>
      <c r="R2195" s="563">
        <f t="shared" si="134"/>
        <v>1.1912851077523268E-2</v>
      </c>
      <c r="S2195" s="563">
        <f t="shared" si="135"/>
        <v>-9.2165898617511122E-3</v>
      </c>
      <c r="AA2195" s="594">
        <v>44922</v>
      </c>
      <c r="AB2195" s="595" t="s">
        <v>449</v>
      </c>
      <c r="AC2195" s="595">
        <v>39802.910000000003</v>
      </c>
      <c r="AD2195" s="596" t="s">
        <v>395</v>
      </c>
      <c r="AE2195" s="595">
        <v>61.5</v>
      </c>
      <c r="AF2195" s="597">
        <f t="shared" si="136"/>
        <v>-8.7722225487334438E-3</v>
      </c>
      <c r="AG2195" s="597">
        <f t="shared" si="137"/>
        <v>4.3080054274084123E-2</v>
      </c>
    </row>
    <row r="2196" spans="13:33" x14ac:dyDescent="0.35">
      <c r="M2196" s="555">
        <v>44925</v>
      </c>
      <c r="N2196" s="543" t="s">
        <v>449</v>
      </c>
      <c r="O2196" s="73">
        <v>40420.449999999997</v>
      </c>
      <c r="Q2196" s="158">
        <v>12.97</v>
      </c>
      <c r="R2196" s="563">
        <f t="shared" si="134"/>
        <v>1.6934206447924982E-2</v>
      </c>
      <c r="S2196" s="563">
        <f t="shared" si="135"/>
        <v>5.4263565891472521E-3</v>
      </c>
      <c r="AA2196" s="594">
        <v>44923</v>
      </c>
      <c r="AB2196" s="595" t="s">
        <v>449</v>
      </c>
      <c r="AC2196" s="595">
        <v>39279.43</v>
      </c>
      <c r="AD2196" s="596" t="s">
        <v>395</v>
      </c>
      <c r="AE2196" s="595">
        <v>60.5</v>
      </c>
      <c r="AF2196" s="597">
        <f t="shared" si="136"/>
        <v>-1.3151802217476138E-2</v>
      </c>
      <c r="AG2196" s="597">
        <f t="shared" si="137"/>
        <v>-1.6260162601625994E-2</v>
      </c>
    </row>
    <row r="2197" spans="13:33" x14ac:dyDescent="0.35">
      <c r="M2197" s="555">
        <v>44928</v>
      </c>
      <c r="N2197" s="543" t="s">
        <v>449</v>
      </c>
      <c r="O2197" s="73">
        <v>40815.9</v>
      </c>
      <c r="Q2197" s="158">
        <v>13.56</v>
      </c>
      <c r="R2197" s="563">
        <f t="shared" si="134"/>
        <v>9.7834140886605692E-3</v>
      </c>
      <c r="S2197" s="563">
        <f t="shared" si="135"/>
        <v>4.5489591364687776E-2</v>
      </c>
      <c r="AA2197" s="594">
        <v>44924</v>
      </c>
      <c r="AB2197" s="595" t="s">
        <v>449</v>
      </c>
      <c r="AC2197" s="595">
        <v>39747.360000000001</v>
      </c>
      <c r="AD2197" s="596" t="s">
        <v>395</v>
      </c>
      <c r="AE2197" s="595">
        <v>60.23</v>
      </c>
      <c r="AF2197" s="597">
        <f t="shared" si="136"/>
        <v>1.1912851077523268E-2</v>
      </c>
      <c r="AG2197" s="597">
        <f t="shared" si="137"/>
        <v>-4.4628099173553704E-3</v>
      </c>
    </row>
    <row r="2198" spans="13:33" x14ac:dyDescent="0.35">
      <c r="M2198" s="555">
        <v>44929</v>
      </c>
      <c r="N2198" s="543" t="s">
        <v>449</v>
      </c>
      <c r="O2198" s="73">
        <v>40630.639999999999</v>
      </c>
      <c r="Q2198" s="158">
        <v>13.26</v>
      </c>
      <c r="R2198" s="563">
        <f t="shared" si="134"/>
        <v>-4.5389174316872172E-3</v>
      </c>
      <c r="S2198" s="563">
        <f t="shared" si="135"/>
        <v>-2.2123893805309769E-2</v>
      </c>
      <c r="AA2198" s="594">
        <v>44925</v>
      </c>
      <c r="AB2198" s="595" t="s">
        <v>449</v>
      </c>
      <c r="AC2198" s="595">
        <v>40420.449999999997</v>
      </c>
      <c r="AD2198" s="596" t="s">
        <v>395</v>
      </c>
      <c r="AE2198" s="595">
        <v>58.67</v>
      </c>
      <c r="AF2198" s="597">
        <f t="shared" si="136"/>
        <v>1.6934206447924982E-2</v>
      </c>
      <c r="AG2198" s="597">
        <f t="shared" si="137"/>
        <v>-2.5900713929935204E-2</v>
      </c>
    </row>
    <row r="2199" spans="13:33" x14ac:dyDescent="0.35">
      <c r="M2199" s="555">
        <v>44930</v>
      </c>
      <c r="N2199" s="543" t="s">
        <v>449</v>
      </c>
      <c r="O2199" s="73">
        <v>40539.300000000003</v>
      </c>
      <c r="Q2199" s="158">
        <v>13.07</v>
      </c>
      <c r="R2199" s="563">
        <f t="shared" si="134"/>
        <v>-2.2480571312682995E-3</v>
      </c>
      <c r="S2199" s="563">
        <f t="shared" si="135"/>
        <v>-1.4328808446455454E-2</v>
      </c>
      <c r="AA2199" s="594">
        <v>44928</v>
      </c>
      <c r="AB2199" s="595" t="s">
        <v>449</v>
      </c>
      <c r="AC2199" s="595">
        <v>40815.9</v>
      </c>
      <c r="AD2199" s="596" t="s">
        <v>395</v>
      </c>
      <c r="AE2199" s="595">
        <v>60.51</v>
      </c>
      <c r="AF2199" s="597">
        <f t="shared" si="136"/>
        <v>9.7834140886605692E-3</v>
      </c>
      <c r="AG2199" s="597">
        <f t="shared" si="137"/>
        <v>3.1361854440088655E-2</v>
      </c>
    </row>
    <row r="2200" spans="13:33" x14ac:dyDescent="0.35">
      <c r="M2200" s="555">
        <v>44931</v>
      </c>
      <c r="N2200" s="543" t="s">
        <v>449</v>
      </c>
      <c r="O2200" s="73">
        <v>40716.74</v>
      </c>
      <c r="Q2200" s="158">
        <v>13.01</v>
      </c>
      <c r="R2200" s="563">
        <f t="shared" si="134"/>
        <v>4.3769872691437062E-3</v>
      </c>
      <c r="S2200" s="563">
        <f t="shared" si="135"/>
        <v>-4.5906656465187767E-3</v>
      </c>
      <c r="AA2200" s="594">
        <v>44929</v>
      </c>
      <c r="AB2200" s="595" t="s">
        <v>449</v>
      </c>
      <c r="AC2200" s="595">
        <v>40630.639999999999</v>
      </c>
      <c r="AD2200" s="596" t="s">
        <v>395</v>
      </c>
      <c r="AE2200" s="595">
        <v>59.1</v>
      </c>
      <c r="AF2200" s="597">
        <f t="shared" si="136"/>
        <v>-4.5389174316872172E-3</v>
      </c>
      <c r="AG2200" s="597">
        <f t="shared" si="137"/>
        <v>-2.3301933564700006E-2</v>
      </c>
    </row>
    <row r="2201" spans="13:33" x14ac:dyDescent="0.35">
      <c r="M2201" s="555">
        <v>44932</v>
      </c>
      <c r="N2201" s="543" t="s">
        <v>449</v>
      </c>
      <c r="O2201" s="73">
        <v>41007.519999999997</v>
      </c>
      <c r="Q2201" s="158">
        <v>13.81</v>
      </c>
      <c r="R2201" s="563">
        <f t="shared" si="134"/>
        <v>7.1415344155745242E-3</v>
      </c>
      <c r="S2201" s="563">
        <f t="shared" si="135"/>
        <v>6.1491160645657184E-2</v>
      </c>
      <c r="AA2201" s="594">
        <v>44930</v>
      </c>
      <c r="AB2201" s="595" t="s">
        <v>449</v>
      </c>
      <c r="AC2201" s="595">
        <v>40539.300000000003</v>
      </c>
      <c r="AD2201" s="596" t="s">
        <v>395</v>
      </c>
      <c r="AE2201" s="595">
        <v>59.86</v>
      </c>
      <c r="AF2201" s="597">
        <f t="shared" si="136"/>
        <v>-2.2480571312682995E-3</v>
      </c>
      <c r="AG2201" s="597">
        <f t="shared" si="137"/>
        <v>1.2859560067681963E-2</v>
      </c>
    </row>
    <row r="2202" spans="13:33" x14ac:dyDescent="0.35">
      <c r="M2202" s="555">
        <v>44935</v>
      </c>
      <c r="N2202" s="543" t="s">
        <v>449</v>
      </c>
      <c r="O2202" s="73">
        <v>40504.76</v>
      </c>
      <c r="Q2202" s="158">
        <v>13.75</v>
      </c>
      <c r="R2202" s="563">
        <f t="shared" ref="R2202:R2265" si="138">(O2202/O2201)-1</f>
        <v>-1.2260190326066844E-2</v>
      </c>
      <c r="S2202" s="563">
        <f t="shared" ref="S2202:S2265" si="139">(Q2202/Q2201)-1</f>
        <v>-4.3446777697321304E-3</v>
      </c>
      <c r="AA2202" s="594">
        <v>44931</v>
      </c>
      <c r="AB2202" s="595" t="s">
        <v>449</v>
      </c>
      <c r="AC2202" s="595">
        <v>40716.74</v>
      </c>
      <c r="AD2202" s="596" t="s">
        <v>395</v>
      </c>
      <c r="AE2202" s="595">
        <v>60.71</v>
      </c>
      <c r="AF2202" s="597">
        <f t="shared" si="136"/>
        <v>4.3769872691437062E-3</v>
      </c>
      <c r="AG2202" s="597">
        <f t="shared" si="137"/>
        <v>1.4199799532241819E-2</v>
      </c>
    </row>
    <row r="2203" spans="13:33" x14ac:dyDescent="0.35">
      <c r="M2203" s="555">
        <v>44936</v>
      </c>
      <c r="N2203" s="543" t="s">
        <v>449</v>
      </c>
      <c r="O2203" s="73">
        <v>40801.5</v>
      </c>
      <c r="Q2203" s="158">
        <v>14.11</v>
      </c>
      <c r="R2203" s="563">
        <f t="shared" si="138"/>
        <v>7.3260525429603707E-3</v>
      </c>
      <c r="S2203" s="563">
        <f t="shared" si="139"/>
        <v>2.6181818181818084E-2</v>
      </c>
      <c r="AA2203" s="594">
        <v>44932</v>
      </c>
      <c r="AB2203" s="595" t="s">
        <v>449</v>
      </c>
      <c r="AC2203" s="595">
        <v>41007.519999999997</v>
      </c>
      <c r="AD2203" s="596" t="s">
        <v>395</v>
      </c>
      <c r="AE2203" s="595">
        <v>61.2</v>
      </c>
      <c r="AF2203" s="597">
        <f t="shared" si="136"/>
        <v>7.1415344155745242E-3</v>
      </c>
      <c r="AG2203" s="597">
        <f t="shared" si="137"/>
        <v>8.0711579640915243E-3</v>
      </c>
    </row>
    <row r="2204" spans="13:33" x14ac:dyDescent="0.35">
      <c r="M2204" s="555">
        <v>44937</v>
      </c>
      <c r="N2204" s="543" t="s">
        <v>449</v>
      </c>
      <c r="O2204" s="73">
        <v>40758.199999999997</v>
      </c>
      <c r="Q2204" s="158">
        <v>14</v>
      </c>
      <c r="R2204" s="563">
        <f t="shared" si="138"/>
        <v>-1.0612354937932222E-3</v>
      </c>
      <c r="S2204" s="563">
        <f t="shared" si="139"/>
        <v>-7.795889440113335E-3</v>
      </c>
      <c r="AA2204" s="594">
        <v>44935</v>
      </c>
      <c r="AB2204" s="595" t="s">
        <v>449</v>
      </c>
      <c r="AC2204" s="595">
        <v>40504.76</v>
      </c>
      <c r="AD2204" s="596" t="s">
        <v>395</v>
      </c>
      <c r="AE2204" s="595">
        <v>60.48</v>
      </c>
      <c r="AF2204" s="597">
        <f t="shared" ref="AF2204:AF2267" si="140">(AC2204/AC2203)-1</f>
        <v>-1.2260190326066844E-2</v>
      </c>
      <c r="AG2204" s="597">
        <f t="shared" ref="AG2204:AG2267" si="141">(AE2204/AE2203)-1</f>
        <v>-1.176470588235301E-2</v>
      </c>
    </row>
    <row r="2205" spans="13:33" x14ac:dyDescent="0.35">
      <c r="M2205" s="555">
        <v>44938</v>
      </c>
      <c r="N2205" s="543" t="s">
        <v>449</v>
      </c>
      <c r="O2205" s="73">
        <v>40803.89</v>
      </c>
      <c r="Q2205" s="158">
        <v>14.02</v>
      </c>
      <c r="R2205" s="563">
        <f t="shared" si="138"/>
        <v>1.1210014181195493E-3</v>
      </c>
      <c r="S2205" s="563">
        <f t="shared" si="139"/>
        <v>1.4285714285713347E-3</v>
      </c>
      <c r="AA2205" s="594">
        <v>44936</v>
      </c>
      <c r="AB2205" s="595" t="s">
        <v>449</v>
      </c>
      <c r="AC2205" s="595">
        <v>40801.5</v>
      </c>
      <c r="AD2205" s="596" t="s">
        <v>395</v>
      </c>
      <c r="AE2205" s="595">
        <v>60.93</v>
      </c>
      <c r="AF2205" s="597">
        <f t="shared" si="140"/>
        <v>7.3260525429603707E-3</v>
      </c>
      <c r="AG2205" s="597">
        <f t="shared" si="141"/>
        <v>7.4404761904762751E-3</v>
      </c>
    </row>
    <row r="2206" spans="13:33" x14ac:dyDescent="0.35">
      <c r="M2206" s="555">
        <v>44939</v>
      </c>
      <c r="N2206" s="543" t="s">
        <v>449</v>
      </c>
      <c r="O2206" s="73">
        <v>40323.449999999997</v>
      </c>
      <c r="Q2206" s="158">
        <v>13.5</v>
      </c>
      <c r="R2206" s="563">
        <f t="shared" si="138"/>
        <v>-1.1774367590933199E-2</v>
      </c>
      <c r="S2206" s="563">
        <f t="shared" si="139"/>
        <v>-3.708987161198285E-2</v>
      </c>
      <c r="AA2206" s="594">
        <v>44937</v>
      </c>
      <c r="AB2206" s="595" t="s">
        <v>449</v>
      </c>
      <c r="AC2206" s="595">
        <v>40758.199999999997</v>
      </c>
      <c r="AD2206" s="596" t="s">
        <v>395</v>
      </c>
      <c r="AE2206" s="595">
        <v>61.4</v>
      </c>
      <c r="AF2206" s="597">
        <f t="shared" si="140"/>
        <v>-1.0612354937932222E-3</v>
      </c>
      <c r="AG2206" s="597">
        <f t="shared" si="141"/>
        <v>7.7137698998850368E-3</v>
      </c>
    </row>
    <row r="2207" spans="13:33" x14ac:dyDescent="0.35">
      <c r="M2207" s="555">
        <v>44942</v>
      </c>
      <c r="N2207" s="543" t="s">
        <v>449</v>
      </c>
      <c r="O2207" s="73">
        <v>39720.75</v>
      </c>
      <c r="Q2207" s="158">
        <v>12.94</v>
      </c>
      <c r="R2207" s="563">
        <f t="shared" si="138"/>
        <v>-1.4946637750489988E-2</v>
      </c>
      <c r="S2207" s="563">
        <f t="shared" si="139"/>
        <v>-4.1481481481481564E-2</v>
      </c>
      <c r="AA2207" s="594">
        <v>44938</v>
      </c>
      <c r="AB2207" s="595" t="s">
        <v>449</v>
      </c>
      <c r="AC2207" s="595">
        <v>40803.89</v>
      </c>
      <c r="AD2207" s="596" t="s">
        <v>395</v>
      </c>
      <c r="AE2207" s="595">
        <v>61.74</v>
      </c>
      <c r="AF2207" s="597">
        <f t="shared" si="140"/>
        <v>1.1210014181195493E-3</v>
      </c>
      <c r="AG2207" s="597">
        <f t="shared" si="141"/>
        <v>5.537459283387669E-3</v>
      </c>
    </row>
    <row r="2208" spans="13:33" x14ac:dyDescent="0.35">
      <c r="M2208" s="555">
        <v>44943</v>
      </c>
      <c r="N2208" s="543" t="s">
        <v>449</v>
      </c>
      <c r="O2208" s="73">
        <v>38342.21</v>
      </c>
      <c r="Q2208" s="158">
        <v>12.18</v>
      </c>
      <c r="R2208" s="563">
        <f t="shared" si="138"/>
        <v>-3.4705789795006381E-2</v>
      </c>
      <c r="S2208" s="563">
        <f t="shared" si="139"/>
        <v>-5.8732612055641398E-2</v>
      </c>
      <c r="AA2208" s="594">
        <v>44939</v>
      </c>
      <c r="AB2208" s="595" t="s">
        <v>449</v>
      </c>
      <c r="AC2208" s="595">
        <v>40323.449999999997</v>
      </c>
      <c r="AD2208" s="596" t="s">
        <v>395</v>
      </c>
      <c r="AE2208" s="595">
        <v>61.6</v>
      </c>
      <c r="AF2208" s="597">
        <f t="shared" si="140"/>
        <v>-1.1774367590933199E-2</v>
      </c>
      <c r="AG2208" s="597">
        <f t="shared" si="141"/>
        <v>-2.2675736961451642E-3</v>
      </c>
    </row>
    <row r="2209" spans="13:33" x14ac:dyDescent="0.35">
      <c r="M2209" s="555">
        <v>44944</v>
      </c>
      <c r="N2209" s="543" t="s">
        <v>449</v>
      </c>
      <c r="O2209" s="73">
        <v>38791.089999999997</v>
      </c>
      <c r="Q2209" s="158">
        <v>12.43</v>
      </c>
      <c r="R2209" s="563">
        <f t="shared" si="138"/>
        <v>1.1707202062687605E-2</v>
      </c>
      <c r="S2209" s="563">
        <f t="shared" si="139"/>
        <v>2.0525451559934238E-2</v>
      </c>
      <c r="AA2209" s="594">
        <v>44942</v>
      </c>
      <c r="AB2209" s="595" t="s">
        <v>449</v>
      </c>
      <c r="AC2209" s="595">
        <v>39720.75</v>
      </c>
      <c r="AD2209" s="596" t="s">
        <v>395</v>
      </c>
      <c r="AE2209" s="595">
        <v>61.61</v>
      </c>
      <c r="AF2209" s="597">
        <f t="shared" si="140"/>
        <v>-1.4946637750489988E-2</v>
      </c>
      <c r="AG2209" s="597">
        <f t="shared" si="141"/>
        <v>1.6233766233764158E-4</v>
      </c>
    </row>
    <row r="2210" spans="13:33" x14ac:dyDescent="0.35">
      <c r="M2210" s="555">
        <v>44945</v>
      </c>
      <c r="N2210" s="543" t="s">
        <v>449</v>
      </c>
      <c r="O2210" s="73">
        <v>38831.58</v>
      </c>
      <c r="Q2210" s="158">
        <v>12.51</v>
      </c>
      <c r="R2210" s="563">
        <f t="shared" si="138"/>
        <v>1.0437963975749032E-3</v>
      </c>
      <c r="S2210" s="563">
        <f t="shared" si="139"/>
        <v>6.4360418342719328E-3</v>
      </c>
      <c r="AA2210" s="594">
        <v>44943</v>
      </c>
      <c r="AB2210" s="595" t="s">
        <v>449</v>
      </c>
      <c r="AC2210" s="595">
        <v>38342.21</v>
      </c>
      <c r="AD2210" s="596" t="s">
        <v>395</v>
      </c>
      <c r="AE2210" s="595">
        <v>61.34</v>
      </c>
      <c r="AF2210" s="597">
        <f t="shared" si="140"/>
        <v>-3.4705789795006381E-2</v>
      </c>
      <c r="AG2210" s="597">
        <f t="shared" si="141"/>
        <v>-4.3824054536600876E-3</v>
      </c>
    </row>
    <row r="2211" spans="13:33" x14ac:dyDescent="0.35">
      <c r="M2211" s="555">
        <v>44946</v>
      </c>
      <c r="N2211" s="543" t="s">
        <v>449</v>
      </c>
      <c r="O2211" s="73">
        <v>38407.980000000003</v>
      </c>
      <c r="Q2211" s="158">
        <v>12.23</v>
      </c>
      <c r="R2211" s="563">
        <f t="shared" si="138"/>
        <v>-1.0908647034192254E-2</v>
      </c>
      <c r="S2211" s="563">
        <f t="shared" si="139"/>
        <v>-2.2382094324540303E-2</v>
      </c>
      <c r="AA2211" s="594">
        <v>44944</v>
      </c>
      <c r="AB2211" s="595" t="s">
        <v>449</v>
      </c>
      <c r="AC2211" s="595">
        <v>38791.089999999997</v>
      </c>
      <c r="AD2211" s="596" t="s">
        <v>395</v>
      </c>
      <c r="AE2211" s="595">
        <v>61.5</v>
      </c>
      <c r="AF2211" s="597">
        <f t="shared" si="140"/>
        <v>1.1707202062687605E-2</v>
      </c>
      <c r="AG2211" s="597">
        <f t="shared" si="141"/>
        <v>2.6084121291163331E-3</v>
      </c>
    </row>
    <row r="2212" spans="13:33" x14ac:dyDescent="0.35">
      <c r="M2212" s="555">
        <v>44949</v>
      </c>
      <c r="N2212" s="543" t="s">
        <v>449</v>
      </c>
      <c r="O2212" s="73">
        <v>38443.589999999997</v>
      </c>
      <c r="Q2212" s="158">
        <v>12.25</v>
      </c>
      <c r="R2212" s="563">
        <f t="shared" si="138"/>
        <v>9.2715107641683225E-4</v>
      </c>
      <c r="S2212" s="563">
        <f t="shared" si="139"/>
        <v>1.6353229762877675E-3</v>
      </c>
      <c r="AA2212" s="594">
        <v>44945</v>
      </c>
      <c r="AB2212" s="595" t="s">
        <v>449</v>
      </c>
      <c r="AC2212" s="595">
        <v>38831.58</v>
      </c>
      <c r="AD2212" s="596" t="s">
        <v>395</v>
      </c>
      <c r="AE2212" s="595">
        <v>61.26</v>
      </c>
      <c r="AF2212" s="597">
        <f t="shared" si="140"/>
        <v>1.0437963975749032E-3</v>
      </c>
      <c r="AG2212" s="597">
        <f t="shared" si="141"/>
        <v>-3.9024390243902474E-3</v>
      </c>
    </row>
    <row r="2213" spans="13:33" x14ac:dyDescent="0.35">
      <c r="M2213" s="555">
        <v>44950</v>
      </c>
      <c r="N2213" s="543" t="s">
        <v>449</v>
      </c>
      <c r="O2213" s="73">
        <v>39055.65</v>
      </c>
      <c r="Q2213" s="158">
        <v>12.49</v>
      </c>
      <c r="R2213" s="563">
        <f t="shared" si="138"/>
        <v>1.5920989689048426E-2</v>
      </c>
      <c r="S2213" s="563">
        <f t="shared" si="139"/>
        <v>1.959183673469389E-2</v>
      </c>
      <c r="AA2213" s="594">
        <v>44946</v>
      </c>
      <c r="AB2213" s="595" t="s">
        <v>449</v>
      </c>
      <c r="AC2213" s="595">
        <v>38407.980000000003</v>
      </c>
      <c r="AD2213" s="596" t="s">
        <v>395</v>
      </c>
      <c r="AE2213" s="595">
        <v>60.99</v>
      </c>
      <c r="AF2213" s="597">
        <f t="shared" si="140"/>
        <v>-1.0908647034192254E-2</v>
      </c>
      <c r="AG2213" s="597">
        <f t="shared" si="141"/>
        <v>-4.4074436826639918E-3</v>
      </c>
    </row>
    <row r="2214" spans="13:33" x14ac:dyDescent="0.35">
      <c r="M2214" s="555">
        <v>44951</v>
      </c>
      <c r="N2214" s="543" t="s">
        <v>449</v>
      </c>
      <c r="O2214" s="73">
        <v>39784.9</v>
      </c>
      <c r="Q2214" s="158">
        <v>12.66</v>
      </c>
      <c r="R2214" s="563">
        <f t="shared" si="138"/>
        <v>1.8672074334955324E-2</v>
      </c>
      <c r="S2214" s="563">
        <f t="shared" si="139"/>
        <v>1.3610888710968716E-2</v>
      </c>
      <c r="AA2214" s="594">
        <v>44949</v>
      </c>
      <c r="AB2214" s="595" t="s">
        <v>449</v>
      </c>
      <c r="AC2214" s="595">
        <v>38443.589999999997</v>
      </c>
      <c r="AD2214" s="596" t="s">
        <v>395</v>
      </c>
      <c r="AE2214" s="595">
        <v>61.3</v>
      </c>
      <c r="AF2214" s="597">
        <f t="shared" si="140"/>
        <v>9.2715107641683225E-4</v>
      </c>
      <c r="AG2214" s="597">
        <f t="shared" si="141"/>
        <v>5.0828004590914855E-3</v>
      </c>
    </row>
    <row r="2215" spans="13:33" x14ac:dyDescent="0.35">
      <c r="M2215" s="555">
        <v>44952</v>
      </c>
      <c r="N2215" s="543" t="s">
        <v>449</v>
      </c>
      <c r="O2215" s="73">
        <v>40846.53</v>
      </c>
      <c r="Q2215" s="158">
        <v>13.66</v>
      </c>
      <c r="R2215" s="563">
        <f t="shared" si="138"/>
        <v>2.6684244524932677E-2</v>
      </c>
      <c r="S2215" s="563">
        <f t="shared" si="139"/>
        <v>7.8988941548183256E-2</v>
      </c>
      <c r="AA2215" s="594">
        <v>44950</v>
      </c>
      <c r="AB2215" s="595" t="s">
        <v>449</v>
      </c>
      <c r="AC2215" s="595">
        <v>39055.65</v>
      </c>
      <c r="AD2215" s="596" t="s">
        <v>395</v>
      </c>
      <c r="AE2215" s="595">
        <v>61.57</v>
      </c>
      <c r="AF2215" s="597">
        <f t="shared" si="140"/>
        <v>1.5920989689048426E-2</v>
      </c>
      <c r="AG2215" s="597">
        <f t="shared" si="141"/>
        <v>4.404567699836992E-3</v>
      </c>
    </row>
    <row r="2216" spans="13:33" x14ac:dyDescent="0.35">
      <c r="M2216" s="555">
        <v>44953</v>
      </c>
      <c r="N2216" s="543" t="s">
        <v>449</v>
      </c>
      <c r="O2216" s="73">
        <v>40450.53</v>
      </c>
      <c r="Q2216" s="158">
        <v>13.61</v>
      </c>
      <c r="R2216" s="563">
        <f t="shared" si="138"/>
        <v>-9.6948259742014598E-3</v>
      </c>
      <c r="S2216" s="563">
        <f t="shared" si="139"/>
        <v>-3.6603221083455484E-3</v>
      </c>
      <c r="AA2216" s="594">
        <v>44951</v>
      </c>
      <c r="AB2216" s="595" t="s">
        <v>449</v>
      </c>
      <c r="AC2216" s="595">
        <v>39784.9</v>
      </c>
      <c r="AD2216" s="596" t="s">
        <v>395</v>
      </c>
      <c r="AE2216" s="595">
        <v>61.35</v>
      </c>
      <c r="AF2216" s="597">
        <f t="shared" si="140"/>
        <v>1.8672074334955324E-2</v>
      </c>
      <c r="AG2216" s="597">
        <f t="shared" si="141"/>
        <v>-3.5731687510150989E-3</v>
      </c>
    </row>
    <row r="2217" spans="13:33" x14ac:dyDescent="0.35">
      <c r="M2217" s="555">
        <v>44956</v>
      </c>
      <c r="N2217" s="543" t="s">
        <v>449</v>
      </c>
      <c r="O2217" s="73">
        <v>39871.269999999997</v>
      </c>
      <c r="Q2217" s="158">
        <v>13.66</v>
      </c>
      <c r="R2217" s="563">
        <f t="shared" si="138"/>
        <v>-1.4320207918165795E-2</v>
      </c>
      <c r="S2217" s="563">
        <f t="shared" si="139"/>
        <v>3.6737692872887973E-3</v>
      </c>
      <c r="AA2217" s="594">
        <v>44952</v>
      </c>
      <c r="AB2217" s="595" t="s">
        <v>449</v>
      </c>
      <c r="AC2217" s="595">
        <v>40846.53</v>
      </c>
      <c r="AD2217" s="596" t="s">
        <v>395</v>
      </c>
      <c r="AE2217" s="595">
        <v>61.19</v>
      </c>
      <c r="AF2217" s="597">
        <f t="shared" si="140"/>
        <v>2.6684244524932677E-2</v>
      </c>
      <c r="AG2217" s="597">
        <f t="shared" si="141"/>
        <v>-2.6079869600652561E-3</v>
      </c>
    </row>
    <row r="2218" spans="13:33" x14ac:dyDescent="0.35">
      <c r="M2218" s="555">
        <v>44957</v>
      </c>
      <c r="N2218" s="543" t="s">
        <v>449</v>
      </c>
      <c r="O2218" s="73">
        <v>40673.06</v>
      </c>
      <c r="Q2218" s="158">
        <v>13.65</v>
      </c>
      <c r="R2218" s="563">
        <f t="shared" si="138"/>
        <v>2.0109467293116134E-2</v>
      </c>
      <c r="S2218" s="563">
        <f t="shared" si="139"/>
        <v>-7.3206442166906527E-4</v>
      </c>
      <c r="AA2218" s="594">
        <v>44953</v>
      </c>
      <c r="AB2218" s="595" t="s">
        <v>449</v>
      </c>
      <c r="AC2218" s="595">
        <v>40450.53</v>
      </c>
      <c r="AD2218" s="596" t="s">
        <v>395</v>
      </c>
      <c r="AE2218" s="595">
        <v>60.37</v>
      </c>
      <c r="AF2218" s="597">
        <f t="shared" si="140"/>
        <v>-9.6948259742014598E-3</v>
      </c>
      <c r="AG2218" s="597">
        <f t="shared" si="141"/>
        <v>-1.340088249714011E-2</v>
      </c>
    </row>
    <row r="2219" spans="13:33" x14ac:dyDescent="0.35">
      <c r="M2219" s="555">
        <v>44958</v>
      </c>
      <c r="N2219" s="543" t="s">
        <v>449</v>
      </c>
      <c r="O2219" s="73">
        <v>40619.94</v>
      </c>
      <c r="Q2219" s="158">
        <v>13.69</v>
      </c>
      <c r="R2219" s="563">
        <f t="shared" si="138"/>
        <v>-1.3060241840666675E-3</v>
      </c>
      <c r="S2219" s="563">
        <f t="shared" si="139"/>
        <v>2.93040293040292E-3</v>
      </c>
      <c r="AA2219" s="589">
        <v>44956</v>
      </c>
      <c r="AB2219" s="590" t="s">
        <v>449</v>
      </c>
      <c r="AC2219" s="590">
        <v>39871.269999999997</v>
      </c>
      <c r="AD2219" s="591" t="s">
        <v>395</v>
      </c>
      <c r="AE2219" s="590">
        <v>61</v>
      </c>
      <c r="AF2219" s="592">
        <f t="shared" si="140"/>
        <v>-1.4320207918165795E-2</v>
      </c>
      <c r="AG2219" s="592">
        <f t="shared" si="141"/>
        <v>1.0435646844459301E-2</v>
      </c>
    </row>
    <row r="2220" spans="13:33" x14ac:dyDescent="0.35">
      <c r="M2220" s="555">
        <v>44959</v>
      </c>
      <c r="N2220" s="543" t="s">
        <v>449</v>
      </c>
      <c r="O2220" s="73">
        <v>40733.51</v>
      </c>
      <c r="Q2220" s="158">
        <v>13.6</v>
      </c>
      <c r="R2220" s="563">
        <f t="shared" si="138"/>
        <v>2.795917473044085E-3</v>
      </c>
      <c r="S2220" s="563">
        <f t="shared" si="139"/>
        <v>-6.5741417092768373E-3</v>
      </c>
      <c r="AA2220" s="589">
        <v>44957</v>
      </c>
      <c r="AB2220" s="590" t="s">
        <v>449</v>
      </c>
      <c r="AC2220" s="590">
        <v>40673.06</v>
      </c>
      <c r="AD2220" s="591" t="s">
        <v>395</v>
      </c>
      <c r="AE2220" s="590">
        <v>60.33</v>
      </c>
      <c r="AF2220" s="592">
        <f t="shared" si="140"/>
        <v>2.0109467293116134E-2</v>
      </c>
      <c r="AG2220" s="592">
        <f t="shared" si="141"/>
        <v>-1.0983606557377068E-2</v>
      </c>
    </row>
    <row r="2221" spans="13:33" x14ac:dyDescent="0.35">
      <c r="M2221" s="555">
        <v>44960</v>
      </c>
      <c r="N2221" s="543" t="s">
        <v>449</v>
      </c>
      <c r="O2221" s="73">
        <v>40471.160000000003</v>
      </c>
      <c r="Q2221" s="158">
        <v>13.4</v>
      </c>
      <c r="R2221" s="563">
        <f t="shared" si="138"/>
        <v>-6.4406430970470607E-3</v>
      </c>
      <c r="S2221" s="563">
        <f t="shared" si="139"/>
        <v>-1.4705882352941124E-2</v>
      </c>
      <c r="AA2221" s="594">
        <v>44958</v>
      </c>
      <c r="AB2221" s="595" t="s">
        <v>449</v>
      </c>
      <c r="AC2221" s="595">
        <v>40619.94</v>
      </c>
      <c r="AD2221" s="596" t="s">
        <v>395</v>
      </c>
      <c r="AE2221" s="595">
        <v>61.25</v>
      </c>
      <c r="AF2221" s="597">
        <f t="shared" si="140"/>
        <v>-1.3060241840666675E-3</v>
      </c>
      <c r="AG2221" s="597">
        <f t="shared" si="141"/>
        <v>1.5249461296204192E-2</v>
      </c>
    </row>
    <row r="2222" spans="13:33" x14ac:dyDescent="0.35">
      <c r="M2222" s="555">
        <v>44963</v>
      </c>
      <c r="N2222" s="543" t="s">
        <v>449</v>
      </c>
      <c r="O2222" s="73">
        <v>41190.769999999997</v>
      </c>
      <c r="Q2222" s="158">
        <v>13.64</v>
      </c>
      <c r="R2222" s="563">
        <f t="shared" si="138"/>
        <v>1.7780809840884038E-2</v>
      </c>
      <c r="S2222" s="563">
        <f t="shared" si="139"/>
        <v>1.7910447761193993E-2</v>
      </c>
      <c r="AA2222" s="594">
        <v>44959</v>
      </c>
      <c r="AB2222" s="595" t="s">
        <v>449</v>
      </c>
      <c r="AC2222" s="595">
        <v>40733.51</v>
      </c>
      <c r="AD2222" s="596" t="s">
        <v>395</v>
      </c>
      <c r="AE2222" s="595">
        <v>60.49</v>
      </c>
      <c r="AF2222" s="597">
        <f t="shared" si="140"/>
        <v>2.795917473044085E-3</v>
      </c>
      <c r="AG2222" s="597">
        <f t="shared" si="141"/>
        <v>-1.2408163265306138E-2</v>
      </c>
    </row>
    <row r="2223" spans="13:33" x14ac:dyDescent="0.35">
      <c r="M2223" s="555">
        <v>44964</v>
      </c>
      <c r="N2223" s="543" t="s">
        <v>449</v>
      </c>
      <c r="O2223" s="73">
        <v>41522.76</v>
      </c>
      <c r="Q2223" s="158">
        <v>13.23</v>
      </c>
      <c r="R2223" s="563">
        <f t="shared" si="138"/>
        <v>8.0598153421265195E-3</v>
      </c>
      <c r="S2223" s="563">
        <f t="shared" si="139"/>
        <v>-3.0058651026392935E-2</v>
      </c>
      <c r="AA2223" s="594">
        <v>44960</v>
      </c>
      <c r="AB2223" s="595" t="s">
        <v>449</v>
      </c>
      <c r="AC2223" s="595">
        <v>40471.160000000003</v>
      </c>
      <c r="AD2223" s="596" t="s">
        <v>395</v>
      </c>
      <c r="AE2223" s="595">
        <v>61.45</v>
      </c>
      <c r="AF2223" s="597">
        <f t="shared" si="140"/>
        <v>-6.4406430970470607E-3</v>
      </c>
      <c r="AG2223" s="597">
        <f t="shared" si="141"/>
        <v>1.587039180029759E-2</v>
      </c>
    </row>
    <row r="2224" spans="13:33" x14ac:dyDescent="0.35">
      <c r="M2224" s="555">
        <v>44965</v>
      </c>
      <c r="N2224" s="543" t="s">
        <v>449</v>
      </c>
      <c r="O2224" s="73">
        <v>41723.32</v>
      </c>
      <c r="Q2224" s="158">
        <v>13.26</v>
      </c>
      <c r="R2224" s="563">
        <f t="shared" si="138"/>
        <v>4.8301220824433777E-3</v>
      </c>
      <c r="S2224" s="563">
        <f t="shared" si="139"/>
        <v>2.2675736961450532E-3</v>
      </c>
      <c r="AA2224" s="594">
        <v>44963</v>
      </c>
      <c r="AB2224" s="595" t="s">
        <v>449</v>
      </c>
      <c r="AC2224" s="595">
        <v>41190.769999999997</v>
      </c>
      <c r="AD2224" s="596" t="s">
        <v>395</v>
      </c>
      <c r="AE2224" s="595">
        <v>61.49</v>
      </c>
      <c r="AF2224" s="597">
        <f t="shared" si="140"/>
        <v>1.7780809840884038E-2</v>
      </c>
      <c r="AG2224" s="597">
        <f t="shared" si="141"/>
        <v>6.5093572009766731E-4</v>
      </c>
    </row>
    <row r="2225" spans="13:33" x14ac:dyDescent="0.35">
      <c r="M2225" s="555">
        <v>44966</v>
      </c>
      <c r="N2225" s="543" t="s">
        <v>449</v>
      </c>
      <c r="O2225" s="73">
        <v>42466.59</v>
      </c>
      <c r="Q2225" s="158">
        <v>13.66</v>
      </c>
      <c r="R2225" s="563">
        <f t="shared" si="138"/>
        <v>1.7814258309261977E-2</v>
      </c>
      <c r="S2225" s="563">
        <f t="shared" si="139"/>
        <v>3.016591251885381E-2</v>
      </c>
      <c r="AA2225" s="594">
        <v>44964</v>
      </c>
      <c r="AB2225" s="595" t="s">
        <v>449</v>
      </c>
      <c r="AC2225" s="595">
        <v>41522.76</v>
      </c>
      <c r="AD2225" s="596" t="s">
        <v>395</v>
      </c>
      <c r="AE2225" s="595">
        <v>61.4</v>
      </c>
      <c r="AF2225" s="597">
        <f t="shared" si="140"/>
        <v>8.0598153421265195E-3</v>
      </c>
      <c r="AG2225" s="597">
        <f t="shared" si="141"/>
        <v>-1.4636526264434346E-3</v>
      </c>
    </row>
    <row r="2226" spans="13:33" x14ac:dyDescent="0.35">
      <c r="M2226" s="555">
        <v>44967</v>
      </c>
      <c r="N2226" s="543" t="s">
        <v>449</v>
      </c>
      <c r="O2226" s="73">
        <v>41741.78</v>
      </c>
      <c r="Q2226" s="158">
        <v>13.35</v>
      </c>
      <c r="R2226" s="563">
        <f t="shared" si="138"/>
        <v>-1.7067770216539602E-2</v>
      </c>
      <c r="S2226" s="563">
        <f t="shared" si="139"/>
        <v>-2.2693997071742356E-2</v>
      </c>
      <c r="AA2226" s="594">
        <v>44965</v>
      </c>
      <c r="AB2226" s="595" t="s">
        <v>449</v>
      </c>
      <c r="AC2226" s="595">
        <v>41723.32</v>
      </c>
      <c r="AD2226" s="596" t="s">
        <v>395</v>
      </c>
      <c r="AE2226" s="595">
        <v>61.95</v>
      </c>
      <c r="AF2226" s="597">
        <f t="shared" si="140"/>
        <v>4.8301220824433777E-3</v>
      </c>
      <c r="AG2226" s="597">
        <f t="shared" si="141"/>
        <v>8.9576547231271508E-3</v>
      </c>
    </row>
    <row r="2227" spans="13:33" x14ac:dyDescent="0.35">
      <c r="M2227" s="555">
        <v>44970</v>
      </c>
      <c r="N2227" s="543" t="s">
        <v>449</v>
      </c>
      <c r="O2227" s="73">
        <v>41716.949999999997</v>
      </c>
      <c r="Q2227" s="158">
        <v>13.3</v>
      </c>
      <c r="R2227" s="563">
        <f t="shared" si="138"/>
        <v>-5.9484765623318836E-4</v>
      </c>
      <c r="S2227" s="563">
        <f t="shared" si="139"/>
        <v>-3.7453183520598232E-3</v>
      </c>
      <c r="AA2227" s="594">
        <v>44966</v>
      </c>
      <c r="AB2227" s="595" t="s">
        <v>449</v>
      </c>
      <c r="AC2227" s="595">
        <v>42466.59</v>
      </c>
      <c r="AD2227" s="596" t="s">
        <v>395</v>
      </c>
      <c r="AE2227" s="595">
        <v>61.66</v>
      </c>
      <c r="AF2227" s="597">
        <f t="shared" si="140"/>
        <v>1.7814258309261977E-2</v>
      </c>
      <c r="AG2227" s="597">
        <f t="shared" si="141"/>
        <v>-4.681194511703124E-3</v>
      </c>
    </row>
    <row r="2228" spans="13:33" x14ac:dyDescent="0.35">
      <c r="M2228" s="555">
        <v>44971</v>
      </c>
      <c r="N2228" s="543" t="s">
        <v>449</v>
      </c>
      <c r="O2228" s="73">
        <v>41150.160000000003</v>
      </c>
      <c r="Q2228" s="158">
        <v>13.07</v>
      </c>
      <c r="R2228" s="563">
        <f t="shared" si="138"/>
        <v>-1.3586563734884538E-2</v>
      </c>
      <c r="S2228" s="563">
        <f t="shared" si="139"/>
        <v>-1.7293233082706805E-2</v>
      </c>
      <c r="AA2228" s="594">
        <v>44967</v>
      </c>
      <c r="AB2228" s="595" t="s">
        <v>449</v>
      </c>
      <c r="AC2228" s="595">
        <v>41741.78</v>
      </c>
      <c r="AD2228" s="596" t="s">
        <v>395</v>
      </c>
      <c r="AE2228" s="595">
        <v>61.5</v>
      </c>
      <c r="AF2228" s="597">
        <f t="shared" si="140"/>
        <v>-1.7067770216539602E-2</v>
      </c>
      <c r="AG2228" s="597">
        <f t="shared" si="141"/>
        <v>-2.5948751216346988E-3</v>
      </c>
    </row>
    <row r="2229" spans="13:33" x14ac:dyDescent="0.35">
      <c r="M2229" s="526">
        <v>44973</v>
      </c>
      <c r="N2229" s="524" t="s">
        <v>449</v>
      </c>
      <c r="O2229" s="73">
        <v>41078.65</v>
      </c>
      <c r="Q2229">
        <v>13.2</v>
      </c>
      <c r="R2229" s="563">
        <f t="shared" si="138"/>
        <v>-1.7377818215045249E-3</v>
      </c>
      <c r="S2229" s="563">
        <f t="shared" si="139"/>
        <v>9.9464422341237757E-3</v>
      </c>
      <c r="AA2229" s="594">
        <v>44970</v>
      </c>
      <c r="AB2229" s="595" t="s">
        <v>449</v>
      </c>
      <c r="AC2229" s="595">
        <v>41716.949999999997</v>
      </c>
      <c r="AD2229" s="596" t="s">
        <v>395</v>
      </c>
      <c r="AE2229" s="595">
        <v>60.99</v>
      </c>
      <c r="AF2229" s="597">
        <f t="shared" si="140"/>
        <v>-5.9484765623318836E-4</v>
      </c>
      <c r="AG2229" s="597">
        <f t="shared" si="141"/>
        <v>-8.2926829268292757E-3</v>
      </c>
    </row>
    <row r="2230" spans="13:33" x14ac:dyDescent="0.35">
      <c r="M2230" s="526">
        <v>44977</v>
      </c>
      <c r="N2230" s="524" t="s">
        <v>449</v>
      </c>
      <c r="O2230" s="73">
        <v>40673.64</v>
      </c>
      <c r="Q2230">
        <v>12.99</v>
      </c>
      <c r="R2230" s="563">
        <f t="shared" si="138"/>
        <v>-9.8593795073597112E-3</v>
      </c>
      <c r="S2230" s="563">
        <f t="shared" si="139"/>
        <v>-1.5909090909090873E-2</v>
      </c>
      <c r="AA2230" s="594">
        <v>44971</v>
      </c>
      <c r="AB2230" s="595" t="s">
        <v>449</v>
      </c>
      <c r="AC2230" s="595">
        <v>41150.160000000003</v>
      </c>
      <c r="AD2230" s="596" t="s">
        <v>395</v>
      </c>
      <c r="AE2230" s="595">
        <v>61.68</v>
      </c>
      <c r="AF2230" s="597">
        <f t="shared" si="140"/>
        <v>-1.3586563734884538E-2</v>
      </c>
      <c r="AG2230" s="597">
        <f t="shared" si="141"/>
        <v>1.1313330054107285E-2</v>
      </c>
    </row>
    <row r="2231" spans="13:33" x14ac:dyDescent="0.35">
      <c r="M2231" s="555">
        <v>44978</v>
      </c>
      <c r="N2231" s="543" t="s">
        <v>449</v>
      </c>
      <c r="O2231" s="73">
        <v>40949.839999999997</v>
      </c>
      <c r="Q2231" s="158">
        <v>13.26</v>
      </c>
      <c r="R2231" s="563">
        <f t="shared" si="138"/>
        <v>6.7906388511083104E-3</v>
      </c>
      <c r="S2231" s="563">
        <f t="shared" si="139"/>
        <v>2.0785219399538146E-2</v>
      </c>
      <c r="AA2231" s="594">
        <v>44973</v>
      </c>
      <c r="AB2231" s="595" t="s">
        <v>449</v>
      </c>
      <c r="AC2231" s="595">
        <v>41078.65</v>
      </c>
      <c r="AD2231" s="596" t="s">
        <v>395</v>
      </c>
      <c r="AE2231" s="595">
        <v>61.84</v>
      </c>
      <c r="AF2231" s="597">
        <f t="shared" si="140"/>
        <v>-1.7377818215045249E-3</v>
      </c>
      <c r="AG2231" s="597">
        <f t="shared" si="141"/>
        <v>2.5940337224383825E-3</v>
      </c>
    </row>
    <row r="2232" spans="13:33" x14ac:dyDescent="0.35">
      <c r="M2232" s="555">
        <v>44979</v>
      </c>
      <c r="N2232" s="543" t="s">
        <v>449</v>
      </c>
      <c r="O2232" s="73">
        <v>41167.599999999999</v>
      </c>
      <c r="Q2232" s="158">
        <v>13.23</v>
      </c>
      <c r="R2232" s="563">
        <f t="shared" si="138"/>
        <v>5.3177252951415177E-3</v>
      </c>
      <c r="S2232" s="563">
        <f t="shared" si="139"/>
        <v>-2.2624434389140191E-3</v>
      </c>
      <c r="AA2232" s="594">
        <v>44977</v>
      </c>
      <c r="AB2232" s="595" t="s">
        <v>449</v>
      </c>
      <c r="AC2232" s="595">
        <v>40673.64</v>
      </c>
      <c r="AD2232" s="596" t="s">
        <v>395</v>
      </c>
      <c r="AE2232" s="595">
        <v>61.5</v>
      </c>
      <c r="AF2232" s="597">
        <f t="shared" si="140"/>
        <v>-9.8593795073597112E-3</v>
      </c>
      <c r="AG2232" s="597">
        <f t="shared" si="141"/>
        <v>-5.4980595084088701E-3</v>
      </c>
    </row>
    <row r="2233" spans="13:33" x14ac:dyDescent="0.35">
      <c r="M2233" s="555">
        <v>44980</v>
      </c>
      <c r="N2233" s="543" t="s">
        <v>449</v>
      </c>
      <c r="O2233" s="73">
        <v>40838.51</v>
      </c>
      <c r="Q2233" s="158">
        <v>12.99</v>
      </c>
      <c r="R2233" s="563">
        <f t="shared" si="138"/>
        <v>-7.9939078304296363E-3</v>
      </c>
      <c r="S2233" s="563">
        <f t="shared" si="139"/>
        <v>-1.8140589569160981E-2</v>
      </c>
      <c r="AA2233" s="594">
        <v>44978</v>
      </c>
      <c r="AB2233" s="595" t="s">
        <v>449</v>
      </c>
      <c r="AC2233" s="595">
        <v>40949.839999999997</v>
      </c>
      <c r="AD2233" s="596" t="s">
        <v>395</v>
      </c>
      <c r="AE2233" s="595">
        <v>60.46</v>
      </c>
      <c r="AF2233" s="597">
        <f t="shared" si="140"/>
        <v>6.7906388511083104E-3</v>
      </c>
      <c r="AG2233" s="597">
        <f t="shared" si="141"/>
        <v>-1.6910569105690998E-2</v>
      </c>
    </row>
    <row r="2234" spans="13:33" x14ac:dyDescent="0.35">
      <c r="M2234" s="555">
        <v>44981</v>
      </c>
      <c r="N2234" s="543" t="s">
        <v>449</v>
      </c>
      <c r="O2234" s="73">
        <v>40707.760000000002</v>
      </c>
      <c r="Q2234" s="158">
        <v>12.7</v>
      </c>
      <c r="R2234" s="563">
        <f t="shared" si="138"/>
        <v>-3.2016349274250899E-3</v>
      </c>
      <c r="S2234" s="563">
        <f t="shared" si="139"/>
        <v>-2.2324865280985429E-2</v>
      </c>
      <c r="AA2234" s="594">
        <v>44979</v>
      </c>
      <c r="AB2234" s="595" t="s">
        <v>449</v>
      </c>
      <c r="AC2234" s="595">
        <v>41167.599999999999</v>
      </c>
      <c r="AD2234" s="596" t="s">
        <v>395</v>
      </c>
      <c r="AE2234" s="595">
        <v>59.91</v>
      </c>
      <c r="AF2234" s="597">
        <f t="shared" si="140"/>
        <v>5.3177252951415177E-3</v>
      </c>
      <c r="AG2234" s="597">
        <f t="shared" si="141"/>
        <v>-9.0969235858419095E-3</v>
      </c>
    </row>
    <row r="2235" spans="13:33" x14ac:dyDescent="0.35">
      <c r="M2235" s="555">
        <v>44984</v>
      </c>
      <c r="N2235" s="543" t="s">
        <v>449</v>
      </c>
      <c r="O2235" s="73">
        <v>40784.129999999997</v>
      </c>
      <c r="Q2235" s="158">
        <v>12.73</v>
      </c>
      <c r="R2235" s="563">
        <f t="shared" si="138"/>
        <v>1.8760550813898824E-3</v>
      </c>
      <c r="S2235" s="563">
        <f t="shared" si="139"/>
        <v>2.3622047244096223E-3</v>
      </c>
      <c r="AA2235" s="594">
        <v>44980</v>
      </c>
      <c r="AB2235" s="595" t="s">
        <v>449</v>
      </c>
      <c r="AC2235" s="595">
        <v>40838.51</v>
      </c>
      <c r="AD2235" s="596" t="s">
        <v>395</v>
      </c>
      <c r="AE2235" s="595">
        <v>59</v>
      </c>
      <c r="AF2235" s="597">
        <f t="shared" si="140"/>
        <v>-7.9939078304296363E-3</v>
      </c>
      <c r="AG2235" s="597">
        <f t="shared" si="141"/>
        <v>-1.5189450842930996E-2</v>
      </c>
    </row>
    <row r="2236" spans="13:33" x14ac:dyDescent="0.35">
      <c r="M2236" s="555">
        <v>44985</v>
      </c>
      <c r="N2236" s="543" t="s">
        <v>449</v>
      </c>
      <c r="O2236" s="73">
        <v>40510.370000000003</v>
      </c>
      <c r="Q2236" s="158">
        <v>12.48</v>
      </c>
      <c r="R2236" s="563">
        <f t="shared" si="138"/>
        <v>-6.7124148535225858E-3</v>
      </c>
      <c r="S2236" s="563">
        <f t="shared" si="139"/>
        <v>-1.9638648860958341E-2</v>
      </c>
      <c r="AA2236" s="594">
        <v>44981</v>
      </c>
      <c r="AB2236" s="595" t="s">
        <v>449</v>
      </c>
      <c r="AC2236" s="595">
        <v>40707.760000000002</v>
      </c>
      <c r="AD2236" s="596" t="s">
        <v>395</v>
      </c>
      <c r="AE2236" s="595">
        <v>59.5</v>
      </c>
      <c r="AF2236" s="597">
        <f t="shared" si="140"/>
        <v>-3.2016349274250899E-3</v>
      </c>
      <c r="AG2236" s="597">
        <f t="shared" si="141"/>
        <v>8.4745762711864181E-3</v>
      </c>
    </row>
    <row r="2237" spans="13:33" x14ac:dyDescent="0.35">
      <c r="M2237" s="555">
        <v>44986</v>
      </c>
      <c r="N2237" s="543" t="s">
        <v>449</v>
      </c>
      <c r="O2237" s="73">
        <v>40412.769999999997</v>
      </c>
      <c r="Q2237" s="158">
        <v>12.41</v>
      </c>
      <c r="R2237" s="563">
        <f t="shared" si="138"/>
        <v>-2.4092596537628186E-3</v>
      </c>
      <c r="S2237" s="563">
        <f t="shared" si="139"/>
        <v>-5.608974358974339E-3</v>
      </c>
      <c r="AA2237" s="594">
        <v>44984</v>
      </c>
      <c r="AB2237" s="595" t="s">
        <v>449</v>
      </c>
      <c r="AC2237" s="595">
        <v>40784.129999999997</v>
      </c>
      <c r="AD2237" s="596" t="s">
        <v>395</v>
      </c>
      <c r="AE2237" s="595">
        <v>58</v>
      </c>
      <c r="AF2237" s="597">
        <f t="shared" si="140"/>
        <v>1.8760550813898824E-3</v>
      </c>
      <c r="AG2237" s="597">
        <f t="shared" si="141"/>
        <v>-2.5210084033613467E-2</v>
      </c>
    </row>
    <row r="2238" spans="13:33" x14ac:dyDescent="0.35">
      <c r="M2238" s="555">
        <v>44987</v>
      </c>
      <c r="N2238" s="543" t="s">
        <v>449</v>
      </c>
      <c r="O2238" s="73">
        <v>40670.879999999997</v>
      </c>
      <c r="Q2238" s="158">
        <v>12.21</v>
      </c>
      <c r="R2238" s="563">
        <f t="shared" si="138"/>
        <v>6.3868425747604096E-3</v>
      </c>
      <c r="S2238" s="563">
        <f t="shared" si="139"/>
        <v>-1.6116035455277955E-2</v>
      </c>
      <c r="AA2238" s="589">
        <v>44985</v>
      </c>
      <c r="AB2238" s="590" t="s">
        <v>449</v>
      </c>
      <c r="AC2238" s="590">
        <v>40510.370000000003</v>
      </c>
      <c r="AD2238" s="591" t="s">
        <v>395</v>
      </c>
      <c r="AE2238" s="590">
        <v>58.45</v>
      </c>
      <c r="AF2238" s="592">
        <f t="shared" si="140"/>
        <v>-6.7124148535225858E-3</v>
      </c>
      <c r="AG2238" s="592">
        <f t="shared" si="141"/>
        <v>7.7586206896551602E-3</v>
      </c>
    </row>
    <row r="2239" spans="13:33" x14ac:dyDescent="0.35">
      <c r="M2239" s="555">
        <v>44988</v>
      </c>
      <c r="N2239" s="543" t="s">
        <v>449</v>
      </c>
      <c r="O2239" s="73">
        <v>41337</v>
      </c>
      <c r="Q2239" s="158">
        <v>12.67</v>
      </c>
      <c r="R2239" s="563">
        <f t="shared" si="138"/>
        <v>1.6378303100400116E-2</v>
      </c>
      <c r="S2239" s="563">
        <f t="shared" si="139"/>
        <v>3.7674037674037653E-2</v>
      </c>
      <c r="AA2239" s="589">
        <v>44986</v>
      </c>
      <c r="AB2239" s="590" t="s">
        <v>449</v>
      </c>
      <c r="AC2239" s="590">
        <v>40412.769999999997</v>
      </c>
      <c r="AD2239" s="591" t="s">
        <v>395</v>
      </c>
      <c r="AE2239" s="590">
        <v>57.88</v>
      </c>
      <c r="AF2239" s="592">
        <f t="shared" si="140"/>
        <v>-2.4092596537628186E-3</v>
      </c>
      <c r="AG2239" s="592">
        <f t="shared" si="141"/>
        <v>-9.7519247219846061E-3</v>
      </c>
    </row>
    <row r="2240" spans="13:33" x14ac:dyDescent="0.35">
      <c r="M2240" s="555">
        <v>44991</v>
      </c>
      <c r="N2240" s="543" t="s">
        <v>449</v>
      </c>
      <c r="O2240" s="73">
        <v>41434.33</v>
      </c>
      <c r="Q2240" s="158">
        <v>12.8</v>
      </c>
      <c r="R2240" s="563">
        <f t="shared" si="138"/>
        <v>2.3545491932168705E-3</v>
      </c>
      <c r="S2240" s="563">
        <f t="shared" si="139"/>
        <v>1.0260457774269982E-2</v>
      </c>
      <c r="AA2240" s="594">
        <v>44987</v>
      </c>
      <c r="AB2240" s="595" t="s">
        <v>449</v>
      </c>
      <c r="AC2240" s="595">
        <v>40670.879999999997</v>
      </c>
      <c r="AD2240" s="596" t="s">
        <v>395</v>
      </c>
      <c r="AE2240" s="595">
        <v>57.97</v>
      </c>
      <c r="AF2240" s="597">
        <f t="shared" si="140"/>
        <v>6.3868425747604096E-3</v>
      </c>
      <c r="AG2240" s="597">
        <f t="shared" si="141"/>
        <v>1.5549412577746669E-3</v>
      </c>
    </row>
    <row r="2241" spans="13:33" x14ac:dyDescent="0.35">
      <c r="M2241" s="555">
        <v>44992</v>
      </c>
      <c r="N2241" s="543" t="s">
        <v>449</v>
      </c>
      <c r="O2241" s="73">
        <v>41334.69</v>
      </c>
      <c r="Q2241" s="158">
        <v>12.66</v>
      </c>
      <c r="R2241" s="563">
        <f t="shared" si="138"/>
        <v>-2.4047691853590347E-3</v>
      </c>
      <c r="S2241" s="563">
        <f t="shared" si="139"/>
        <v>-1.0937500000000044E-2</v>
      </c>
      <c r="AA2241" s="594">
        <v>44988</v>
      </c>
      <c r="AB2241" s="595" t="s">
        <v>449</v>
      </c>
      <c r="AC2241" s="595">
        <v>41337</v>
      </c>
      <c r="AD2241" s="596" t="s">
        <v>395</v>
      </c>
      <c r="AE2241" s="595">
        <v>55.63</v>
      </c>
      <c r="AF2241" s="597">
        <f t="shared" si="140"/>
        <v>1.6378303100400116E-2</v>
      </c>
      <c r="AG2241" s="597">
        <f t="shared" si="141"/>
        <v>-4.0365706399861923E-2</v>
      </c>
    </row>
    <row r="2242" spans="13:33" x14ac:dyDescent="0.35">
      <c r="M2242" s="555">
        <v>44993</v>
      </c>
      <c r="N2242" s="543" t="s">
        <v>449</v>
      </c>
      <c r="O2242" s="73">
        <v>41358.93</v>
      </c>
      <c r="Q2242" s="158">
        <v>12.67</v>
      </c>
      <c r="R2242" s="563">
        <f t="shared" si="138"/>
        <v>5.8643236467958992E-4</v>
      </c>
      <c r="S2242" s="563">
        <f t="shared" si="139"/>
        <v>7.898894154818592E-4</v>
      </c>
      <c r="AA2242" s="594">
        <v>44991</v>
      </c>
      <c r="AB2242" s="595" t="s">
        <v>449</v>
      </c>
      <c r="AC2242" s="595">
        <v>41434.33</v>
      </c>
      <c r="AD2242" s="596" t="s">
        <v>395</v>
      </c>
      <c r="AE2242" s="595">
        <v>55.2</v>
      </c>
      <c r="AF2242" s="597">
        <f t="shared" si="140"/>
        <v>2.3545491932168705E-3</v>
      </c>
      <c r="AG2242" s="597">
        <f t="shared" si="141"/>
        <v>-7.7296422793456943E-3</v>
      </c>
    </row>
    <row r="2243" spans="13:33" x14ac:dyDescent="0.35">
      <c r="M2243" s="555">
        <v>44994</v>
      </c>
      <c r="N2243" s="543" t="s">
        <v>449</v>
      </c>
      <c r="O2243" s="73">
        <v>41585.54</v>
      </c>
      <c r="Q2243" s="158">
        <v>13.09</v>
      </c>
      <c r="R2243" s="563">
        <f t="shared" si="138"/>
        <v>5.4791069304742646E-3</v>
      </c>
      <c r="S2243" s="563">
        <f t="shared" si="139"/>
        <v>3.3149171270718147E-2</v>
      </c>
      <c r="AA2243" s="594">
        <v>44992</v>
      </c>
      <c r="AB2243" s="595" t="s">
        <v>449</v>
      </c>
      <c r="AC2243" s="595">
        <v>41334.69</v>
      </c>
      <c r="AD2243" s="596" t="s">
        <v>395</v>
      </c>
      <c r="AE2243" s="595">
        <v>55.06</v>
      </c>
      <c r="AF2243" s="597">
        <f t="shared" si="140"/>
        <v>-2.4047691853590347E-3</v>
      </c>
      <c r="AG2243" s="597">
        <f t="shared" si="141"/>
        <v>-2.5362318840579379E-3</v>
      </c>
    </row>
    <row r="2244" spans="13:33" x14ac:dyDescent="0.35">
      <c r="M2244" s="555">
        <v>44995</v>
      </c>
      <c r="N2244" s="543" t="s">
        <v>449</v>
      </c>
      <c r="O2244" s="73">
        <v>41793.870000000003</v>
      </c>
      <c r="Q2244" s="158">
        <v>13.28</v>
      </c>
      <c r="R2244" s="563">
        <f t="shared" si="138"/>
        <v>5.0096740357346015E-3</v>
      </c>
      <c r="S2244" s="563">
        <f t="shared" si="139"/>
        <v>1.4514896867837912E-2</v>
      </c>
      <c r="AA2244" s="589">
        <v>44993</v>
      </c>
      <c r="AB2244" s="590" t="s">
        <v>449</v>
      </c>
      <c r="AC2244" s="590">
        <v>41358.93</v>
      </c>
      <c r="AD2244" s="591" t="s">
        <v>395</v>
      </c>
      <c r="AE2244" s="590">
        <v>56.94</v>
      </c>
      <c r="AF2244" s="592">
        <f t="shared" si="140"/>
        <v>5.8643236467958992E-4</v>
      </c>
      <c r="AG2244" s="592">
        <f t="shared" si="141"/>
        <v>3.4144569560479399E-2</v>
      </c>
    </row>
    <row r="2245" spans="13:33" x14ac:dyDescent="0.35">
      <c r="M2245" s="555">
        <v>44998</v>
      </c>
      <c r="N2245" s="543" t="s">
        <v>449</v>
      </c>
      <c r="O2245" s="73">
        <v>41856.85</v>
      </c>
      <c r="Q2245" s="158">
        <v>13.07</v>
      </c>
      <c r="R2245" s="563">
        <f t="shared" si="138"/>
        <v>1.5069195554275883E-3</v>
      </c>
      <c r="S2245" s="563">
        <f t="shared" si="139"/>
        <v>-1.5813253012048167E-2</v>
      </c>
      <c r="AA2245" s="589">
        <v>44994</v>
      </c>
      <c r="AB2245" s="590" t="s">
        <v>449</v>
      </c>
      <c r="AC2245" s="590">
        <v>41585.54</v>
      </c>
      <c r="AD2245" s="591" t="s">
        <v>395</v>
      </c>
      <c r="AE2245" s="590">
        <v>56.74</v>
      </c>
      <c r="AF2245" s="592">
        <f t="shared" si="140"/>
        <v>5.4791069304742646E-3</v>
      </c>
      <c r="AG2245" s="592">
        <f t="shared" si="141"/>
        <v>-3.5124692658938805E-3</v>
      </c>
    </row>
    <row r="2246" spans="13:33" x14ac:dyDescent="0.35">
      <c r="M2246" s="555">
        <v>44999</v>
      </c>
      <c r="N2246" s="543" t="s">
        <v>449</v>
      </c>
      <c r="O2246" s="73">
        <v>41816.43</v>
      </c>
      <c r="Q2246" s="158">
        <v>13.14</v>
      </c>
      <c r="R2246" s="563">
        <f t="shared" si="138"/>
        <v>-9.6567228542043804E-4</v>
      </c>
      <c r="S2246" s="563">
        <f t="shared" si="139"/>
        <v>5.355776587605332E-3</v>
      </c>
      <c r="AA2246" s="594">
        <v>44995</v>
      </c>
      <c r="AB2246" s="595" t="s">
        <v>449</v>
      </c>
      <c r="AC2246" s="595">
        <v>41793.870000000003</v>
      </c>
      <c r="AD2246" s="596" t="s">
        <v>395</v>
      </c>
      <c r="AE2246" s="595">
        <v>57.94</v>
      </c>
      <c r="AF2246" s="597">
        <f t="shared" si="140"/>
        <v>5.0096740357346015E-3</v>
      </c>
      <c r="AG2246" s="597">
        <f t="shared" si="141"/>
        <v>2.1149101163200568E-2</v>
      </c>
    </row>
    <row r="2247" spans="13:33" x14ac:dyDescent="0.35">
      <c r="M2247" s="555">
        <v>45000</v>
      </c>
      <c r="N2247" s="543" t="s">
        <v>449</v>
      </c>
      <c r="O2247" s="73">
        <v>41874.04</v>
      </c>
      <c r="Q2247" s="158">
        <v>13.28</v>
      </c>
      <c r="R2247" s="563">
        <f t="shared" si="138"/>
        <v>1.3776881479361514E-3</v>
      </c>
      <c r="S2247" s="563">
        <f t="shared" si="139"/>
        <v>1.0654490106544845E-2</v>
      </c>
      <c r="AA2247" s="594">
        <v>44998</v>
      </c>
      <c r="AB2247" s="595" t="s">
        <v>449</v>
      </c>
      <c r="AC2247" s="595">
        <v>41856.85</v>
      </c>
      <c r="AD2247" s="596" t="s">
        <v>395</v>
      </c>
      <c r="AE2247" s="595">
        <v>57.75</v>
      </c>
      <c r="AF2247" s="597">
        <f t="shared" si="140"/>
        <v>1.5069195554275883E-3</v>
      </c>
      <c r="AG2247" s="597">
        <f t="shared" si="141"/>
        <v>-3.2792544011045477E-3</v>
      </c>
    </row>
    <row r="2248" spans="13:33" x14ac:dyDescent="0.35">
      <c r="M2248" s="555">
        <v>45001</v>
      </c>
      <c r="N2248" s="543" t="s">
        <v>449</v>
      </c>
      <c r="O2248" s="73">
        <v>41694.089999999997</v>
      </c>
      <c r="Q2248" s="158">
        <v>13.28</v>
      </c>
      <c r="R2248" s="563">
        <f t="shared" si="138"/>
        <v>-4.2974119526084653E-3</v>
      </c>
      <c r="S2248" s="563">
        <f t="shared" si="139"/>
        <v>0</v>
      </c>
      <c r="AA2248" s="594">
        <v>44999</v>
      </c>
      <c r="AB2248" s="595" t="s">
        <v>449</v>
      </c>
      <c r="AC2248" s="595">
        <v>41816.43</v>
      </c>
      <c r="AD2248" s="596" t="s">
        <v>395</v>
      </c>
      <c r="AE2248" s="595">
        <v>57.49</v>
      </c>
      <c r="AF2248" s="597">
        <f t="shared" si="140"/>
        <v>-9.6567228542043804E-4</v>
      </c>
      <c r="AG2248" s="597">
        <f t="shared" si="141"/>
        <v>-4.5021645021644519E-3</v>
      </c>
    </row>
    <row r="2249" spans="13:33" x14ac:dyDescent="0.35">
      <c r="M2249" s="555">
        <v>45002</v>
      </c>
      <c r="N2249" s="543" t="s">
        <v>449</v>
      </c>
      <c r="O2249" s="73">
        <v>41329.949999999997</v>
      </c>
      <c r="Q2249" s="158">
        <v>13.27</v>
      </c>
      <c r="R2249" s="563">
        <f t="shared" si="138"/>
        <v>-8.7336118860010803E-3</v>
      </c>
      <c r="S2249" s="563">
        <f t="shared" si="139"/>
        <v>-7.5301204819278045E-4</v>
      </c>
      <c r="AA2249" s="594">
        <v>45000</v>
      </c>
      <c r="AB2249" s="595" t="s">
        <v>449</v>
      </c>
      <c r="AC2249" s="595">
        <v>41874.04</v>
      </c>
      <c r="AD2249" s="596" t="s">
        <v>395</v>
      </c>
      <c r="AE2249" s="595">
        <v>56.45</v>
      </c>
      <c r="AF2249" s="597">
        <f t="shared" si="140"/>
        <v>1.3776881479361514E-3</v>
      </c>
      <c r="AG2249" s="597">
        <f t="shared" si="141"/>
        <v>-1.8090102626543758E-2</v>
      </c>
    </row>
    <row r="2250" spans="13:33" x14ac:dyDescent="0.35">
      <c r="M2250" s="555">
        <v>45005</v>
      </c>
      <c r="N2250" s="543" t="s">
        <v>449</v>
      </c>
      <c r="O2250" s="73">
        <v>40918.449999999997</v>
      </c>
      <c r="Q2250" s="158">
        <v>13.11</v>
      </c>
      <c r="R2250" s="563">
        <f t="shared" si="138"/>
        <v>-9.9564601457297064E-3</v>
      </c>
      <c r="S2250" s="563">
        <f t="shared" si="139"/>
        <v>-1.2057272042200418E-2</v>
      </c>
      <c r="AA2250" s="594">
        <v>45001</v>
      </c>
      <c r="AB2250" s="595" t="s">
        <v>449</v>
      </c>
      <c r="AC2250" s="595">
        <v>41694.089999999997</v>
      </c>
      <c r="AD2250" s="596" t="s">
        <v>395</v>
      </c>
      <c r="AE2250" s="595">
        <v>57.45</v>
      </c>
      <c r="AF2250" s="597">
        <f t="shared" si="140"/>
        <v>-4.2974119526084653E-3</v>
      </c>
      <c r="AG2250" s="597">
        <f t="shared" si="141"/>
        <v>1.7714791851195733E-2</v>
      </c>
    </row>
    <row r="2251" spans="13:33" x14ac:dyDescent="0.35">
      <c r="M2251" s="526">
        <v>45007</v>
      </c>
      <c r="N2251" s="524" t="s">
        <v>449</v>
      </c>
      <c r="O2251" s="73">
        <v>40376.1</v>
      </c>
      <c r="Q2251">
        <v>12.92</v>
      </c>
      <c r="R2251" s="563">
        <f t="shared" si="138"/>
        <v>-1.3254412129491633E-2</v>
      </c>
      <c r="S2251" s="563">
        <f t="shared" si="139"/>
        <v>-1.4492753623188359E-2</v>
      </c>
      <c r="AA2251" s="594">
        <v>45002</v>
      </c>
      <c r="AB2251" s="595" t="s">
        <v>449</v>
      </c>
      <c r="AC2251" s="595">
        <v>41329.949999999997</v>
      </c>
      <c r="AD2251" s="596" t="s">
        <v>395</v>
      </c>
      <c r="AE2251" s="595">
        <v>57.47</v>
      </c>
      <c r="AF2251" s="597">
        <f t="shared" si="140"/>
        <v>-8.7336118860010803E-3</v>
      </c>
      <c r="AG2251" s="597">
        <f t="shared" si="141"/>
        <v>3.481288076587763E-4</v>
      </c>
    </row>
    <row r="2252" spans="13:33" x14ac:dyDescent="0.35">
      <c r="M2252" s="555">
        <v>45009</v>
      </c>
      <c r="N2252" s="543" t="s">
        <v>449</v>
      </c>
      <c r="O2252" s="73">
        <v>39942.050000000003</v>
      </c>
      <c r="Q2252" s="158">
        <v>12.74</v>
      </c>
      <c r="R2252" s="563">
        <f t="shared" si="138"/>
        <v>-1.0750171512355022E-2</v>
      </c>
      <c r="S2252" s="563">
        <f t="shared" si="139"/>
        <v>-1.393188854489158E-2</v>
      </c>
      <c r="AA2252" s="594">
        <v>45005</v>
      </c>
      <c r="AB2252" s="595" t="s">
        <v>449</v>
      </c>
      <c r="AC2252" s="595">
        <v>40918.449999999997</v>
      </c>
      <c r="AD2252" s="596" t="s">
        <v>395</v>
      </c>
      <c r="AE2252" s="595">
        <v>57.9</v>
      </c>
      <c r="AF2252" s="597">
        <f t="shared" si="140"/>
        <v>-9.9564601457297064E-3</v>
      </c>
      <c r="AG2252" s="597">
        <f t="shared" si="141"/>
        <v>7.4821646076213E-3</v>
      </c>
    </row>
    <row r="2253" spans="13:33" x14ac:dyDescent="0.35">
      <c r="M2253" s="555">
        <v>45012</v>
      </c>
      <c r="N2253" s="543" t="s">
        <v>449</v>
      </c>
      <c r="O2253" s="73">
        <v>40000.370000000003</v>
      </c>
      <c r="Q2253" s="158">
        <v>12.48</v>
      </c>
      <c r="R2253" s="563">
        <f t="shared" si="138"/>
        <v>1.4601153421018864E-3</v>
      </c>
      <c r="S2253" s="563">
        <f t="shared" si="139"/>
        <v>-2.0408163265306145E-2</v>
      </c>
      <c r="AA2253" s="594">
        <v>45007</v>
      </c>
      <c r="AB2253" s="595" t="s">
        <v>449</v>
      </c>
      <c r="AC2253" s="595">
        <v>40376.1</v>
      </c>
      <c r="AD2253" s="596" t="s">
        <v>395</v>
      </c>
      <c r="AE2253" s="595">
        <v>56.63</v>
      </c>
      <c r="AF2253" s="597">
        <f t="shared" si="140"/>
        <v>-1.3254412129491633E-2</v>
      </c>
      <c r="AG2253" s="597">
        <f t="shared" si="141"/>
        <v>-2.1934369602763293E-2</v>
      </c>
    </row>
    <row r="2254" spans="13:33" x14ac:dyDescent="0.35">
      <c r="M2254" s="555">
        <v>45013</v>
      </c>
      <c r="N2254" s="543" t="s">
        <v>449</v>
      </c>
      <c r="O2254" s="73">
        <v>40082.370000000003</v>
      </c>
      <c r="Q2254" s="158">
        <v>12.63</v>
      </c>
      <c r="R2254" s="563">
        <f t="shared" si="138"/>
        <v>2.0499810376755079E-3</v>
      </c>
      <c r="S2254" s="563">
        <f t="shared" si="139"/>
        <v>1.2019230769230838E-2</v>
      </c>
      <c r="AA2254" s="594">
        <v>45009</v>
      </c>
      <c r="AB2254" s="595" t="s">
        <v>449</v>
      </c>
      <c r="AC2254" s="595">
        <v>39942.050000000003</v>
      </c>
      <c r="AD2254" s="596" t="s">
        <v>395</v>
      </c>
      <c r="AE2254" s="595">
        <v>56.95</v>
      </c>
      <c r="AF2254" s="597">
        <f t="shared" si="140"/>
        <v>-1.0750171512355022E-2</v>
      </c>
      <c r="AG2254" s="597">
        <f t="shared" si="141"/>
        <v>5.6507151686384649E-3</v>
      </c>
    </row>
    <row r="2255" spans="13:33" x14ac:dyDescent="0.35">
      <c r="M2255" s="526">
        <v>45015</v>
      </c>
      <c r="N2255" s="524" t="s">
        <v>449</v>
      </c>
      <c r="O2255" s="73">
        <v>39848.35</v>
      </c>
      <c r="Q2255">
        <v>12.26</v>
      </c>
      <c r="R2255" s="563">
        <f t="shared" si="138"/>
        <v>-5.8384771159989413E-3</v>
      </c>
      <c r="S2255" s="563">
        <f t="shared" si="139"/>
        <v>-2.9295328582739533E-2</v>
      </c>
      <c r="AA2255" s="594">
        <v>45012</v>
      </c>
      <c r="AB2255" s="595" t="s">
        <v>449</v>
      </c>
      <c r="AC2255" s="595">
        <v>40000.370000000003</v>
      </c>
      <c r="AD2255" s="596" t="s">
        <v>395</v>
      </c>
      <c r="AE2255" s="595">
        <v>56.5</v>
      </c>
      <c r="AF2255" s="597">
        <f t="shared" si="140"/>
        <v>1.4601153421018864E-3</v>
      </c>
      <c r="AG2255" s="597">
        <f t="shared" si="141"/>
        <v>-7.9016681299386438E-3</v>
      </c>
    </row>
    <row r="2256" spans="13:33" x14ac:dyDescent="0.35">
      <c r="M2256" s="555">
        <v>45016</v>
      </c>
      <c r="N2256" s="543" t="s">
        <v>449</v>
      </c>
      <c r="O2256" s="73">
        <v>40000.83</v>
      </c>
      <c r="Q2256" s="158">
        <v>12.14</v>
      </c>
      <c r="R2256" s="563">
        <f t="shared" si="138"/>
        <v>3.8265072455949678E-3</v>
      </c>
      <c r="S2256" s="563">
        <f t="shared" si="139"/>
        <v>-9.7879282218595876E-3</v>
      </c>
      <c r="AA2256" s="594">
        <v>45013</v>
      </c>
      <c r="AB2256" s="595" t="s">
        <v>449</v>
      </c>
      <c r="AC2256" s="595">
        <v>40082.370000000003</v>
      </c>
      <c r="AD2256" s="596" t="s">
        <v>395</v>
      </c>
      <c r="AE2256" s="595">
        <v>56.95</v>
      </c>
      <c r="AF2256" s="597">
        <f t="shared" si="140"/>
        <v>2.0499810376755079E-3</v>
      </c>
      <c r="AG2256" s="597">
        <f t="shared" si="141"/>
        <v>7.964601769911539E-3</v>
      </c>
    </row>
    <row r="2257" spans="13:33" x14ac:dyDescent="0.35">
      <c r="M2257" s="555">
        <v>45019</v>
      </c>
      <c r="N2257" s="543" t="s">
        <v>449</v>
      </c>
      <c r="O2257" s="73">
        <v>39889.9</v>
      </c>
      <c r="Q2257" s="158">
        <v>12.23</v>
      </c>
      <c r="R2257" s="563">
        <f t="shared" si="138"/>
        <v>-2.7731924562565125E-3</v>
      </c>
      <c r="S2257" s="563">
        <f t="shared" si="139"/>
        <v>7.4135090609555032E-3</v>
      </c>
      <c r="AA2257" s="594">
        <v>45015</v>
      </c>
      <c r="AB2257" s="595" t="s">
        <v>449</v>
      </c>
      <c r="AC2257" s="595">
        <v>39848.35</v>
      </c>
      <c r="AD2257" s="596" t="s">
        <v>395</v>
      </c>
      <c r="AE2257" s="595">
        <v>55</v>
      </c>
      <c r="AF2257" s="597">
        <f t="shared" si="140"/>
        <v>-5.8384771159989413E-3</v>
      </c>
      <c r="AG2257" s="597">
        <f t="shared" si="141"/>
        <v>-3.4240561896400346E-2</v>
      </c>
    </row>
    <row r="2258" spans="13:33" x14ac:dyDescent="0.35">
      <c r="M2258" s="555">
        <v>45020</v>
      </c>
      <c r="N2258" s="543" t="s">
        <v>449</v>
      </c>
      <c r="O2258" s="73">
        <v>39687.26</v>
      </c>
      <c r="Q2258" s="158">
        <v>12.23</v>
      </c>
      <c r="R2258" s="563">
        <f t="shared" si="138"/>
        <v>-5.0799826522502922E-3</v>
      </c>
      <c r="S2258" s="563">
        <f t="shared" si="139"/>
        <v>0</v>
      </c>
      <c r="AA2258" s="594">
        <v>45016</v>
      </c>
      <c r="AB2258" s="595" t="s">
        <v>449</v>
      </c>
      <c r="AC2258" s="595">
        <v>40000.83</v>
      </c>
      <c r="AD2258" s="596" t="s">
        <v>395</v>
      </c>
      <c r="AE2258" s="595">
        <v>56.95</v>
      </c>
      <c r="AF2258" s="597">
        <f t="shared" si="140"/>
        <v>3.8265072455949678E-3</v>
      </c>
      <c r="AG2258" s="597">
        <f t="shared" si="141"/>
        <v>3.5454545454545405E-2</v>
      </c>
    </row>
    <row r="2259" spans="13:33" x14ac:dyDescent="0.35">
      <c r="M2259" s="555">
        <v>45021</v>
      </c>
      <c r="N2259" s="543" t="s">
        <v>449</v>
      </c>
      <c r="O2259" s="73">
        <v>39717.15</v>
      </c>
      <c r="Q2259" s="158">
        <v>12.26</v>
      </c>
      <c r="R2259" s="563">
        <f t="shared" si="138"/>
        <v>7.5313841267954373E-4</v>
      </c>
      <c r="S2259" s="563">
        <f t="shared" si="139"/>
        <v>2.4529844644316512E-3</v>
      </c>
      <c r="AA2259" s="594">
        <v>45019</v>
      </c>
      <c r="AB2259" s="595" t="s">
        <v>449</v>
      </c>
      <c r="AC2259" s="595">
        <v>39889.9</v>
      </c>
      <c r="AD2259" s="596" t="s">
        <v>395</v>
      </c>
      <c r="AE2259" s="595">
        <v>56.94</v>
      </c>
      <c r="AF2259" s="597">
        <f t="shared" si="140"/>
        <v>-2.7731924562565125E-3</v>
      </c>
      <c r="AG2259" s="597">
        <f t="shared" si="141"/>
        <v>-1.7559262510979945E-4</v>
      </c>
    </row>
    <row r="2260" spans="13:33" x14ac:dyDescent="0.35">
      <c r="M2260" s="555">
        <v>45022</v>
      </c>
      <c r="N2260" s="543" t="s">
        <v>449</v>
      </c>
      <c r="O2260" s="73">
        <v>40350.89</v>
      </c>
      <c r="Q2260" s="158">
        <v>12.48</v>
      </c>
      <c r="R2260" s="563">
        <f t="shared" si="138"/>
        <v>1.5956331207047869E-2</v>
      </c>
      <c r="S2260" s="563">
        <f t="shared" si="139"/>
        <v>1.794453507340954E-2</v>
      </c>
      <c r="AA2260" s="594">
        <v>45020</v>
      </c>
      <c r="AB2260" s="595" t="s">
        <v>449</v>
      </c>
      <c r="AC2260" s="595">
        <v>39687.26</v>
      </c>
      <c r="AD2260" s="596" t="s">
        <v>395</v>
      </c>
      <c r="AE2260" s="595">
        <v>56.75</v>
      </c>
      <c r="AF2260" s="597">
        <f t="shared" si="140"/>
        <v>-5.0799826522502922E-3</v>
      </c>
      <c r="AG2260" s="597">
        <f t="shared" si="141"/>
        <v>-3.3368458025991865E-3</v>
      </c>
    </row>
    <row r="2261" spans="13:33" x14ac:dyDescent="0.35">
      <c r="M2261" s="555">
        <v>45023</v>
      </c>
      <c r="N2261" s="543" t="s">
        <v>449</v>
      </c>
      <c r="O2261" s="73">
        <v>40049.65</v>
      </c>
      <c r="Q2261" s="158">
        <v>12.35</v>
      </c>
      <c r="R2261" s="563">
        <f t="shared" si="138"/>
        <v>-7.465510673990039E-3</v>
      </c>
      <c r="S2261" s="563">
        <f t="shared" si="139"/>
        <v>-1.0416666666666741E-2</v>
      </c>
      <c r="AA2261" s="594">
        <v>45021</v>
      </c>
      <c r="AB2261" s="595" t="s">
        <v>449</v>
      </c>
      <c r="AC2261" s="595">
        <v>39717.15</v>
      </c>
      <c r="AD2261" s="596" t="s">
        <v>395</v>
      </c>
      <c r="AE2261" s="595">
        <v>56.89</v>
      </c>
      <c r="AF2261" s="597">
        <f t="shared" si="140"/>
        <v>7.5313841267954373E-4</v>
      </c>
      <c r="AG2261" s="597">
        <f t="shared" si="141"/>
        <v>2.4669603524229977E-3</v>
      </c>
    </row>
    <row r="2262" spans="13:33" x14ac:dyDescent="0.35">
      <c r="M2262" s="555">
        <v>45026</v>
      </c>
      <c r="N2262" s="543" t="s">
        <v>449</v>
      </c>
      <c r="O2262" s="73">
        <v>39835.9</v>
      </c>
      <c r="Q2262" s="158">
        <v>12.19</v>
      </c>
      <c r="R2262" s="563">
        <f t="shared" si="138"/>
        <v>-5.3371252932298274E-3</v>
      </c>
      <c r="S2262" s="563">
        <f t="shared" si="139"/>
        <v>-1.2955465587044523E-2</v>
      </c>
      <c r="AA2262" s="594">
        <v>45022</v>
      </c>
      <c r="AB2262" s="595" t="s">
        <v>449</v>
      </c>
      <c r="AC2262" s="595">
        <v>40350.89</v>
      </c>
      <c r="AD2262" s="596" t="s">
        <v>395</v>
      </c>
      <c r="AE2262" s="595">
        <v>57.89</v>
      </c>
      <c r="AF2262" s="597">
        <f t="shared" si="140"/>
        <v>1.5956331207047869E-2</v>
      </c>
      <c r="AG2262" s="597">
        <f t="shared" si="141"/>
        <v>1.7577781683951521E-2</v>
      </c>
    </row>
    <row r="2263" spans="13:33" x14ac:dyDescent="0.35">
      <c r="M2263" s="555">
        <v>45027</v>
      </c>
      <c r="N2263" s="543" t="s">
        <v>449</v>
      </c>
      <c r="O2263" s="73">
        <v>39804.71</v>
      </c>
      <c r="Q2263" s="158">
        <v>12.3</v>
      </c>
      <c r="R2263" s="563">
        <f t="shared" si="138"/>
        <v>-7.8296210202366545E-4</v>
      </c>
      <c r="S2263" s="563">
        <f t="shared" si="139"/>
        <v>9.0237899917966491E-3</v>
      </c>
      <c r="AA2263" s="594">
        <v>45023</v>
      </c>
      <c r="AB2263" s="595" t="s">
        <v>449</v>
      </c>
      <c r="AC2263" s="595">
        <v>40049.65</v>
      </c>
      <c r="AD2263" s="596" t="s">
        <v>395</v>
      </c>
      <c r="AE2263" s="595">
        <v>55.9</v>
      </c>
      <c r="AF2263" s="597">
        <f t="shared" si="140"/>
        <v>-7.465510673990039E-3</v>
      </c>
      <c r="AG2263" s="597">
        <f t="shared" si="141"/>
        <v>-3.4375539816894118E-2</v>
      </c>
    </row>
    <row r="2264" spans="13:33" x14ac:dyDescent="0.35">
      <c r="M2264" s="526">
        <v>45029</v>
      </c>
      <c r="N2264" s="524" t="s">
        <v>449</v>
      </c>
      <c r="O2264" s="73">
        <v>40205.54</v>
      </c>
      <c r="Q2264">
        <v>12.34</v>
      </c>
      <c r="R2264" s="563">
        <f t="shared" si="138"/>
        <v>1.0069913836829869E-2</v>
      </c>
      <c r="S2264" s="563">
        <f t="shared" si="139"/>
        <v>3.2520325203251321E-3</v>
      </c>
      <c r="AA2264" s="594">
        <v>45026</v>
      </c>
      <c r="AB2264" s="595" t="s">
        <v>449</v>
      </c>
      <c r="AC2264" s="595">
        <v>39835.9</v>
      </c>
      <c r="AD2264" s="596" t="s">
        <v>395</v>
      </c>
      <c r="AE2264" s="595">
        <v>56.7</v>
      </c>
      <c r="AF2264" s="597">
        <f t="shared" si="140"/>
        <v>-5.3371252932298274E-3</v>
      </c>
      <c r="AG2264" s="597">
        <f t="shared" si="141"/>
        <v>1.4311270125223707E-2</v>
      </c>
    </row>
    <row r="2265" spans="13:33" x14ac:dyDescent="0.35">
      <c r="M2265" s="555">
        <v>45033</v>
      </c>
      <c r="N2265" s="543" t="s">
        <v>449</v>
      </c>
      <c r="O2265" s="73">
        <v>40246.660000000003</v>
      </c>
      <c r="Q2265" s="158">
        <v>12.3</v>
      </c>
      <c r="R2265" s="563">
        <f t="shared" si="138"/>
        <v>1.0227446267356832E-3</v>
      </c>
      <c r="S2265" s="563">
        <f t="shared" si="139"/>
        <v>-3.2414910858994395E-3</v>
      </c>
      <c r="AA2265" s="589">
        <v>45027</v>
      </c>
      <c r="AB2265" s="590" t="s">
        <v>449</v>
      </c>
      <c r="AC2265" s="590">
        <v>39804.71</v>
      </c>
      <c r="AD2265" s="591" t="s">
        <v>395</v>
      </c>
      <c r="AE2265" s="590">
        <v>56.85</v>
      </c>
      <c r="AF2265" s="592">
        <f t="shared" si="140"/>
        <v>-7.8296210202366545E-4</v>
      </c>
      <c r="AG2265" s="592">
        <f t="shared" si="141"/>
        <v>2.6455026455025621E-3</v>
      </c>
    </row>
    <row r="2266" spans="13:33" x14ac:dyDescent="0.35">
      <c r="M2266" s="526">
        <v>45035</v>
      </c>
      <c r="N2266" s="524" t="s">
        <v>449</v>
      </c>
      <c r="O2266" s="73">
        <v>40499.339999999997</v>
      </c>
      <c r="Q2266">
        <v>12.55</v>
      </c>
      <c r="R2266" s="563">
        <f t="shared" ref="R2266:R2311" si="142">(O2266/O2265)-1</f>
        <v>6.278284955819835E-3</v>
      </c>
      <c r="S2266" s="563">
        <f t="shared" ref="S2266:S2311" si="143">(Q2266/Q2265)-1</f>
        <v>2.0325203252032464E-2</v>
      </c>
      <c r="AA2266" s="589">
        <v>45029</v>
      </c>
      <c r="AB2266" s="590" t="s">
        <v>449</v>
      </c>
      <c r="AC2266" s="590">
        <v>40205.54</v>
      </c>
      <c r="AD2266" s="591" t="s">
        <v>395</v>
      </c>
      <c r="AE2266" s="590">
        <v>56.9</v>
      </c>
      <c r="AF2266" s="592">
        <f t="shared" si="140"/>
        <v>1.0069913836829869E-2</v>
      </c>
      <c r="AG2266" s="592">
        <f t="shared" si="141"/>
        <v>8.7950747581344579E-4</v>
      </c>
    </row>
    <row r="2267" spans="13:33" x14ac:dyDescent="0.35">
      <c r="M2267" s="555">
        <v>45036</v>
      </c>
      <c r="N2267" s="543" t="s">
        <v>449</v>
      </c>
      <c r="O2267" s="73">
        <v>41007.82</v>
      </c>
      <c r="Q2267" s="158">
        <v>13.52</v>
      </c>
      <c r="R2267" s="563">
        <f t="shared" si="142"/>
        <v>1.2555266332735293E-2</v>
      </c>
      <c r="S2267" s="563">
        <f t="shared" si="143"/>
        <v>7.729083665338643E-2</v>
      </c>
      <c r="AA2267" s="594">
        <v>45033</v>
      </c>
      <c r="AB2267" s="595" t="s">
        <v>449</v>
      </c>
      <c r="AC2267" s="595">
        <v>40246.660000000003</v>
      </c>
      <c r="AD2267" s="596" t="s">
        <v>395</v>
      </c>
      <c r="AE2267" s="595">
        <v>57.3</v>
      </c>
      <c r="AF2267" s="597">
        <f t="shared" si="140"/>
        <v>1.0227446267356832E-3</v>
      </c>
      <c r="AG2267" s="597">
        <f t="shared" si="141"/>
        <v>7.0298769771528491E-3</v>
      </c>
    </row>
    <row r="2268" spans="13:33" x14ac:dyDescent="0.35">
      <c r="M2268" s="555">
        <v>45042</v>
      </c>
      <c r="N2268" s="543" t="s">
        <v>449</v>
      </c>
      <c r="O2268" s="73">
        <v>41099.58</v>
      </c>
      <c r="Q2268" s="158">
        <v>14.22</v>
      </c>
      <c r="R2268" s="563">
        <f t="shared" si="142"/>
        <v>2.2376219950244192E-3</v>
      </c>
      <c r="S2268" s="563">
        <f t="shared" si="143"/>
        <v>5.177514792899407E-2</v>
      </c>
      <c r="AA2268" s="589">
        <v>45035</v>
      </c>
      <c r="AB2268" s="590" t="s">
        <v>449</v>
      </c>
      <c r="AC2268" s="590">
        <v>40499.339999999997</v>
      </c>
      <c r="AD2268" s="591" t="s">
        <v>395</v>
      </c>
      <c r="AE2268" s="590">
        <v>56.98</v>
      </c>
      <c r="AF2268" s="592">
        <f t="shared" ref="AF2268:AF2313" si="144">(AC2268/AC2267)-1</f>
        <v>6.278284955819835E-3</v>
      </c>
      <c r="AG2268" s="592">
        <f t="shared" ref="AG2268:AG2313" si="145">(AE2268/AE2267)-1</f>
        <v>-5.5846422338569068E-3</v>
      </c>
    </row>
    <row r="2269" spans="13:33" x14ac:dyDescent="0.35">
      <c r="M2269" s="555">
        <v>45043</v>
      </c>
      <c r="N2269" s="543" t="s">
        <v>449</v>
      </c>
      <c r="O2269" s="73">
        <v>41463.910000000003</v>
      </c>
      <c r="Q2269" s="158">
        <v>13.91</v>
      </c>
      <c r="R2269" s="563">
        <f t="shared" si="142"/>
        <v>8.8645674724656676E-3</v>
      </c>
      <c r="S2269" s="563">
        <f t="shared" si="143"/>
        <v>-2.1800281293952173E-2</v>
      </c>
      <c r="AA2269" s="589">
        <v>45036</v>
      </c>
      <c r="AB2269" s="590" t="s">
        <v>449</v>
      </c>
      <c r="AC2269" s="590">
        <v>41007.82</v>
      </c>
      <c r="AD2269" s="591" t="s">
        <v>395</v>
      </c>
      <c r="AE2269" s="590">
        <v>57.94</v>
      </c>
      <c r="AF2269" s="592">
        <f t="shared" si="144"/>
        <v>1.2555266332735293E-2</v>
      </c>
      <c r="AG2269" s="592">
        <f t="shared" si="145"/>
        <v>1.6848016848016956E-2</v>
      </c>
    </row>
    <row r="2270" spans="13:33" x14ac:dyDescent="0.35">
      <c r="M2270" s="555">
        <v>45044</v>
      </c>
      <c r="N2270" s="543" t="s">
        <v>449</v>
      </c>
      <c r="O2270" s="73">
        <v>41580.85</v>
      </c>
      <c r="Q2270" s="158">
        <v>14.68</v>
      </c>
      <c r="R2270" s="563">
        <f t="shared" si="142"/>
        <v>2.8202839529605228E-3</v>
      </c>
      <c r="S2270" s="563">
        <f t="shared" si="143"/>
        <v>5.5355859094176729E-2</v>
      </c>
      <c r="AA2270" s="594">
        <v>45042</v>
      </c>
      <c r="AB2270" s="595" t="s">
        <v>449</v>
      </c>
      <c r="AC2270" s="595">
        <v>41099.58</v>
      </c>
      <c r="AD2270" s="596" t="s">
        <v>395</v>
      </c>
      <c r="AE2270" s="595">
        <v>61.29</v>
      </c>
      <c r="AF2270" s="597">
        <f t="shared" si="144"/>
        <v>2.2376219950244192E-3</v>
      </c>
      <c r="AG2270" s="597">
        <f t="shared" si="145"/>
        <v>5.7818432861580948E-2</v>
      </c>
    </row>
    <row r="2271" spans="13:33" x14ac:dyDescent="0.35">
      <c r="M2271" s="555">
        <v>45048</v>
      </c>
      <c r="N2271" s="543" t="s">
        <v>449</v>
      </c>
      <c r="O2271" s="73">
        <v>41927.64</v>
      </c>
      <c r="Q2271" s="158">
        <v>14.26</v>
      </c>
      <c r="R2271" s="563">
        <f t="shared" si="142"/>
        <v>8.3401373468796614E-3</v>
      </c>
      <c r="S2271" s="563">
        <f t="shared" si="143"/>
        <v>-2.8610354223433276E-2</v>
      </c>
      <c r="AA2271" s="594">
        <v>45043</v>
      </c>
      <c r="AB2271" s="595" t="s">
        <v>449</v>
      </c>
      <c r="AC2271" s="595">
        <v>41463.910000000003</v>
      </c>
      <c r="AD2271" s="596" t="s">
        <v>395</v>
      </c>
      <c r="AE2271" s="595">
        <v>60.2</v>
      </c>
      <c r="AF2271" s="597">
        <f t="shared" si="144"/>
        <v>8.8645674724656676E-3</v>
      </c>
      <c r="AG2271" s="597">
        <f t="shared" si="145"/>
        <v>-1.7784304127916428E-2</v>
      </c>
    </row>
    <row r="2272" spans="13:33" x14ac:dyDescent="0.35">
      <c r="M2272" s="555">
        <v>45049</v>
      </c>
      <c r="N2272" s="543" t="s">
        <v>449</v>
      </c>
      <c r="O2272" s="73">
        <v>42087.93</v>
      </c>
      <c r="Q2272" s="158">
        <v>13.91</v>
      </c>
      <c r="R2272" s="563">
        <f t="shared" si="142"/>
        <v>3.8230150802669449E-3</v>
      </c>
      <c r="S2272" s="563">
        <f t="shared" si="143"/>
        <v>-2.4544179523141585E-2</v>
      </c>
      <c r="AA2272" s="594">
        <v>45044</v>
      </c>
      <c r="AB2272" s="595" t="s">
        <v>449</v>
      </c>
      <c r="AC2272" s="595">
        <v>41580.85</v>
      </c>
      <c r="AD2272" s="596" t="s">
        <v>395</v>
      </c>
      <c r="AE2272" s="595">
        <v>61.36</v>
      </c>
      <c r="AF2272" s="597">
        <f t="shared" si="144"/>
        <v>2.8202839529605228E-3</v>
      </c>
      <c r="AG2272" s="597">
        <f t="shared" si="145"/>
        <v>1.9269102990033149E-2</v>
      </c>
    </row>
    <row r="2273" spans="13:33" x14ac:dyDescent="0.35">
      <c r="M2273" s="555">
        <v>45050</v>
      </c>
      <c r="N2273" s="543" t="s">
        <v>449</v>
      </c>
      <c r="O2273" s="73">
        <v>42093.8</v>
      </c>
      <c r="Q2273" s="158">
        <v>14</v>
      </c>
      <c r="R2273" s="563">
        <f t="shared" si="142"/>
        <v>1.3946991453384072E-4</v>
      </c>
      <c r="S2273" s="563">
        <f t="shared" si="143"/>
        <v>6.470165348670065E-3</v>
      </c>
      <c r="AA2273" s="594">
        <v>45048</v>
      </c>
      <c r="AB2273" s="595" t="s">
        <v>449</v>
      </c>
      <c r="AC2273" s="595">
        <v>41927.64</v>
      </c>
      <c r="AD2273" s="596" t="s">
        <v>395</v>
      </c>
      <c r="AE2273" s="595">
        <v>61.25</v>
      </c>
      <c r="AF2273" s="597">
        <f t="shared" si="144"/>
        <v>8.3401373468796614E-3</v>
      </c>
      <c r="AG2273" s="597">
        <f t="shared" si="145"/>
        <v>-1.7926988265971611E-3</v>
      </c>
    </row>
    <row r="2274" spans="13:33" x14ac:dyDescent="0.35">
      <c r="M2274" s="555">
        <v>45051</v>
      </c>
      <c r="N2274" s="543" t="s">
        <v>449</v>
      </c>
      <c r="O2274" s="73">
        <v>42241.98</v>
      </c>
      <c r="Q2274" s="158">
        <v>14</v>
      </c>
      <c r="R2274" s="563">
        <f t="shared" si="142"/>
        <v>3.5202333835386845E-3</v>
      </c>
      <c r="S2274" s="563">
        <f t="shared" si="143"/>
        <v>0</v>
      </c>
      <c r="AA2274" s="594">
        <v>45049</v>
      </c>
      <c r="AB2274" s="595" t="s">
        <v>449</v>
      </c>
      <c r="AC2274" s="595">
        <v>42087.93</v>
      </c>
      <c r="AD2274" s="596" t="s">
        <v>395</v>
      </c>
      <c r="AE2274" s="595">
        <v>61.45</v>
      </c>
      <c r="AF2274" s="597">
        <f t="shared" si="144"/>
        <v>3.8230150802669449E-3</v>
      </c>
      <c r="AG2274" s="597">
        <f t="shared" si="145"/>
        <v>3.2653061224490187E-3</v>
      </c>
    </row>
    <row r="2275" spans="13:33" x14ac:dyDescent="0.35">
      <c r="M2275" s="555">
        <v>45054</v>
      </c>
      <c r="N2275" s="543" t="s">
        <v>449</v>
      </c>
      <c r="O2275" s="73">
        <v>41829.49</v>
      </c>
      <c r="Q2275" s="158">
        <v>14.16</v>
      </c>
      <c r="R2275" s="563">
        <f t="shared" si="142"/>
        <v>-9.7649305264574382E-3</v>
      </c>
      <c r="S2275" s="563">
        <f t="shared" si="143"/>
        <v>1.1428571428571344E-2</v>
      </c>
      <c r="AA2275" s="594">
        <v>45050</v>
      </c>
      <c r="AB2275" s="595" t="s">
        <v>449</v>
      </c>
      <c r="AC2275" s="595">
        <v>42093.8</v>
      </c>
      <c r="AD2275" s="596" t="s">
        <v>395</v>
      </c>
      <c r="AE2275" s="595">
        <v>62.18</v>
      </c>
      <c r="AF2275" s="597">
        <f t="shared" si="144"/>
        <v>1.3946991453384072E-4</v>
      </c>
      <c r="AG2275" s="597">
        <f t="shared" si="145"/>
        <v>1.1879576891781873E-2</v>
      </c>
    </row>
    <row r="2276" spans="13:33" x14ac:dyDescent="0.35">
      <c r="M2276" s="555">
        <v>45055</v>
      </c>
      <c r="N2276" s="543" t="s">
        <v>449</v>
      </c>
      <c r="O2276" s="73">
        <v>41373.81</v>
      </c>
      <c r="Q2276" s="158">
        <v>13.87</v>
      </c>
      <c r="R2276" s="563">
        <f t="shared" si="142"/>
        <v>-1.0893749840124811E-2</v>
      </c>
      <c r="S2276" s="563">
        <f t="shared" si="143"/>
        <v>-2.0480225988700584E-2</v>
      </c>
      <c r="AA2276" s="594">
        <v>45051</v>
      </c>
      <c r="AB2276" s="595" t="s">
        <v>449</v>
      </c>
      <c r="AC2276" s="595">
        <v>42241.98</v>
      </c>
      <c r="AD2276" s="596" t="s">
        <v>395</v>
      </c>
      <c r="AE2276" s="595">
        <v>63.72</v>
      </c>
      <c r="AF2276" s="597">
        <f t="shared" si="144"/>
        <v>3.5202333835386845E-3</v>
      </c>
      <c r="AG2276" s="597">
        <f t="shared" si="145"/>
        <v>2.4766806046960355E-2</v>
      </c>
    </row>
    <row r="2277" spans="13:33" x14ac:dyDescent="0.35">
      <c r="M2277" s="555">
        <v>45056</v>
      </c>
      <c r="N2277" s="543" t="s">
        <v>449</v>
      </c>
      <c r="O2277" s="73">
        <v>41074.949999999997</v>
      </c>
      <c r="Q2277" s="158">
        <v>13.63</v>
      </c>
      <c r="R2277" s="563">
        <f t="shared" si="142"/>
        <v>-7.2234101717970622E-3</v>
      </c>
      <c r="S2277" s="563">
        <f t="shared" si="143"/>
        <v>-1.7303532804614163E-2</v>
      </c>
      <c r="AA2277" s="594">
        <v>45054</v>
      </c>
      <c r="AB2277" s="595" t="s">
        <v>449</v>
      </c>
      <c r="AC2277" s="595">
        <v>41829.49</v>
      </c>
      <c r="AD2277" s="596" t="s">
        <v>395</v>
      </c>
      <c r="AE2277" s="595">
        <v>66.02</v>
      </c>
      <c r="AF2277" s="597">
        <f t="shared" si="144"/>
        <v>-9.7649305264574382E-3</v>
      </c>
      <c r="AG2277" s="597">
        <f t="shared" si="145"/>
        <v>3.6095417451349698E-2</v>
      </c>
    </row>
    <row r="2278" spans="13:33" x14ac:dyDescent="0.35">
      <c r="M2278" s="555">
        <v>45057</v>
      </c>
      <c r="N2278" s="543" t="s">
        <v>449</v>
      </c>
      <c r="O2278" s="73">
        <v>41325.629999999997</v>
      </c>
      <c r="Q2278" s="158">
        <v>13.86</v>
      </c>
      <c r="R2278" s="563">
        <f t="shared" si="142"/>
        <v>6.1029897784417031E-3</v>
      </c>
      <c r="S2278" s="563">
        <f t="shared" si="143"/>
        <v>1.687454145267786E-2</v>
      </c>
      <c r="AA2278" s="594">
        <v>45055</v>
      </c>
      <c r="AB2278" s="595" t="s">
        <v>449</v>
      </c>
      <c r="AC2278" s="595">
        <v>41373.81</v>
      </c>
      <c r="AD2278" s="596" t="s">
        <v>395</v>
      </c>
      <c r="AE2278" s="595">
        <v>65.959999999999994</v>
      </c>
      <c r="AF2278" s="597">
        <f t="shared" si="144"/>
        <v>-1.0893749840124811E-2</v>
      </c>
      <c r="AG2278" s="597">
        <f t="shared" si="145"/>
        <v>-9.0881551045141062E-4</v>
      </c>
    </row>
    <row r="2279" spans="13:33" x14ac:dyDescent="0.35">
      <c r="M2279" s="555">
        <v>45058</v>
      </c>
      <c r="N2279" s="543" t="s">
        <v>449</v>
      </c>
      <c r="O2279" s="73">
        <v>41487.58</v>
      </c>
      <c r="Q2279" s="158">
        <v>13.88</v>
      </c>
      <c r="R2279" s="563">
        <f t="shared" si="142"/>
        <v>3.9188755259147445E-3</v>
      </c>
      <c r="S2279" s="563">
        <f t="shared" si="143"/>
        <v>1.4430014430015792E-3</v>
      </c>
      <c r="AA2279" s="594">
        <v>45056</v>
      </c>
      <c r="AB2279" s="595" t="s">
        <v>449</v>
      </c>
      <c r="AC2279" s="595">
        <v>41074.949999999997</v>
      </c>
      <c r="AD2279" s="596" t="s">
        <v>395</v>
      </c>
      <c r="AE2279" s="595">
        <v>70</v>
      </c>
      <c r="AF2279" s="597">
        <f t="shared" si="144"/>
        <v>-7.2234101717970622E-3</v>
      </c>
      <c r="AG2279" s="597">
        <f t="shared" si="145"/>
        <v>6.1249241964827172E-2</v>
      </c>
    </row>
    <row r="2280" spans="13:33" x14ac:dyDescent="0.35">
      <c r="M2280" s="555">
        <v>45061</v>
      </c>
      <c r="N2280" s="543" t="s">
        <v>449</v>
      </c>
      <c r="O2280" s="73">
        <v>41718.42</v>
      </c>
      <c r="Q2280" s="158">
        <v>13.69</v>
      </c>
      <c r="R2280" s="563">
        <f t="shared" si="142"/>
        <v>5.564074838783073E-3</v>
      </c>
      <c r="S2280" s="563">
        <f t="shared" si="143"/>
        <v>-1.36887608069165E-2</v>
      </c>
      <c r="AA2280" s="594">
        <v>45057</v>
      </c>
      <c r="AB2280" s="595" t="s">
        <v>449</v>
      </c>
      <c r="AC2280" s="595">
        <v>41325.629999999997</v>
      </c>
      <c r="AD2280" s="596" t="s">
        <v>395</v>
      </c>
      <c r="AE2280" s="595">
        <v>68.3</v>
      </c>
      <c r="AF2280" s="597">
        <f t="shared" si="144"/>
        <v>6.1029897784417031E-3</v>
      </c>
      <c r="AG2280" s="597">
        <f t="shared" si="145"/>
        <v>-2.4285714285714355E-2</v>
      </c>
    </row>
    <row r="2281" spans="13:33" x14ac:dyDescent="0.35">
      <c r="M2281" s="555">
        <v>45062</v>
      </c>
      <c r="N2281" s="543" t="s">
        <v>449</v>
      </c>
      <c r="O2281" s="73">
        <v>42006.239999999998</v>
      </c>
      <c r="Q2281" s="158">
        <v>13.83</v>
      </c>
      <c r="R2281" s="563">
        <f t="shared" si="142"/>
        <v>6.8991107525164796E-3</v>
      </c>
      <c r="S2281" s="563">
        <f t="shared" si="143"/>
        <v>1.0226442658875179E-2</v>
      </c>
      <c r="AA2281" s="594">
        <v>45058</v>
      </c>
      <c r="AB2281" s="595" t="s">
        <v>449</v>
      </c>
      <c r="AC2281" s="595">
        <v>41487.58</v>
      </c>
      <c r="AD2281" s="596" t="s">
        <v>395</v>
      </c>
      <c r="AE2281" s="595">
        <v>67.28</v>
      </c>
      <c r="AF2281" s="597">
        <f t="shared" si="144"/>
        <v>3.9188755259147445E-3</v>
      </c>
      <c r="AG2281" s="597">
        <f t="shared" si="145"/>
        <v>-1.4934114202049709E-2</v>
      </c>
    </row>
    <row r="2282" spans="13:33" x14ac:dyDescent="0.35">
      <c r="M2282" s="555">
        <v>45063</v>
      </c>
      <c r="N2282" s="543" t="s">
        <v>449</v>
      </c>
      <c r="O2282" s="73">
        <v>41833.660000000003</v>
      </c>
      <c r="Q2282" s="158">
        <v>13.79</v>
      </c>
      <c r="R2282" s="563">
        <f t="shared" si="142"/>
        <v>-4.1084372226600774E-3</v>
      </c>
      <c r="S2282" s="563">
        <f t="shared" si="143"/>
        <v>-2.8922631959509282E-3</v>
      </c>
      <c r="AA2282" s="594">
        <v>45061</v>
      </c>
      <c r="AB2282" s="595" t="s">
        <v>449</v>
      </c>
      <c r="AC2282" s="595">
        <v>41718.42</v>
      </c>
      <c r="AD2282" s="596" t="s">
        <v>395</v>
      </c>
      <c r="AE2282" s="595">
        <v>65.900000000000006</v>
      </c>
      <c r="AF2282" s="597">
        <f t="shared" si="144"/>
        <v>5.564074838783073E-3</v>
      </c>
      <c r="AG2282" s="597">
        <f t="shared" si="145"/>
        <v>-2.0511296076099805E-2</v>
      </c>
    </row>
    <row r="2283" spans="13:33" x14ac:dyDescent="0.35">
      <c r="M2283" s="555">
        <v>45064</v>
      </c>
      <c r="N2283" s="543" t="s">
        <v>449</v>
      </c>
      <c r="O2283" s="73">
        <v>41442.07</v>
      </c>
      <c r="Q2283" s="158">
        <v>13.96</v>
      </c>
      <c r="R2283" s="563">
        <f t="shared" si="142"/>
        <v>-9.3606440364052412E-3</v>
      </c>
      <c r="S2283" s="563">
        <f t="shared" si="143"/>
        <v>1.2327773749093662E-2</v>
      </c>
      <c r="AA2283" s="594">
        <v>45062</v>
      </c>
      <c r="AB2283" s="595" t="s">
        <v>449</v>
      </c>
      <c r="AC2283" s="595">
        <v>42006.239999999998</v>
      </c>
      <c r="AD2283" s="596" t="s">
        <v>395</v>
      </c>
      <c r="AE2283" s="595">
        <v>67.7</v>
      </c>
      <c r="AF2283" s="597">
        <f t="shared" si="144"/>
        <v>6.8991107525164796E-3</v>
      </c>
      <c r="AG2283" s="597">
        <f t="shared" si="145"/>
        <v>2.7314112291350501E-2</v>
      </c>
    </row>
    <row r="2284" spans="13:33" x14ac:dyDescent="0.35">
      <c r="M2284" s="555">
        <v>45065</v>
      </c>
      <c r="N2284" s="543" t="s">
        <v>449</v>
      </c>
      <c r="O2284" s="73">
        <v>41599.18</v>
      </c>
      <c r="Q2284" s="158">
        <v>13.83</v>
      </c>
      <c r="R2284" s="563">
        <f t="shared" si="142"/>
        <v>3.7910751079759386E-3</v>
      </c>
      <c r="S2284" s="563">
        <f t="shared" si="143"/>
        <v>-9.312320916905481E-3</v>
      </c>
      <c r="AA2284" s="594">
        <v>45063</v>
      </c>
      <c r="AB2284" s="595" t="s">
        <v>449</v>
      </c>
      <c r="AC2284" s="595">
        <v>41833.660000000003</v>
      </c>
      <c r="AD2284" s="596" t="s">
        <v>395</v>
      </c>
      <c r="AE2284" s="595">
        <v>65.459999999999994</v>
      </c>
      <c r="AF2284" s="597">
        <f t="shared" si="144"/>
        <v>-4.1084372226600774E-3</v>
      </c>
      <c r="AG2284" s="597">
        <f t="shared" si="145"/>
        <v>-3.3087149187592479E-2</v>
      </c>
    </row>
    <row r="2285" spans="13:33" x14ac:dyDescent="0.35">
      <c r="M2285" s="555">
        <v>45068</v>
      </c>
      <c r="N2285" s="543" t="s">
        <v>449</v>
      </c>
      <c r="O2285" s="73">
        <v>41195.06</v>
      </c>
      <c r="Q2285" s="158">
        <v>13.69</v>
      </c>
      <c r="R2285" s="563">
        <f t="shared" si="142"/>
        <v>-9.7146145669217976E-3</v>
      </c>
      <c r="S2285" s="563">
        <f t="shared" si="143"/>
        <v>-1.0122921185827916E-2</v>
      </c>
      <c r="AA2285" s="589">
        <v>45064</v>
      </c>
      <c r="AB2285" s="590" t="s">
        <v>449</v>
      </c>
      <c r="AC2285" s="590">
        <v>41442.07</v>
      </c>
      <c r="AD2285" s="591" t="s">
        <v>395</v>
      </c>
      <c r="AE2285" s="590">
        <v>65.42</v>
      </c>
      <c r="AF2285" s="592">
        <f t="shared" si="144"/>
        <v>-9.3606440364052412E-3</v>
      </c>
      <c r="AG2285" s="592">
        <f t="shared" si="145"/>
        <v>-6.1106018942858054E-4</v>
      </c>
    </row>
    <row r="2286" spans="13:33" x14ac:dyDescent="0.35">
      <c r="M2286" s="555">
        <v>45069</v>
      </c>
      <c r="N2286" s="543" t="s">
        <v>449</v>
      </c>
      <c r="O2286" s="73">
        <v>41099.300000000003</v>
      </c>
      <c r="Q2286" s="158">
        <v>13.69</v>
      </c>
      <c r="R2286" s="563">
        <f t="shared" si="142"/>
        <v>-2.3245505650433262E-3</v>
      </c>
      <c r="S2286" s="563">
        <f t="shared" si="143"/>
        <v>0</v>
      </c>
      <c r="AA2286" s="589">
        <v>45065</v>
      </c>
      <c r="AB2286" s="590" t="s">
        <v>449</v>
      </c>
      <c r="AC2286" s="590">
        <v>41599.18</v>
      </c>
      <c r="AD2286" s="591" t="s">
        <v>395</v>
      </c>
      <c r="AE2286" s="590">
        <v>66.790000000000006</v>
      </c>
      <c r="AF2286" s="592">
        <f t="shared" si="144"/>
        <v>3.7910751079759386E-3</v>
      </c>
      <c r="AG2286" s="592">
        <f t="shared" si="145"/>
        <v>2.0941608070926376E-2</v>
      </c>
    </row>
    <row r="2287" spans="13:33" x14ac:dyDescent="0.35">
      <c r="M2287" s="555">
        <v>45070</v>
      </c>
      <c r="N2287" s="543" t="s">
        <v>449</v>
      </c>
      <c r="O2287" s="73">
        <v>41117.32</v>
      </c>
      <c r="Q2287" s="158">
        <v>13.77</v>
      </c>
      <c r="R2287" s="563">
        <f t="shared" si="142"/>
        <v>4.3845028990752155E-4</v>
      </c>
      <c r="S2287" s="563">
        <f t="shared" si="143"/>
        <v>5.8436815193572134E-3</v>
      </c>
      <c r="AA2287" s="594">
        <v>45068</v>
      </c>
      <c r="AB2287" s="595" t="s">
        <v>449</v>
      </c>
      <c r="AC2287" s="595">
        <v>41195.06</v>
      </c>
      <c r="AD2287" s="596" t="s">
        <v>395</v>
      </c>
      <c r="AE2287" s="595">
        <v>68.81</v>
      </c>
      <c r="AF2287" s="597">
        <f t="shared" si="144"/>
        <v>-9.7146145669217976E-3</v>
      </c>
      <c r="AG2287" s="597">
        <f t="shared" si="145"/>
        <v>3.0244048510255972E-2</v>
      </c>
    </row>
    <row r="2288" spans="13:33" x14ac:dyDescent="0.35">
      <c r="M2288" s="555">
        <v>45071</v>
      </c>
      <c r="N2288" s="543" t="s">
        <v>449</v>
      </c>
      <c r="O2288" s="73">
        <v>41029.019999999997</v>
      </c>
      <c r="Q2288" s="158">
        <v>14.1</v>
      </c>
      <c r="R2288" s="563">
        <f t="shared" si="142"/>
        <v>-2.1475135052576588E-3</v>
      </c>
      <c r="S2288" s="563">
        <f t="shared" si="143"/>
        <v>2.3965141612200425E-2</v>
      </c>
      <c r="AA2288" s="594">
        <v>45069</v>
      </c>
      <c r="AB2288" s="595" t="s">
        <v>449</v>
      </c>
      <c r="AC2288" s="595">
        <v>41099.300000000003</v>
      </c>
      <c r="AD2288" s="596" t="s">
        <v>395</v>
      </c>
      <c r="AE2288" s="595">
        <v>67.78</v>
      </c>
      <c r="AF2288" s="597">
        <f t="shared" si="144"/>
        <v>-2.3245505650433262E-3</v>
      </c>
      <c r="AG2288" s="597">
        <f t="shared" si="145"/>
        <v>-1.4968754541491047E-2</v>
      </c>
    </row>
    <row r="2289" spans="13:33" x14ac:dyDescent="0.35">
      <c r="M2289" s="555">
        <v>45072</v>
      </c>
      <c r="N2289" s="543" t="s">
        <v>449</v>
      </c>
      <c r="O2289" s="73">
        <v>40964.54</v>
      </c>
      <c r="Q2289" s="158">
        <v>13.96</v>
      </c>
      <c r="R2289" s="563">
        <f t="shared" si="142"/>
        <v>-1.5715705615195752E-3</v>
      </c>
      <c r="S2289" s="563">
        <f t="shared" si="143"/>
        <v>-9.9290780141843005E-3</v>
      </c>
      <c r="AA2289" s="594">
        <v>45070</v>
      </c>
      <c r="AB2289" s="595" t="s">
        <v>449</v>
      </c>
      <c r="AC2289" s="595">
        <v>41117.32</v>
      </c>
      <c r="AD2289" s="596" t="s">
        <v>395</v>
      </c>
      <c r="AE2289" s="595">
        <v>67.510000000000005</v>
      </c>
      <c r="AF2289" s="597">
        <f t="shared" si="144"/>
        <v>4.3845028990752155E-4</v>
      </c>
      <c r="AG2289" s="597">
        <f t="shared" si="145"/>
        <v>-3.9834759516080842E-3</v>
      </c>
    </row>
    <row r="2290" spans="13:33" x14ac:dyDescent="0.35">
      <c r="M2290" s="555">
        <v>45075</v>
      </c>
      <c r="N2290" s="543" t="s">
        <v>449</v>
      </c>
      <c r="O2290" s="73">
        <v>41340.06</v>
      </c>
      <c r="Q2290" s="158">
        <v>13.9</v>
      </c>
      <c r="R2290" s="563">
        <f t="shared" si="142"/>
        <v>9.1669526863964457E-3</v>
      </c>
      <c r="S2290" s="563">
        <f t="shared" si="143"/>
        <v>-4.2979942693409656E-3</v>
      </c>
      <c r="AA2290" s="594">
        <v>45071</v>
      </c>
      <c r="AB2290" s="595" t="s">
        <v>449</v>
      </c>
      <c r="AC2290" s="595">
        <v>41029.019999999997</v>
      </c>
      <c r="AD2290" s="596" t="s">
        <v>395</v>
      </c>
      <c r="AE2290" s="595">
        <v>65.86</v>
      </c>
      <c r="AF2290" s="597">
        <f t="shared" si="144"/>
        <v>-2.1475135052576588E-3</v>
      </c>
      <c r="AG2290" s="597">
        <f t="shared" si="145"/>
        <v>-2.444082358169164E-2</v>
      </c>
    </row>
    <row r="2291" spans="13:33" x14ac:dyDescent="0.35">
      <c r="M2291" s="555">
        <v>45076</v>
      </c>
      <c r="N2291" s="543" t="s">
        <v>449</v>
      </c>
      <c r="O2291" s="73">
        <v>41671.65</v>
      </c>
      <c r="Q2291" s="158">
        <v>14.15</v>
      </c>
      <c r="R2291" s="563">
        <f t="shared" si="142"/>
        <v>8.0210333511854248E-3</v>
      </c>
      <c r="S2291" s="563">
        <f t="shared" si="143"/>
        <v>1.7985611510791477E-2</v>
      </c>
      <c r="AA2291" s="594">
        <v>45072</v>
      </c>
      <c r="AB2291" s="595" t="s">
        <v>449</v>
      </c>
      <c r="AC2291" s="595">
        <v>40964.54</v>
      </c>
      <c r="AD2291" s="596" t="s">
        <v>395</v>
      </c>
      <c r="AE2291" s="595">
        <v>65.790000000000006</v>
      </c>
      <c r="AF2291" s="597">
        <f t="shared" si="144"/>
        <v>-1.5715705615195752E-3</v>
      </c>
      <c r="AG2291" s="597">
        <f t="shared" si="145"/>
        <v>-1.0628606134223118E-3</v>
      </c>
    </row>
    <row r="2292" spans="13:33" x14ac:dyDescent="0.35">
      <c r="M2292" s="555">
        <v>45077</v>
      </c>
      <c r="N2292" s="543" t="s">
        <v>449</v>
      </c>
      <c r="O2292" s="73">
        <v>41330.559999999998</v>
      </c>
      <c r="Q2292" s="158">
        <v>14.01</v>
      </c>
      <c r="R2292" s="563">
        <f t="shared" si="142"/>
        <v>-8.1851810523462243E-3</v>
      </c>
      <c r="S2292" s="563">
        <f t="shared" si="143"/>
        <v>-9.8939929328621945E-3</v>
      </c>
      <c r="AA2292" s="589">
        <v>45075</v>
      </c>
      <c r="AB2292" s="590" t="s">
        <v>449</v>
      </c>
      <c r="AC2292" s="590">
        <v>41340.06</v>
      </c>
      <c r="AD2292" s="591" t="s">
        <v>395</v>
      </c>
      <c r="AE2292" s="590">
        <v>67.61</v>
      </c>
      <c r="AF2292" s="592">
        <f t="shared" si="144"/>
        <v>9.1669526863964457E-3</v>
      </c>
      <c r="AG2292" s="592">
        <f t="shared" si="145"/>
        <v>2.7663778689770435E-2</v>
      </c>
    </row>
    <row r="2293" spans="13:33" x14ac:dyDescent="0.35">
      <c r="M2293" s="555">
        <v>45078</v>
      </c>
      <c r="N2293" s="543" t="s">
        <v>449</v>
      </c>
      <c r="O2293" s="73">
        <v>41226.769999999997</v>
      </c>
      <c r="Q2293" s="158">
        <v>14.22</v>
      </c>
      <c r="R2293" s="563">
        <f t="shared" si="142"/>
        <v>-2.5112168816489033E-3</v>
      </c>
      <c r="S2293" s="563">
        <f t="shared" si="143"/>
        <v>1.4989293361884481E-2</v>
      </c>
      <c r="AA2293" s="589">
        <v>45076</v>
      </c>
      <c r="AB2293" s="590" t="s">
        <v>449</v>
      </c>
      <c r="AC2293" s="590">
        <v>41671.65</v>
      </c>
      <c r="AD2293" s="591" t="s">
        <v>395</v>
      </c>
      <c r="AE2293" s="590">
        <v>71.42</v>
      </c>
      <c r="AF2293" s="592">
        <f t="shared" si="144"/>
        <v>8.0210333511854248E-3</v>
      </c>
      <c r="AG2293" s="592">
        <f t="shared" si="145"/>
        <v>5.6352610560568062E-2</v>
      </c>
    </row>
    <row r="2294" spans="13:33" x14ac:dyDescent="0.35">
      <c r="M2294" s="555">
        <v>45079</v>
      </c>
      <c r="N2294" s="543" t="s">
        <v>449</v>
      </c>
      <c r="O2294" s="73">
        <v>41352.980000000003</v>
      </c>
      <c r="Q2294" s="158">
        <v>14.06</v>
      </c>
      <c r="R2294" s="563">
        <f t="shared" si="142"/>
        <v>3.0613603733691264E-3</v>
      </c>
      <c r="S2294" s="563">
        <f t="shared" si="143"/>
        <v>-1.1251758087201136E-2</v>
      </c>
      <c r="AA2294" s="594">
        <v>45077</v>
      </c>
      <c r="AB2294" s="595" t="s">
        <v>449</v>
      </c>
      <c r="AC2294" s="595">
        <v>41330.559999999998</v>
      </c>
      <c r="AD2294" s="596" t="s">
        <v>395</v>
      </c>
      <c r="AE2294" s="595">
        <v>68.39</v>
      </c>
      <c r="AF2294" s="597">
        <f t="shared" si="144"/>
        <v>-8.1851810523462243E-3</v>
      </c>
      <c r="AG2294" s="597">
        <f t="shared" si="145"/>
        <v>-4.242509101092129E-2</v>
      </c>
    </row>
    <row r="2295" spans="13:33" x14ac:dyDescent="0.35">
      <c r="M2295" s="555">
        <v>45082</v>
      </c>
      <c r="N2295" s="543" t="s">
        <v>449</v>
      </c>
      <c r="O2295" s="73">
        <v>41667.94</v>
      </c>
      <c r="Q2295" s="158">
        <v>14.36</v>
      </c>
      <c r="R2295" s="563">
        <f t="shared" si="142"/>
        <v>7.6163797627160079E-3</v>
      </c>
      <c r="S2295" s="563">
        <f t="shared" si="143"/>
        <v>2.1337126600284417E-2</v>
      </c>
      <c r="AA2295" s="594">
        <v>45078</v>
      </c>
      <c r="AB2295" s="595" t="s">
        <v>449</v>
      </c>
      <c r="AC2295" s="595">
        <v>41226.769999999997</v>
      </c>
      <c r="AD2295" s="596" t="s">
        <v>395</v>
      </c>
      <c r="AE2295" s="595">
        <v>68.459999999999994</v>
      </c>
      <c r="AF2295" s="597">
        <f t="shared" si="144"/>
        <v>-2.5112168816489033E-3</v>
      </c>
      <c r="AG2295" s="597">
        <f t="shared" si="145"/>
        <v>1.0235414534287557E-3</v>
      </c>
    </row>
    <row r="2296" spans="13:33" x14ac:dyDescent="0.35">
      <c r="M2296" s="555">
        <v>45083</v>
      </c>
      <c r="N2296" s="543" t="s">
        <v>449</v>
      </c>
      <c r="O2296" s="73">
        <v>41923.46</v>
      </c>
      <c r="Q2296" s="158">
        <v>15.06</v>
      </c>
      <c r="R2296" s="563">
        <f t="shared" si="142"/>
        <v>6.1322925971381004E-3</v>
      </c>
      <c r="S2296" s="563">
        <f t="shared" si="143"/>
        <v>4.8746518105849734E-2</v>
      </c>
      <c r="AA2296" s="594">
        <v>45079</v>
      </c>
      <c r="AB2296" s="595" t="s">
        <v>449</v>
      </c>
      <c r="AC2296" s="595">
        <v>41352.980000000003</v>
      </c>
      <c r="AD2296" s="596" t="s">
        <v>395</v>
      </c>
      <c r="AE2296" s="595">
        <v>68.31</v>
      </c>
      <c r="AF2296" s="597">
        <f t="shared" si="144"/>
        <v>3.0613603733691264E-3</v>
      </c>
      <c r="AG2296" s="597">
        <f t="shared" si="145"/>
        <v>-2.191060473268891E-3</v>
      </c>
    </row>
    <row r="2297" spans="13:33" x14ac:dyDescent="0.35">
      <c r="M2297" s="555">
        <v>45084</v>
      </c>
      <c r="N2297" s="543" t="s">
        <v>449</v>
      </c>
      <c r="O2297" s="73">
        <v>42142.71</v>
      </c>
      <c r="Q2297" s="158">
        <v>14.79</v>
      </c>
      <c r="R2297" s="563">
        <f t="shared" si="142"/>
        <v>5.229768726149997E-3</v>
      </c>
      <c r="S2297" s="563">
        <f t="shared" si="143"/>
        <v>-1.7928286852589737E-2</v>
      </c>
      <c r="AA2297" s="594">
        <v>45082</v>
      </c>
      <c r="AB2297" s="595" t="s">
        <v>449</v>
      </c>
      <c r="AC2297" s="595">
        <v>41667.94</v>
      </c>
      <c r="AD2297" s="596" t="s">
        <v>395</v>
      </c>
      <c r="AE2297" s="595">
        <v>69</v>
      </c>
      <c r="AF2297" s="597">
        <f t="shared" si="144"/>
        <v>7.6163797627160079E-3</v>
      </c>
      <c r="AG2297" s="597">
        <f t="shared" si="145"/>
        <v>1.0101010101010166E-2</v>
      </c>
    </row>
    <row r="2298" spans="13:33" x14ac:dyDescent="0.35">
      <c r="M2298" s="555">
        <v>45085</v>
      </c>
      <c r="N2298" s="543" t="s">
        <v>449</v>
      </c>
      <c r="O2298" s="73">
        <v>41686.46</v>
      </c>
      <c r="Q2298" s="158">
        <v>14.47</v>
      </c>
      <c r="R2298" s="563">
        <f t="shared" si="142"/>
        <v>-1.0826308986773725E-2</v>
      </c>
      <c r="S2298" s="563">
        <f t="shared" si="143"/>
        <v>-2.1636240703177712E-2</v>
      </c>
      <c r="AA2298" s="594">
        <v>45083</v>
      </c>
      <c r="AB2298" s="595" t="s">
        <v>449</v>
      </c>
      <c r="AC2298" s="595">
        <v>41923.46</v>
      </c>
      <c r="AD2298" s="596" t="s">
        <v>395</v>
      </c>
      <c r="AE2298" s="595">
        <v>70.16</v>
      </c>
      <c r="AF2298" s="597">
        <f t="shared" si="144"/>
        <v>6.1322925971381004E-3</v>
      </c>
      <c r="AG2298" s="597">
        <f t="shared" si="145"/>
        <v>1.6811594202898572E-2</v>
      </c>
    </row>
    <row r="2299" spans="13:33" x14ac:dyDescent="0.35">
      <c r="M2299" s="555">
        <v>45086</v>
      </c>
      <c r="N2299" s="543" t="s">
        <v>449</v>
      </c>
      <c r="O2299" s="73">
        <v>41904.199999999997</v>
      </c>
      <c r="Q2299" s="158">
        <v>14.45</v>
      </c>
      <c r="R2299" s="563">
        <f t="shared" si="142"/>
        <v>5.2232787336703446E-3</v>
      </c>
      <c r="S2299" s="563">
        <f t="shared" si="143"/>
        <v>-1.3821700069109877E-3</v>
      </c>
      <c r="AA2299" s="594">
        <v>45084</v>
      </c>
      <c r="AB2299" s="595" t="s">
        <v>449</v>
      </c>
      <c r="AC2299" s="595">
        <v>42142.71</v>
      </c>
      <c r="AD2299" s="596" t="s">
        <v>395</v>
      </c>
      <c r="AE2299" s="595">
        <v>68.98</v>
      </c>
      <c r="AF2299" s="597">
        <f t="shared" si="144"/>
        <v>5.229768726149997E-3</v>
      </c>
      <c r="AG2299" s="597">
        <f t="shared" si="145"/>
        <v>-1.6818700114024976E-2</v>
      </c>
    </row>
    <row r="2300" spans="13:33" x14ac:dyDescent="0.35">
      <c r="M2300" s="555">
        <v>45089</v>
      </c>
      <c r="N2300" s="543" t="s">
        <v>449</v>
      </c>
      <c r="O2300" s="73">
        <v>41782.92</v>
      </c>
      <c r="Q2300" s="158">
        <v>14.67</v>
      </c>
      <c r="R2300" s="563">
        <f t="shared" si="142"/>
        <v>-2.8942206270492488E-3</v>
      </c>
      <c r="S2300" s="563">
        <f t="shared" si="143"/>
        <v>1.52249134948097E-2</v>
      </c>
      <c r="AA2300" s="594">
        <v>45085</v>
      </c>
      <c r="AB2300" s="595" t="s">
        <v>449</v>
      </c>
      <c r="AC2300" s="595">
        <v>41686.46</v>
      </c>
      <c r="AD2300" s="596" t="s">
        <v>395</v>
      </c>
      <c r="AE2300" s="595">
        <v>69.56</v>
      </c>
      <c r="AF2300" s="597">
        <f t="shared" si="144"/>
        <v>-1.0826308986773725E-2</v>
      </c>
      <c r="AG2300" s="597">
        <f t="shared" si="145"/>
        <v>8.4082342708031721E-3</v>
      </c>
    </row>
    <row r="2301" spans="13:33" x14ac:dyDescent="0.35">
      <c r="M2301" s="555">
        <v>45090</v>
      </c>
      <c r="N2301" s="543" t="s">
        <v>449</v>
      </c>
      <c r="O2301" s="73">
        <v>41538.720000000001</v>
      </c>
      <c r="Q2301" s="158">
        <v>14.51</v>
      </c>
      <c r="R2301" s="563">
        <f t="shared" si="142"/>
        <v>-5.8444933958660128E-3</v>
      </c>
      <c r="S2301" s="563">
        <f t="shared" si="143"/>
        <v>-1.0906612133605997E-2</v>
      </c>
      <c r="AA2301" s="594">
        <v>45086</v>
      </c>
      <c r="AB2301" s="595" t="s">
        <v>449</v>
      </c>
      <c r="AC2301" s="595">
        <v>41904.199999999997</v>
      </c>
      <c r="AD2301" s="596" t="s">
        <v>395</v>
      </c>
      <c r="AE2301" s="595">
        <v>68.010000000000005</v>
      </c>
      <c r="AF2301" s="597">
        <f t="shared" si="144"/>
        <v>5.2232787336703446E-3</v>
      </c>
      <c r="AG2301" s="597">
        <f t="shared" si="145"/>
        <v>-2.2282921219091367E-2</v>
      </c>
    </row>
    <row r="2302" spans="13:33" x14ac:dyDescent="0.35">
      <c r="M2302" s="555">
        <v>45091</v>
      </c>
      <c r="N2302" s="543" t="s">
        <v>449</v>
      </c>
      <c r="O2302" s="73">
        <v>41514.44</v>
      </c>
      <c r="Q2302" s="158">
        <v>14.22</v>
      </c>
      <c r="R2302" s="563">
        <f t="shared" si="142"/>
        <v>-5.8451488153699049E-4</v>
      </c>
      <c r="S2302" s="563">
        <f t="shared" si="143"/>
        <v>-1.9986216402480994E-2</v>
      </c>
      <c r="AA2302" s="594">
        <v>45089</v>
      </c>
      <c r="AB2302" s="595" t="s">
        <v>449</v>
      </c>
      <c r="AC2302" s="595">
        <v>41782.92</v>
      </c>
      <c r="AD2302" s="596" t="s">
        <v>395</v>
      </c>
      <c r="AE2302" s="595">
        <v>67.23</v>
      </c>
      <c r="AF2302" s="597">
        <f t="shared" si="144"/>
        <v>-2.8942206270492488E-3</v>
      </c>
      <c r="AG2302" s="597">
        <f t="shared" si="145"/>
        <v>-1.1468901632112893E-2</v>
      </c>
    </row>
    <row r="2303" spans="13:33" x14ac:dyDescent="0.35">
      <c r="M2303" s="555">
        <v>45092</v>
      </c>
      <c r="N2303" s="543" t="s">
        <v>449</v>
      </c>
      <c r="O2303" s="73">
        <v>41369.160000000003</v>
      </c>
      <c r="Q2303" s="158">
        <v>14.25</v>
      </c>
      <c r="R2303" s="563">
        <f t="shared" si="142"/>
        <v>-3.4995052323961717E-3</v>
      </c>
      <c r="S2303" s="563">
        <f t="shared" si="143"/>
        <v>2.1097046413500742E-3</v>
      </c>
      <c r="AA2303" s="594">
        <v>45090</v>
      </c>
      <c r="AB2303" s="595" t="s">
        <v>449</v>
      </c>
      <c r="AC2303" s="595">
        <v>41538.720000000001</v>
      </c>
      <c r="AD2303" s="596" t="s">
        <v>395</v>
      </c>
      <c r="AE2303" s="595">
        <v>67</v>
      </c>
      <c r="AF2303" s="597">
        <f t="shared" si="144"/>
        <v>-5.8444933958660128E-3</v>
      </c>
      <c r="AG2303" s="597">
        <f t="shared" si="145"/>
        <v>-3.421091774505447E-3</v>
      </c>
    </row>
    <row r="2304" spans="13:33" x14ac:dyDescent="0.35">
      <c r="M2304" s="555">
        <v>45093</v>
      </c>
      <c r="N2304" s="543" t="s">
        <v>449</v>
      </c>
      <c r="O2304" s="73">
        <v>41301.29</v>
      </c>
      <c r="Q2304" s="158">
        <v>14.14</v>
      </c>
      <c r="R2304" s="563">
        <f t="shared" si="142"/>
        <v>-1.640594104400539E-3</v>
      </c>
      <c r="S2304" s="563">
        <f t="shared" si="143"/>
        <v>-7.7192982456140147E-3</v>
      </c>
      <c r="AA2304" s="589">
        <v>45091</v>
      </c>
      <c r="AB2304" s="590" t="s">
        <v>449</v>
      </c>
      <c r="AC2304" s="590">
        <v>41514.44</v>
      </c>
      <c r="AD2304" s="591" t="s">
        <v>395</v>
      </c>
      <c r="AE2304" s="590">
        <v>67.78</v>
      </c>
      <c r="AF2304" s="592">
        <f t="shared" si="144"/>
        <v>-5.8451488153699049E-4</v>
      </c>
      <c r="AG2304" s="592">
        <f t="shared" si="145"/>
        <v>1.164179104477614E-2</v>
      </c>
    </row>
    <row r="2305" spans="13:33" x14ac:dyDescent="0.35">
      <c r="M2305" s="555">
        <v>45096</v>
      </c>
      <c r="N2305" s="543" t="s">
        <v>449</v>
      </c>
      <c r="O2305" s="73">
        <v>40621.21</v>
      </c>
      <c r="Q2305" s="158">
        <v>13.93</v>
      </c>
      <c r="R2305" s="563">
        <f t="shared" si="142"/>
        <v>-1.6466313764049501E-2</v>
      </c>
      <c r="S2305" s="563">
        <f t="shared" si="143"/>
        <v>-1.4851485148514865E-2</v>
      </c>
      <c r="AA2305" s="589">
        <v>45092</v>
      </c>
      <c r="AB2305" s="590" t="s">
        <v>449</v>
      </c>
      <c r="AC2305" s="590">
        <v>41369.160000000003</v>
      </c>
      <c r="AD2305" s="591" t="s">
        <v>395</v>
      </c>
      <c r="AE2305" s="590">
        <v>67.91</v>
      </c>
      <c r="AF2305" s="592">
        <f t="shared" si="144"/>
        <v>-3.4995052323961717E-3</v>
      </c>
      <c r="AG2305" s="592">
        <f t="shared" si="145"/>
        <v>1.9179699026261599E-3</v>
      </c>
    </row>
    <row r="2306" spans="13:33" x14ac:dyDescent="0.35">
      <c r="M2306" s="555">
        <v>45097</v>
      </c>
      <c r="N2306" s="543" t="s">
        <v>449</v>
      </c>
      <c r="O2306" s="73">
        <v>40653.03</v>
      </c>
      <c r="Q2306" s="158">
        <v>13.72</v>
      </c>
      <c r="R2306" s="563">
        <f t="shared" si="142"/>
        <v>7.8333461755564215E-4</v>
      </c>
      <c r="S2306" s="563">
        <f t="shared" si="143"/>
        <v>-1.5075376884422065E-2</v>
      </c>
      <c r="AA2306" s="594">
        <v>45093</v>
      </c>
      <c r="AB2306" s="595" t="s">
        <v>449</v>
      </c>
      <c r="AC2306" s="595">
        <v>41301.29</v>
      </c>
      <c r="AD2306" s="596" t="s">
        <v>395</v>
      </c>
      <c r="AE2306" s="595">
        <v>66.709999999999994</v>
      </c>
      <c r="AF2306" s="597">
        <f t="shared" si="144"/>
        <v>-1.640594104400539E-3</v>
      </c>
      <c r="AG2306" s="597">
        <f t="shared" si="145"/>
        <v>-1.7670446178766008E-2</v>
      </c>
    </row>
    <row r="2307" spans="13:33" x14ac:dyDescent="0.35">
      <c r="M2307" s="555">
        <v>45098</v>
      </c>
      <c r="N2307" s="543" t="s">
        <v>449</v>
      </c>
      <c r="O2307" s="73">
        <v>40220.79</v>
      </c>
      <c r="Q2307" s="158">
        <v>13.39</v>
      </c>
      <c r="R2307" s="563">
        <f t="shared" si="142"/>
        <v>-1.0632417805019667E-2</v>
      </c>
      <c r="S2307" s="563">
        <f t="shared" si="143"/>
        <v>-2.4052478134110822E-2</v>
      </c>
      <c r="AA2307" s="594">
        <v>45096</v>
      </c>
      <c r="AB2307" s="595" t="s">
        <v>449</v>
      </c>
      <c r="AC2307" s="595">
        <v>40621.21</v>
      </c>
      <c r="AD2307" s="596" t="s">
        <v>395</v>
      </c>
      <c r="AE2307" s="595">
        <v>65.25</v>
      </c>
      <c r="AF2307" s="597">
        <f t="shared" si="144"/>
        <v>-1.6466313764049501E-2</v>
      </c>
      <c r="AG2307" s="597">
        <f t="shared" si="145"/>
        <v>-2.1885774246739542E-2</v>
      </c>
    </row>
    <row r="2308" spans="13:33" x14ac:dyDescent="0.35">
      <c r="M2308" s="555">
        <v>45099</v>
      </c>
      <c r="N2308" s="543" t="s">
        <v>449</v>
      </c>
      <c r="O2308" s="73">
        <v>40152.050000000003</v>
      </c>
      <c r="Q2308" s="158">
        <v>13.36</v>
      </c>
      <c r="R2308" s="563">
        <f t="shared" si="142"/>
        <v>-1.7090663808443374E-3</v>
      </c>
      <c r="S2308" s="563">
        <f t="shared" si="143"/>
        <v>-2.2404779686333587E-3</v>
      </c>
      <c r="AA2308" s="594">
        <v>45097</v>
      </c>
      <c r="AB2308" s="595" t="s">
        <v>449</v>
      </c>
      <c r="AC2308" s="595">
        <v>40653.03</v>
      </c>
      <c r="AD2308" s="596" t="s">
        <v>395</v>
      </c>
      <c r="AE2308" s="595">
        <v>66.5</v>
      </c>
      <c r="AF2308" s="597">
        <f t="shared" si="144"/>
        <v>7.8333461755564215E-4</v>
      </c>
      <c r="AG2308" s="597">
        <f t="shared" si="145"/>
        <v>1.9157088122605304E-2</v>
      </c>
    </row>
    <row r="2309" spans="13:33" x14ac:dyDescent="0.35">
      <c r="M2309" s="555">
        <v>45100</v>
      </c>
      <c r="N2309" s="543" t="s">
        <v>449</v>
      </c>
      <c r="O2309" s="73">
        <v>40065.32</v>
      </c>
      <c r="Q2309" s="158">
        <v>13.16</v>
      </c>
      <c r="R2309" s="563">
        <f t="shared" si="142"/>
        <v>-2.1600391511766848E-3</v>
      </c>
      <c r="S2309" s="563">
        <f t="shared" si="143"/>
        <v>-1.4970059880239472E-2</v>
      </c>
      <c r="AA2309" s="594">
        <v>45098</v>
      </c>
      <c r="AB2309" s="595" t="s">
        <v>449</v>
      </c>
      <c r="AC2309" s="595">
        <v>40220.79</v>
      </c>
      <c r="AD2309" s="596" t="s">
        <v>395</v>
      </c>
      <c r="AE2309" s="595">
        <v>66</v>
      </c>
      <c r="AF2309" s="597">
        <f t="shared" si="144"/>
        <v>-1.0632417805019667E-2</v>
      </c>
      <c r="AG2309" s="597">
        <f t="shared" si="145"/>
        <v>-7.5187969924812581E-3</v>
      </c>
    </row>
    <row r="2310" spans="13:33" x14ac:dyDescent="0.35">
      <c r="M2310" s="555">
        <v>45103</v>
      </c>
      <c r="N2310" s="543" t="s">
        <v>449</v>
      </c>
      <c r="O2310" s="73">
        <v>41437.1</v>
      </c>
      <c r="Q2310" s="158">
        <v>13.69</v>
      </c>
      <c r="R2310" s="563">
        <f t="shared" si="142"/>
        <v>3.4238588385167024E-2</v>
      </c>
      <c r="S2310" s="563">
        <f t="shared" si="143"/>
        <v>4.0273556231003038E-2</v>
      </c>
      <c r="AA2310" s="594">
        <v>45099</v>
      </c>
      <c r="AB2310" s="595" t="s">
        <v>449</v>
      </c>
      <c r="AC2310" s="595">
        <v>40152.050000000003</v>
      </c>
      <c r="AD2310" s="596" t="s">
        <v>395</v>
      </c>
      <c r="AE2310" s="595">
        <v>65.400000000000006</v>
      </c>
      <c r="AF2310" s="597">
        <f t="shared" si="144"/>
        <v>-1.7090663808443374E-3</v>
      </c>
      <c r="AG2310" s="597">
        <f t="shared" si="145"/>
        <v>-9.0909090909090384E-3</v>
      </c>
    </row>
    <row r="2311" spans="13:33" x14ac:dyDescent="0.35">
      <c r="M2311" s="555">
        <v>45104</v>
      </c>
      <c r="N2311" s="543" t="s">
        <v>449</v>
      </c>
      <c r="O2311" s="73">
        <v>41452.68</v>
      </c>
      <c r="Q2311" s="158">
        <v>13.56</v>
      </c>
      <c r="R2311" s="563">
        <f t="shared" si="142"/>
        <v>3.7599156311629578E-4</v>
      </c>
      <c r="S2311" s="563">
        <f t="shared" si="143"/>
        <v>-9.4959824689553329E-3</v>
      </c>
      <c r="AA2311" s="594">
        <v>45100</v>
      </c>
      <c r="AB2311" s="595" t="s">
        <v>449</v>
      </c>
      <c r="AC2311" s="595">
        <v>40065.32</v>
      </c>
      <c r="AD2311" s="596" t="s">
        <v>395</v>
      </c>
      <c r="AE2311" s="595">
        <v>64.33</v>
      </c>
      <c r="AF2311" s="597">
        <f t="shared" si="144"/>
        <v>-2.1600391511766848E-3</v>
      </c>
      <c r="AG2311" s="597">
        <f t="shared" si="145"/>
        <v>-1.6360856269113211E-2</v>
      </c>
    </row>
    <row r="2312" spans="13:33" x14ac:dyDescent="0.35">
      <c r="M2312" s="555"/>
      <c r="N2312" s="543"/>
      <c r="Q2312" s="158"/>
      <c r="R2312" s="563"/>
      <c r="S2312" s="563"/>
      <c r="AA2312" s="594">
        <v>45103</v>
      </c>
      <c r="AB2312" s="595" t="s">
        <v>449</v>
      </c>
      <c r="AC2312" s="595">
        <v>41437.1</v>
      </c>
      <c r="AD2312" s="596" t="s">
        <v>395</v>
      </c>
      <c r="AE2312" s="595">
        <v>64.72</v>
      </c>
      <c r="AF2312" s="597">
        <f t="shared" si="144"/>
        <v>3.4238588385167024E-2</v>
      </c>
      <c r="AG2312" s="597">
        <f t="shared" si="145"/>
        <v>6.0624902844708117E-3</v>
      </c>
    </row>
    <row r="2313" spans="13:33" x14ac:dyDescent="0.35">
      <c r="M2313" s="555"/>
      <c r="N2313" s="543"/>
      <c r="Q2313" s="158"/>
      <c r="R2313" s="563"/>
      <c r="S2313" s="563"/>
      <c r="AA2313" s="594">
        <v>45104</v>
      </c>
      <c r="AB2313" s="595" t="s">
        <v>449</v>
      </c>
      <c r="AC2313" s="595">
        <v>41452.68</v>
      </c>
      <c r="AD2313" s="596" t="s">
        <v>395</v>
      </c>
      <c r="AE2313" s="595">
        <v>66</v>
      </c>
      <c r="AF2313" s="597">
        <f t="shared" si="144"/>
        <v>3.7599156311629578E-4</v>
      </c>
      <c r="AG2313" s="597">
        <f t="shared" si="145"/>
        <v>1.977750309023496E-2</v>
      </c>
    </row>
    <row r="2314" spans="13:33" x14ac:dyDescent="0.35">
      <c r="M2314" s="555"/>
      <c r="N2314" s="543"/>
      <c r="Q2314" s="158"/>
      <c r="R2314" s="563"/>
      <c r="S2314" s="563"/>
    </row>
    <row r="2315" spans="13:33" x14ac:dyDescent="0.35">
      <c r="M2315" s="555"/>
      <c r="N2315" s="543"/>
      <c r="Q2315" s="158"/>
      <c r="R2315" s="563"/>
      <c r="S2315" s="563"/>
    </row>
    <row r="2316" spans="13:33" x14ac:dyDescent="0.35">
      <c r="M2316" s="555"/>
      <c r="N2316" s="543"/>
      <c r="Q2316" s="158"/>
      <c r="R2316" s="563"/>
      <c r="S2316" s="563"/>
    </row>
    <row r="2317" spans="13:33" x14ac:dyDescent="0.35">
      <c r="M2317" s="555"/>
      <c r="N2317" s="543"/>
      <c r="Q2317" s="158"/>
      <c r="R2317" s="563"/>
      <c r="S2317" s="563"/>
    </row>
    <row r="2318" spans="13:33" x14ac:dyDescent="0.35">
      <c r="M2318" s="555"/>
      <c r="N2318" s="543"/>
      <c r="Q2318" s="158"/>
      <c r="R2318" s="563"/>
      <c r="S2318" s="563"/>
    </row>
    <row r="2319" spans="13:33" x14ac:dyDescent="0.35">
      <c r="M2319" s="555"/>
      <c r="N2319" s="543"/>
      <c r="Q2319" s="158"/>
      <c r="R2319" s="563"/>
      <c r="S2319" s="563"/>
    </row>
    <row r="2320" spans="13:33" x14ac:dyDescent="0.35">
      <c r="M2320" s="555"/>
      <c r="N2320" s="543"/>
      <c r="Q2320" s="158"/>
      <c r="R2320" s="563"/>
      <c r="S2320" s="563"/>
    </row>
    <row r="2321" spans="13:19" x14ac:dyDescent="0.35">
      <c r="M2321" s="555"/>
      <c r="N2321" s="543"/>
      <c r="Q2321" s="158"/>
      <c r="R2321" s="563"/>
      <c r="S2321" s="563"/>
    </row>
    <row r="2322" spans="13:19" x14ac:dyDescent="0.35">
      <c r="M2322" s="555"/>
      <c r="N2322" s="543"/>
      <c r="Q2322" s="158"/>
      <c r="R2322" s="563"/>
      <c r="S2322" s="563"/>
    </row>
    <row r="2323" spans="13:19" x14ac:dyDescent="0.35">
      <c r="M2323" s="555"/>
      <c r="N2323" s="543"/>
      <c r="Q2323" s="158"/>
      <c r="R2323" s="563"/>
      <c r="S2323" s="563"/>
    </row>
    <row r="2324" spans="13:19" x14ac:dyDescent="0.35">
      <c r="M2324" s="555"/>
      <c r="N2324" s="543"/>
      <c r="Q2324" s="158"/>
      <c r="R2324" s="563"/>
      <c r="S2324" s="563"/>
    </row>
    <row r="2325" spans="13:19" x14ac:dyDescent="0.35">
      <c r="M2325" s="555"/>
      <c r="N2325" s="543"/>
      <c r="Q2325" s="158"/>
      <c r="R2325" s="563"/>
      <c r="S2325" s="563"/>
    </row>
    <row r="2326" spans="13:19" x14ac:dyDescent="0.35">
      <c r="M2326" s="555"/>
      <c r="N2326" s="543"/>
      <c r="Q2326" s="158"/>
      <c r="R2326" s="563"/>
      <c r="S2326" s="563"/>
    </row>
    <row r="2327" spans="13:19" x14ac:dyDescent="0.35">
      <c r="M2327" s="555"/>
      <c r="N2327" s="543"/>
      <c r="Q2327" s="158"/>
      <c r="R2327" s="563"/>
      <c r="S2327" s="563"/>
    </row>
    <row r="2328" spans="13:19" x14ac:dyDescent="0.35">
      <c r="M2328" s="555"/>
      <c r="N2328" s="543"/>
      <c r="Q2328" s="158"/>
      <c r="R2328" s="563"/>
      <c r="S2328" s="563"/>
    </row>
    <row r="2329" spans="13:19" x14ac:dyDescent="0.35">
      <c r="M2329" s="555"/>
      <c r="N2329" s="543"/>
      <c r="Q2329" s="158"/>
      <c r="R2329" s="563"/>
      <c r="S2329" s="563"/>
    </row>
    <row r="2330" spans="13:19" x14ac:dyDescent="0.35">
      <c r="M2330" s="555"/>
      <c r="N2330" s="543"/>
      <c r="Q2330" s="158"/>
      <c r="R2330" s="563"/>
      <c r="S2330" s="563"/>
    </row>
    <row r="2331" spans="13:19" x14ac:dyDescent="0.35">
      <c r="M2331" s="526"/>
      <c r="N2331" s="524"/>
      <c r="Q2331"/>
      <c r="R2331" s="525"/>
      <c r="S2331" s="525"/>
    </row>
    <row r="2332" spans="13:19" x14ac:dyDescent="0.35">
      <c r="M2332" s="526"/>
      <c r="N2332" s="524"/>
      <c r="Q2332"/>
      <c r="R2332" s="525"/>
      <c r="S2332" s="525"/>
    </row>
    <row r="2333" spans="13:19" x14ac:dyDescent="0.35">
      <c r="M2333" s="555"/>
      <c r="N2333" s="543"/>
      <c r="Q2333" s="158"/>
      <c r="R2333" s="563"/>
      <c r="S2333" s="563"/>
    </row>
    <row r="2334" spans="13:19" x14ac:dyDescent="0.35">
      <c r="M2334" s="555"/>
      <c r="N2334" s="543"/>
      <c r="Q2334" s="158"/>
      <c r="R2334" s="563"/>
      <c r="S2334" s="563"/>
    </row>
    <row r="2335" spans="13:19" x14ac:dyDescent="0.35">
      <c r="M2335" s="555"/>
      <c r="N2335" s="543"/>
      <c r="Q2335" s="158"/>
      <c r="R2335" s="563"/>
      <c r="S2335" s="563"/>
    </row>
    <row r="2336" spans="13:19" x14ac:dyDescent="0.35">
      <c r="M2336" s="555"/>
      <c r="N2336" s="543"/>
      <c r="Q2336" s="158"/>
      <c r="R2336" s="563"/>
      <c r="S2336" s="563"/>
    </row>
    <row r="2337" spans="13:19" x14ac:dyDescent="0.35">
      <c r="M2337" s="555"/>
      <c r="N2337" s="543"/>
      <c r="Q2337" s="158"/>
      <c r="R2337" s="563"/>
      <c r="S2337" s="563"/>
    </row>
    <row r="2338" spans="13:19" x14ac:dyDescent="0.35">
      <c r="M2338" s="555"/>
      <c r="N2338" s="543"/>
      <c r="Q2338" s="158"/>
      <c r="R2338" s="563"/>
      <c r="S2338" s="563"/>
    </row>
    <row r="2339" spans="13:19" x14ac:dyDescent="0.35">
      <c r="M2339" s="555"/>
      <c r="N2339" s="543"/>
      <c r="Q2339" s="158"/>
      <c r="R2339" s="563"/>
      <c r="S2339" s="563"/>
    </row>
    <row r="2340" spans="13:19" x14ac:dyDescent="0.35">
      <c r="M2340" s="555"/>
      <c r="N2340" s="543"/>
      <c r="Q2340" s="158"/>
      <c r="R2340" s="563"/>
      <c r="S2340" s="563"/>
    </row>
    <row r="2341" spans="13:19" x14ac:dyDescent="0.35">
      <c r="M2341" s="555"/>
      <c r="N2341" s="543"/>
      <c r="Q2341" s="158"/>
      <c r="R2341" s="563"/>
      <c r="S2341" s="563"/>
    </row>
    <row r="2342" spans="13:19" x14ac:dyDescent="0.35">
      <c r="M2342" s="555"/>
      <c r="N2342" s="543"/>
      <c r="Q2342" s="158"/>
      <c r="R2342" s="563"/>
      <c r="S2342" s="563"/>
    </row>
    <row r="2343" spans="13:19" x14ac:dyDescent="0.35">
      <c r="M2343" s="555"/>
      <c r="N2343" s="543"/>
      <c r="Q2343" s="158"/>
      <c r="R2343" s="563"/>
      <c r="S2343" s="563"/>
    </row>
    <row r="2344" spans="13:19" x14ac:dyDescent="0.35">
      <c r="M2344" s="555"/>
      <c r="N2344" s="543"/>
      <c r="Q2344" s="158"/>
      <c r="R2344" s="563"/>
      <c r="S2344" s="563"/>
    </row>
    <row r="2345" spans="13:19" x14ac:dyDescent="0.35">
      <c r="M2345" s="526"/>
      <c r="N2345" s="524"/>
      <c r="Q2345"/>
      <c r="R2345" s="525"/>
      <c r="S2345" s="525"/>
    </row>
    <row r="2346" spans="13:19" x14ac:dyDescent="0.35">
      <c r="M2346" s="526"/>
      <c r="N2346" s="524"/>
      <c r="Q2346"/>
      <c r="R2346" s="525"/>
      <c r="S2346" s="525"/>
    </row>
    <row r="2347" spans="13:19" x14ac:dyDescent="0.35">
      <c r="M2347" s="555"/>
      <c r="N2347" s="543"/>
      <c r="Q2347" s="158"/>
      <c r="R2347" s="563"/>
      <c r="S2347" s="563"/>
    </row>
    <row r="2348" spans="13:19" x14ac:dyDescent="0.35">
      <c r="M2348" s="555"/>
      <c r="N2348" s="543"/>
      <c r="Q2348" s="158"/>
      <c r="R2348" s="563"/>
      <c r="S2348" s="563"/>
    </row>
    <row r="2349" spans="13:19" x14ac:dyDescent="0.35">
      <c r="M2349" s="555"/>
      <c r="N2349" s="543"/>
      <c r="Q2349" s="158"/>
      <c r="R2349" s="563"/>
      <c r="S2349" s="563"/>
    </row>
    <row r="2350" spans="13:19" x14ac:dyDescent="0.35">
      <c r="M2350" s="555"/>
      <c r="N2350" s="543"/>
      <c r="Q2350" s="158"/>
      <c r="R2350" s="563"/>
      <c r="S2350" s="563"/>
    </row>
    <row r="2351" spans="13:19" x14ac:dyDescent="0.35">
      <c r="M2351" s="555"/>
      <c r="N2351" s="543"/>
      <c r="Q2351" s="158"/>
      <c r="R2351" s="563"/>
      <c r="S2351" s="563"/>
    </row>
    <row r="2352" spans="13:19" x14ac:dyDescent="0.35">
      <c r="M2352" s="555"/>
      <c r="N2352" s="543"/>
      <c r="Q2352" s="158"/>
      <c r="R2352" s="563"/>
      <c r="S2352" s="563"/>
    </row>
    <row r="2353" spans="13:19" x14ac:dyDescent="0.35">
      <c r="M2353" s="555"/>
      <c r="N2353" s="543"/>
      <c r="Q2353" s="158"/>
      <c r="R2353" s="563"/>
      <c r="S2353" s="563"/>
    </row>
    <row r="2354" spans="13:19" x14ac:dyDescent="0.35">
      <c r="M2354" s="555"/>
      <c r="N2354" s="543"/>
      <c r="Q2354" s="158"/>
      <c r="R2354" s="563"/>
      <c r="S2354" s="563"/>
    </row>
    <row r="2355" spans="13:19" x14ac:dyDescent="0.35">
      <c r="M2355" s="555"/>
      <c r="N2355" s="543"/>
      <c r="Q2355" s="158"/>
      <c r="R2355" s="563"/>
      <c r="S2355" s="563"/>
    </row>
    <row r="2356" spans="13:19" x14ac:dyDescent="0.35">
      <c r="M2356" s="555"/>
      <c r="N2356" s="543"/>
      <c r="Q2356" s="158"/>
      <c r="R2356" s="563"/>
      <c r="S2356" s="563"/>
    </row>
    <row r="2357" spans="13:19" x14ac:dyDescent="0.35">
      <c r="M2357" s="555"/>
      <c r="N2357" s="543"/>
      <c r="Q2357" s="158"/>
      <c r="R2357" s="563"/>
      <c r="S2357" s="563"/>
    </row>
    <row r="2358" spans="13:19" x14ac:dyDescent="0.35">
      <c r="M2358" s="555"/>
      <c r="N2358" s="543"/>
      <c r="Q2358" s="158"/>
      <c r="R2358" s="563"/>
      <c r="S2358" s="563"/>
    </row>
    <row r="2359" spans="13:19" x14ac:dyDescent="0.35">
      <c r="M2359" s="526"/>
      <c r="N2359" s="524"/>
      <c r="Q2359"/>
      <c r="R2359" s="525"/>
      <c r="S2359" s="525"/>
    </row>
    <row r="2360" spans="13:19" x14ac:dyDescent="0.35">
      <c r="M2360" s="526"/>
      <c r="N2360" s="524"/>
      <c r="Q2360"/>
      <c r="R2360" s="525"/>
      <c r="S2360" s="525"/>
    </row>
    <row r="2361" spans="13:19" x14ac:dyDescent="0.35">
      <c r="M2361" s="555"/>
      <c r="N2361" s="543"/>
      <c r="Q2361" s="158"/>
      <c r="R2361" s="563"/>
      <c r="S2361" s="563"/>
    </row>
    <row r="2362" spans="13:19" x14ac:dyDescent="0.35">
      <c r="M2362" s="555"/>
      <c r="N2362" s="543"/>
      <c r="Q2362" s="158"/>
      <c r="R2362" s="563"/>
      <c r="S2362" s="563"/>
    </row>
    <row r="2363" spans="13:19" x14ac:dyDescent="0.35">
      <c r="M2363" s="555"/>
      <c r="N2363" s="543"/>
      <c r="Q2363" s="158"/>
      <c r="R2363" s="563"/>
      <c r="S2363" s="563"/>
    </row>
    <row r="2364" spans="13:19" x14ac:dyDescent="0.35">
      <c r="M2364" s="555"/>
      <c r="N2364" s="543"/>
      <c r="Q2364" s="158"/>
      <c r="R2364" s="563"/>
      <c r="S2364" s="563"/>
    </row>
    <row r="2365" spans="13:19" x14ac:dyDescent="0.35">
      <c r="M2365" s="555"/>
      <c r="N2365" s="543"/>
      <c r="Q2365" s="158"/>
      <c r="R2365" s="563"/>
      <c r="S2365" s="563"/>
    </row>
    <row r="2366" spans="13:19" x14ac:dyDescent="0.35">
      <c r="M2366" s="555"/>
      <c r="N2366" s="543"/>
      <c r="Q2366" s="158"/>
      <c r="R2366" s="563"/>
      <c r="S2366" s="563"/>
    </row>
    <row r="2367" spans="13:19" x14ac:dyDescent="0.35">
      <c r="M2367" s="555"/>
      <c r="N2367" s="543"/>
      <c r="Q2367" s="158"/>
      <c r="R2367" s="563"/>
      <c r="S2367" s="563"/>
    </row>
    <row r="2368" spans="13:19" x14ac:dyDescent="0.35">
      <c r="M2368" s="555"/>
      <c r="N2368" s="543"/>
      <c r="Q2368" s="158"/>
      <c r="R2368" s="563"/>
      <c r="S2368" s="563"/>
    </row>
    <row r="2369" spans="13:19" x14ac:dyDescent="0.35">
      <c r="M2369" s="555"/>
      <c r="N2369" s="543"/>
      <c r="Q2369" s="158"/>
      <c r="R2369" s="563"/>
      <c r="S2369" s="563"/>
    </row>
    <row r="2370" spans="13:19" x14ac:dyDescent="0.35">
      <c r="M2370" s="555"/>
      <c r="N2370" s="543"/>
      <c r="Q2370" s="158"/>
      <c r="R2370" s="563"/>
      <c r="S2370" s="563"/>
    </row>
    <row r="2371" spans="13:19" x14ac:dyDescent="0.35">
      <c r="M2371" s="555"/>
      <c r="N2371" s="543"/>
      <c r="Q2371" s="158"/>
      <c r="R2371" s="563"/>
      <c r="S2371" s="563"/>
    </row>
    <row r="2372" spans="13:19" x14ac:dyDescent="0.35">
      <c r="M2372" s="555"/>
      <c r="N2372" s="543"/>
      <c r="Q2372" s="158"/>
      <c r="R2372" s="563"/>
      <c r="S2372" s="563"/>
    </row>
    <row r="2373" spans="13:19" x14ac:dyDescent="0.35">
      <c r="M2373" s="555"/>
      <c r="N2373" s="543"/>
      <c r="Q2373" s="158"/>
      <c r="R2373" s="563"/>
      <c r="S2373" s="563"/>
    </row>
    <row r="2374" spans="13:19" x14ac:dyDescent="0.35">
      <c r="M2374" s="555"/>
      <c r="N2374" s="543"/>
      <c r="Q2374" s="158"/>
      <c r="R2374" s="563"/>
      <c r="S2374" s="563"/>
    </row>
    <row r="2375" spans="13:19" x14ac:dyDescent="0.35">
      <c r="M2375" s="555"/>
      <c r="N2375" s="543"/>
      <c r="Q2375" s="158"/>
      <c r="R2375" s="563"/>
      <c r="S2375" s="563"/>
    </row>
    <row r="2376" spans="13:19" x14ac:dyDescent="0.35">
      <c r="M2376" s="555"/>
      <c r="N2376" s="543"/>
      <c r="Q2376" s="158"/>
      <c r="R2376" s="563"/>
      <c r="S2376" s="563"/>
    </row>
    <row r="2377" spans="13:19" x14ac:dyDescent="0.35">
      <c r="M2377" s="555"/>
      <c r="N2377" s="543"/>
      <c r="Q2377" s="158"/>
      <c r="R2377" s="563"/>
      <c r="S2377" s="563"/>
    </row>
    <row r="2378" spans="13:19" x14ac:dyDescent="0.35">
      <c r="M2378" s="555"/>
      <c r="N2378" s="543"/>
      <c r="Q2378" s="158"/>
      <c r="R2378" s="563"/>
      <c r="S2378" s="563"/>
    </row>
    <row r="2379" spans="13:19" x14ac:dyDescent="0.35">
      <c r="M2379" s="555"/>
      <c r="N2379" s="543"/>
      <c r="Q2379" s="158"/>
      <c r="R2379" s="563"/>
      <c r="S2379" s="563"/>
    </row>
    <row r="2380" spans="13:19" x14ac:dyDescent="0.35">
      <c r="M2380" s="555"/>
      <c r="N2380" s="543"/>
      <c r="Q2380" s="158"/>
      <c r="R2380" s="563"/>
      <c r="S2380" s="563"/>
    </row>
    <row r="2381" spans="13:19" x14ac:dyDescent="0.35">
      <c r="M2381" s="555"/>
      <c r="N2381" s="543"/>
      <c r="Q2381" s="158"/>
      <c r="R2381" s="563"/>
      <c r="S2381" s="563"/>
    </row>
    <row r="2382" spans="13:19" x14ac:dyDescent="0.35">
      <c r="M2382" s="555"/>
      <c r="N2382" s="543"/>
      <c r="Q2382" s="158"/>
      <c r="R2382" s="563"/>
      <c r="S2382" s="563"/>
    </row>
    <row r="2383" spans="13:19" x14ac:dyDescent="0.35">
      <c r="M2383" s="555"/>
      <c r="N2383" s="543"/>
      <c r="Q2383" s="158"/>
      <c r="R2383" s="563"/>
      <c r="S2383" s="563"/>
    </row>
    <row r="2384" spans="13:19" x14ac:dyDescent="0.35">
      <c r="M2384" s="555"/>
      <c r="N2384" s="543"/>
      <c r="Q2384" s="158"/>
      <c r="R2384" s="563"/>
      <c r="S2384" s="563"/>
    </row>
    <row r="2385" spans="13:19" x14ac:dyDescent="0.35">
      <c r="M2385" s="555"/>
      <c r="N2385" s="543"/>
      <c r="Q2385" s="158"/>
      <c r="R2385" s="563"/>
      <c r="S2385" s="563"/>
    </row>
    <row r="2386" spans="13:19" x14ac:dyDescent="0.35">
      <c r="M2386" s="555"/>
      <c r="N2386" s="543"/>
      <c r="Q2386" s="158"/>
      <c r="R2386" s="563"/>
      <c r="S2386" s="563"/>
    </row>
    <row r="2387" spans="13:19" x14ac:dyDescent="0.35">
      <c r="M2387" s="555"/>
      <c r="N2387" s="543"/>
      <c r="Q2387" s="158"/>
      <c r="R2387" s="563"/>
      <c r="S2387" s="563"/>
    </row>
    <row r="2388" spans="13:19" x14ac:dyDescent="0.35">
      <c r="M2388" s="555"/>
      <c r="N2388" s="543"/>
      <c r="Q2388" s="158"/>
      <c r="R2388" s="563"/>
      <c r="S2388" s="563"/>
    </row>
    <row r="2389" spans="13:19" x14ac:dyDescent="0.35">
      <c r="M2389" s="555"/>
      <c r="N2389" s="543"/>
      <c r="Q2389" s="158"/>
      <c r="R2389" s="563"/>
      <c r="S2389" s="563"/>
    </row>
    <row r="2390" spans="13:19" x14ac:dyDescent="0.35">
      <c r="M2390" s="555"/>
      <c r="N2390" s="543"/>
      <c r="Q2390" s="158"/>
      <c r="R2390" s="563"/>
      <c r="S2390" s="563"/>
    </row>
    <row r="2391" spans="13:19" x14ac:dyDescent="0.35">
      <c r="M2391" s="555"/>
      <c r="N2391" s="543"/>
      <c r="Q2391" s="158"/>
      <c r="R2391" s="563"/>
      <c r="S2391" s="563"/>
    </row>
    <row r="2392" spans="13:19" x14ac:dyDescent="0.35">
      <c r="M2392" s="555"/>
      <c r="N2392" s="543"/>
      <c r="Q2392" s="158"/>
      <c r="R2392" s="563"/>
      <c r="S2392" s="563"/>
    </row>
    <row r="2393" spans="13:19" x14ac:dyDescent="0.35">
      <c r="M2393" s="555"/>
      <c r="N2393" s="543"/>
      <c r="Q2393" s="158"/>
      <c r="R2393" s="563"/>
      <c r="S2393" s="563"/>
    </row>
    <row r="2394" spans="13:19" x14ac:dyDescent="0.35">
      <c r="M2394" s="555"/>
      <c r="N2394" s="543"/>
      <c r="Q2394" s="158"/>
      <c r="R2394" s="563"/>
      <c r="S2394" s="563"/>
    </row>
    <row r="2395" spans="13:19" x14ac:dyDescent="0.35">
      <c r="M2395" s="555"/>
      <c r="N2395" s="543"/>
      <c r="Q2395" s="158"/>
      <c r="R2395" s="563"/>
      <c r="S2395" s="563"/>
    </row>
    <row r="2396" spans="13:19" x14ac:dyDescent="0.35">
      <c r="M2396" s="555"/>
      <c r="N2396" s="543"/>
      <c r="Q2396" s="158"/>
      <c r="R2396" s="563"/>
      <c r="S2396" s="563"/>
    </row>
    <row r="2397" spans="13:19" x14ac:dyDescent="0.35">
      <c r="M2397" s="555"/>
      <c r="N2397" s="543"/>
      <c r="Q2397" s="158"/>
      <c r="R2397" s="563"/>
      <c r="S2397" s="563"/>
    </row>
    <row r="2398" spans="13:19" x14ac:dyDescent="0.35">
      <c r="M2398" s="555"/>
      <c r="N2398" s="543"/>
      <c r="Q2398" s="158"/>
      <c r="R2398" s="563"/>
      <c r="S2398" s="563"/>
    </row>
    <row r="2399" spans="13:19" x14ac:dyDescent="0.35">
      <c r="M2399" s="555"/>
      <c r="N2399" s="543"/>
      <c r="Q2399" s="158"/>
      <c r="R2399" s="563"/>
      <c r="S2399" s="563"/>
    </row>
    <row r="2400" spans="13:19" x14ac:dyDescent="0.35">
      <c r="M2400" s="555"/>
      <c r="N2400" s="543"/>
      <c r="Q2400" s="158"/>
      <c r="R2400" s="563"/>
      <c r="S2400" s="563"/>
    </row>
    <row r="2401" spans="13:19" x14ac:dyDescent="0.35">
      <c r="M2401" s="555"/>
      <c r="N2401" s="543"/>
      <c r="Q2401" s="158"/>
      <c r="R2401" s="563"/>
      <c r="S2401" s="563"/>
    </row>
    <row r="2402" spans="13:19" x14ac:dyDescent="0.35">
      <c r="M2402" s="555"/>
      <c r="N2402" s="543"/>
      <c r="Q2402" s="158"/>
      <c r="R2402" s="563"/>
      <c r="S2402" s="563"/>
    </row>
    <row r="2403" spans="13:19" x14ac:dyDescent="0.35">
      <c r="M2403" s="555"/>
      <c r="N2403" s="543"/>
      <c r="Q2403" s="158"/>
      <c r="R2403" s="563"/>
      <c r="S2403" s="563"/>
    </row>
    <row r="2404" spans="13:19" x14ac:dyDescent="0.35">
      <c r="M2404" s="555"/>
      <c r="N2404" s="543"/>
      <c r="Q2404" s="158"/>
      <c r="R2404" s="563"/>
      <c r="S2404" s="563"/>
    </row>
    <row r="2405" spans="13:19" x14ac:dyDescent="0.35">
      <c r="M2405" s="555"/>
      <c r="N2405" s="543"/>
      <c r="Q2405" s="158"/>
      <c r="R2405" s="563"/>
      <c r="S2405" s="563"/>
    </row>
    <row r="2406" spans="13:19" x14ac:dyDescent="0.35">
      <c r="M2406" s="555"/>
      <c r="N2406" s="543"/>
      <c r="Q2406" s="158"/>
      <c r="R2406" s="563"/>
      <c r="S2406" s="563"/>
    </row>
    <row r="2407" spans="13:19" x14ac:dyDescent="0.35">
      <c r="M2407" s="555"/>
      <c r="N2407" s="543"/>
      <c r="Q2407" s="158"/>
      <c r="R2407" s="563"/>
      <c r="S2407" s="563"/>
    </row>
    <row r="2408" spans="13:19" x14ac:dyDescent="0.35">
      <c r="M2408" s="526"/>
      <c r="N2408" s="524"/>
      <c r="Q2408"/>
      <c r="R2408" s="525"/>
      <c r="S2408" s="525"/>
    </row>
    <row r="2409" spans="13:19" x14ac:dyDescent="0.35">
      <c r="M2409" s="526"/>
      <c r="N2409" s="524"/>
      <c r="Q2409"/>
      <c r="R2409" s="525"/>
      <c r="S2409" s="525"/>
    </row>
    <row r="2410" spans="13:19" x14ac:dyDescent="0.35">
      <c r="M2410" s="526"/>
      <c r="N2410" s="524"/>
      <c r="Q2410"/>
      <c r="R2410" s="525"/>
      <c r="S2410" s="525"/>
    </row>
    <row r="2411" spans="13:19" x14ac:dyDescent="0.35">
      <c r="M2411" s="526"/>
      <c r="N2411" s="524"/>
      <c r="Q2411"/>
      <c r="R2411" s="525"/>
      <c r="S2411" s="525"/>
    </row>
    <row r="2412" spans="13:19" x14ac:dyDescent="0.35">
      <c r="M2412" s="555"/>
      <c r="N2412" s="543"/>
      <c r="Q2412" s="158"/>
      <c r="R2412" s="563"/>
      <c r="S2412" s="563"/>
    </row>
    <row r="2413" spans="13:19" x14ac:dyDescent="0.35">
      <c r="M2413" s="555"/>
      <c r="N2413" s="543"/>
      <c r="Q2413" s="158"/>
      <c r="R2413" s="563"/>
      <c r="S2413" s="563"/>
    </row>
    <row r="2414" spans="13:19" x14ac:dyDescent="0.35">
      <c r="M2414" s="555"/>
      <c r="N2414" s="543"/>
      <c r="Q2414" s="158"/>
      <c r="R2414" s="563"/>
      <c r="S2414" s="563"/>
    </row>
    <row r="2415" spans="13:19" x14ac:dyDescent="0.35">
      <c r="M2415" s="555"/>
      <c r="N2415" s="543"/>
      <c r="Q2415" s="158"/>
      <c r="R2415" s="563"/>
      <c r="S2415" s="563"/>
    </row>
    <row r="2416" spans="13:19" x14ac:dyDescent="0.35">
      <c r="M2416" s="555"/>
      <c r="N2416" s="543"/>
      <c r="Q2416" s="158"/>
      <c r="R2416" s="563"/>
      <c r="S2416" s="563"/>
    </row>
    <row r="2417" spans="13:19" x14ac:dyDescent="0.35">
      <c r="M2417" s="555"/>
      <c r="N2417" s="543"/>
      <c r="Q2417" s="158"/>
      <c r="R2417" s="563"/>
      <c r="S2417" s="563"/>
    </row>
    <row r="2418" spans="13:19" x14ac:dyDescent="0.35">
      <c r="M2418" s="555"/>
      <c r="N2418" s="543"/>
      <c r="Q2418" s="158"/>
      <c r="R2418" s="563"/>
      <c r="S2418" s="563"/>
    </row>
    <row r="2419" spans="13:19" x14ac:dyDescent="0.35">
      <c r="M2419" s="555"/>
      <c r="N2419" s="543"/>
      <c r="Q2419" s="158"/>
      <c r="R2419" s="563"/>
      <c r="S2419" s="563"/>
    </row>
    <row r="2420" spans="13:19" x14ac:dyDescent="0.35">
      <c r="M2420" s="555"/>
      <c r="N2420" s="543"/>
      <c r="Q2420" s="158"/>
      <c r="R2420" s="563"/>
      <c r="S2420" s="563"/>
    </row>
    <row r="2421" spans="13:19" x14ac:dyDescent="0.35">
      <c r="M2421" s="555"/>
      <c r="N2421" s="543"/>
      <c r="Q2421" s="158"/>
      <c r="R2421" s="563"/>
      <c r="S2421" s="563"/>
    </row>
    <row r="2422" spans="13:19" x14ac:dyDescent="0.35">
      <c r="M2422" s="555"/>
      <c r="N2422" s="543"/>
      <c r="Q2422" s="158"/>
      <c r="R2422" s="563"/>
      <c r="S2422" s="563"/>
    </row>
    <row r="2423" spans="13:19" x14ac:dyDescent="0.35">
      <c r="M2423" s="555"/>
      <c r="N2423" s="543"/>
      <c r="Q2423" s="158"/>
      <c r="R2423" s="563"/>
      <c r="S2423" s="563"/>
    </row>
    <row r="2424" spans="13:19" x14ac:dyDescent="0.35">
      <c r="M2424" s="555"/>
      <c r="N2424" s="543"/>
      <c r="Q2424" s="158"/>
      <c r="R2424" s="563"/>
      <c r="S2424" s="563"/>
    </row>
    <row r="2425" spans="13:19" x14ac:dyDescent="0.35">
      <c r="M2425" s="555"/>
      <c r="N2425" s="543"/>
      <c r="Q2425" s="158"/>
      <c r="R2425" s="563"/>
      <c r="S2425" s="563"/>
    </row>
    <row r="2426" spans="13:19" x14ac:dyDescent="0.35">
      <c r="M2426" s="555"/>
      <c r="N2426" s="543"/>
      <c r="Q2426" s="158"/>
      <c r="R2426" s="563"/>
      <c r="S2426" s="563"/>
    </row>
    <row r="2427" spans="13:19" x14ac:dyDescent="0.35">
      <c r="M2427" s="555"/>
      <c r="N2427" s="543"/>
      <c r="Q2427" s="158"/>
      <c r="R2427" s="563"/>
      <c r="S2427" s="563"/>
    </row>
    <row r="2428" spans="13:19" x14ac:dyDescent="0.35">
      <c r="M2428" s="555"/>
      <c r="N2428" s="543"/>
      <c r="Q2428" s="158"/>
      <c r="R2428" s="563"/>
      <c r="S2428" s="563"/>
    </row>
    <row r="2429" spans="13:19" x14ac:dyDescent="0.35">
      <c r="M2429" s="555"/>
      <c r="N2429" s="543"/>
      <c r="Q2429" s="158"/>
      <c r="R2429" s="563"/>
      <c r="S2429" s="563"/>
    </row>
    <row r="2430" spans="13:19" x14ac:dyDescent="0.35">
      <c r="M2430" s="555"/>
      <c r="N2430" s="543"/>
      <c r="Q2430" s="158"/>
      <c r="R2430" s="563"/>
      <c r="S2430" s="563"/>
    </row>
    <row r="2431" spans="13:19" x14ac:dyDescent="0.35">
      <c r="M2431" s="555"/>
      <c r="N2431" s="543"/>
      <c r="Q2431" s="158"/>
      <c r="R2431" s="563"/>
      <c r="S2431" s="563"/>
    </row>
    <row r="2432" spans="13:19" x14ac:dyDescent="0.35">
      <c r="M2432" s="526"/>
      <c r="N2432" s="524"/>
      <c r="Q2432"/>
      <c r="R2432" s="525"/>
      <c r="S2432" s="525"/>
    </row>
    <row r="2433" spans="13:19" x14ac:dyDescent="0.35">
      <c r="M2433" s="526"/>
      <c r="N2433" s="524"/>
      <c r="Q2433"/>
      <c r="R2433" s="525"/>
      <c r="S2433" s="525"/>
    </row>
    <row r="2434" spans="13:19" x14ac:dyDescent="0.35">
      <c r="M2434" s="555"/>
      <c r="N2434" s="543"/>
      <c r="Q2434" s="158"/>
      <c r="R2434" s="563"/>
      <c r="S2434" s="563"/>
    </row>
    <row r="2435" spans="13:19" x14ac:dyDescent="0.35">
      <c r="M2435" s="555"/>
      <c r="N2435" s="543"/>
      <c r="Q2435" s="158"/>
      <c r="R2435" s="563"/>
      <c r="S2435" s="563"/>
    </row>
    <row r="2436" spans="13:19" x14ac:dyDescent="0.35">
      <c r="M2436" s="555"/>
      <c r="N2436" s="543"/>
      <c r="Q2436" s="158"/>
      <c r="R2436" s="563"/>
      <c r="S2436" s="563"/>
    </row>
    <row r="2437" spans="13:19" x14ac:dyDescent="0.35">
      <c r="M2437" s="526"/>
      <c r="N2437" s="524"/>
      <c r="Q2437"/>
      <c r="R2437" s="525"/>
      <c r="S2437" s="525"/>
    </row>
    <row r="2438" spans="13:19" x14ac:dyDescent="0.35">
      <c r="M2438" s="526"/>
      <c r="N2438" s="524"/>
      <c r="Q2438"/>
      <c r="R2438" s="525"/>
      <c r="S2438" s="525"/>
    </row>
    <row r="2439" spans="13:19" x14ac:dyDescent="0.35">
      <c r="M2439" s="555"/>
      <c r="N2439" s="543"/>
      <c r="Q2439" s="158"/>
      <c r="R2439" s="563"/>
      <c r="S2439" s="563"/>
    </row>
    <row r="2440" spans="13:19" x14ac:dyDescent="0.35">
      <c r="M2440" s="555"/>
      <c r="N2440" s="543"/>
      <c r="Q2440" s="158"/>
      <c r="R2440" s="563"/>
      <c r="S2440" s="563"/>
    </row>
    <row r="2441" spans="13:19" x14ac:dyDescent="0.35">
      <c r="M2441" s="555"/>
      <c r="N2441" s="543"/>
      <c r="Q2441" s="158"/>
      <c r="R2441" s="563"/>
      <c r="S2441" s="563"/>
    </row>
    <row r="2442" spans="13:19" x14ac:dyDescent="0.35">
      <c r="M2442" s="555"/>
      <c r="N2442" s="543"/>
      <c r="Q2442" s="158"/>
      <c r="R2442" s="563"/>
      <c r="S2442" s="563"/>
    </row>
    <row r="2443" spans="13:19" x14ac:dyDescent="0.35">
      <c r="M2443" s="555"/>
      <c r="N2443" s="543"/>
      <c r="Q2443" s="158"/>
      <c r="R2443" s="563"/>
      <c r="S2443" s="563"/>
    </row>
    <row r="2444" spans="13:19" x14ac:dyDescent="0.35">
      <c r="M2444" s="555"/>
      <c r="N2444" s="543"/>
      <c r="Q2444" s="158"/>
      <c r="R2444" s="563"/>
      <c r="S2444" s="563"/>
    </row>
    <row r="2445" spans="13:19" x14ac:dyDescent="0.35">
      <c r="M2445" s="555"/>
      <c r="N2445" s="543"/>
      <c r="Q2445" s="158"/>
      <c r="R2445" s="563"/>
      <c r="S2445" s="563"/>
    </row>
    <row r="2446" spans="13:19" x14ac:dyDescent="0.35">
      <c r="M2446" s="555"/>
      <c r="N2446" s="543"/>
      <c r="Q2446" s="158"/>
      <c r="R2446" s="563"/>
      <c r="S2446" s="563"/>
    </row>
    <row r="2447" spans="13:19" x14ac:dyDescent="0.35">
      <c r="M2447" s="526"/>
      <c r="N2447" s="524"/>
      <c r="Q2447"/>
      <c r="R2447" s="525"/>
      <c r="S2447" s="525"/>
    </row>
    <row r="2448" spans="13:19" x14ac:dyDescent="0.35">
      <c r="M2448" s="526"/>
      <c r="N2448" s="524"/>
      <c r="Q2448"/>
      <c r="R2448" s="525"/>
      <c r="S2448" s="525"/>
    </row>
    <row r="2449" spans="13:19" x14ac:dyDescent="0.35">
      <c r="M2449" s="555"/>
      <c r="N2449" s="543"/>
      <c r="Q2449" s="158"/>
      <c r="R2449" s="563"/>
      <c r="S2449" s="563"/>
    </row>
    <row r="2450" spans="13:19" x14ac:dyDescent="0.35">
      <c r="M2450" s="526"/>
      <c r="N2450" s="524"/>
      <c r="Q2450"/>
      <c r="R2450" s="525"/>
      <c r="S2450" s="525"/>
    </row>
    <row r="2451" spans="13:19" x14ac:dyDescent="0.35">
      <c r="M2451" s="526"/>
      <c r="N2451" s="524"/>
      <c r="Q2451"/>
      <c r="R2451" s="525"/>
      <c r="S2451" s="525"/>
    </row>
    <row r="2452" spans="13:19" x14ac:dyDescent="0.35">
      <c r="M2452" s="555"/>
      <c r="N2452" s="543"/>
      <c r="Q2452" s="158"/>
      <c r="R2452" s="563"/>
      <c r="S2452" s="563"/>
    </row>
    <row r="2453" spans="13:19" x14ac:dyDescent="0.35">
      <c r="M2453" s="555"/>
      <c r="N2453" s="543"/>
      <c r="Q2453" s="158"/>
      <c r="R2453" s="563"/>
      <c r="S2453" s="563"/>
    </row>
    <row r="2454" spans="13:19" x14ac:dyDescent="0.35">
      <c r="M2454" s="555"/>
      <c r="N2454" s="543"/>
      <c r="Q2454" s="158"/>
      <c r="R2454" s="563"/>
      <c r="S2454" s="563"/>
    </row>
    <row r="2455" spans="13:19" x14ac:dyDescent="0.35">
      <c r="M2455" s="555"/>
      <c r="N2455" s="543"/>
      <c r="Q2455" s="158"/>
      <c r="R2455" s="563"/>
      <c r="S2455" s="563"/>
    </row>
    <row r="2456" spans="13:19" x14ac:dyDescent="0.35">
      <c r="M2456" s="555"/>
      <c r="N2456" s="543"/>
      <c r="Q2456" s="158"/>
      <c r="R2456" s="563"/>
      <c r="S2456" s="563"/>
    </row>
    <row r="2457" spans="13:19" x14ac:dyDescent="0.35">
      <c r="M2457" s="555"/>
      <c r="N2457" s="543"/>
      <c r="Q2457" s="158"/>
      <c r="R2457" s="563"/>
      <c r="S2457" s="563"/>
    </row>
    <row r="2458" spans="13:19" x14ac:dyDescent="0.35">
      <c r="M2458" s="555"/>
      <c r="N2458" s="543"/>
      <c r="Q2458" s="158"/>
      <c r="R2458" s="563"/>
      <c r="S2458" s="563"/>
    </row>
    <row r="2459" spans="13:19" x14ac:dyDescent="0.35">
      <c r="M2459" s="555"/>
      <c r="N2459" s="543"/>
      <c r="Q2459" s="158"/>
      <c r="R2459" s="563"/>
      <c r="S2459" s="563"/>
    </row>
    <row r="2460" spans="13:19" x14ac:dyDescent="0.35">
      <c r="M2460" s="555"/>
      <c r="N2460" s="543"/>
      <c r="Q2460" s="158"/>
      <c r="R2460" s="563"/>
      <c r="S2460" s="563"/>
    </row>
    <row r="2461" spans="13:19" x14ac:dyDescent="0.35">
      <c r="M2461" s="555"/>
      <c r="N2461" s="543"/>
      <c r="Q2461" s="158"/>
      <c r="R2461" s="563"/>
      <c r="S2461" s="563"/>
    </row>
    <row r="2462" spans="13:19" x14ac:dyDescent="0.35">
      <c r="M2462" s="555"/>
      <c r="N2462" s="543"/>
      <c r="Q2462" s="158"/>
      <c r="R2462" s="563"/>
      <c r="S2462" s="563"/>
    </row>
    <row r="2463" spans="13:19" x14ac:dyDescent="0.35">
      <c r="M2463" s="555"/>
      <c r="N2463" s="543"/>
      <c r="Q2463" s="158"/>
      <c r="R2463" s="563"/>
      <c r="S2463" s="563"/>
    </row>
    <row r="2464" spans="13:19" x14ac:dyDescent="0.35">
      <c r="M2464" s="555"/>
      <c r="N2464" s="543"/>
      <c r="Q2464" s="158"/>
      <c r="R2464" s="563"/>
      <c r="S2464" s="563"/>
    </row>
    <row r="2465" spans="13:19" x14ac:dyDescent="0.35">
      <c r="M2465" s="555"/>
      <c r="N2465" s="543"/>
      <c r="Q2465" s="158"/>
      <c r="R2465" s="563"/>
      <c r="S2465" s="563"/>
    </row>
    <row r="2466" spans="13:19" x14ac:dyDescent="0.35">
      <c r="M2466" s="555"/>
      <c r="N2466" s="543"/>
      <c r="Q2466" s="158"/>
      <c r="R2466" s="563"/>
      <c r="S2466" s="563"/>
    </row>
    <row r="2467" spans="13:19" x14ac:dyDescent="0.35">
      <c r="M2467" s="555"/>
      <c r="N2467" s="543"/>
      <c r="Q2467" s="158"/>
      <c r="R2467" s="563"/>
      <c r="S2467" s="563"/>
    </row>
    <row r="2468" spans="13:19" x14ac:dyDescent="0.35">
      <c r="M2468" s="555"/>
      <c r="N2468" s="543"/>
      <c r="Q2468" s="158"/>
      <c r="R2468" s="563"/>
      <c r="S2468" s="563"/>
    </row>
    <row r="2469" spans="13:19" x14ac:dyDescent="0.35">
      <c r="M2469" s="555"/>
      <c r="N2469" s="543"/>
      <c r="Q2469" s="158"/>
      <c r="R2469" s="563"/>
      <c r="S2469" s="563"/>
    </row>
    <row r="2470" spans="13:19" x14ac:dyDescent="0.35">
      <c r="M2470" s="555"/>
      <c r="N2470" s="543"/>
      <c r="Q2470" s="158"/>
      <c r="R2470" s="563"/>
      <c r="S2470" s="563"/>
    </row>
    <row r="2471" spans="13:19" x14ac:dyDescent="0.35">
      <c r="M2471" s="555"/>
      <c r="N2471" s="543"/>
      <c r="Q2471" s="158"/>
      <c r="R2471" s="563"/>
      <c r="S2471" s="563"/>
    </row>
    <row r="2472" spans="13:19" x14ac:dyDescent="0.35">
      <c r="M2472" s="555"/>
      <c r="N2472" s="543"/>
      <c r="Q2472" s="158"/>
      <c r="R2472" s="563"/>
      <c r="S2472" s="563"/>
    </row>
    <row r="2473" spans="13:19" x14ac:dyDescent="0.35">
      <c r="M2473" s="555"/>
      <c r="N2473" s="543"/>
      <c r="Q2473" s="158"/>
      <c r="R2473" s="563"/>
      <c r="S2473" s="563"/>
    </row>
    <row r="2474" spans="13:19" x14ac:dyDescent="0.35">
      <c r="M2474" s="555"/>
      <c r="N2474" s="543"/>
      <c r="Q2474" s="158"/>
      <c r="R2474" s="563"/>
      <c r="S2474" s="563"/>
    </row>
    <row r="2475" spans="13:19" x14ac:dyDescent="0.35">
      <c r="M2475" s="555"/>
      <c r="N2475" s="543"/>
      <c r="Q2475" s="158"/>
      <c r="R2475" s="563"/>
      <c r="S2475" s="563"/>
    </row>
    <row r="2476" spans="13:19" x14ac:dyDescent="0.35">
      <c r="M2476" s="555"/>
      <c r="N2476" s="543"/>
      <c r="Q2476" s="158"/>
      <c r="R2476" s="563"/>
      <c r="S2476" s="563"/>
    </row>
    <row r="2477" spans="13:19" x14ac:dyDescent="0.35">
      <c r="M2477" s="555"/>
      <c r="N2477" s="543"/>
      <c r="Q2477" s="158"/>
      <c r="R2477" s="563"/>
      <c r="S2477" s="563"/>
    </row>
    <row r="2478" spans="13:19" x14ac:dyDescent="0.35">
      <c r="M2478" s="555"/>
      <c r="N2478" s="543"/>
      <c r="Q2478" s="158"/>
      <c r="R2478" s="563"/>
      <c r="S2478" s="563"/>
    </row>
    <row r="2479" spans="13:19" x14ac:dyDescent="0.35">
      <c r="M2479" s="555"/>
      <c r="N2479" s="543"/>
      <c r="Q2479" s="158"/>
      <c r="R2479" s="563"/>
      <c r="S2479" s="563"/>
    </row>
    <row r="2480" spans="13:19" x14ac:dyDescent="0.35">
      <c r="M2480" s="555"/>
      <c r="N2480" s="543"/>
      <c r="Q2480" s="158"/>
      <c r="R2480" s="563"/>
      <c r="S2480" s="563"/>
    </row>
    <row r="2481" spans="13:19" x14ac:dyDescent="0.35">
      <c r="M2481" s="555"/>
      <c r="N2481" s="543"/>
      <c r="Q2481" s="158"/>
      <c r="R2481" s="563"/>
      <c r="S2481" s="563"/>
    </row>
    <row r="2482" spans="13:19" x14ac:dyDescent="0.35">
      <c r="M2482" s="555"/>
      <c r="N2482" s="543"/>
      <c r="Q2482" s="158"/>
      <c r="R2482" s="563"/>
      <c r="S2482" s="563"/>
    </row>
    <row r="2483" spans="13:19" x14ac:dyDescent="0.35">
      <c r="M2483" s="555"/>
      <c r="N2483" s="543"/>
      <c r="Q2483" s="158"/>
      <c r="R2483" s="563"/>
      <c r="S2483" s="563"/>
    </row>
    <row r="2484" spans="13:19" x14ac:dyDescent="0.35">
      <c r="M2484" s="555"/>
      <c r="N2484" s="543"/>
      <c r="Q2484" s="158"/>
      <c r="R2484" s="563"/>
      <c r="S2484" s="563"/>
    </row>
    <row r="2485" spans="13:19" x14ac:dyDescent="0.35">
      <c r="M2485" s="555"/>
      <c r="N2485" s="543"/>
      <c r="Q2485" s="158"/>
      <c r="R2485" s="563"/>
      <c r="S2485" s="563"/>
    </row>
    <row r="2486" spans="13:19" x14ac:dyDescent="0.35">
      <c r="M2486" s="555"/>
      <c r="N2486" s="543"/>
      <c r="Q2486" s="158"/>
      <c r="R2486" s="563"/>
      <c r="S2486" s="563"/>
    </row>
    <row r="2487" spans="13:19" x14ac:dyDescent="0.35">
      <c r="M2487" s="555"/>
      <c r="N2487" s="543"/>
      <c r="Q2487" s="158"/>
      <c r="R2487" s="563"/>
      <c r="S2487" s="563"/>
    </row>
    <row r="2488" spans="13:19" x14ac:dyDescent="0.35">
      <c r="M2488" s="555"/>
      <c r="N2488" s="543"/>
      <c r="Q2488" s="158"/>
      <c r="R2488" s="563"/>
      <c r="S2488" s="563"/>
    </row>
    <row r="2489" spans="13:19" x14ac:dyDescent="0.35">
      <c r="M2489" s="555"/>
      <c r="N2489" s="543"/>
      <c r="Q2489" s="158"/>
      <c r="R2489" s="563"/>
      <c r="S2489" s="563"/>
    </row>
    <row r="2490" spans="13:19" x14ac:dyDescent="0.35">
      <c r="M2490" s="555"/>
      <c r="N2490" s="543"/>
      <c r="Q2490" s="158"/>
      <c r="R2490" s="563"/>
      <c r="S2490" s="563"/>
    </row>
    <row r="2491" spans="13:19" x14ac:dyDescent="0.35">
      <c r="M2491" s="555"/>
      <c r="N2491" s="543"/>
      <c r="Q2491" s="158"/>
      <c r="R2491" s="563"/>
      <c r="S2491" s="563"/>
    </row>
    <row r="2492" spans="13:19" x14ac:dyDescent="0.35">
      <c r="M2492" s="555"/>
      <c r="N2492" s="543"/>
      <c r="Q2492" s="158"/>
      <c r="R2492" s="563"/>
      <c r="S2492" s="563"/>
    </row>
    <row r="2493" spans="13:19" x14ac:dyDescent="0.35">
      <c r="M2493" s="555"/>
      <c r="N2493" s="543"/>
      <c r="Q2493" s="158"/>
      <c r="R2493" s="563"/>
      <c r="S2493" s="563"/>
    </row>
    <row r="2494" spans="13:19" x14ac:dyDescent="0.35">
      <c r="M2494" s="555"/>
      <c r="N2494" s="543"/>
      <c r="Q2494" s="158"/>
      <c r="R2494" s="563"/>
      <c r="S2494" s="563"/>
    </row>
    <row r="2495" spans="13:19" x14ac:dyDescent="0.35">
      <c r="M2495" s="555"/>
      <c r="N2495" s="543"/>
      <c r="Q2495" s="158"/>
      <c r="R2495" s="563"/>
      <c r="S2495" s="563"/>
    </row>
    <row r="2496" spans="13:19" x14ac:dyDescent="0.35">
      <c r="M2496" s="555"/>
      <c r="N2496" s="543"/>
      <c r="Q2496" s="158"/>
      <c r="R2496" s="563"/>
      <c r="S2496" s="563"/>
    </row>
  </sheetData>
  <autoFilter ref="M23:S2496" xr:uid="{6A41E1C0-B75A-4812-8F8C-24EA9F2CCFD2}"/>
  <mergeCells count="3">
    <mergeCell ref="A1:S1"/>
    <mergeCell ref="B23:G23"/>
    <mergeCell ref="A23:A30"/>
  </mergeCells>
  <dataValidations count="1">
    <dataValidation type="list" allowBlank="1" showInputMessage="1" showErrorMessage="1" sqref="B11" xr:uid="{9A091E10-3E56-4D30-9995-F3524AFAB9C3}">
      <formula1>L3:L5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Title</vt:lpstr>
      <vt:lpstr>Financials</vt:lpstr>
      <vt:lpstr>Assumptions_IS</vt:lpstr>
      <vt:lpstr>Assumptions_BS</vt:lpstr>
      <vt:lpstr>Fixed Asset and Loan Schedule</vt:lpstr>
      <vt:lpstr>Cash Flow Statement</vt:lpstr>
      <vt:lpstr>Macro Drivers</vt:lpstr>
      <vt:lpstr>Ratios (2)</vt:lpstr>
      <vt:lpstr>Valuation_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Kumar</dc:creator>
  <cp:lastModifiedBy>Aashish Kumar</cp:lastModifiedBy>
  <dcterms:created xsi:type="dcterms:W3CDTF">2015-06-05T18:17:20Z</dcterms:created>
  <dcterms:modified xsi:type="dcterms:W3CDTF">2025-01-15T21:11:56Z</dcterms:modified>
</cp:coreProperties>
</file>