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ASHISH\Documents\"/>
    </mc:Choice>
  </mc:AlternateContent>
  <xr:revisionPtr revIDLastSave="0" documentId="13_ncr:1_{E7F707C0-47C5-47D3-A6C6-8D8D85ABB17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5" sheetId="1" r:id="rId1"/>
    <sheet name="Sheet2" sheetId="2" r:id="rId2"/>
    <sheet name="Sheet3" sheetId="3" r:id="rId3"/>
    <sheet name="Sheet4" sheetId="4" r:id="rId4"/>
    <sheet name="Sheet1" sheetId="5" r:id="rId5"/>
    <sheet name="Sheet6" sheetId="6" r:id="rId6"/>
    <sheet name="Sheet7" sheetId="7" r:id="rId7"/>
    <sheet name="Sheet8" sheetId="8" r:id="rId8"/>
  </sheets>
  <definedNames>
    <definedName name="solver_adj" localSheetId="4" hidden="1">Sheet1!$D$18:$D$19</definedName>
    <definedName name="solver_adj" localSheetId="1" hidden="1">Sheet2!$G$37</definedName>
    <definedName name="solver_adj" localSheetId="3" hidden="1">Sheet4!$M$10</definedName>
    <definedName name="solver_cvg" localSheetId="4" hidden="1">0.0001</definedName>
    <definedName name="solver_cvg" localSheetId="1" hidden="1">0.0001</definedName>
    <definedName name="solver_cvg" localSheetId="3" hidden="1">0.0001</definedName>
    <definedName name="solver_drv" localSheetId="4" hidden="1">1</definedName>
    <definedName name="solver_drv" localSheetId="1" hidden="1">1</definedName>
    <definedName name="solver_drv" localSheetId="3" hidden="1">1</definedName>
    <definedName name="solver_eng" localSheetId="4" hidden="1">2</definedName>
    <definedName name="solver_eng" localSheetId="1" hidden="1">1</definedName>
    <definedName name="solver_eng" localSheetId="3" hidden="1">1</definedName>
    <definedName name="solver_est" localSheetId="4" hidden="1">1</definedName>
    <definedName name="solver_est" localSheetId="1" hidden="1">1</definedName>
    <definedName name="solver_est" localSheetId="3" hidden="1">1</definedName>
    <definedName name="solver_itr" localSheetId="4" hidden="1">2147483647</definedName>
    <definedName name="solver_itr" localSheetId="1" hidden="1">2147483647</definedName>
    <definedName name="solver_itr" localSheetId="3" hidden="1">2147483647</definedName>
    <definedName name="solver_lhs1" localSheetId="4" hidden="1">Sheet1!$B$16</definedName>
    <definedName name="solver_lhs2" localSheetId="4" hidden="1">Sheet1!$B$17</definedName>
    <definedName name="solver_mip" localSheetId="4" hidden="1">2147483647</definedName>
    <definedName name="solver_mip" localSheetId="1" hidden="1">2147483647</definedName>
    <definedName name="solver_mip" localSheetId="3" hidden="1">2147483647</definedName>
    <definedName name="solver_mni" localSheetId="4" hidden="1">30</definedName>
    <definedName name="solver_mni" localSheetId="1" hidden="1">30</definedName>
    <definedName name="solver_mni" localSheetId="3" hidden="1">30</definedName>
    <definedName name="solver_mrt" localSheetId="4" hidden="1">0.075</definedName>
    <definedName name="solver_mrt" localSheetId="1" hidden="1">0.075</definedName>
    <definedName name="solver_mrt" localSheetId="3" hidden="1">0.075</definedName>
    <definedName name="solver_msl" localSheetId="4" hidden="1">2</definedName>
    <definedName name="solver_msl" localSheetId="1" hidden="1">2</definedName>
    <definedName name="solver_msl" localSheetId="3" hidden="1">2</definedName>
    <definedName name="solver_neg" localSheetId="4" hidden="1">2</definedName>
    <definedName name="solver_neg" localSheetId="1" hidden="1">2</definedName>
    <definedName name="solver_neg" localSheetId="3" hidden="1">1</definedName>
    <definedName name="solver_nod" localSheetId="4" hidden="1">2147483647</definedName>
    <definedName name="solver_nod" localSheetId="1" hidden="1">2147483647</definedName>
    <definedName name="solver_nod" localSheetId="3" hidden="1">2147483647</definedName>
    <definedName name="solver_num" localSheetId="4" hidden="1">2</definedName>
    <definedName name="solver_num" localSheetId="1" hidden="1">0</definedName>
    <definedName name="solver_num" localSheetId="3" hidden="1">0</definedName>
    <definedName name="solver_nwt" localSheetId="4" hidden="1">1</definedName>
    <definedName name="solver_nwt" localSheetId="1" hidden="1">1</definedName>
    <definedName name="solver_nwt" localSheetId="3" hidden="1">1</definedName>
    <definedName name="solver_opt" localSheetId="4" hidden="1">Sheet1!$B$16</definedName>
    <definedName name="solver_opt" localSheetId="1" hidden="1">Sheet2!$K$37</definedName>
    <definedName name="solver_opt" localSheetId="3" hidden="1">Sheet4!$O$10</definedName>
    <definedName name="solver_pre" localSheetId="4" hidden="1">0.000001</definedName>
    <definedName name="solver_pre" localSheetId="1" hidden="1">0.000001</definedName>
    <definedName name="solver_pre" localSheetId="3" hidden="1">0.000001</definedName>
    <definedName name="solver_rbv" localSheetId="4" hidden="1">1</definedName>
    <definedName name="solver_rbv" localSheetId="1" hidden="1">1</definedName>
    <definedName name="solver_rbv" localSheetId="3" hidden="1">1</definedName>
    <definedName name="solver_rel1" localSheetId="4" hidden="1">2</definedName>
    <definedName name="solver_rel2" localSheetId="4" hidden="1">2</definedName>
    <definedName name="solver_rhs1" localSheetId="4" hidden="1">Sheet1!$C$16</definedName>
    <definedName name="solver_rhs2" localSheetId="4" hidden="1">Sheet1!$C$17</definedName>
    <definedName name="solver_rlx" localSheetId="4" hidden="1">2</definedName>
    <definedName name="solver_rlx" localSheetId="1" hidden="1">2</definedName>
    <definedName name="solver_rlx" localSheetId="3" hidden="1">2</definedName>
    <definedName name="solver_rsd" localSheetId="4" hidden="1">0</definedName>
    <definedName name="solver_rsd" localSheetId="1" hidden="1">0</definedName>
    <definedName name="solver_rsd" localSheetId="3" hidden="1">0</definedName>
    <definedName name="solver_scl" localSheetId="4" hidden="1">1</definedName>
    <definedName name="solver_scl" localSheetId="1" hidden="1">1</definedName>
    <definedName name="solver_scl" localSheetId="3" hidden="1">1</definedName>
    <definedName name="solver_sho" localSheetId="4" hidden="1">2</definedName>
    <definedName name="solver_sho" localSheetId="1" hidden="1">2</definedName>
    <definedName name="solver_sho" localSheetId="3" hidden="1">2</definedName>
    <definedName name="solver_ssz" localSheetId="4" hidden="1">100</definedName>
    <definedName name="solver_ssz" localSheetId="1" hidden="1">100</definedName>
    <definedName name="solver_ssz" localSheetId="3" hidden="1">100</definedName>
    <definedName name="solver_tim" localSheetId="4" hidden="1">2147483647</definedName>
    <definedName name="solver_tim" localSheetId="1" hidden="1">2147483647</definedName>
    <definedName name="solver_tim" localSheetId="3" hidden="1">2147483647</definedName>
    <definedName name="solver_tol" localSheetId="4" hidden="1">0.01</definedName>
    <definedName name="solver_tol" localSheetId="1" hidden="1">0.01</definedName>
    <definedName name="solver_tol" localSheetId="3" hidden="1">0.01</definedName>
    <definedName name="solver_typ" localSheetId="4" hidden="1">1</definedName>
    <definedName name="solver_typ" localSheetId="1" hidden="1">2</definedName>
    <definedName name="solver_typ" localSheetId="3" hidden="1">3</definedName>
    <definedName name="solver_val" localSheetId="4" hidden="1">0</definedName>
    <definedName name="solver_val" localSheetId="1" hidden="1">0</definedName>
    <definedName name="solver_val" localSheetId="3" hidden="1">0</definedName>
    <definedName name="solver_ver" localSheetId="4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7" l="1"/>
  <c r="B40" i="6"/>
  <c r="B25" i="6" l="1"/>
  <c r="B26" i="6" s="1"/>
  <c r="B20" i="6"/>
  <c r="G23" i="6"/>
  <c r="C25" i="6"/>
  <c r="D51" i="2"/>
  <c r="C51" i="2"/>
  <c r="B51" i="2"/>
  <c r="C4" i="6"/>
  <c r="L10" i="7"/>
  <c r="L9" i="7"/>
  <c r="L11" i="7" s="1"/>
  <c r="L8" i="7"/>
  <c r="J10" i="7"/>
  <c r="J9" i="7"/>
  <c r="J8" i="7"/>
  <c r="H10" i="7"/>
  <c r="C23" i="7"/>
  <c r="B23" i="7"/>
  <c r="C12" i="7"/>
  <c r="C11" i="7"/>
  <c r="C4" i="7"/>
  <c r="B32" i="6"/>
  <c r="B33" i="6" s="1"/>
  <c r="B6" i="6"/>
  <c r="B18" i="6"/>
  <c r="B12" i="6"/>
  <c r="B13" i="6" s="1"/>
  <c r="I51" i="2" l="1"/>
  <c r="K51" i="2" s="1"/>
  <c r="H8" i="7"/>
  <c r="H9" i="7"/>
  <c r="H11" i="7" s="1"/>
  <c r="J11" i="7"/>
  <c r="J12" i="7" s="1"/>
  <c r="L12" i="7"/>
  <c r="B20" i="5"/>
  <c r="B21" i="5" s="1"/>
  <c r="C17" i="5"/>
  <c r="B17" i="5"/>
  <c r="B16" i="5"/>
  <c r="B12" i="5"/>
  <c r="C12" i="5" s="1"/>
  <c r="C16" i="5" s="1"/>
  <c r="B10" i="5"/>
  <c r="B13" i="5" s="1"/>
  <c r="A8" i="5"/>
  <c r="A7" i="5"/>
  <c r="A5" i="5"/>
  <c r="A4" i="5"/>
  <c r="A3" i="5"/>
  <c r="A2" i="5"/>
  <c r="A1" i="5"/>
  <c r="K3" i="2"/>
  <c r="H12" i="7" l="1"/>
  <c r="A6" i="5"/>
  <c r="H15" i="2"/>
  <c r="H16" i="2" s="1"/>
  <c r="I16" i="2" s="1"/>
  <c r="H14" i="2"/>
  <c r="H19" i="2"/>
  <c r="F10" i="2" l="1"/>
  <c r="E10" i="2"/>
  <c r="D10" i="2"/>
  <c r="B10" i="2"/>
  <c r="I3" i="2"/>
  <c r="L3" i="2"/>
  <c r="B14" i="2"/>
  <c r="C14" i="2"/>
  <c r="G14" i="2" l="1"/>
  <c r="G15" i="2" s="1"/>
  <c r="F15" i="2" s="1"/>
  <c r="D10" i="4"/>
  <c r="O33" i="4"/>
  <c r="C26" i="4"/>
  <c r="D26" i="4" s="1"/>
  <c r="O21" i="4"/>
  <c r="M31" i="4"/>
  <c r="N31" i="4" s="1"/>
  <c r="N26" i="4"/>
  <c r="D30" i="4"/>
  <c r="I26" i="4"/>
  <c r="L19" i="4"/>
  <c r="O19" i="4" s="1"/>
  <c r="O10" i="4"/>
  <c r="O2" i="4"/>
  <c r="I10" i="4"/>
  <c r="H19" i="4"/>
  <c r="D19" i="4"/>
  <c r="I2" i="4"/>
  <c r="D2" i="4"/>
  <c r="I23" i="3"/>
  <c r="J23" i="3" s="1"/>
  <c r="K23" i="3" s="1"/>
  <c r="F27" i="3"/>
  <c r="G27" i="3" s="1"/>
  <c r="F3" i="3"/>
  <c r="F31" i="3"/>
  <c r="G31" i="3" s="1"/>
  <c r="C9" i="3"/>
  <c r="D9" i="3" s="1"/>
  <c r="G16" i="3"/>
  <c r="D19" i="3"/>
  <c r="E12" i="3"/>
  <c r="F12" i="3" s="1"/>
  <c r="D6" i="3"/>
  <c r="F2" i="3"/>
  <c r="F1" i="3"/>
  <c r="I14" i="2"/>
  <c r="I15" i="2" s="1"/>
  <c r="AG40" i="2"/>
  <c r="AF43" i="2"/>
  <c r="AF44" i="2"/>
  <c r="AG44" i="2" s="1"/>
  <c r="H47" i="2"/>
  <c r="P36" i="2"/>
  <c r="Q36" i="2" s="1"/>
  <c r="F47" i="2"/>
  <c r="E47" i="2"/>
  <c r="R36" i="2"/>
  <c r="H79" i="1"/>
  <c r="I79" i="1" s="1"/>
  <c r="F79" i="1"/>
  <c r="E79" i="1"/>
  <c r="G79" i="1" s="1"/>
  <c r="J79" i="1" s="1"/>
  <c r="AG45" i="2"/>
  <c r="AG43" i="2"/>
  <c r="X44" i="2"/>
  <c r="W44" i="2"/>
  <c r="V44" i="2"/>
  <c r="U44" i="2"/>
  <c r="G5" i="2"/>
  <c r="H5" i="2" s="1"/>
  <c r="G4" i="2"/>
  <c r="C30" i="2"/>
  <c r="G30" i="2" s="1"/>
  <c r="H30" i="2" s="1"/>
  <c r="R48" i="2"/>
  <c r="R42" i="2"/>
  <c r="Q54" i="2"/>
  <c r="Q49" i="2"/>
  <c r="R49" i="2" s="1"/>
  <c r="O55" i="2"/>
  <c r="Q55" i="2" s="1"/>
  <c r="P52" i="2"/>
  <c r="Q52" i="2" s="1"/>
  <c r="Q51" i="2"/>
  <c r="H41" i="2"/>
  <c r="R45" i="2"/>
  <c r="P46" i="2"/>
  <c r="Q46" i="2" s="1"/>
  <c r="R46" i="2" s="1"/>
  <c r="O43" i="2"/>
  <c r="P43" i="2" s="1"/>
  <c r="R43" i="2" s="1"/>
  <c r="P40" i="2"/>
  <c r="U30" i="2"/>
  <c r="V30" i="2" s="1"/>
  <c r="P31" i="2"/>
  <c r="O31" i="2"/>
  <c r="N31" i="2"/>
  <c r="M31" i="2"/>
  <c r="A43" i="2"/>
  <c r="B42" i="2"/>
  <c r="C41" i="2"/>
  <c r="D37" i="2"/>
  <c r="C37" i="2"/>
  <c r="B37" i="2"/>
  <c r="J34" i="2"/>
  <c r="D34" i="2"/>
  <c r="C34" i="2"/>
  <c r="B34" i="2"/>
  <c r="L18" i="2"/>
  <c r="K18" i="2"/>
  <c r="C26" i="2"/>
  <c r="B26" i="2"/>
  <c r="U18" i="2"/>
  <c r="U14" i="2"/>
  <c r="L22" i="2"/>
  <c r="K22" i="2"/>
  <c r="L26" i="2"/>
  <c r="K26" i="2"/>
  <c r="M3" i="2"/>
  <c r="C22" i="2"/>
  <c r="B22" i="2"/>
  <c r="K14" i="2"/>
  <c r="C18" i="2"/>
  <c r="B18" i="2"/>
  <c r="U3" i="2"/>
  <c r="T3" i="2"/>
  <c r="N10" i="2"/>
  <c r="M10" i="2"/>
  <c r="L10" i="2"/>
  <c r="P10" i="2"/>
  <c r="O10" i="2"/>
  <c r="K10" i="2"/>
  <c r="G10" i="2"/>
  <c r="C10" i="2"/>
  <c r="X8" i="2"/>
  <c r="V9" i="2"/>
  <c r="X9" i="2" s="1"/>
  <c r="C3" i="2"/>
  <c r="D3" i="2" s="1"/>
  <c r="Q73" i="1"/>
  <c r="Q74" i="1" s="1"/>
  <c r="P73" i="1"/>
  <c r="P74" i="1" s="1"/>
  <c r="O73" i="1"/>
  <c r="O74" i="1" s="1"/>
  <c r="U121" i="1"/>
  <c r="U129" i="1"/>
  <c r="R129" i="1" s="1"/>
  <c r="V129" i="1" s="1"/>
  <c r="U123" i="1"/>
  <c r="V123" i="1" s="1"/>
  <c r="S127" i="1"/>
  <c r="W127" i="1" s="1"/>
  <c r="T108" i="1"/>
  <c r="U108" i="1" s="1"/>
  <c r="V108" i="1" s="1"/>
  <c r="Q125" i="1"/>
  <c r="T131" i="1"/>
  <c r="T115" i="1"/>
  <c r="U127" i="1"/>
  <c r="T124" i="1"/>
  <c r="R124" i="1" s="1"/>
  <c r="V124" i="1" s="1"/>
  <c r="S97" i="1"/>
  <c r="W97" i="1" s="1"/>
  <c r="T121" i="1"/>
  <c r="R119" i="1"/>
  <c r="V119" i="1" s="1"/>
  <c r="T117" i="1"/>
  <c r="U117" i="1" s="1"/>
  <c r="V117" i="1" s="1"/>
  <c r="U115" i="1"/>
  <c r="T113" i="1"/>
  <c r="U113" i="1" s="1"/>
  <c r="V113" i="1" s="1"/>
  <c r="T111" i="1"/>
  <c r="U110" i="1"/>
  <c r="AF75" i="1"/>
  <c r="AF73" i="1"/>
  <c r="AG73" i="1" s="1"/>
  <c r="AD73" i="1"/>
  <c r="T106" i="1"/>
  <c r="U106" i="1" s="1"/>
  <c r="P100" i="1"/>
  <c r="O100" i="1" s="1"/>
  <c r="S100" i="1"/>
  <c r="U100" i="1" s="1"/>
  <c r="X100" i="1" s="1"/>
  <c r="E97" i="1"/>
  <c r="S103" i="1"/>
  <c r="U103" i="1" s="1"/>
  <c r="N100" i="1"/>
  <c r="L100" i="1"/>
  <c r="D106" i="1"/>
  <c r="E103" i="1"/>
  <c r="C103" i="1"/>
  <c r="F100" i="1"/>
  <c r="G100" i="1" s="1"/>
  <c r="E100" i="1"/>
  <c r="D100" i="1"/>
  <c r="C97" i="1"/>
  <c r="AC77" i="1"/>
  <c r="AF77" i="1"/>
  <c r="AG77" i="1" s="1"/>
  <c r="AE77" i="1"/>
  <c r="AD77" i="1"/>
  <c r="AB77" i="1"/>
  <c r="AA77" i="1"/>
  <c r="AG75" i="1"/>
  <c r="AA75" i="1"/>
  <c r="AD75" i="1"/>
  <c r="AC75" i="1"/>
  <c r="AB75" i="1"/>
  <c r="AE73" i="1"/>
  <c r="AC73" i="1"/>
  <c r="AB73" i="1"/>
  <c r="AA73" i="1"/>
  <c r="G73" i="1"/>
  <c r="H73" i="1" s="1"/>
  <c r="F73" i="1"/>
  <c r="E73" i="1"/>
  <c r="C94" i="1"/>
  <c r="G85" i="1"/>
  <c r="H85" i="1" s="1"/>
  <c r="I85" i="1" s="1"/>
  <c r="D85" i="1"/>
  <c r="D86" i="1" s="1"/>
  <c r="B70" i="1"/>
  <c r="E76" i="1"/>
  <c r="E50" i="1"/>
  <c r="D50" i="1"/>
  <c r="C50" i="1"/>
  <c r="L50" i="1"/>
  <c r="K50" i="1"/>
  <c r="B57" i="1"/>
  <c r="C56" i="1"/>
  <c r="A55" i="1"/>
  <c r="A58" i="1"/>
  <c r="R52" i="1"/>
  <c r="Q52" i="1"/>
  <c r="P52" i="1"/>
  <c r="D52" i="1"/>
  <c r="B82" i="1"/>
  <c r="K4" i="1"/>
  <c r="J4" i="1"/>
  <c r="J16" i="1"/>
  <c r="I16" i="1"/>
  <c r="H16" i="1" s="1"/>
  <c r="J28" i="1"/>
  <c r="I28" i="1"/>
  <c r="C25" i="1"/>
  <c r="B25" i="1"/>
  <c r="K2" i="1"/>
  <c r="J2" i="1"/>
  <c r="J27" i="1"/>
  <c r="H27" i="1" s="1"/>
  <c r="I27" i="1"/>
  <c r="D82" i="1"/>
  <c r="E82" i="1" s="1"/>
  <c r="F82" i="1" s="1"/>
  <c r="G82" i="1" s="1"/>
  <c r="H82" i="1" s="1"/>
  <c r="J21" i="1"/>
  <c r="I21" i="1"/>
  <c r="K5" i="1"/>
  <c r="J5" i="1"/>
  <c r="J25" i="1"/>
  <c r="I25" i="1"/>
  <c r="J13" i="1"/>
  <c r="K13" i="1"/>
  <c r="L13" i="1"/>
  <c r="M13" i="1"/>
  <c r="I13" i="1"/>
  <c r="I24" i="1"/>
  <c r="J32" i="1"/>
  <c r="I41" i="1"/>
  <c r="P2" i="1"/>
  <c r="M2" i="1" s="1"/>
  <c r="H13" i="1"/>
  <c r="T9" i="1"/>
  <c r="S9" i="1"/>
  <c r="Q9" i="1"/>
  <c r="K18" i="1"/>
  <c r="J31" i="1"/>
  <c r="J24" i="1"/>
  <c r="U9" i="1"/>
  <c r="R9" i="1"/>
  <c r="P9" i="1"/>
  <c r="L9" i="1"/>
  <c r="M9" i="1"/>
  <c r="K9" i="1"/>
  <c r="J9" i="1"/>
  <c r="I9" i="1"/>
  <c r="H9" i="1"/>
  <c r="C91" i="1"/>
  <c r="D91" i="1" s="1"/>
  <c r="C88" i="1"/>
  <c r="B35" i="1"/>
  <c r="C35" i="1"/>
  <c r="A64" i="1"/>
  <c r="A67" i="1" s="1"/>
  <c r="B67" i="1" s="1"/>
  <c r="A62" i="1"/>
  <c r="A60" i="1"/>
  <c r="A47" i="1"/>
  <c r="C44" i="1"/>
  <c r="B44" i="1" s="1"/>
  <c r="B41" i="1"/>
  <c r="D38" i="1"/>
  <c r="C38" i="1"/>
  <c r="C34" i="1"/>
  <c r="B34" i="1"/>
  <c r="E32" i="1"/>
  <c r="F32" i="1" s="1"/>
  <c r="E31" i="1"/>
  <c r="D28" i="1"/>
  <c r="A27" i="1"/>
  <c r="A24" i="1"/>
  <c r="C21" i="1"/>
  <c r="B21" i="1"/>
  <c r="D18" i="1"/>
  <c r="C15" i="1"/>
  <c r="F13" i="1"/>
  <c r="E13" i="1"/>
  <c r="D13" i="1"/>
  <c r="C13" i="1"/>
  <c r="B13" i="1"/>
  <c r="A13" i="1"/>
  <c r="C9" i="1"/>
  <c r="B9" i="1"/>
  <c r="A9" i="1"/>
  <c r="B6" i="1"/>
  <c r="B3" i="1"/>
  <c r="C3" i="1" s="1"/>
  <c r="B4" i="1" s="1"/>
  <c r="A2" i="1"/>
  <c r="G38" i="2" l="1"/>
  <c r="I37" i="2"/>
  <c r="K37" i="2" s="1"/>
  <c r="I31" i="2"/>
  <c r="J31" i="2"/>
  <c r="Z100" i="1"/>
  <c r="Y100" i="1"/>
  <c r="AA100" i="1" s="1"/>
  <c r="G13" i="1"/>
  <c r="H24" i="1"/>
  <c r="AH73" i="1"/>
  <c r="AH43" i="2"/>
  <c r="S36" i="2"/>
  <c r="F97" i="1"/>
  <c r="G97" i="1" s="1"/>
  <c r="K25" i="1"/>
  <c r="D9" i="1"/>
  <c r="A5" i="1" s="1"/>
  <c r="B5" i="1" s="1"/>
  <c r="D25" i="1"/>
  <c r="D34" i="1"/>
  <c r="A35" i="1"/>
  <c r="I5" i="1"/>
  <c r="AB100" i="1"/>
  <c r="A38" i="1"/>
  <c r="F103" i="1"/>
  <c r="G103" i="1" s="1"/>
  <c r="D21" i="1"/>
  <c r="Q18" i="2"/>
  <c r="I18" i="2"/>
  <c r="G12" i="3"/>
  <c r="Q26" i="2"/>
  <c r="P22" i="2"/>
  <c r="O14" i="2"/>
  <c r="P14" i="2" s="1"/>
  <c r="H18" i="2"/>
  <c r="H22" i="2"/>
  <c r="Q22" i="2"/>
  <c r="H26" i="2"/>
  <c r="G18" i="2"/>
  <c r="G19" i="2" s="1"/>
  <c r="G47" i="2"/>
  <c r="I47" i="2" s="1"/>
  <c r="Q14" i="2"/>
  <c r="P18" i="2"/>
  <c r="G26" i="2"/>
  <c r="W30" i="2"/>
  <c r="I34" i="2"/>
  <c r="G22" i="2"/>
  <c r="H10" i="2"/>
  <c r="Q10" i="2"/>
  <c r="Y3" i="2"/>
  <c r="P26" i="2"/>
  <c r="Q3" i="2"/>
  <c r="S74" i="1"/>
  <c r="T127" i="1"/>
  <c r="T97" i="1"/>
  <c r="U97" i="1"/>
  <c r="X97" i="1" s="1"/>
  <c r="T103" i="1"/>
  <c r="X103" i="1"/>
  <c r="Z103" i="1" s="1"/>
  <c r="W103" i="1"/>
  <c r="AH77" i="1"/>
  <c r="AH75" i="1"/>
  <c r="S73" i="1"/>
  <c r="I73" i="1"/>
  <c r="A50" i="1"/>
  <c r="H50" i="1"/>
  <c r="I4" i="1"/>
  <c r="K21" i="1"/>
  <c r="N13" i="1"/>
  <c r="H2" i="1"/>
  <c r="Y9" i="1"/>
  <c r="N9" i="1"/>
  <c r="K28" i="1"/>
  <c r="H11" i="2" l="1"/>
  <c r="Z97" i="1"/>
  <c r="Y97" i="1"/>
  <c r="Y103" i="1"/>
  <c r="AB103" i="1" s="1"/>
  <c r="AA97" i="1" l="1"/>
  <c r="AB97" i="1"/>
  <c r="AA103" i="1"/>
  <c r="M103" i="1" l="1"/>
  <c r="O103" i="1" s="1"/>
  <c r="T100" i="1" l="1"/>
  <c r="W100" i="1"/>
  <c r="M49" i="2"/>
</calcChain>
</file>

<file path=xl/sharedStrings.xml><?xml version="1.0" encoding="utf-8"?>
<sst xmlns="http://schemas.openxmlformats.org/spreadsheetml/2006/main" count="763" uniqueCount="271">
  <si>
    <t>pv</t>
  </si>
  <si>
    <t>fv</t>
  </si>
  <si>
    <t>r</t>
  </si>
  <si>
    <t>n</t>
  </si>
  <si>
    <t>C</t>
  </si>
  <si>
    <t>i</t>
  </si>
  <si>
    <t>PV</t>
  </si>
  <si>
    <t>Level perpetuity</t>
  </si>
  <si>
    <t>n (6 yr -2 yrs)</t>
  </si>
  <si>
    <t>FV</t>
  </si>
  <si>
    <t>CF</t>
  </si>
  <si>
    <t>N</t>
  </si>
  <si>
    <t>g</t>
  </si>
  <si>
    <t>EAR</t>
  </si>
  <si>
    <t>YTM</t>
  </si>
  <si>
    <t>Maturity</t>
  </si>
  <si>
    <t>Bprice</t>
  </si>
  <si>
    <t>Semi-Annually</t>
  </si>
  <si>
    <t>Cr</t>
  </si>
  <si>
    <t>Rr</t>
  </si>
  <si>
    <t>INFr</t>
  </si>
  <si>
    <t>Nomr</t>
  </si>
  <si>
    <t>Po</t>
  </si>
  <si>
    <t>Div1</t>
  </si>
  <si>
    <t>Div2</t>
  </si>
  <si>
    <t>P2</t>
  </si>
  <si>
    <t>R</t>
  </si>
  <si>
    <t>Div</t>
  </si>
  <si>
    <t>Divo</t>
  </si>
  <si>
    <t>P1</t>
  </si>
  <si>
    <t>P3</t>
  </si>
  <si>
    <t>P0</t>
  </si>
  <si>
    <t>P5</t>
  </si>
  <si>
    <t>ROE</t>
  </si>
  <si>
    <t>Plb</t>
  </si>
  <si>
    <t>EPS</t>
  </si>
  <si>
    <t>DPS</t>
  </si>
  <si>
    <t>APR</t>
  </si>
  <si>
    <t>m</t>
  </si>
  <si>
    <t>P40</t>
  </si>
  <si>
    <t>Annuity Due</t>
  </si>
  <si>
    <t>Ordinary Annuity</t>
  </si>
  <si>
    <t>FV AD</t>
  </si>
  <si>
    <t>FV AD - Payments(C)?</t>
  </si>
  <si>
    <t>Pvperp</t>
  </si>
  <si>
    <t>Perp Bond equally spaced payments</t>
  </si>
  <si>
    <t>PV of Unequal 
Yearly Payments Received</t>
  </si>
  <si>
    <t>PV of Unequal 
Yearly Payments Made</t>
  </si>
  <si>
    <t>PV Perp Dividend</t>
  </si>
  <si>
    <t>Ordinary Annuity - C?</t>
  </si>
  <si>
    <t>Loan payment in years</t>
  </si>
  <si>
    <t>Annual Growth Rate</t>
  </si>
  <si>
    <t>Effective Annual Growth</t>
  </si>
  <si>
    <t>FV of Unequal 
Yearly Payments Made</t>
  </si>
  <si>
    <t>Ordinary Annuity - PV</t>
  </si>
  <si>
    <t>Div3</t>
  </si>
  <si>
    <t>Div4</t>
  </si>
  <si>
    <t>Div5</t>
  </si>
  <si>
    <t>End Div</t>
  </si>
  <si>
    <t>Div Yd</t>
  </si>
  <si>
    <t>CGY</t>
  </si>
  <si>
    <t>div yd</t>
  </si>
  <si>
    <t>FV Stock Price</t>
  </si>
  <si>
    <t>PV(Stock Price) Perp Dividend</t>
  </si>
  <si>
    <t>n (years)</t>
  </si>
  <si>
    <t>n (Delta Years)</t>
  </si>
  <si>
    <t>PV of Unequal Yearly Payments Received</t>
  </si>
  <si>
    <t>Years</t>
  </si>
  <si>
    <t>CashFlow (+)</t>
  </si>
  <si>
    <t>Discounted Present Value</t>
  </si>
  <si>
    <t>Rate of Return</t>
  </si>
  <si>
    <t>PV (Fair Price)</t>
  </si>
  <si>
    <t>FV of Unequal Yearly Payments Made</t>
  </si>
  <si>
    <t>Future Value</t>
  </si>
  <si>
    <t>FV (Accrued)</t>
  </si>
  <si>
    <t>Period</t>
  </si>
  <si>
    <t>n (years x periods)</t>
  </si>
  <si>
    <t>I (i/periods)</t>
  </si>
  <si>
    <t>Future Value Lump-Sum (With Compounding Periods)</t>
  </si>
  <si>
    <t>Months</t>
  </si>
  <si>
    <t>Periods</t>
  </si>
  <si>
    <t>Loan or Credit Card payment in years (End Of the Month)</t>
  </si>
  <si>
    <t>Ordinary Annuity - C? (End of Month), PV Given</t>
  </si>
  <si>
    <t>Ordinary Annuity - C? (End of Month), FV Given</t>
  </si>
  <si>
    <t>Future Value Lump-Sum - PV given</t>
  </si>
  <si>
    <t>Present Value Lump-Sum - FV Given</t>
  </si>
  <si>
    <t>Annuity Due - FV? (Begin of Month), C Given</t>
  </si>
  <si>
    <t>Ordinary Annuity - PV? (End of Month Payments)</t>
  </si>
  <si>
    <t>Annuity Due - C? (Begin of Month), FV Given</t>
  </si>
  <si>
    <t>Perpetual Bond Price</t>
  </si>
  <si>
    <t>PMT</t>
  </si>
  <si>
    <t>B Price</t>
  </si>
  <si>
    <t>Ordinary Due - FV? (End of Month), C Given</t>
  </si>
  <si>
    <t>Annuity Due - PV? (Begin of Month Payments)</t>
  </si>
  <si>
    <t>Mat</t>
  </si>
  <si>
    <t>YTM/Period</t>
  </si>
  <si>
    <t>Crate</t>
  </si>
  <si>
    <t>Error</t>
  </si>
  <si>
    <t>Fair Bond Price</t>
  </si>
  <si>
    <t>YTM - Trial And Error, Enter Market Sell of Bond</t>
  </si>
  <si>
    <t>P4</t>
  </si>
  <si>
    <t>Constant Growth</t>
  </si>
  <si>
    <t>Div/Year</t>
  </si>
  <si>
    <t>Non-constant Gowth + Constant Gowth</t>
  </si>
  <si>
    <t>Payout Ratio</t>
  </si>
  <si>
    <t>Po (No Growth)</t>
  </si>
  <si>
    <t>NPVGO</t>
  </si>
  <si>
    <t>Net Present Value Of Growth Opportunity</t>
  </si>
  <si>
    <t>Constant g</t>
  </si>
  <si>
    <t>Total Return = Div Y+CGY</t>
  </si>
  <si>
    <t>1+Nominal=(1+Inf)*(1+Rr)</t>
  </si>
  <si>
    <t>Preferred Stock</t>
  </si>
  <si>
    <t>Div Y</t>
  </si>
  <si>
    <t>Paid Recent Dividend</t>
  </si>
  <si>
    <t>Ending Dividend</t>
  </si>
  <si>
    <t>Div0</t>
  </si>
  <si>
    <t>Po, R, nand End Div Given</t>
  </si>
  <si>
    <t>Div Y, CGY, n and End Div Given</t>
  </si>
  <si>
    <t>Po, R, Div Y and n Given</t>
  </si>
  <si>
    <t>Growing Annuity</t>
  </si>
  <si>
    <t>Growing Perp</t>
  </si>
  <si>
    <t>Non-constant Gowth + Growing Annuity+Growing Perp</t>
  </si>
  <si>
    <t>1-Year Delay</t>
  </si>
  <si>
    <t>Net Present Value Of Growth Opportunity - ROE,EPS,Plb,r Given</t>
  </si>
  <si>
    <t>VAR</t>
  </si>
  <si>
    <t>STDEV</t>
  </si>
  <si>
    <t>Beta</t>
  </si>
  <si>
    <t>Sigma mkt</t>
  </si>
  <si>
    <t>Correl</t>
  </si>
  <si>
    <t>Sigma port</t>
  </si>
  <si>
    <t>Covar im</t>
  </si>
  <si>
    <t>Sigma mkt squared (Var)</t>
  </si>
  <si>
    <t>rf</t>
  </si>
  <si>
    <t>rmkt</t>
  </si>
  <si>
    <t>ER</t>
  </si>
  <si>
    <t>Result</t>
  </si>
  <si>
    <t>R-Required</t>
  </si>
  <si>
    <t>Wa</t>
  </si>
  <si>
    <t>Wb</t>
  </si>
  <si>
    <t>ErA</t>
  </si>
  <si>
    <t>ErB</t>
  </si>
  <si>
    <t>ErP</t>
  </si>
  <si>
    <t>Wc</t>
  </si>
  <si>
    <t>ErC</t>
  </si>
  <si>
    <t>Sigma A</t>
  </si>
  <si>
    <t>Sigma B</t>
  </si>
  <si>
    <t>Correl AB</t>
  </si>
  <si>
    <t>Covar AB</t>
  </si>
  <si>
    <t>Ra</t>
  </si>
  <si>
    <t>Rb</t>
  </si>
  <si>
    <t>Rc</t>
  </si>
  <si>
    <t>Erp</t>
  </si>
  <si>
    <t>Var</t>
  </si>
  <si>
    <t>Stdev</t>
  </si>
  <si>
    <t>Wd</t>
  </si>
  <si>
    <t>Rd</t>
  </si>
  <si>
    <t>Variance sand StdDev? - Given Prob Weights &amp; Returns</t>
  </si>
  <si>
    <t>Covariance? - Given Stdev, Correl</t>
  </si>
  <si>
    <t>Portfoilio Returns? - Given Portfolio Weights &amp; ER for each</t>
  </si>
  <si>
    <t>Beta? Given Covar, Stdev</t>
  </si>
  <si>
    <t>Sigma Portfolio? Given Beta, Correl, Sigma mkt</t>
  </si>
  <si>
    <t>Alpha</t>
  </si>
  <si>
    <t>Alpha,Required Return, Over,Under or Fair? Given Beta, rf,rmkt,ER</t>
  </si>
  <si>
    <t>Sigma a</t>
  </si>
  <si>
    <t>Sigma b</t>
  </si>
  <si>
    <t>Variance</t>
  </si>
  <si>
    <t>Variance, Stdev? Given Portfolio weights, Standard Deviation, Correlation</t>
  </si>
  <si>
    <t>Variance, Stdev? Given Portfolio weights, Standard Deviation, Covariance</t>
  </si>
  <si>
    <t>Covar</t>
  </si>
  <si>
    <t>AVG</t>
  </si>
  <si>
    <t>C0</t>
  </si>
  <si>
    <t>C1</t>
  </si>
  <si>
    <t>C2</t>
  </si>
  <si>
    <t>C3</t>
  </si>
  <si>
    <t>C4</t>
  </si>
  <si>
    <t>IRR</t>
  </si>
  <si>
    <t>NPV</t>
  </si>
  <si>
    <t>NPV with perp</t>
  </si>
  <si>
    <t>NPV A</t>
  </si>
  <si>
    <t>NPV B</t>
  </si>
  <si>
    <t>Equity</t>
  </si>
  <si>
    <t>COE</t>
  </si>
  <si>
    <t>Debt</t>
  </si>
  <si>
    <t>COD</t>
  </si>
  <si>
    <t>Tax rate</t>
  </si>
  <si>
    <t>WACC</t>
  </si>
  <si>
    <t>Re</t>
  </si>
  <si>
    <t>Stock Beta ?</t>
  </si>
  <si>
    <t>WACC ro Kc</t>
  </si>
  <si>
    <t>Unlevering Beta, Given D/E or D/A, BetaL or Equity beta, Tax Rate</t>
  </si>
  <si>
    <t>Beta L</t>
  </si>
  <si>
    <t>Tc</t>
  </si>
  <si>
    <t>D/E</t>
  </si>
  <si>
    <t>Beta U</t>
  </si>
  <si>
    <t>Relever Beta, Given D/E or D/A, Beta U, Tax Rate</t>
  </si>
  <si>
    <t>M&amp;M1 Cost of Capital?</t>
  </si>
  <si>
    <t>M&amp;M Cost of Equity When Debt (Or D/E) is Zero, Solve for Ra</t>
  </si>
  <si>
    <t>C5</t>
  </si>
  <si>
    <t>d</t>
  </si>
  <si>
    <t>u</t>
  </si>
  <si>
    <t>So</t>
  </si>
  <si>
    <t>S1u</t>
  </si>
  <si>
    <t>S1d</t>
  </si>
  <si>
    <t>105*x+1.02*y</t>
  </si>
  <si>
    <t>95.24*x+1.02*y</t>
  </si>
  <si>
    <t>x</t>
  </si>
  <si>
    <t>y</t>
  </si>
  <si>
    <t>Bond Equivalent Yield</t>
  </si>
  <si>
    <t>days to maturity</t>
  </si>
  <si>
    <t>price</t>
  </si>
  <si>
    <t>face value</t>
  </si>
  <si>
    <t>BEY</t>
  </si>
  <si>
    <t>Bond Current Yield</t>
  </si>
  <si>
    <t>Par</t>
  </si>
  <si>
    <t>Face</t>
  </si>
  <si>
    <t>Coupon Payment</t>
  </si>
  <si>
    <t>Current Yield</t>
  </si>
  <si>
    <t>Invoice Price</t>
  </si>
  <si>
    <t>Face Value</t>
  </si>
  <si>
    <t>Ask %</t>
  </si>
  <si>
    <t>Price</t>
  </si>
  <si>
    <t>Days in a month</t>
  </si>
  <si>
    <t>n (period)</t>
  </si>
  <si>
    <t>Days since last payment</t>
  </si>
  <si>
    <t>Days separating next payment</t>
  </si>
  <si>
    <t>Accrued Interest</t>
  </si>
  <si>
    <t>Realized YTM</t>
  </si>
  <si>
    <t>interest</t>
  </si>
  <si>
    <t>coupon payment</t>
  </si>
  <si>
    <t>proceeds</t>
  </si>
  <si>
    <t>A</t>
  </si>
  <si>
    <t>B</t>
  </si>
  <si>
    <t>Inputs</t>
  </si>
  <si>
    <t>Formula In column B</t>
  </si>
  <si>
    <t>Settlement date</t>
  </si>
  <si>
    <t>Maturity date</t>
  </si>
  <si>
    <t>Coupon rate</t>
  </si>
  <si>
    <t>Yield to maturity</t>
  </si>
  <si>
    <t>Coupons per year</t>
  </si>
  <si>
    <t>Outputs</t>
  </si>
  <si>
    <t>Macaulay duration</t>
  </si>
  <si>
    <t>Modified duration</t>
  </si>
  <si>
    <t>Semiannual coupons</t>
  </si>
  <si>
    <t>Annual coupons</t>
  </si>
  <si>
    <t>Annual coupon rate</t>
  </si>
  <si>
    <t>Bond price (flat)</t>
  </si>
  <si>
    <t>Redemption value (% of face value)</t>
  </si>
  <si>
    <t>Coupon payments per year</t>
  </si>
  <si>
    <t xml:space="preserve">Yield to maturity (decimal) </t>
  </si>
  <si>
    <t>0.0600 (YIELD)</t>
  </si>
  <si>
    <t>The formula entered here is =YIELD(B3,B4,B5,B6,B7,B8)</t>
  </si>
  <si>
    <t>Bond Duration</t>
  </si>
  <si>
    <t>11/15/2043</t>
  </si>
  <si>
    <t>Days Since last coupon</t>
  </si>
  <si>
    <t>Days in coupon period</t>
  </si>
  <si>
    <t>Accrued interest</t>
  </si>
  <si>
    <t>Coupon payment per year</t>
  </si>
  <si>
    <t>Flat price ( % Of par)</t>
  </si>
  <si>
    <t>Invoice Price of Bond</t>
  </si>
  <si>
    <t>invoice price</t>
  </si>
  <si>
    <t>price not given</t>
  </si>
  <si>
    <t>Enter bid value if T-Bill with bid and ask</t>
  </si>
  <si>
    <t>Invoice Price Bond</t>
  </si>
  <si>
    <t>Price Given</t>
  </si>
  <si>
    <t>Callable Bond YTM - Trial And Error, Enter Market Sell of Bond</t>
  </si>
  <si>
    <t>Accrued Interest Alone</t>
  </si>
  <si>
    <t>Forward Rate</t>
  </si>
  <si>
    <t>Yn</t>
  </si>
  <si>
    <t>Yn-1</t>
  </si>
  <si>
    <t>n-1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</si>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</sst>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164" formatCode="[$₹-4009]\ #,##0.00"/>
    <numFmt numFmtId="165" formatCode="0.000%"/>
    <numFmt numFmtId="166" formatCode="0.0"/>
    <numFmt numFmtId="167" formatCode="0.000"/>
    <numFmt numFmtId="168" formatCode="0.0%"/>
    <numFmt numFmtId="169" formatCode="0.0000%"/>
    <numFmt numFmtId="170" formatCode="0.0000"/>
    <numFmt numFmtId="171" formatCode="0.0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8"/>
      <color indexed="62"/>
      <name val="Cambria"/>
      <family val="1"/>
    </font>
    <font>
      <sz val="11"/>
      <color theme="1"/>
      <name val="Calibri"/>
      <family val="3"/>
      <charset val="129"/>
      <scheme val="minor"/>
    </font>
    <font>
      <sz val="18"/>
      <name val="Arial"/>
    </font>
    <font>
      <b/>
      <sz val="16"/>
      <color rgb="FF2D2D2D"/>
      <name val="Arial"/>
    </font>
    <font>
      <sz val="16"/>
      <color rgb="FF2D2D2D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5"/>
        <bgColor indexed="45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2D2D2D"/>
      </left>
      <right style="medium">
        <color rgb="FF2D2D2D"/>
      </right>
      <top style="medium">
        <color rgb="FF2D2D2D"/>
      </top>
      <bottom style="medium">
        <color rgb="FF2D2D2D"/>
      </bottom>
      <diagonal/>
    </border>
    <border>
      <left/>
      <right/>
      <top/>
      <bottom style="medium">
        <color rgb="FF2D2D2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5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</cellStyleXfs>
  <cellXfs count="93">
    <xf numFmtId="0" fontId="0" fillId="0" borderId="0" xfId="0"/>
    <xf numFmtId="10" fontId="0" fillId="0" borderId="0" xfId="0" applyNumberFormat="1"/>
    <xf numFmtId="9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  <xf numFmtId="168" fontId="0" fillId="0" borderId="0" xfId="1" applyNumberFormat="1" applyFont="1"/>
    <xf numFmtId="10" fontId="0" fillId="0" borderId="0" xfId="1" applyNumberFormat="1" applyFont="1"/>
    <xf numFmtId="169" fontId="0" fillId="0" borderId="0" xfId="1" applyNumberFormat="1" applyFont="1"/>
    <xf numFmtId="169" fontId="0" fillId="0" borderId="0" xfId="0" applyNumberFormat="1"/>
    <xf numFmtId="0" fontId="0" fillId="0" borderId="0" xfId="0" applyAlignment="1">
      <alignment horizontal="center"/>
    </xf>
    <xf numFmtId="2" fontId="0" fillId="3" borderId="0" xfId="0" applyNumberFormat="1" applyFill="1"/>
    <xf numFmtId="0" fontId="0" fillId="3" borderId="0" xfId="0" applyFill="1"/>
    <xf numFmtId="0" fontId="2" fillId="2" borderId="0" xfId="0" applyFont="1" applyFill="1" applyAlignment="1">
      <alignment horizontal="center"/>
    </xf>
    <xf numFmtId="0" fontId="2" fillId="0" borderId="0" xfId="0" applyFont="1"/>
    <xf numFmtId="2" fontId="0" fillId="3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7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0" fontId="0" fillId="3" borderId="0" xfId="1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8" fontId="0" fillId="0" borderId="0" xfId="0" applyNumberFormat="1"/>
    <xf numFmtId="10" fontId="0" fillId="3" borderId="0" xfId="0" applyNumberFormat="1" applyFill="1"/>
    <xf numFmtId="9" fontId="0" fillId="3" borderId="0" xfId="0" applyNumberFormat="1" applyFill="1" applyAlignment="1">
      <alignment horizontal="center"/>
    </xf>
    <xf numFmtId="168" fontId="0" fillId="3" borderId="0" xfId="1" applyNumberFormat="1" applyFont="1" applyFill="1" applyAlignment="1">
      <alignment horizontal="center"/>
    </xf>
    <xf numFmtId="9" fontId="0" fillId="3" borderId="0" xfId="1" applyFont="1" applyFill="1" applyAlignment="1">
      <alignment horizontal="center"/>
    </xf>
    <xf numFmtId="0" fontId="3" fillId="0" borderId="0" xfId="2"/>
    <xf numFmtId="165" fontId="3" fillId="0" borderId="0" xfId="25" applyNumberFormat="1" applyFont="1"/>
    <xf numFmtId="0" fontId="3" fillId="0" borderId="0" xfId="2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/>
    </xf>
    <xf numFmtId="9" fontId="0" fillId="16" borderId="0" xfId="0" applyNumberFormat="1" applyFill="1" applyAlignment="1">
      <alignment horizontal="center"/>
    </xf>
    <xf numFmtId="8" fontId="0" fillId="16" borderId="0" xfId="0" applyNumberFormat="1" applyFill="1"/>
    <xf numFmtId="0" fontId="3" fillId="16" borderId="0" xfId="2" applyFill="1"/>
    <xf numFmtId="9" fontId="3" fillId="16" borderId="0" xfId="2" applyNumberFormat="1" applyFill="1" applyAlignment="1">
      <alignment horizontal="center"/>
    </xf>
    <xf numFmtId="2" fontId="3" fillId="16" borderId="0" xfId="2" applyNumberFormat="1" applyFill="1" applyAlignment="1">
      <alignment horizontal="center"/>
    </xf>
    <xf numFmtId="0" fontId="3" fillId="16" borderId="0" xfId="2" applyFill="1" applyAlignment="1">
      <alignment horizontal="center"/>
    </xf>
    <xf numFmtId="9" fontId="0" fillId="16" borderId="0" xfId="0" applyNumberFormat="1" applyFill="1"/>
    <xf numFmtId="2" fontId="3" fillId="16" borderId="0" xfId="2" applyNumberFormat="1" applyFill="1"/>
    <xf numFmtId="10" fontId="3" fillId="16" borderId="0" xfId="2" applyNumberFormat="1" applyFill="1" applyAlignment="1">
      <alignment horizontal="center"/>
    </xf>
    <xf numFmtId="1" fontId="3" fillId="16" borderId="0" xfId="2" applyNumberFormat="1" applyFill="1" applyAlignment="1">
      <alignment horizontal="center"/>
    </xf>
    <xf numFmtId="11" fontId="0" fillId="16" borderId="0" xfId="0" applyNumberFormat="1" applyFill="1"/>
    <xf numFmtId="10" fontId="0" fillId="16" borderId="0" xfId="0" applyNumberFormat="1" applyFill="1" applyAlignment="1">
      <alignment horizontal="center"/>
    </xf>
    <xf numFmtId="8" fontId="3" fillId="16" borderId="0" xfId="2" applyNumberFormat="1" applyFill="1" applyAlignment="1">
      <alignment horizontal="center"/>
    </xf>
    <xf numFmtId="10" fontId="0" fillId="16" borderId="0" xfId="1" applyNumberFormat="1" applyFont="1" applyFill="1" applyAlignment="1">
      <alignment horizontal="center"/>
    </xf>
    <xf numFmtId="10" fontId="0" fillId="16" borderId="0" xfId="0" applyNumberFormat="1" applyFill="1"/>
    <xf numFmtId="167" fontId="0" fillId="16" borderId="0" xfId="0" applyNumberFormat="1" applyFill="1" applyAlignment="1">
      <alignment horizontal="center"/>
    </xf>
    <xf numFmtId="1" fontId="0" fillId="0" borderId="0" xfId="0" applyNumberFormat="1"/>
    <xf numFmtId="170" fontId="0" fillId="3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/>
    <xf numFmtId="14" fontId="0" fillId="0" borderId="0" xfId="0" applyNumberFormat="1"/>
    <xf numFmtId="0" fontId="10" fillId="0" borderId="1" xfId="0" applyFont="1" applyBorder="1" applyAlignment="1">
      <alignment horizontal="center" vertical="center" readingOrder="1"/>
    </xf>
    <xf numFmtId="0" fontId="11" fillId="0" borderId="1" xfId="0" applyFont="1" applyBorder="1" applyAlignment="1">
      <alignment horizontal="left" vertical="center" readingOrder="1"/>
    </xf>
    <xf numFmtId="0" fontId="10" fillId="0" borderId="1" xfId="0" applyFont="1" applyBorder="1" applyAlignment="1">
      <alignment horizontal="left" vertical="center" readingOrder="1"/>
    </xf>
    <xf numFmtId="0" fontId="9" fillId="0" borderId="1" xfId="0" applyFont="1" applyBorder="1" applyAlignment="1">
      <alignment vertical="top"/>
    </xf>
    <xf numFmtId="14" fontId="11" fillId="0" borderId="1" xfId="0" applyNumberFormat="1" applyFont="1" applyBorder="1" applyAlignment="1">
      <alignment horizontal="center" vertical="center" readingOrder="1"/>
    </xf>
    <xf numFmtId="14" fontId="11" fillId="0" borderId="1" xfId="0" applyNumberFormat="1" applyFont="1" applyBorder="1" applyAlignment="1">
      <alignment horizontal="left" vertical="center" readingOrder="1"/>
    </xf>
    <xf numFmtId="0" fontId="11" fillId="0" borderId="1" xfId="0" applyFont="1" applyBorder="1" applyAlignment="1">
      <alignment horizontal="center" vertical="center" readingOrder="1"/>
    </xf>
    <xf numFmtId="0" fontId="10" fillId="0" borderId="1" xfId="0" applyFont="1" applyBorder="1" applyAlignment="1">
      <alignment horizontal="center" readingOrder="1"/>
    </xf>
    <xf numFmtId="0" fontId="11" fillId="0" borderId="1" xfId="0" applyFont="1" applyBorder="1" applyAlignment="1">
      <alignment horizontal="left" readingOrder="1"/>
    </xf>
    <xf numFmtId="14" fontId="11" fillId="0" borderId="1" xfId="0" applyNumberFormat="1" applyFont="1" applyBorder="1" applyAlignment="1">
      <alignment horizontal="right" readingOrder="1"/>
    </xf>
    <xf numFmtId="0" fontId="11" fillId="0" borderId="1" xfId="0" applyFont="1" applyBorder="1" applyAlignment="1">
      <alignment horizontal="right" readingOrder="1"/>
    </xf>
    <xf numFmtId="0" fontId="0" fillId="2" borderId="2" xfId="0" applyFill="1" applyBorder="1" applyAlignment="1">
      <alignment horizontal="center"/>
    </xf>
    <xf numFmtId="2" fontId="11" fillId="3" borderId="1" xfId="0" applyNumberFormat="1" applyFont="1" applyFill="1" applyBorder="1" applyAlignment="1">
      <alignment horizontal="left" vertical="center" readingOrder="1"/>
    </xf>
    <xf numFmtId="170" fontId="9" fillId="3" borderId="1" xfId="0" applyNumberFormat="1" applyFont="1" applyFill="1" applyBorder="1" applyAlignment="1">
      <alignment horizontal="right" vertical="top"/>
    </xf>
    <xf numFmtId="0" fontId="0" fillId="2" borderId="3" xfId="0" applyFill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2" fontId="0" fillId="3" borderId="3" xfId="0" applyNumberFormat="1" applyFill="1" applyBorder="1"/>
    <xf numFmtId="10" fontId="0" fillId="3" borderId="0" xfId="1" applyNumberFormat="1" applyFont="1" applyFill="1"/>
    <xf numFmtId="10" fontId="0" fillId="0" borderId="0" xfId="1" applyNumberFormat="1" applyFont="1" applyFill="1"/>
    <xf numFmtId="0" fontId="0" fillId="2" borderId="0" xfId="0" applyFont="1" applyFill="1" applyAlignment="1">
      <alignment horizontal="center"/>
    </xf>
    <xf numFmtId="171" fontId="9" fillId="3" borderId="1" xfId="0" applyNumberFormat="1" applyFont="1" applyFill="1" applyBorder="1" applyAlignment="1">
      <alignment horizontal="right" vertical="top"/>
    </xf>
  </cellXfs>
  <cellStyles count="28">
    <cellStyle name="Accent1 - 20%" xfId="3" xr:uid="{00000000-0005-0000-0000-000000000000}"/>
    <cellStyle name="Accent1 - 40%" xfId="4" xr:uid="{00000000-0005-0000-0000-000001000000}"/>
    <cellStyle name="Accent1 - 60%" xfId="5" xr:uid="{00000000-0005-0000-0000-000002000000}"/>
    <cellStyle name="Accent2 - 20%" xfId="6" xr:uid="{00000000-0005-0000-0000-000003000000}"/>
    <cellStyle name="Accent2 - 40%" xfId="7" xr:uid="{00000000-0005-0000-0000-000004000000}"/>
    <cellStyle name="Accent2 - 60%" xfId="8" xr:uid="{00000000-0005-0000-0000-000005000000}"/>
    <cellStyle name="Accent3 - 20%" xfId="9" xr:uid="{00000000-0005-0000-0000-000006000000}"/>
    <cellStyle name="Accent3 - 40%" xfId="10" xr:uid="{00000000-0005-0000-0000-000007000000}"/>
    <cellStyle name="Accent3 - 60%" xfId="11" xr:uid="{00000000-0005-0000-0000-000008000000}"/>
    <cellStyle name="Accent4 - 20%" xfId="12" xr:uid="{00000000-0005-0000-0000-000009000000}"/>
    <cellStyle name="Accent4 - 40%" xfId="13" xr:uid="{00000000-0005-0000-0000-00000A000000}"/>
    <cellStyle name="Accent4 - 60%" xfId="14" xr:uid="{00000000-0005-0000-0000-00000B000000}"/>
    <cellStyle name="Accent5 - 20%" xfId="15" xr:uid="{00000000-0005-0000-0000-00000C000000}"/>
    <cellStyle name="Accent5 - 40%" xfId="16" xr:uid="{00000000-0005-0000-0000-00000D000000}"/>
    <cellStyle name="Accent5 - 60%" xfId="17" xr:uid="{00000000-0005-0000-0000-00000E000000}"/>
    <cellStyle name="Accent6 - 20%" xfId="18" xr:uid="{00000000-0005-0000-0000-00000F000000}"/>
    <cellStyle name="Accent6 - 40%" xfId="19" xr:uid="{00000000-0005-0000-0000-000010000000}"/>
    <cellStyle name="Accent6 - 60%" xfId="20" xr:uid="{00000000-0005-0000-0000-000011000000}"/>
    <cellStyle name="Emphasis 1" xfId="21" xr:uid="{00000000-0005-0000-0000-000012000000}"/>
    <cellStyle name="Emphasis 2" xfId="22" xr:uid="{00000000-0005-0000-0000-000013000000}"/>
    <cellStyle name="Emphasis 3" xfId="23" xr:uid="{00000000-0005-0000-0000-000014000000}"/>
    <cellStyle name="Normal" xfId="0" builtinId="0"/>
    <cellStyle name="Normal 2" xfId="24" xr:uid="{00000000-0005-0000-0000-000016000000}"/>
    <cellStyle name="Normal 3" xfId="2" xr:uid="{00000000-0005-0000-0000-000017000000}"/>
    <cellStyle name="Percent" xfId="1" builtinId="5"/>
    <cellStyle name="Percent 2" xfId="25" xr:uid="{00000000-0005-0000-0000-000019000000}"/>
    <cellStyle name="Sheet Title" xfId="26" xr:uid="{00000000-0005-0000-0000-00001A000000}"/>
    <cellStyle name="표준 2" xfId="2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1"/>
  <sheetViews>
    <sheetView topLeftCell="A25" workbookViewId="0">
      <selection activeCell="O56" sqref="O56"/>
    </sheetView>
  </sheetViews>
  <sheetFormatPr defaultRowHeight="15"/>
  <cols>
    <col min="4" max="4" width="15.42578125" bestFit="1" customWidth="1"/>
    <col min="5" max="5" width="12" bestFit="1" customWidth="1"/>
    <col min="6" max="6" width="20.42578125" bestFit="1" customWidth="1"/>
    <col min="9" max="9" width="10.5703125" bestFit="1" customWidth="1"/>
    <col min="14" max="14" width="21.140625" bestFit="1" customWidth="1"/>
    <col min="15" max="15" width="11.42578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  <c r="M1" t="s">
        <v>0</v>
      </c>
      <c r="N1" t="s">
        <v>1</v>
      </c>
      <c r="O1" t="s">
        <v>2</v>
      </c>
      <c r="P1" t="s">
        <v>3</v>
      </c>
    </row>
    <row r="2" spans="1:26">
      <c r="A2">
        <f>B2/(1+C2)^D2</f>
        <v>37888.877894574536</v>
      </c>
      <c r="B2">
        <v>47670</v>
      </c>
      <c r="C2" s="1">
        <v>4.7E-2</v>
      </c>
      <c r="D2">
        <v>5</v>
      </c>
      <c r="H2">
        <f>I2/(1+J2)^K2</f>
        <v>39408.784595064848</v>
      </c>
      <c r="I2">
        <v>47165</v>
      </c>
      <c r="J2" s="1">
        <f>4.5%/12</f>
        <v>3.7499999999999999E-3</v>
      </c>
      <c r="K2">
        <f>4*12</f>
        <v>48</v>
      </c>
      <c r="L2" t="s">
        <v>6</v>
      </c>
      <c r="M2">
        <f>N2/(1+O2)^P2</f>
        <v>7592.3790960412298</v>
      </c>
      <c r="N2">
        <v>47670</v>
      </c>
      <c r="O2" s="1">
        <v>4.7E-2</v>
      </c>
      <c r="P2">
        <f>2020-1980</f>
        <v>40</v>
      </c>
    </row>
    <row r="3" spans="1:26">
      <c r="A3">
        <v>25000</v>
      </c>
      <c r="B3">
        <f>A3*3</f>
        <v>75000</v>
      </c>
      <c r="C3">
        <f>1-(B3/A3)^(1/D3)</f>
        <v>-0.20093695517600274</v>
      </c>
      <c r="D3">
        <v>6</v>
      </c>
      <c r="H3" t="s">
        <v>6</v>
      </c>
      <c r="I3" t="s">
        <v>9</v>
      </c>
      <c r="J3" t="s">
        <v>5</v>
      </c>
      <c r="K3" t="s">
        <v>3</v>
      </c>
    </row>
    <row r="4" spans="1:26">
      <c r="B4">
        <f>A3*(1+(-1*C3))^D3</f>
        <v>75000.000000000029</v>
      </c>
      <c r="H4">
        <v>5000</v>
      </c>
      <c r="I4">
        <f>H4*(1+J4)^K4</f>
        <v>14993.516595911347</v>
      </c>
      <c r="J4" s="2">
        <f>4%</f>
        <v>0.04</v>
      </c>
      <c r="K4">
        <f>28</f>
        <v>28</v>
      </c>
      <c r="L4" t="s">
        <v>9</v>
      </c>
    </row>
    <row r="5" spans="1:26">
      <c r="A5">
        <f>D9</f>
        <v>8951.2244204912786</v>
      </c>
      <c r="B5">
        <f>A5*(1+C5)^D5</f>
        <v>11120.078125</v>
      </c>
      <c r="C5" s="1">
        <v>7.4999999999999997E-2</v>
      </c>
      <c r="D5">
        <v>3</v>
      </c>
      <c r="H5">
        <v>10000</v>
      </c>
      <c r="I5" s="7">
        <f>H5*(1+J5)^K5</f>
        <v>16714.431259299079</v>
      </c>
      <c r="J5" s="2">
        <f>5.17%/4</f>
        <v>1.2924999999999999E-2</v>
      </c>
      <c r="K5">
        <f>4*10</f>
        <v>40</v>
      </c>
      <c r="L5" t="s">
        <v>9</v>
      </c>
      <c r="Q5" t="s">
        <v>26</v>
      </c>
    </row>
    <row r="6" spans="1:26">
      <c r="A6">
        <v>3500</v>
      </c>
      <c r="B6">
        <f>A6*(1+C6)^D6</f>
        <v>6908.3793981440031</v>
      </c>
      <c r="C6" s="2">
        <v>0.12</v>
      </c>
      <c r="D6">
        <v>6</v>
      </c>
      <c r="I6" s="1">
        <v>0.09</v>
      </c>
      <c r="Q6" s="2">
        <v>0.12</v>
      </c>
    </row>
    <row r="7" spans="1:26">
      <c r="A7">
        <v>1</v>
      </c>
      <c r="B7">
        <v>2</v>
      </c>
      <c r="C7">
        <v>3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P7">
        <v>1</v>
      </c>
      <c r="Q7">
        <v>2</v>
      </c>
      <c r="R7">
        <v>3</v>
      </c>
      <c r="S7">
        <v>4</v>
      </c>
      <c r="T7">
        <v>5</v>
      </c>
      <c r="U7">
        <v>6</v>
      </c>
    </row>
    <row r="8" spans="1:26">
      <c r="A8">
        <v>3125</v>
      </c>
      <c r="B8">
        <v>3450</v>
      </c>
      <c r="C8">
        <v>3800</v>
      </c>
      <c r="H8">
        <v>0</v>
      </c>
      <c r="I8">
        <v>1000</v>
      </c>
      <c r="J8">
        <v>0</v>
      </c>
      <c r="K8">
        <v>2000</v>
      </c>
      <c r="L8">
        <v>1500</v>
      </c>
      <c r="M8">
        <v>0</v>
      </c>
      <c r="P8">
        <v>0</v>
      </c>
      <c r="Q8">
        <v>1000</v>
      </c>
      <c r="R8">
        <v>0</v>
      </c>
      <c r="S8">
        <v>2000</v>
      </c>
      <c r="T8">
        <v>1500</v>
      </c>
      <c r="U8">
        <v>0</v>
      </c>
    </row>
    <row r="9" spans="1:26" ht="75">
      <c r="A9">
        <f>A8/1.075^A7</f>
        <v>2906.9767441860467</v>
      </c>
      <c r="B9">
        <f t="shared" ref="B9:C9" si="0">B8/1.075^B7</f>
        <v>2985.3975121687399</v>
      </c>
      <c r="C9">
        <f t="shared" si="0"/>
        <v>3058.8501641364915</v>
      </c>
      <c r="D9">
        <f>SUM(A9:C9)</f>
        <v>8951.2244204912786</v>
      </c>
      <c r="H9">
        <f>H8/1.075^H7</f>
        <v>0</v>
      </c>
      <c r="I9">
        <f>I8/(1+I$6)^I7</f>
        <v>841.6799932665599</v>
      </c>
      <c r="J9">
        <f>J8/(1+$I6)^J7</f>
        <v>0</v>
      </c>
      <c r="K9">
        <f>K8/(1+$I6)^K7</f>
        <v>1416.8504221303929</v>
      </c>
      <c r="L9">
        <f t="shared" ref="L9:M9" si="1">L8/(1+$I6)^L7</f>
        <v>974.89707944751797</v>
      </c>
      <c r="M9">
        <f t="shared" si="1"/>
        <v>0</v>
      </c>
      <c r="N9">
        <f>SUM(H9:M9)</f>
        <v>3233.4274948444709</v>
      </c>
      <c r="O9" s="9" t="s">
        <v>46</v>
      </c>
      <c r="P9">
        <f>P8/1.075^P7</f>
        <v>0</v>
      </c>
      <c r="Q9">
        <f>Q8/(1+Q$6)^Q7</f>
        <v>797.19387755102025</v>
      </c>
      <c r="R9">
        <f>R8/(1+$I6)^R7</f>
        <v>0</v>
      </c>
      <c r="S9">
        <f>S8/(1+$Q6)^S7</f>
        <v>1271.0361568096623</v>
      </c>
      <c r="T9">
        <f>T8/(1+$Q6)^T7</f>
        <v>851.1402835778988</v>
      </c>
      <c r="U9">
        <f t="shared" ref="U9" si="2">U8/(1+$I6)^U7</f>
        <v>0</v>
      </c>
      <c r="Y9">
        <f>SUM(P9:U9)</f>
        <v>2919.3703179385811</v>
      </c>
      <c r="Z9" s="9" t="s">
        <v>47</v>
      </c>
    </row>
    <row r="10" spans="1:26">
      <c r="I10" s="1">
        <v>7.3899999999999993E-2</v>
      </c>
    </row>
    <row r="11" spans="1:26">
      <c r="A11">
        <v>5</v>
      </c>
      <c r="B11">
        <v>4</v>
      </c>
      <c r="C11">
        <v>3</v>
      </c>
      <c r="D11">
        <v>2</v>
      </c>
      <c r="E11">
        <v>1</v>
      </c>
      <c r="F11">
        <v>0</v>
      </c>
      <c r="H11">
        <v>5</v>
      </c>
      <c r="I11">
        <v>4</v>
      </c>
      <c r="J11">
        <v>3</v>
      </c>
      <c r="K11">
        <v>2</v>
      </c>
      <c r="L11">
        <v>1</v>
      </c>
      <c r="M11">
        <v>0</v>
      </c>
    </row>
    <row r="12" spans="1:26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H12">
        <v>0</v>
      </c>
      <c r="I12">
        <v>1000</v>
      </c>
      <c r="J12">
        <v>1000</v>
      </c>
      <c r="K12">
        <v>2000</v>
      </c>
      <c r="L12">
        <v>0</v>
      </c>
      <c r="M12">
        <v>0</v>
      </c>
    </row>
    <row r="13" spans="1:26" ht="75">
      <c r="A13">
        <f>A12*(1+12%)^A11</f>
        <v>6168.1958912000018</v>
      </c>
      <c r="B13">
        <f t="shared" ref="B13:F13" si="3">B12*(1+12%)^B11</f>
        <v>5507.3177600000017</v>
      </c>
      <c r="C13">
        <f t="shared" si="3"/>
        <v>4917.2480000000014</v>
      </c>
      <c r="D13">
        <f t="shared" si="3"/>
        <v>4390.4000000000005</v>
      </c>
      <c r="E13">
        <f t="shared" si="3"/>
        <v>3920.0000000000005</v>
      </c>
      <c r="F13">
        <f t="shared" si="3"/>
        <v>3500</v>
      </c>
      <c r="G13">
        <f>SUM(A13:F13)</f>
        <v>28403.161651200004</v>
      </c>
      <c r="H13">
        <f>H12*(1+12%)^H11</f>
        <v>0</v>
      </c>
      <c r="I13">
        <f>I12*(1+$I10)^I11</f>
        <v>1330.0114184906645</v>
      </c>
      <c r="J13">
        <f t="shared" ref="J13:M13" si="4">J12*(1+$I10)^J11</f>
        <v>1238.4872134190002</v>
      </c>
      <c r="K13">
        <f t="shared" si="4"/>
        <v>2306.5224200000002</v>
      </c>
      <c r="L13">
        <f t="shared" si="4"/>
        <v>0</v>
      </c>
      <c r="M13">
        <f t="shared" si="4"/>
        <v>0</v>
      </c>
      <c r="N13">
        <f>SUM(H13:M13)</f>
        <v>4875.0210519096654</v>
      </c>
      <c r="O13" s="9" t="s">
        <v>53</v>
      </c>
    </row>
    <row r="14" spans="1:26">
      <c r="A14" t="s">
        <v>4</v>
      </c>
      <c r="B14" t="s">
        <v>5</v>
      </c>
      <c r="C14" t="s">
        <v>6</v>
      </c>
      <c r="D14" t="s">
        <v>7</v>
      </c>
    </row>
    <row r="15" spans="1:26">
      <c r="A15">
        <v>11444</v>
      </c>
      <c r="B15" s="2">
        <v>7.0000000000000007E-2</v>
      </c>
      <c r="C15">
        <f>A15/B15</f>
        <v>163485.71428571426</v>
      </c>
      <c r="H15" t="s">
        <v>4</v>
      </c>
      <c r="I15" t="s">
        <v>5</v>
      </c>
      <c r="J15" t="s">
        <v>3</v>
      </c>
      <c r="K15" t="s">
        <v>6</v>
      </c>
    </row>
    <row r="16" spans="1:26">
      <c r="H16">
        <f>(K16/(1-(1/(1+I16)^J16)))*I16</f>
        <v>411.65716292303529</v>
      </c>
      <c r="I16" s="2">
        <f>5.13%/12</f>
        <v>4.2750000000000002E-3</v>
      </c>
      <c r="J16">
        <f>7*12</f>
        <v>84</v>
      </c>
      <c r="K16">
        <v>29000</v>
      </c>
      <c r="L16" t="s">
        <v>40</v>
      </c>
    </row>
    <row r="17" spans="1:12">
      <c r="A17" t="s">
        <v>4</v>
      </c>
      <c r="B17" t="s">
        <v>5</v>
      </c>
      <c r="C17" t="s">
        <v>3</v>
      </c>
      <c r="D17" t="s">
        <v>6</v>
      </c>
      <c r="H17" t="s">
        <v>4</v>
      </c>
      <c r="I17" t="s">
        <v>5</v>
      </c>
      <c r="J17" t="s">
        <v>3</v>
      </c>
      <c r="K17" t="s">
        <v>6</v>
      </c>
    </row>
    <row r="18" spans="1:12">
      <c r="A18">
        <v>37250</v>
      </c>
      <c r="B18" s="2">
        <v>0.15</v>
      </c>
      <c r="C18">
        <v>5</v>
      </c>
      <c r="D18">
        <f>A18/B18*(1-1/(1+B18)^C18)</f>
        <v>124867.77740092469</v>
      </c>
      <c r="E18" t="s">
        <v>40</v>
      </c>
      <c r="H18">
        <v>9000</v>
      </c>
      <c r="I18" s="2">
        <v>0.15</v>
      </c>
      <c r="J18">
        <v>5</v>
      </c>
      <c r="K18">
        <f>H18/I18*(1-1/(1+I18)^J18)</f>
        <v>30169.395882102606</v>
      </c>
      <c r="L18" t="s">
        <v>40</v>
      </c>
    </row>
    <row r="20" spans="1:12">
      <c r="A20" t="s">
        <v>4</v>
      </c>
      <c r="B20" t="s">
        <v>5</v>
      </c>
      <c r="C20" t="s">
        <v>8</v>
      </c>
      <c r="D20" t="s">
        <v>6</v>
      </c>
      <c r="H20" t="s">
        <v>4</v>
      </c>
      <c r="I20" t="s">
        <v>5</v>
      </c>
      <c r="J20" t="s">
        <v>8</v>
      </c>
      <c r="K20" t="s">
        <v>6</v>
      </c>
    </row>
    <row r="21" spans="1:12">
      <c r="A21">
        <v>500</v>
      </c>
      <c r="B21" s="2">
        <f>6%/12</f>
        <v>5.0000000000000001E-3</v>
      </c>
      <c r="C21">
        <f>(6*12)-(2*12)</f>
        <v>48</v>
      </c>
      <c r="D21">
        <f>A21/B21*(1-1/(1+B21)^C21)</f>
        <v>21290.158891412459</v>
      </c>
      <c r="E21" t="s">
        <v>40</v>
      </c>
      <c r="H21">
        <v>9000</v>
      </c>
      <c r="I21" s="2">
        <f>5.3%/12</f>
        <v>4.4166666666666668E-3</v>
      </c>
      <c r="J21">
        <f>(15*12)-(4*12)</f>
        <v>132</v>
      </c>
      <c r="K21">
        <f>H21/I21*(1-1/(1+I21)^J21)</f>
        <v>898767.38855066989</v>
      </c>
      <c r="L21" t="s">
        <v>40</v>
      </c>
    </row>
    <row r="23" spans="1:12">
      <c r="A23" t="s">
        <v>4</v>
      </c>
      <c r="B23" t="s">
        <v>5</v>
      </c>
      <c r="C23" t="s">
        <v>3</v>
      </c>
      <c r="D23" t="s">
        <v>9</v>
      </c>
      <c r="H23" t="s">
        <v>4</v>
      </c>
      <c r="I23" t="s">
        <v>5</v>
      </c>
      <c r="J23" t="s">
        <v>3</v>
      </c>
      <c r="K23" t="s">
        <v>9</v>
      </c>
    </row>
    <row r="24" spans="1:12">
      <c r="A24">
        <f>(D24*B24)/((1+B24)^C24-1)</f>
        <v>4261.4113641709118</v>
      </c>
      <c r="B24" s="2">
        <v>0.08</v>
      </c>
      <c r="C24">
        <v>5</v>
      </c>
      <c r="D24">
        <v>25000</v>
      </c>
      <c r="H24">
        <f>((K24)/((1+I24)^J24-1))*I24</f>
        <v>2058.1117788438837</v>
      </c>
      <c r="I24" s="1">
        <f>5.91%/12</f>
        <v>4.9249999999999997E-3</v>
      </c>
      <c r="J24">
        <f>40*12</f>
        <v>480</v>
      </c>
      <c r="K24">
        <v>4000000</v>
      </c>
      <c r="L24" t="s">
        <v>49</v>
      </c>
    </row>
    <row r="25" spans="1:12">
      <c r="A25">
        <v>4000</v>
      </c>
      <c r="B25" s="2">
        <f>6.17%/12</f>
        <v>5.1416666666666668E-3</v>
      </c>
      <c r="C25">
        <f>3*12</f>
        <v>36</v>
      </c>
      <c r="D25">
        <f>A25/B25*((1+B25)^C25-1)</f>
        <v>157745.14329386561</v>
      </c>
      <c r="E25" t="s">
        <v>41</v>
      </c>
      <c r="H25">
        <v>3000</v>
      </c>
      <c r="I25" s="2">
        <f>7.38%/12</f>
        <v>6.1500000000000001E-3</v>
      </c>
      <c r="J25">
        <f>(15*12)-(7*12)</f>
        <v>96</v>
      </c>
      <c r="K25">
        <f>H25/I25*(1-(1/(1+I25)^J25))</f>
        <v>217020.30901425015</v>
      </c>
      <c r="L25" t="s">
        <v>54</v>
      </c>
    </row>
    <row r="26" spans="1:12">
      <c r="H26" t="s">
        <v>4</v>
      </c>
      <c r="I26" t="s">
        <v>5</v>
      </c>
      <c r="J26" t="s">
        <v>3</v>
      </c>
      <c r="K26" t="s">
        <v>9</v>
      </c>
    </row>
    <row r="27" spans="1:12">
      <c r="A27">
        <f>(12000*B27)/(((1+B27)^C27-1)*(1+B27))</f>
        <v>2538.1604269653453</v>
      </c>
      <c r="B27" s="1">
        <v>6.8000000000000005E-2</v>
      </c>
      <c r="C27">
        <v>4</v>
      </c>
      <c r="D27">
        <v>12000</v>
      </c>
      <c r="E27" t="s">
        <v>43</v>
      </c>
      <c r="H27">
        <f>(K27*I27)/(((1+I27)^J27-1)*(1+I27))</f>
        <v>75406.773994207586</v>
      </c>
      <c r="I27" s="1">
        <f>9.49%/12</f>
        <v>7.9083333333333332E-3</v>
      </c>
      <c r="J27">
        <f>2*12</f>
        <v>24</v>
      </c>
      <c r="K27">
        <v>2000000</v>
      </c>
      <c r="L27" t="s">
        <v>43</v>
      </c>
    </row>
    <row r="28" spans="1:12">
      <c r="A28">
        <v>2500</v>
      </c>
      <c r="B28" s="2">
        <v>0.12</v>
      </c>
      <c r="C28">
        <v>7</v>
      </c>
      <c r="D28">
        <f>A28/B28*((1+B28)^C28-1)*(1+B28)</f>
        <v>28249.232839475229</v>
      </c>
      <c r="E28" t="s">
        <v>42</v>
      </c>
      <c r="H28">
        <v>5000</v>
      </c>
      <c r="I28" s="2">
        <f>3.36%/12</f>
        <v>2.8E-3</v>
      </c>
      <c r="J28">
        <f>13*12</f>
        <v>156</v>
      </c>
      <c r="K28">
        <f>H28/I28*((1+I28)^J28-1)*(1+I28)</f>
        <v>979166.27852674178</v>
      </c>
      <c r="L28" t="s">
        <v>42</v>
      </c>
    </row>
    <row r="30" spans="1:12">
      <c r="A30" t="s">
        <v>10</v>
      </c>
      <c r="B30" t="s">
        <v>5</v>
      </c>
      <c r="C30" t="s">
        <v>11</v>
      </c>
      <c r="D30" t="s">
        <v>12</v>
      </c>
      <c r="E30" t="s">
        <v>6</v>
      </c>
      <c r="H30" t="s">
        <v>4</v>
      </c>
      <c r="I30" t="s">
        <v>5</v>
      </c>
      <c r="J30" t="s">
        <v>44</v>
      </c>
      <c r="K30" t="s">
        <v>45</v>
      </c>
    </row>
    <row r="31" spans="1:12">
      <c r="A31" s="3">
        <v>1000000</v>
      </c>
      <c r="B31" s="2">
        <v>0.15</v>
      </c>
      <c r="C31">
        <v>5</v>
      </c>
      <c r="D31" s="2">
        <v>0.05</v>
      </c>
      <c r="E31">
        <f>(A31/(B31-D31))*(1-(((1+D31)^C31)/((1+B31)^C31)))</f>
        <v>3654624.9943484967</v>
      </c>
      <c r="H31">
        <v>114</v>
      </c>
      <c r="I31" s="1">
        <v>9.9199999999999997E-2</v>
      </c>
      <c r="J31">
        <f>H31/I31</f>
        <v>1149.1935483870968</v>
      </c>
    </row>
    <row r="32" spans="1:12">
      <c r="A32" s="3">
        <v>1000000</v>
      </c>
      <c r="B32" s="2">
        <v>0.15</v>
      </c>
      <c r="C32">
        <v>5</v>
      </c>
      <c r="D32" s="2">
        <v>0.05</v>
      </c>
      <c r="E32">
        <f>(A32/(B32-D32))*(1-(((1+D32)^C32)/((1+B32)^C32)))</f>
        <v>3654624.9943484967</v>
      </c>
      <c r="F32">
        <f>E32/(1+B32)</f>
        <v>3177934.777694345</v>
      </c>
      <c r="H32">
        <v>116</v>
      </c>
      <c r="I32" s="1">
        <v>5.8500000000000003E-2</v>
      </c>
      <c r="J32">
        <f>H32/I32</f>
        <v>1982.9059829059827</v>
      </c>
    </row>
    <row r="34" spans="1:11">
      <c r="A34">
        <v>171420</v>
      </c>
      <c r="B34" s="1">
        <f>8.1%/12</f>
        <v>6.7499999999999999E-3</v>
      </c>
      <c r="C34">
        <f>257-34</f>
        <v>223</v>
      </c>
      <c r="D34" s="4">
        <f>A34/B34*(1-1/(1+B34)^C34)</f>
        <v>19730132.030079033</v>
      </c>
    </row>
    <row r="35" spans="1:11">
      <c r="A35">
        <f>(D35*B35)/(1-1/(1+B35)^C35)</f>
        <v>91819.782565211761</v>
      </c>
      <c r="B35" s="1">
        <f>9.49%/12</f>
        <v>7.9083333333333332E-3</v>
      </c>
      <c r="C35">
        <f>12*2</f>
        <v>24</v>
      </c>
      <c r="D35">
        <v>2000000</v>
      </c>
    </row>
    <row r="37" spans="1:11">
      <c r="A37" t="s">
        <v>6</v>
      </c>
      <c r="B37" t="s">
        <v>9</v>
      </c>
      <c r="C37" t="s">
        <v>11</v>
      </c>
      <c r="D37" t="s">
        <v>5</v>
      </c>
    </row>
    <row r="38" spans="1:11">
      <c r="A38">
        <f>B38/(1+D38)^C38</f>
        <v>11275.102940984216</v>
      </c>
      <c r="B38">
        <v>15000</v>
      </c>
      <c r="C38">
        <f>5*4</f>
        <v>20</v>
      </c>
      <c r="D38">
        <f>5.75%/4</f>
        <v>1.4375000000000001E-2</v>
      </c>
    </row>
    <row r="40" spans="1:11">
      <c r="A40" t="s">
        <v>6</v>
      </c>
      <c r="B40" t="s">
        <v>13</v>
      </c>
      <c r="C40" t="s">
        <v>11</v>
      </c>
      <c r="D40" t="s">
        <v>5</v>
      </c>
      <c r="H40" t="s">
        <v>6</v>
      </c>
      <c r="I40" t="s">
        <v>13</v>
      </c>
      <c r="J40" t="s">
        <v>11</v>
      </c>
      <c r="K40" t="s">
        <v>5</v>
      </c>
    </row>
    <row r="41" spans="1:11">
      <c r="A41">
        <v>152300</v>
      </c>
      <c r="B41">
        <f>(1+D41/C41)^C41-1</f>
        <v>0.12466036397476699</v>
      </c>
      <c r="C41">
        <v>365</v>
      </c>
      <c r="D41" s="1">
        <v>0.11749999999999999</v>
      </c>
      <c r="H41">
        <v>152300</v>
      </c>
      <c r="I41">
        <f>(1+K41/J41)^J41-1</f>
        <v>0.12466036397476699</v>
      </c>
      <c r="J41">
        <v>365</v>
      </c>
      <c r="K41" s="1">
        <v>0.11749999999999999</v>
      </c>
    </row>
    <row r="43" spans="1:11">
      <c r="A43" t="s">
        <v>6</v>
      </c>
      <c r="B43" t="s">
        <v>9</v>
      </c>
      <c r="C43" t="s">
        <v>11</v>
      </c>
      <c r="D43" t="s">
        <v>5</v>
      </c>
    </row>
    <row r="44" spans="1:11">
      <c r="A44">
        <v>3500</v>
      </c>
      <c r="B44">
        <f>A44*(1+D44/4)^C44</f>
        <v>5130.1767307350865</v>
      </c>
      <c r="C44">
        <f>7*4</f>
        <v>28</v>
      </c>
      <c r="D44" s="1">
        <v>5.5E-2</v>
      </c>
    </row>
    <row r="46" spans="1:11">
      <c r="A46" t="s">
        <v>6</v>
      </c>
      <c r="B46" t="s">
        <v>9</v>
      </c>
      <c r="C46" t="s">
        <v>15</v>
      </c>
      <c r="D46" t="s">
        <v>14</v>
      </c>
    </row>
    <row r="47" spans="1:11">
      <c r="A47" s="6">
        <f>B47/(1+D47)^C47</f>
        <v>4485.4341479232125</v>
      </c>
      <c r="B47">
        <v>9000</v>
      </c>
      <c r="C47">
        <v>14</v>
      </c>
      <c r="D47" s="1">
        <v>5.0999999999999997E-2</v>
      </c>
    </row>
    <row r="49" spans="1:18">
      <c r="A49" t="s">
        <v>16</v>
      </c>
      <c r="B49" t="s">
        <v>9</v>
      </c>
      <c r="C49" t="s">
        <v>15</v>
      </c>
      <c r="D49" t="s">
        <v>14</v>
      </c>
      <c r="E49" t="s">
        <v>18</v>
      </c>
      <c r="F49" t="s">
        <v>17</v>
      </c>
      <c r="H49" t="s">
        <v>16</v>
      </c>
      <c r="I49" t="s">
        <v>9</v>
      </c>
      <c r="J49" t="s">
        <v>15</v>
      </c>
      <c r="K49" t="s">
        <v>14</v>
      </c>
      <c r="L49" t="s">
        <v>18</v>
      </c>
      <c r="P49">
        <v>20</v>
      </c>
      <c r="Q49">
        <v>30</v>
      </c>
      <c r="R49">
        <v>5</v>
      </c>
    </row>
    <row r="50" spans="1:18">
      <c r="A50">
        <f>E50/D50*(1-(1/(1+D50)^C50))+B50/(1+D50)^C50</f>
        <v>866.93265865070316</v>
      </c>
      <c r="B50">
        <v>1000</v>
      </c>
      <c r="C50">
        <f>10*F50</f>
        <v>20</v>
      </c>
      <c r="D50">
        <f>8.02%/F50</f>
        <v>4.0099999999999997E-2</v>
      </c>
      <c r="E50">
        <f>(6.06%*B50)/F50</f>
        <v>30.299999999999997</v>
      </c>
      <c r="F50">
        <v>2</v>
      </c>
      <c r="H50">
        <f>L50/K50*(1-(1/(1+K50)^J50))+I50/(1+K50)^J50</f>
        <v>877.81382848567</v>
      </c>
      <c r="I50">
        <v>1000</v>
      </c>
      <c r="J50">
        <v>19</v>
      </c>
      <c r="K50">
        <f>6.29%/M50</f>
        <v>6.2899999999999998E-2</v>
      </c>
      <c r="L50">
        <f>(5.17%*I50)/M50</f>
        <v>51.699999999999996</v>
      </c>
      <c r="M50">
        <v>1</v>
      </c>
      <c r="P50">
        <v>857.87596698047741</v>
      </c>
      <c r="Q50">
        <v>750.55265881751495</v>
      </c>
      <c r="R50">
        <v>916.83394677422064</v>
      </c>
    </row>
    <row r="51" spans="1:18">
      <c r="P51">
        <v>688.44474143650029</v>
      </c>
      <c r="Q51">
        <v>526.76776187324708</v>
      </c>
      <c r="R51">
        <v>806.95662677037967</v>
      </c>
    </row>
    <row r="52" spans="1:18">
      <c r="A52">
        <v>110</v>
      </c>
      <c r="B52">
        <v>100</v>
      </c>
      <c r="C52">
        <v>2</v>
      </c>
      <c r="D52">
        <f>((10/11)^0.5)-1</f>
        <v>-4.6537410754407649E-2</v>
      </c>
      <c r="P52">
        <f>P50-P51</f>
        <v>169.43122554397712</v>
      </c>
      <c r="Q52">
        <f>Q50-Q51</f>
        <v>223.78489694426787</v>
      </c>
      <c r="R52">
        <f>R50-R51</f>
        <v>109.87732000384096</v>
      </c>
    </row>
    <row r="54" spans="1:18">
      <c r="A54" t="s">
        <v>19</v>
      </c>
      <c r="B54" t="s">
        <v>20</v>
      </c>
      <c r="C54" t="s">
        <v>21</v>
      </c>
    </row>
    <row r="55" spans="1:18">
      <c r="A55" s="12">
        <f>((1+C55)/(1+B55))-1</f>
        <v>-1.8691588785046731E-2</v>
      </c>
      <c r="B55" s="2">
        <v>7.0000000000000007E-2</v>
      </c>
      <c r="C55" s="2">
        <v>0.05</v>
      </c>
    </row>
    <row r="56" spans="1:18">
      <c r="A56" s="2">
        <v>0.09</v>
      </c>
      <c r="B56" s="2">
        <v>0.08</v>
      </c>
      <c r="C56" s="12">
        <f>((1+A56)*(1+B56))-1</f>
        <v>0.17720000000000025</v>
      </c>
    </row>
    <row r="57" spans="1:18">
      <c r="A57" s="2">
        <v>0.08</v>
      </c>
      <c r="B57" s="13">
        <f>((1+C57)/(1+A57))-1</f>
        <v>-2.777777777777779E-2</v>
      </c>
      <c r="C57" s="2">
        <v>0.05</v>
      </c>
    </row>
    <row r="58" spans="1:18">
      <c r="A58" s="1">
        <f>(1+C58)/(1+B58)-1</f>
        <v>-1.8691588785046731E-2</v>
      </c>
      <c r="B58" s="10">
        <v>7.0000000000000007E-2</v>
      </c>
      <c r="C58" s="2">
        <v>0.05</v>
      </c>
    </row>
    <row r="59" spans="1:18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11</v>
      </c>
    </row>
    <row r="60" spans="1:18">
      <c r="A60">
        <f>(B60/(1+E60))+((C60+D60)/(1+E60)^2)</f>
        <v>78.400000000000006</v>
      </c>
      <c r="B60">
        <v>10</v>
      </c>
      <c r="C60">
        <v>10</v>
      </c>
      <c r="D60">
        <v>100</v>
      </c>
      <c r="E60" s="2">
        <v>0.25</v>
      </c>
    </row>
    <row r="62" spans="1:18">
      <c r="A62">
        <f>(B62*F62)/E62</f>
        <v>65.882352941176464</v>
      </c>
      <c r="B62">
        <v>1.4</v>
      </c>
      <c r="E62" s="1">
        <v>8.5000000000000006E-2</v>
      </c>
      <c r="F62">
        <v>4</v>
      </c>
    </row>
    <row r="63" spans="1:18">
      <c r="A63" t="s">
        <v>22</v>
      </c>
      <c r="B63" t="s">
        <v>27</v>
      </c>
      <c r="C63" t="s">
        <v>26</v>
      </c>
      <c r="D63" t="s">
        <v>12</v>
      </c>
    </row>
    <row r="64" spans="1:18">
      <c r="A64">
        <f>(B64*(1+D64))/(C64-D64)</f>
        <v>46.285714285714292</v>
      </c>
      <c r="B64">
        <v>3</v>
      </c>
      <c r="C64" s="2">
        <v>0.15</v>
      </c>
      <c r="D64" s="2">
        <v>0.08</v>
      </c>
    </row>
    <row r="66" spans="1:34">
      <c r="A66" t="s">
        <v>6</v>
      </c>
      <c r="B66" t="s">
        <v>9</v>
      </c>
      <c r="C66" t="s">
        <v>12</v>
      </c>
    </row>
    <row r="67" spans="1:34">
      <c r="A67">
        <f>A64</f>
        <v>46.285714285714292</v>
      </c>
      <c r="B67">
        <f>A67*(1+C67)^D67</f>
        <v>58.306669714285732</v>
      </c>
      <c r="C67" s="2">
        <v>0.08</v>
      </c>
      <c r="D67">
        <v>3</v>
      </c>
      <c r="E67" s="2"/>
    </row>
    <row r="69" spans="1:34">
      <c r="A69" t="s">
        <v>28</v>
      </c>
      <c r="B69" t="s">
        <v>29</v>
      </c>
      <c r="C69" t="s">
        <v>12</v>
      </c>
      <c r="D69" t="s">
        <v>26</v>
      </c>
    </row>
    <row r="70" spans="1:34">
      <c r="A70">
        <v>5</v>
      </c>
      <c r="B70">
        <f>(A70*(1+C70))/(D70-C70)</f>
        <v>108</v>
      </c>
      <c r="C70" s="2">
        <v>0.08</v>
      </c>
      <c r="D70" s="2">
        <v>0.13</v>
      </c>
    </row>
    <row r="72" spans="1:34">
      <c r="A72" t="s">
        <v>23</v>
      </c>
      <c r="B72" t="s">
        <v>24</v>
      </c>
      <c r="C72" t="s">
        <v>12</v>
      </c>
      <c r="D72" t="s">
        <v>26</v>
      </c>
      <c r="E72" t="s">
        <v>29</v>
      </c>
      <c r="F72" t="s">
        <v>25</v>
      </c>
      <c r="G72" t="s">
        <v>30</v>
      </c>
      <c r="K72" t="s">
        <v>23</v>
      </c>
      <c r="L72" t="s">
        <v>24</v>
      </c>
      <c r="M72" t="s">
        <v>12</v>
      </c>
      <c r="N72" t="s">
        <v>26</v>
      </c>
      <c r="O72" t="s">
        <v>29</v>
      </c>
      <c r="P72" t="s">
        <v>25</v>
      </c>
      <c r="Q72" t="s">
        <v>30</v>
      </c>
      <c r="T72" t="s">
        <v>23</v>
      </c>
      <c r="U72" t="s">
        <v>24</v>
      </c>
      <c r="V72" t="s">
        <v>55</v>
      </c>
      <c r="W72" t="s">
        <v>56</v>
      </c>
      <c r="X72" t="s">
        <v>57</v>
      </c>
      <c r="Y72" t="s">
        <v>12</v>
      </c>
      <c r="Z72" t="s">
        <v>26</v>
      </c>
      <c r="AA72" t="s">
        <v>29</v>
      </c>
      <c r="AB72" t="s">
        <v>25</v>
      </c>
      <c r="AF72" t="s">
        <v>30</v>
      </c>
    </row>
    <row r="73" spans="1:34">
      <c r="A73">
        <v>10</v>
      </c>
      <c r="B73">
        <v>10</v>
      </c>
      <c r="C73" s="2">
        <v>0.15</v>
      </c>
      <c r="D73" s="2">
        <v>0.25</v>
      </c>
      <c r="E73">
        <f>A73/(1+D73)</f>
        <v>8</v>
      </c>
      <c r="F73">
        <f>10/(1+D73)^2</f>
        <v>6.4</v>
      </c>
      <c r="G73">
        <f>(B73*(1+C73))/(D73-C73)</f>
        <v>115</v>
      </c>
      <c r="H73">
        <f>G73/(1+D73)^2</f>
        <v>73.599999999999994</v>
      </c>
      <c r="I73">
        <f>SUM(E73:F73,H73)</f>
        <v>88</v>
      </c>
      <c r="K73">
        <v>0.5</v>
      </c>
      <c r="L73">
        <v>0.5</v>
      </c>
      <c r="M73" s="2">
        <v>0.24</v>
      </c>
      <c r="N73" s="2">
        <v>0.16</v>
      </c>
      <c r="O73">
        <f>K73*(1+M73)</f>
        <v>0.62</v>
      </c>
      <c r="P73">
        <f>L73*(1+M73)^2</f>
        <v>0.76880000000000004</v>
      </c>
      <c r="Q73">
        <f>(L73*(1+M74)^2)/(N73-M74)</f>
        <v>7.2900000000000009</v>
      </c>
      <c r="S73">
        <f>SUM(O73:P73,Q73)</f>
        <v>8.6788000000000007</v>
      </c>
      <c r="T73">
        <v>0.25</v>
      </c>
      <c r="U73">
        <v>0.4</v>
      </c>
      <c r="V73">
        <v>0.6</v>
      </c>
      <c r="W73">
        <v>0.75</v>
      </c>
      <c r="X73">
        <v>0</v>
      </c>
      <c r="Y73" s="8">
        <v>3.5000000000000003E-2</v>
      </c>
      <c r="Z73" s="2">
        <v>0.12</v>
      </c>
      <c r="AA73">
        <f>T73/(1+Z73)</f>
        <v>0.2232142857142857</v>
      </c>
      <c r="AB73">
        <f>U73/(1+Z73)^2</f>
        <v>0.31887755102040816</v>
      </c>
      <c r="AC73">
        <f>V73/(1+Z73)^3</f>
        <v>0.42706814868804649</v>
      </c>
      <c r="AD73">
        <f>W73/(1+Z73)^4</f>
        <v>0.47663855880362338</v>
      </c>
      <c r="AE73">
        <f>X73/(1+Z73)^5</f>
        <v>0</v>
      </c>
      <c r="AF73">
        <f>(W73*(1+Y73))/(Z73-Y73)</f>
        <v>9.1323529411764692</v>
      </c>
      <c r="AG73">
        <f>AF73/(1+Z73)^4</f>
        <v>5.8037753924911781</v>
      </c>
      <c r="AH73">
        <f>SUM(AA73:AE73,AG73)</f>
        <v>7.2495739367175425</v>
      </c>
    </row>
    <row r="74" spans="1:34">
      <c r="M74" s="2">
        <v>0.08</v>
      </c>
      <c r="O74">
        <f>O73/(1+N73)</f>
        <v>0.53448275862068972</v>
      </c>
      <c r="P74">
        <f>P73/(1+N73)^2</f>
        <v>0.57134363852556491</v>
      </c>
      <c r="Q74">
        <f>Q73/(1+N73)^2</f>
        <v>5.4176575505350781</v>
      </c>
      <c r="S74">
        <f>SUM(O74:P74,Q74)</f>
        <v>6.5234839476813331</v>
      </c>
      <c r="T74" t="s">
        <v>23</v>
      </c>
      <c r="U74" t="s">
        <v>24</v>
      </c>
      <c r="V74" t="s">
        <v>55</v>
      </c>
      <c r="W74" t="s">
        <v>56</v>
      </c>
      <c r="X74" t="s">
        <v>57</v>
      </c>
      <c r="Y74" t="s">
        <v>12</v>
      </c>
      <c r="Z74" t="s">
        <v>26</v>
      </c>
      <c r="AA74" t="s">
        <v>29</v>
      </c>
      <c r="AB74" t="s">
        <v>25</v>
      </c>
      <c r="AF74" t="s">
        <v>30</v>
      </c>
    </row>
    <row r="75" spans="1:34">
      <c r="A75" t="s">
        <v>22</v>
      </c>
      <c r="B75" t="s">
        <v>27</v>
      </c>
      <c r="C75" t="s">
        <v>12</v>
      </c>
      <c r="D75" t="s">
        <v>26</v>
      </c>
      <c r="E75" t="s">
        <v>32</v>
      </c>
      <c r="T75">
        <v>3</v>
      </c>
      <c r="U75">
        <v>5</v>
      </c>
      <c r="V75">
        <v>7.5</v>
      </c>
      <c r="W75">
        <v>10</v>
      </c>
      <c r="X75">
        <v>2.5</v>
      </c>
      <c r="Y75" s="2">
        <v>0</v>
      </c>
      <c r="Z75" s="2">
        <v>0.15</v>
      </c>
      <c r="AA75">
        <f>T75/(1+Z75)</f>
        <v>2.6086956521739131</v>
      </c>
      <c r="AB75">
        <f>U75/(1+Z75)^2</f>
        <v>3.7807183364839325</v>
      </c>
      <c r="AC75">
        <f>V75/(1+Z75)^3</f>
        <v>4.9313717432399127</v>
      </c>
      <c r="AD75">
        <f>W75/(1+Z75)^4</f>
        <v>5.7175324559303338</v>
      </c>
      <c r="AF75">
        <f>(X75*(1+Y75))/(Z75-Y75)</f>
        <v>16.666666666666668</v>
      </c>
      <c r="AG75">
        <f>AF75/(1+Z75)^4</f>
        <v>9.5292207598838896</v>
      </c>
      <c r="AH75">
        <f>SUM(AA75:AE75,AG75)</f>
        <v>26.567538947711981</v>
      </c>
    </row>
    <row r="76" spans="1:34">
      <c r="A76">
        <v>50</v>
      </c>
      <c r="B76">
        <v>2.5</v>
      </c>
      <c r="C76" s="2">
        <v>7.0000000000000007E-2</v>
      </c>
      <c r="D76" s="2">
        <v>0.12</v>
      </c>
      <c r="E76">
        <f>A76*(1+C76)^5</f>
        <v>70.127586535000006</v>
      </c>
      <c r="T76" t="s">
        <v>23</v>
      </c>
      <c r="U76" t="s">
        <v>24</v>
      </c>
      <c r="V76" t="s">
        <v>55</v>
      </c>
      <c r="W76" t="s">
        <v>56</v>
      </c>
      <c r="X76" t="s">
        <v>57</v>
      </c>
      <c r="Y76" t="s">
        <v>12</v>
      </c>
      <c r="Z76" t="s">
        <v>26</v>
      </c>
      <c r="AA76" t="s">
        <v>29</v>
      </c>
      <c r="AB76" t="s">
        <v>25</v>
      </c>
      <c r="AF76" t="s">
        <v>30</v>
      </c>
    </row>
    <row r="77" spans="1:34">
      <c r="T77">
        <v>2</v>
      </c>
      <c r="U77">
        <v>3</v>
      </c>
      <c r="V77">
        <v>32</v>
      </c>
      <c r="W77">
        <v>0</v>
      </c>
      <c r="X77">
        <v>0</v>
      </c>
      <c r="Y77" s="2">
        <v>0</v>
      </c>
      <c r="Z77" s="2">
        <v>0.15</v>
      </c>
      <c r="AA77">
        <f>T77/(1+Z77)</f>
        <v>1.7391304347826089</v>
      </c>
      <c r="AB77">
        <f>U77/(1+Z77)^2</f>
        <v>2.2684310018903595</v>
      </c>
      <c r="AC77">
        <f>V77/(1+Z77)^2</f>
        <v>24.196597353497168</v>
      </c>
      <c r="AD77">
        <f>W77/(1+Z77)^4</f>
        <v>0</v>
      </c>
      <c r="AE77">
        <f>X77/(1+Z77)^5</f>
        <v>0</v>
      </c>
      <c r="AF77">
        <f>(W77*(1+Y77))/(Z77-Y77)</f>
        <v>0</v>
      </c>
      <c r="AG77">
        <f>AF77/(1+Z77)^4</f>
        <v>0</v>
      </c>
      <c r="AH77">
        <f>SUM(AA77:AE77,AG77)</f>
        <v>28.204158790170137</v>
      </c>
    </row>
    <row r="78" spans="1:34">
      <c r="A78" t="s">
        <v>33</v>
      </c>
      <c r="B78" t="s">
        <v>34</v>
      </c>
      <c r="C78" t="s">
        <v>35</v>
      </c>
      <c r="D78" t="s">
        <v>2</v>
      </c>
      <c r="E78" t="s">
        <v>36</v>
      </c>
      <c r="F78" t="s">
        <v>12</v>
      </c>
      <c r="G78" t="s">
        <v>22</v>
      </c>
    </row>
    <row r="79" spans="1:34">
      <c r="A79" s="2">
        <v>0.06</v>
      </c>
      <c r="B79" s="2">
        <v>0.4</v>
      </c>
      <c r="C79">
        <v>4</v>
      </c>
      <c r="D79" s="2">
        <v>0.08</v>
      </c>
      <c r="E79">
        <f>C79*(1-B79)</f>
        <v>2.4</v>
      </c>
      <c r="F79" s="1">
        <f>A79*B79</f>
        <v>2.4E-2</v>
      </c>
      <c r="G79">
        <f>E79/(D79-F79)</f>
        <v>42.857142857142854</v>
      </c>
      <c r="H79">
        <f>C79/(1-B79)</f>
        <v>6.666666666666667</v>
      </c>
      <c r="I79">
        <f>H79/D79</f>
        <v>83.333333333333329</v>
      </c>
      <c r="J79">
        <f>G79-I79</f>
        <v>-40.476190476190474</v>
      </c>
    </row>
    <row r="81" spans="1:24">
      <c r="A81" t="s">
        <v>4</v>
      </c>
      <c r="B81" t="s">
        <v>5</v>
      </c>
      <c r="C81" t="s">
        <v>6</v>
      </c>
    </row>
    <row r="82" spans="1:24">
      <c r="A82">
        <v>235</v>
      </c>
      <c r="B82">
        <f>16.97%/12</f>
        <v>1.4141666666666665E-2</v>
      </c>
      <c r="C82">
        <v>8000</v>
      </c>
      <c r="D82">
        <f>C82*(B82/A82)</f>
        <v>0.48141843971631204</v>
      </c>
      <c r="E82">
        <f>1-D82</f>
        <v>0.51858156028368796</v>
      </c>
      <c r="F82">
        <f>1/E82</f>
        <v>1.9283369803063457</v>
      </c>
      <c r="G82">
        <f>LN(F82)/LN(1+B82)</f>
        <v>46.761830196894721</v>
      </c>
      <c r="H82" s="7">
        <f>G82/12</f>
        <v>3.8968191830745602</v>
      </c>
      <c r="I82" t="s">
        <v>50</v>
      </c>
    </row>
    <row r="84" spans="1:24">
      <c r="A84" t="s">
        <v>27</v>
      </c>
      <c r="B84" t="s">
        <v>12</v>
      </c>
      <c r="C84" t="s">
        <v>2</v>
      </c>
      <c r="D84" t="s">
        <v>22</v>
      </c>
      <c r="F84" t="s">
        <v>3</v>
      </c>
    </row>
    <row r="85" spans="1:24">
      <c r="A85">
        <v>6.6</v>
      </c>
      <c r="B85" s="1">
        <v>2.1299999999999999E-2</v>
      </c>
      <c r="C85" s="1">
        <v>0.17419999999999999</v>
      </c>
      <c r="D85">
        <f>(A85/(C85-B85))</f>
        <v>43.165467625899282</v>
      </c>
      <c r="E85" t="s">
        <v>48</v>
      </c>
      <c r="F85">
        <v>7</v>
      </c>
      <c r="G85">
        <f>A85/0.5</f>
        <v>13.2</v>
      </c>
      <c r="H85">
        <f>G85/C85</f>
        <v>75.774971297359357</v>
      </c>
      <c r="I85">
        <f>B70-H85</f>
        <v>32.225028702640643</v>
      </c>
    </row>
    <row r="86" spans="1:24">
      <c r="D86">
        <f>D85*(1+B85)^F85</f>
        <v>50.027612064693798</v>
      </c>
    </row>
    <row r="87" spans="1:24">
      <c r="A87" t="s">
        <v>37</v>
      </c>
      <c r="B87" t="s">
        <v>38</v>
      </c>
      <c r="C87" t="s">
        <v>13</v>
      </c>
    </row>
    <row r="88" spans="1:24">
      <c r="A88" s="1">
        <v>9.7600000000000006E-2</v>
      </c>
      <c r="B88">
        <v>52</v>
      </c>
      <c r="C88">
        <f>((1+A88/B88)^B88)-1</f>
        <v>0.102420834813016</v>
      </c>
      <c r="E88" t="s">
        <v>52</v>
      </c>
    </row>
    <row r="90" spans="1:24">
      <c r="A90" t="s">
        <v>31</v>
      </c>
      <c r="B90" t="s">
        <v>39</v>
      </c>
      <c r="C90" t="s">
        <v>3</v>
      </c>
      <c r="D90" t="s">
        <v>26</v>
      </c>
    </row>
    <row r="91" spans="1:24">
      <c r="A91">
        <v>100000</v>
      </c>
      <c r="B91">
        <v>800000</v>
      </c>
      <c r="C91">
        <f>2020-1980</f>
        <v>40</v>
      </c>
      <c r="D91" s="6">
        <f>(((B91/A91)^(1/C91))-1)*100</f>
        <v>5.3361035954835767</v>
      </c>
      <c r="E91" t="s">
        <v>51</v>
      </c>
    </row>
    <row r="93" spans="1:24">
      <c r="A93" t="s">
        <v>27</v>
      </c>
      <c r="B93" t="s">
        <v>12</v>
      </c>
    </row>
    <row r="94" spans="1:24">
      <c r="A94">
        <v>0.9</v>
      </c>
      <c r="B94" s="2">
        <v>0.03</v>
      </c>
      <c r="C94">
        <f>A94*(1+B94)^6</f>
        <v>1.0746470668760999</v>
      </c>
    </row>
    <row r="96" spans="1:24">
      <c r="A96" t="s">
        <v>58</v>
      </c>
      <c r="B96" t="s">
        <v>59</v>
      </c>
      <c r="C96" t="s">
        <v>22</v>
      </c>
      <c r="D96" t="s">
        <v>60</v>
      </c>
      <c r="E96" t="s">
        <v>26</v>
      </c>
      <c r="Q96" t="s">
        <v>26</v>
      </c>
      <c r="R96" t="s">
        <v>27</v>
      </c>
      <c r="S96" t="s">
        <v>22</v>
      </c>
      <c r="T96" t="s">
        <v>29</v>
      </c>
      <c r="U96" t="s">
        <v>59</v>
      </c>
      <c r="V96" t="s">
        <v>12</v>
      </c>
      <c r="X96" t="s">
        <v>60</v>
      </c>
    </row>
    <row r="97" spans="1:28">
      <c r="A97">
        <v>6.6</v>
      </c>
      <c r="B97" s="1">
        <v>2.9000000000000001E-2</v>
      </c>
      <c r="C97">
        <f>(A97/B97)</f>
        <v>227.58620689655169</v>
      </c>
      <c r="D97" s="1">
        <v>-8.2299999999999998E-2</v>
      </c>
      <c r="E97" s="1">
        <f>B97+D97</f>
        <v>-5.33E-2</v>
      </c>
      <c r="F97" s="14">
        <f>(-A97/C97)+E97</f>
        <v>-8.2299999999999998E-2</v>
      </c>
      <c r="G97">
        <f>C97*(1+F97)^5</f>
        <v>148.13224206054036</v>
      </c>
      <c r="Q97" s="1">
        <v>0.1045</v>
      </c>
      <c r="R97">
        <v>9.5</v>
      </c>
      <c r="S97">
        <f>((R97)*(1+V97))/(Q97-V97)</f>
        <v>138.28521126760566</v>
      </c>
      <c r="T97">
        <f>((Q97*S97)-R97)+S97</f>
        <v>143.23601584507045</v>
      </c>
      <c r="U97" s="12">
        <f>R97/S97</f>
        <v>6.869859700048378E-2</v>
      </c>
      <c r="V97" s="1">
        <v>3.3500000000000002E-2</v>
      </c>
      <c r="W97">
        <f>S97*(1+V97)^7</f>
        <v>174.16027599827814</v>
      </c>
      <c r="X97" s="1">
        <f>Q97-U97</f>
        <v>3.5801402999516216E-2</v>
      </c>
      <c r="Y97">
        <f>S97*(1+X97)^2</f>
        <v>148.3640661723849</v>
      </c>
      <c r="Z97">
        <f>S97*(1+X97)</f>
        <v>143.23601584507045</v>
      </c>
      <c r="AA97">
        <f>Y97-Z97</f>
        <v>5.1280503273144404</v>
      </c>
      <c r="AB97">
        <f>(Y97-Z97)/Y97</f>
        <v>3.4563964574522613E-2</v>
      </c>
    </row>
    <row r="99" spans="1:28">
      <c r="A99" t="s">
        <v>26</v>
      </c>
      <c r="B99" t="s">
        <v>27</v>
      </c>
      <c r="C99" t="s">
        <v>22</v>
      </c>
      <c r="D99" t="s">
        <v>29</v>
      </c>
      <c r="E99" t="s">
        <v>59</v>
      </c>
      <c r="F99" t="s">
        <v>12</v>
      </c>
      <c r="I99" t="s">
        <v>26</v>
      </c>
      <c r="J99" t="s">
        <v>27</v>
      </c>
      <c r="K99" t="s">
        <v>22</v>
      </c>
      <c r="L99" t="s">
        <v>29</v>
      </c>
      <c r="M99" t="s">
        <v>59</v>
      </c>
      <c r="N99" t="s">
        <v>12</v>
      </c>
      <c r="P99" t="s">
        <v>60</v>
      </c>
      <c r="Q99" t="s">
        <v>26</v>
      </c>
      <c r="R99" t="s">
        <v>27</v>
      </c>
      <c r="S99" t="s">
        <v>22</v>
      </c>
      <c r="T99" t="s">
        <v>29</v>
      </c>
      <c r="U99" t="s">
        <v>59</v>
      </c>
      <c r="V99" t="s">
        <v>12</v>
      </c>
      <c r="X99" t="s">
        <v>60</v>
      </c>
    </row>
    <row r="100" spans="1:28">
      <c r="A100" s="1">
        <v>0.14660000000000001</v>
      </c>
      <c r="B100">
        <v>2.54</v>
      </c>
      <c r="C100">
        <v>54.71</v>
      </c>
      <c r="D100">
        <f>((A100*C100)-B100)+C100</f>
        <v>60.190486</v>
      </c>
      <c r="E100" s="12">
        <f>B100/C100</f>
        <v>4.6426613050630595E-2</v>
      </c>
      <c r="F100" s="1">
        <f>(-B100/C100)+A100</f>
        <v>0.10017338694936942</v>
      </c>
      <c r="G100">
        <f>C100*(1+F100)^4</f>
        <v>80.151426406129715</v>
      </c>
      <c r="I100" s="1">
        <v>-7.1999999999999995E-2</v>
      </c>
      <c r="J100">
        <v>2.54</v>
      </c>
      <c r="K100">
        <v>142.26</v>
      </c>
      <c r="L100">
        <f>((I100*K100)-J100)+K100</f>
        <v>129.47728000000001</v>
      </c>
      <c r="M100" s="12">
        <v>9.6699999999999994E-2</v>
      </c>
      <c r="N100" s="1">
        <f>(-J100/K100)+I100</f>
        <v>-8.9854632363278508E-2</v>
      </c>
      <c r="O100">
        <f>K100*(1+P100)^3</f>
        <v>81.725228941451235</v>
      </c>
      <c r="P100" s="1">
        <f>I100-M100</f>
        <v>-0.16869999999999999</v>
      </c>
      <c r="Q100" s="1">
        <v>0.20039999999999999</v>
      </c>
      <c r="R100">
        <v>2.2999999999999998</v>
      </c>
      <c r="S100">
        <f>(R100)/(Q100-V100)</f>
        <v>11.154219204655673</v>
      </c>
      <c r="T100">
        <f>((Q100*S100)-R100)+S100</f>
        <v>11.08952473326867</v>
      </c>
      <c r="U100" s="12">
        <f>R100/S100</f>
        <v>0.20619999999999999</v>
      </c>
      <c r="V100" s="1">
        <v>-5.7999999999999996E-3</v>
      </c>
      <c r="W100">
        <f>S100*(1+V100)^3</f>
        <v>10.961259297974779</v>
      </c>
      <c r="X100" s="1">
        <f>Q100-U100</f>
        <v>-5.7999999999999996E-3</v>
      </c>
      <c r="Y100">
        <f>S100*(1+X100)^2</f>
        <v>11.025205489815711</v>
      </c>
      <c r="Z100">
        <f>S100*(1+X100)</f>
        <v>11.08952473326867</v>
      </c>
      <c r="AA100">
        <f>Y100-Z100</f>
        <v>-6.4319243452958474E-2</v>
      </c>
      <c r="AB100">
        <f>(Y100-Z100)/Y100</f>
        <v>-5.833836250251476E-3</v>
      </c>
    </row>
    <row r="102" spans="1:28">
      <c r="A102" t="s">
        <v>60</v>
      </c>
      <c r="B102" t="s">
        <v>59</v>
      </c>
      <c r="C102" t="s">
        <v>26</v>
      </c>
      <c r="D102" t="s">
        <v>23</v>
      </c>
      <c r="E102" t="s">
        <v>22</v>
      </c>
      <c r="F102" t="s">
        <v>12</v>
      </c>
      <c r="I102" t="s">
        <v>60</v>
      </c>
      <c r="J102" t="s">
        <v>59</v>
      </c>
      <c r="K102" t="s">
        <v>26</v>
      </c>
      <c r="L102" t="s">
        <v>23</v>
      </c>
      <c r="M102" t="s">
        <v>22</v>
      </c>
      <c r="N102" t="s">
        <v>12</v>
      </c>
      <c r="Q102" t="s">
        <v>26</v>
      </c>
      <c r="R102" t="s">
        <v>27</v>
      </c>
      <c r="S102" t="s">
        <v>22</v>
      </c>
      <c r="T102" t="s">
        <v>29</v>
      </c>
      <c r="U102" t="s">
        <v>59</v>
      </c>
      <c r="V102" t="s">
        <v>12</v>
      </c>
      <c r="X102" t="s">
        <v>60</v>
      </c>
    </row>
    <row r="103" spans="1:28">
      <c r="A103" s="1">
        <v>9.4E-2</v>
      </c>
      <c r="B103" s="1">
        <v>0.1154</v>
      </c>
      <c r="C103" s="1">
        <f>A103+B103</f>
        <v>0.2094</v>
      </c>
      <c r="D103" s="15">
        <v>3.52</v>
      </c>
      <c r="E103" s="6">
        <f>(D103/B103)</f>
        <v>30.502599653379548</v>
      </c>
      <c r="F103" s="5">
        <f>(-D103/E103)+C103</f>
        <v>9.4E-2</v>
      </c>
      <c r="G103">
        <f>E103*(1+F103)^3</f>
        <v>39.938230638474877</v>
      </c>
      <c r="I103" s="1">
        <v>9.4E-2</v>
      </c>
      <c r="J103" s="1">
        <v>0.1154</v>
      </c>
      <c r="K103" s="1">
        <v>0.1045</v>
      </c>
      <c r="L103" s="15">
        <v>9.5</v>
      </c>
      <c r="M103" s="6">
        <f>(L103/(K103-N103))</f>
        <v>133.80281690140848</v>
      </c>
      <c r="N103" s="5">
        <v>3.3500000000000002E-2</v>
      </c>
      <c r="O103">
        <f>M103*(1+N103)^5</f>
        <v>157.76754274766014</v>
      </c>
      <c r="Q103" s="1">
        <v>0.2407</v>
      </c>
      <c r="R103">
        <v>4.74</v>
      </c>
      <c r="S103">
        <f>(R103)/(Q103-V103)</f>
        <v>19.482120838471026</v>
      </c>
      <c r="T103">
        <f>((Q103*S103)-R103)+S103</f>
        <v>19.431467324291003</v>
      </c>
      <c r="U103" s="12">
        <f>R103/S103</f>
        <v>0.24329999999999999</v>
      </c>
      <c r="V103" s="1">
        <v>-2.5999999999999999E-3</v>
      </c>
      <c r="W103">
        <f>S103*(1+V103)^3</f>
        <v>19.330555050923799</v>
      </c>
      <c r="X103" s="1">
        <f>Q103-U103</f>
        <v>-2.5999999999999912E-3</v>
      </c>
      <c r="Y103">
        <f>S103*(1+X103)^2</f>
        <v>19.380945509247848</v>
      </c>
      <c r="Z103">
        <f>S103*(1+X103)</f>
        <v>19.431467324291003</v>
      </c>
      <c r="AA103">
        <f>Y103-Z103</f>
        <v>-5.0521815043154561E-2</v>
      </c>
      <c r="AB103">
        <f>(Y103-Z103)/Y103</f>
        <v>-2.6067776218166175E-3</v>
      </c>
    </row>
    <row r="105" spans="1:28">
      <c r="A105" t="s">
        <v>27</v>
      </c>
      <c r="B105" t="s">
        <v>3</v>
      </c>
      <c r="C105" t="s">
        <v>26</v>
      </c>
      <c r="D105" t="s">
        <v>22</v>
      </c>
      <c r="Q105" t="s">
        <v>26</v>
      </c>
      <c r="R105" t="s">
        <v>60</v>
      </c>
      <c r="S105" t="s">
        <v>58</v>
      </c>
      <c r="T105" t="s">
        <v>61</v>
      </c>
    </row>
    <row r="106" spans="1:28">
      <c r="A106">
        <v>3.53</v>
      </c>
      <c r="B106">
        <v>4</v>
      </c>
      <c r="C106" s="1">
        <v>8.77E-2</v>
      </c>
      <c r="D106">
        <f>(A106*B106)/C106</f>
        <v>161.00342075256555</v>
      </c>
      <c r="Q106" s="1">
        <v>0.1045</v>
      </c>
      <c r="R106" s="1">
        <v>3.3500000000000002E-2</v>
      </c>
      <c r="S106">
        <v>9.5</v>
      </c>
      <c r="T106" s="1">
        <f>Q106-R106</f>
        <v>7.0999999999999994E-2</v>
      </c>
      <c r="U106">
        <f>S106/T106</f>
        <v>133.80281690140848</v>
      </c>
    </row>
    <row r="108" spans="1:28">
      <c r="Q108" s="1">
        <v>9.2200000000000004E-2</v>
      </c>
      <c r="R108" s="1">
        <v>2.0500000000000001E-2</v>
      </c>
      <c r="S108">
        <v>9.6</v>
      </c>
      <c r="T108" s="1">
        <f>Q108-R108</f>
        <v>7.17E-2</v>
      </c>
      <c r="U108">
        <f>S108/T108</f>
        <v>133.89121338912133</v>
      </c>
      <c r="V108">
        <f>U108*(1+R108)^8</f>
        <v>157.49114839070791</v>
      </c>
    </row>
    <row r="110" spans="1:28">
      <c r="S110">
        <v>4.46</v>
      </c>
      <c r="T110" s="1">
        <v>9.6500000000000002E-2</v>
      </c>
      <c r="U110">
        <f>S110/T110</f>
        <v>46.217616580310882</v>
      </c>
    </row>
    <row r="111" spans="1:28">
      <c r="Q111" s="1">
        <v>0.1883</v>
      </c>
      <c r="R111" s="1">
        <v>-9.5500000000000002E-2</v>
      </c>
      <c r="T111" s="1">
        <f>Q111-R111</f>
        <v>0.2838</v>
      </c>
    </row>
    <row r="112" spans="1:28">
      <c r="R112" t="s">
        <v>12</v>
      </c>
      <c r="T112" t="s">
        <v>22</v>
      </c>
      <c r="U112" t="s">
        <v>61</v>
      </c>
    </row>
    <row r="113" spans="17:23">
      <c r="Q113" s="1">
        <v>0.24840000000000001</v>
      </c>
      <c r="R113" s="1">
        <v>-8.5000000000000006E-3</v>
      </c>
      <c r="S113">
        <v>4.2699999999999996</v>
      </c>
      <c r="T113">
        <f>S113/(Q113-R113)</f>
        <v>16.621253405994548</v>
      </c>
      <c r="U113">
        <f>S113/T113</f>
        <v>0.25690000000000002</v>
      </c>
      <c r="V113" s="1">
        <f>Q113-U113</f>
        <v>-8.5000000000000075E-3</v>
      </c>
    </row>
    <row r="115" spans="17:23">
      <c r="Q115" s="1">
        <v>0.16320000000000001</v>
      </c>
      <c r="R115" s="1">
        <v>3.7100000000000001E-2</v>
      </c>
      <c r="S115">
        <v>6.65</v>
      </c>
      <c r="T115" s="1">
        <f>Q115-R115</f>
        <v>0.12610000000000002</v>
      </c>
      <c r="U115">
        <f>S115/T115</f>
        <v>52.735923869944486</v>
      </c>
    </row>
    <row r="117" spans="17:23">
      <c r="Q117" s="1">
        <v>9.3299999999999994E-2</v>
      </c>
      <c r="R117" s="1">
        <v>2.9399999999999999E-2</v>
      </c>
      <c r="S117">
        <v>5.97</v>
      </c>
      <c r="T117" s="1">
        <f>Q117-R117</f>
        <v>6.3899999999999998E-2</v>
      </c>
      <c r="U117">
        <f>S117/T117</f>
        <v>93.427230046948353</v>
      </c>
      <c r="V117">
        <f>U117*(1+R117)^8</f>
        <v>117.80040519474288</v>
      </c>
    </row>
    <row r="119" spans="17:23">
      <c r="Q119" s="1">
        <v>-3.9300000000000002E-2</v>
      </c>
      <c r="R119" s="1">
        <f>Q119-T119</f>
        <v>-0.1114</v>
      </c>
      <c r="T119" s="1">
        <v>7.2099999999999997E-2</v>
      </c>
      <c r="U119">
        <v>134.09</v>
      </c>
      <c r="V119">
        <f>U119*(1+R119)^7</f>
        <v>58.659796648419949</v>
      </c>
    </row>
    <row r="121" spans="17:23">
      <c r="Q121" s="1">
        <v>0.1166</v>
      </c>
      <c r="R121" s="1">
        <v>3.7699999999999997E-2</v>
      </c>
      <c r="S121">
        <v>4.6500000000000004</v>
      </c>
      <c r="T121" s="1">
        <f>Q121-R121</f>
        <v>7.8899999999999998E-2</v>
      </c>
      <c r="U121">
        <f>S121/T121</f>
        <v>58.935361216730044</v>
      </c>
    </row>
    <row r="123" spans="17:23">
      <c r="R123" s="1">
        <v>0.18459999999999999</v>
      </c>
      <c r="S123">
        <v>4.26</v>
      </c>
      <c r="T123" s="1">
        <v>2.9700000000000001E-2</v>
      </c>
      <c r="U123">
        <f>S123/T123</f>
        <v>143.43434343434342</v>
      </c>
      <c r="V123">
        <f>U123*(1+R123)^6</f>
        <v>396.35425021699757</v>
      </c>
    </row>
    <row r="124" spans="17:23">
      <c r="Q124" s="1">
        <v>9.9000000000000005E-2</v>
      </c>
      <c r="R124" s="1">
        <f>Q124-T124</f>
        <v>-3.1663430420711958E-2</v>
      </c>
      <c r="S124">
        <v>9.69</v>
      </c>
      <c r="T124" s="12">
        <f>S124/U124</f>
        <v>0.13066343042071196</v>
      </c>
      <c r="U124">
        <v>74.16</v>
      </c>
      <c r="V124">
        <f>U124*(1+R124)^6</f>
        <v>61.140322028078621</v>
      </c>
    </row>
    <row r="125" spans="17:23">
      <c r="Q125">
        <f>8/8.73%</f>
        <v>91.638029782359681</v>
      </c>
    </row>
    <row r="126" spans="17:23">
      <c r="Q126" t="s">
        <v>26</v>
      </c>
      <c r="R126" t="s">
        <v>27</v>
      </c>
      <c r="S126" t="s">
        <v>22</v>
      </c>
      <c r="T126" t="s">
        <v>29</v>
      </c>
      <c r="U126" t="s">
        <v>59</v>
      </c>
      <c r="V126" t="s">
        <v>12</v>
      </c>
    </row>
    <row r="127" spans="17:23">
      <c r="Q127" s="1">
        <v>0.16259999999999999</v>
      </c>
      <c r="R127">
        <v>7.18</v>
      </c>
      <c r="S127">
        <f>((R127)*(1+V127))/(Q127-V127)</f>
        <v>73.394015444015437</v>
      </c>
      <c r="T127">
        <f>((Q127*S127)-R127)+S127</f>
        <v>78.147882355212346</v>
      </c>
      <c r="U127" s="12">
        <f>R127/S127</f>
        <v>9.7828139754485371E-2</v>
      </c>
      <c r="V127" s="1">
        <v>5.8999999999999997E-2</v>
      </c>
      <c r="W127" s="6">
        <f>S127*(1+V127)^8</f>
        <v>116.09896010699579</v>
      </c>
    </row>
    <row r="129" spans="17:22">
      <c r="Q129" s="1">
        <v>6.7799999999999999E-2</v>
      </c>
      <c r="R129" s="1">
        <f>Q129-U129</f>
        <v>-7.330317024005864E-2</v>
      </c>
      <c r="S129">
        <v>7.7</v>
      </c>
      <c r="T129">
        <v>54.57</v>
      </c>
      <c r="U129" s="10">
        <f>S129/T129</f>
        <v>0.14110317024005864</v>
      </c>
      <c r="V129">
        <f>T129*(1+R129)^3</f>
        <v>43.427715662379747</v>
      </c>
    </row>
    <row r="131" spans="17:22">
      <c r="Q131" s="1">
        <v>0.20619999999999999</v>
      </c>
      <c r="R131" s="1">
        <v>-2.2800000000000001E-2</v>
      </c>
      <c r="T131" s="1">
        <f>Q131-R131</f>
        <v>0.22899999999999998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5"/>
  <sheetViews>
    <sheetView topLeftCell="A22" workbookViewId="0">
      <selection activeCell="A35" sqref="A35:J35"/>
    </sheetView>
  </sheetViews>
  <sheetFormatPr defaultRowHeight="15"/>
  <cols>
    <col min="1" max="1" width="24.28515625" bestFit="1" customWidth="1"/>
    <col min="3" max="3" width="14" bestFit="1" customWidth="1"/>
    <col min="7" max="7" width="12" bestFit="1" customWidth="1"/>
    <col min="8" max="8" width="14.28515625" bestFit="1" customWidth="1"/>
    <col min="9" max="9" width="14.85546875" bestFit="1" customWidth="1"/>
    <col min="10" max="10" width="13.85546875" bestFit="1" customWidth="1"/>
    <col min="11" max="11" width="11.5703125" bestFit="1" customWidth="1"/>
    <col min="13" max="13" width="17.5703125" bestFit="1" customWidth="1"/>
    <col min="16" max="16" width="12.5703125" bestFit="1" customWidth="1"/>
    <col min="17" max="17" width="16.28515625" bestFit="1" customWidth="1"/>
    <col min="18" max="18" width="12.28515625" customWidth="1"/>
    <col min="21" max="21" width="17.5703125" bestFit="1" customWidth="1"/>
    <col min="22" max="22" width="7.7109375" bestFit="1" customWidth="1"/>
    <col min="32" max="32" width="16" bestFit="1" customWidth="1"/>
  </cols>
  <sheetData>
    <row r="1" spans="1:28">
      <c r="A1" s="65" t="s">
        <v>51</v>
      </c>
      <c r="B1" s="65"/>
      <c r="C1" s="65"/>
      <c r="D1" s="65"/>
      <c r="F1" s="65" t="s">
        <v>84</v>
      </c>
      <c r="G1" s="65"/>
      <c r="H1" s="65"/>
      <c r="I1" s="65"/>
      <c r="J1" s="19"/>
      <c r="K1" s="65" t="s">
        <v>85</v>
      </c>
      <c r="L1" s="65"/>
      <c r="M1" s="65"/>
      <c r="N1" s="65"/>
      <c r="O1" s="65"/>
      <c r="P1" s="65"/>
      <c r="Q1" s="65"/>
      <c r="R1" s="28"/>
      <c r="S1" s="65" t="s">
        <v>78</v>
      </c>
      <c r="T1" s="65"/>
      <c r="U1" s="65"/>
      <c r="V1" s="65"/>
      <c r="W1" s="65"/>
      <c r="X1" s="65"/>
      <c r="Y1" s="65"/>
      <c r="Z1" s="18"/>
      <c r="AA1" s="18"/>
      <c r="AB1" s="18"/>
    </row>
    <row r="2" spans="1:28">
      <c r="A2" s="15" t="s">
        <v>31</v>
      </c>
      <c r="B2" s="15" t="s">
        <v>39</v>
      </c>
      <c r="C2" s="15" t="s">
        <v>65</v>
      </c>
      <c r="D2" s="15" t="s">
        <v>26</v>
      </c>
      <c r="F2" s="15" t="s">
        <v>6</v>
      </c>
      <c r="G2" s="15" t="s">
        <v>5</v>
      </c>
      <c r="H2" s="15" t="s">
        <v>64</v>
      </c>
      <c r="I2" s="15" t="s">
        <v>9</v>
      </c>
      <c r="K2" s="15" t="s">
        <v>9</v>
      </c>
      <c r="L2" s="15" t="s">
        <v>77</v>
      </c>
      <c r="M2" s="15" t="s">
        <v>76</v>
      </c>
      <c r="N2" s="15" t="s">
        <v>37</v>
      </c>
      <c r="O2" s="15" t="s">
        <v>67</v>
      </c>
      <c r="P2" s="15" t="s">
        <v>75</v>
      </c>
      <c r="Q2" s="15" t="s">
        <v>6</v>
      </c>
      <c r="R2" s="15"/>
      <c r="S2" s="15" t="s">
        <v>6</v>
      </c>
      <c r="T2" s="15" t="s">
        <v>77</v>
      </c>
      <c r="U2" s="15" t="s">
        <v>76</v>
      </c>
      <c r="V2" s="15" t="s">
        <v>37</v>
      </c>
      <c r="W2" s="15" t="s">
        <v>67</v>
      </c>
      <c r="X2" s="15" t="s">
        <v>75</v>
      </c>
      <c r="Y2" s="15" t="s">
        <v>9</v>
      </c>
      <c r="Z2" s="15"/>
      <c r="AA2" s="15"/>
      <c r="AB2" s="15"/>
    </row>
    <row r="3" spans="1:28">
      <c r="A3" s="15">
        <v>100000</v>
      </c>
      <c r="B3" s="15">
        <v>1000000</v>
      </c>
      <c r="C3" s="15">
        <f>2020-1980</f>
        <v>40</v>
      </c>
      <c r="D3" s="20">
        <f>(((B3/A3)^(1/C3))-1)*100</f>
        <v>5.9253725177288885</v>
      </c>
      <c r="F3" s="15">
        <v>6000</v>
      </c>
      <c r="G3" s="21">
        <v>0.06</v>
      </c>
      <c r="H3" s="15">
        <v>1</v>
      </c>
      <c r="I3" s="20">
        <f>F3*(1+G3)^H3</f>
        <v>6360</v>
      </c>
      <c r="K3" s="24">
        <f>5000*5</f>
        <v>25000</v>
      </c>
      <c r="L3" s="21">
        <f>N3/P3</f>
        <v>0.12</v>
      </c>
      <c r="M3" s="15">
        <f>O3*P3</f>
        <v>1</v>
      </c>
      <c r="N3" s="26">
        <v>0.12</v>
      </c>
      <c r="O3" s="15">
        <v>1</v>
      </c>
      <c r="P3" s="15">
        <v>1</v>
      </c>
      <c r="Q3" s="20">
        <f>K3/(1+L3)^M3</f>
        <v>22321.428571428569</v>
      </c>
      <c r="R3" s="15"/>
      <c r="S3" s="15">
        <v>90</v>
      </c>
      <c r="T3" s="21">
        <f>V3/X3</f>
        <v>1.2925000000000001E-2</v>
      </c>
      <c r="U3" s="15">
        <f>W3*X3</f>
        <v>40</v>
      </c>
      <c r="V3" s="26">
        <v>5.1700000000000003E-2</v>
      </c>
      <c r="W3">
        <v>10</v>
      </c>
      <c r="X3">
        <v>4</v>
      </c>
      <c r="Y3" s="20">
        <f>S3*(1+T3)^U3</f>
        <v>150.42988133369172</v>
      </c>
      <c r="Z3" s="20"/>
      <c r="AA3" s="20"/>
      <c r="AB3" s="20"/>
    </row>
    <row r="4" spans="1:28">
      <c r="F4" s="3">
        <v>10000</v>
      </c>
      <c r="G4" s="38">
        <f>RATE(H4,0,-F4,I4)</f>
        <v>-0.85</v>
      </c>
      <c r="H4">
        <v>1</v>
      </c>
      <c r="I4" s="3">
        <v>1500</v>
      </c>
      <c r="J4" t="s">
        <v>37</v>
      </c>
      <c r="K4" t="s">
        <v>75</v>
      </c>
      <c r="Q4" s="6"/>
    </row>
    <row r="5" spans="1:28">
      <c r="F5" s="3">
        <v>1000000</v>
      </c>
      <c r="G5" s="1">
        <f>J5/K5</f>
        <v>0.03</v>
      </c>
      <c r="H5" s="16">
        <f>NPER(G5,0,-F5,I5)/K5</f>
        <v>13.612171251750356</v>
      </c>
      <c r="I5" s="3">
        <v>5000000</v>
      </c>
      <c r="J5" s="2">
        <v>0.12</v>
      </c>
      <c r="K5">
        <v>4</v>
      </c>
    </row>
    <row r="6" spans="1:28" ht="15" customHeight="1">
      <c r="A6" s="66" t="s">
        <v>66</v>
      </c>
      <c r="B6" s="66"/>
      <c r="C6" s="66"/>
      <c r="D6" s="66"/>
      <c r="E6" s="66"/>
      <c r="F6" s="66"/>
      <c r="G6" s="66"/>
      <c r="H6" s="66"/>
      <c r="J6" s="66" t="s">
        <v>72</v>
      </c>
      <c r="K6" s="66"/>
      <c r="L6" s="66"/>
      <c r="M6" s="66"/>
      <c r="N6" s="66"/>
      <c r="O6" s="66"/>
      <c r="P6" s="66"/>
      <c r="Q6" s="25"/>
      <c r="R6" s="25"/>
    </row>
    <row r="7" spans="1:28">
      <c r="A7" t="s">
        <v>70</v>
      </c>
      <c r="B7" s="1">
        <v>0.12</v>
      </c>
      <c r="H7" s="15" t="s">
        <v>71</v>
      </c>
      <c r="J7" t="s">
        <v>70</v>
      </c>
      <c r="L7" s="1">
        <v>7.3899999999999993E-2</v>
      </c>
      <c r="Q7" t="s">
        <v>74</v>
      </c>
      <c r="S7" s="65" t="s">
        <v>63</v>
      </c>
      <c r="T7" s="65"/>
      <c r="U7" s="65"/>
      <c r="V7" s="65"/>
      <c r="W7" s="65" t="s">
        <v>62</v>
      </c>
      <c r="X7" s="65"/>
    </row>
    <row r="8" spans="1:28">
      <c r="A8" t="s">
        <v>67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J8" t="s">
        <v>67</v>
      </c>
      <c r="K8">
        <v>5</v>
      </c>
      <c r="L8">
        <v>4</v>
      </c>
      <c r="M8">
        <v>3</v>
      </c>
      <c r="N8">
        <v>2</v>
      </c>
      <c r="O8">
        <v>1</v>
      </c>
      <c r="P8">
        <v>0</v>
      </c>
      <c r="S8" s="15" t="s">
        <v>27</v>
      </c>
      <c r="T8" s="15" t="s">
        <v>12</v>
      </c>
      <c r="U8" s="15" t="s">
        <v>2</v>
      </c>
      <c r="V8" s="15" t="s">
        <v>22</v>
      </c>
      <c r="W8" s="15" t="s">
        <v>64</v>
      </c>
      <c r="X8" s="15" t="str">
        <f>CONCATENATE("P","",W9)</f>
        <v>P9</v>
      </c>
    </row>
    <row r="9" spans="1:28">
      <c r="A9" t="s">
        <v>68</v>
      </c>
      <c r="B9">
        <v>-2000</v>
      </c>
      <c r="C9">
        <v>-1000</v>
      </c>
      <c r="D9">
        <v>-1000</v>
      </c>
      <c r="E9">
        <v>-1000</v>
      </c>
      <c r="F9">
        <v>-1000</v>
      </c>
      <c r="G9">
        <v>-1000</v>
      </c>
      <c r="J9" t="s">
        <v>68</v>
      </c>
      <c r="K9">
        <v>0</v>
      </c>
      <c r="L9">
        <v>1000</v>
      </c>
      <c r="M9">
        <v>1000</v>
      </c>
      <c r="N9">
        <v>2000</v>
      </c>
      <c r="O9">
        <v>0</v>
      </c>
      <c r="P9">
        <v>0</v>
      </c>
      <c r="S9" s="15">
        <v>9.44</v>
      </c>
      <c r="T9" s="23">
        <v>3.44E-2</v>
      </c>
      <c r="U9" s="23">
        <v>0.1048</v>
      </c>
      <c r="V9" s="20">
        <f>(S9/(U9-T9))</f>
        <v>134.09090909090907</v>
      </c>
      <c r="W9" s="15">
        <v>9</v>
      </c>
      <c r="X9" s="20">
        <f>V9*(1+T9)^W9</f>
        <v>181.80086364509054</v>
      </c>
    </row>
    <row r="10" spans="1:28">
      <c r="A10" t="s">
        <v>69</v>
      </c>
      <c r="B10">
        <f>B9/(1+B7)^B8</f>
        <v>-1785.7142857142856</v>
      </c>
      <c r="C10">
        <f>C9/(1+B$7)^C8</f>
        <v>-797.19387755102025</v>
      </c>
      <c r="D10">
        <f>D9/(1+$B7)^D8</f>
        <v>-711.78024781341082</v>
      </c>
      <c r="E10">
        <f>E9/(1+$B7)^E8</f>
        <v>-635.51807840483116</v>
      </c>
      <c r="F10">
        <f>F9/(1+$B7)^F8</f>
        <v>-567.4268557185992</v>
      </c>
      <c r="G10">
        <f>G9/(1+$I7)^G8</f>
        <v>-1000</v>
      </c>
      <c r="H10" s="17">
        <f>SUM(B10:G10)</f>
        <v>-5497.6333452021472</v>
      </c>
      <c r="J10" t="s">
        <v>73</v>
      </c>
      <c r="K10">
        <f>K9*(1+12%)^K8</f>
        <v>0</v>
      </c>
      <c r="L10">
        <f>L9*(1+$L7)^L8</f>
        <v>1330.0114184906645</v>
      </c>
      <c r="M10">
        <f>M9*(1+$L7)^M8</f>
        <v>1238.4872134190002</v>
      </c>
      <c r="N10">
        <f>N9*(1+$L7)^N8</f>
        <v>2306.5224200000002</v>
      </c>
      <c r="O10">
        <f>O9*(1+$I7)^O8</f>
        <v>0</v>
      </c>
      <c r="P10">
        <f>P9*(1+$I7)^P8</f>
        <v>0</v>
      </c>
      <c r="Q10" s="16">
        <f>SUM(K10:P10)</f>
        <v>4875.0210519096654</v>
      </c>
      <c r="R10" s="6"/>
    </row>
    <row r="11" spans="1:28">
      <c r="H11">
        <f>H10+I18</f>
        <v>-708.42716107764318</v>
      </c>
    </row>
    <row r="12" spans="1:28">
      <c r="A12" s="65" t="s">
        <v>82</v>
      </c>
      <c r="B12" s="65"/>
      <c r="C12" s="65"/>
      <c r="D12" s="65"/>
      <c r="E12" s="65"/>
      <c r="F12" s="65"/>
      <c r="G12" s="65"/>
      <c r="J12" s="65" t="s">
        <v>81</v>
      </c>
      <c r="K12" s="65"/>
      <c r="L12" s="65"/>
      <c r="M12" s="65"/>
      <c r="N12" s="65"/>
      <c r="O12" s="65"/>
      <c r="P12" s="65"/>
      <c r="S12" s="65" t="s">
        <v>52</v>
      </c>
      <c r="T12" s="65"/>
      <c r="U12" s="65"/>
    </row>
    <row r="13" spans="1:28">
      <c r="A13" s="15" t="s">
        <v>6</v>
      </c>
      <c r="B13" s="15" t="s">
        <v>5</v>
      </c>
      <c r="C13" s="15" t="s">
        <v>3</v>
      </c>
      <c r="D13" s="15" t="s">
        <v>37</v>
      </c>
      <c r="E13" s="15" t="s">
        <v>67</v>
      </c>
      <c r="F13" s="15" t="s">
        <v>75</v>
      </c>
      <c r="G13" s="15" t="s">
        <v>4</v>
      </c>
      <c r="J13" s="15" t="s">
        <v>4</v>
      </c>
      <c r="K13" s="15" t="s">
        <v>5</v>
      </c>
      <c r="L13" s="15" t="s">
        <v>6</v>
      </c>
      <c r="M13" s="15" t="s">
        <v>37</v>
      </c>
      <c r="N13" s="15" t="s">
        <v>80</v>
      </c>
      <c r="O13" s="15" t="s">
        <v>79</v>
      </c>
      <c r="P13" s="15" t="s">
        <v>67</v>
      </c>
      <c r="S13" s="15" t="s">
        <v>37</v>
      </c>
      <c r="T13" s="15" t="s">
        <v>38</v>
      </c>
      <c r="U13" s="15" t="s">
        <v>13</v>
      </c>
    </row>
    <row r="14" spans="1:28">
      <c r="A14" s="15">
        <v>2855.53</v>
      </c>
      <c r="B14" s="35">
        <f>D14/F14</f>
        <v>5.8351568198395333E-3</v>
      </c>
      <c r="C14" s="34">
        <f>E14*F14</f>
        <v>13.71</v>
      </c>
      <c r="D14" s="10">
        <v>0.08</v>
      </c>
      <c r="E14">
        <v>1</v>
      </c>
      <c r="F14">
        <v>13.71</v>
      </c>
      <c r="G14" s="16">
        <f>(A14/(1-(1/(1+B14)^C14)))*B14</f>
        <v>217.3298844708373</v>
      </c>
      <c r="H14">
        <f>14000*20%/12</f>
        <v>233.33333333333334</v>
      </c>
      <c r="I14">
        <f>18%/12</f>
        <v>1.4999999999999999E-2</v>
      </c>
      <c r="J14" s="15">
        <v>500</v>
      </c>
      <c r="K14" s="15">
        <f>M14/N14</f>
        <v>6.6666666666666671E-3</v>
      </c>
      <c r="L14" s="15">
        <v>5342</v>
      </c>
      <c r="M14" s="26">
        <v>0.08</v>
      </c>
      <c r="N14" s="15">
        <v>12</v>
      </c>
      <c r="O14" s="27">
        <f>LN(1/(1-(L14*(K14/J14))))/LN(1+K14)</f>
        <v>11.120488349701136</v>
      </c>
      <c r="P14" s="64">
        <f>O14/12</f>
        <v>0.92670736247509466</v>
      </c>
      <c r="Q14" s="27">
        <f>NPER(K14,-J14,L14,0,0)</f>
        <v>11.120488349701136</v>
      </c>
      <c r="S14" s="23">
        <v>0.12</v>
      </c>
      <c r="T14" s="15">
        <v>52</v>
      </c>
      <c r="U14" s="31">
        <f>((1+S14/T14)^T14)-1</f>
        <v>0.12734098716690734</v>
      </c>
    </row>
    <row r="15" spans="1:28">
      <c r="F15">
        <f>G15-A14</f>
        <v>124.06271609517944</v>
      </c>
      <c r="G15">
        <f>G14*F14</f>
        <v>2979.5927160951796</v>
      </c>
      <c r="H15" s="12">
        <f>30%/12</f>
        <v>2.4999999999999998E-2</v>
      </c>
      <c r="I15">
        <f>L14*I14</f>
        <v>80.13</v>
      </c>
    </row>
    <row r="16" spans="1:28">
      <c r="A16" s="65" t="s">
        <v>87</v>
      </c>
      <c r="B16" s="65"/>
      <c r="C16" s="65"/>
      <c r="D16" s="65"/>
      <c r="E16" s="65"/>
      <c r="F16" s="65"/>
      <c r="G16" s="65"/>
      <c r="H16">
        <f>A14*H15</f>
        <v>71.388249999999999</v>
      </c>
      <c r="I16">
        <f>H16*77</f>
        <v>5496.8952499999996</v>
      </c>
      <c r="J16" s="65" t="s">
        <v>93</v>
      </c>
      <c r="K16" s="65"/>
      <c r="L16" s="65"/>
      <c r="M16" s="65"/>
      <c r="N16" s="65"/>
      <c r="O16" s="65"/>
      <c r="P16" s="65"/>
      <c r="S16" s="65" t="s">
        <v>89</v>
      </c>
      <c r="T16" s="65"/>
      <c r="U16" s="65"/>
    </row>
    <row r="17" spans="1:23">
      <c r="A17" s="15" t="s">
        <v>4</v>
      </c>
      <c r="B17" s="15" t="s">
        <v>5</v>
      </c>
      <c r="C17" s="15" t="s">
        <v>3</v>
      </c>
      <c r="D17" s="15" t="s">
        <v>37</v>
      </c>
      <c r="E17" s="15" t="s">
        <v>67</v>
      </c>
      <c r="F17" s="15" t="s">
        <v>75</v>
      </c>
      <c r="G17" s="15" t="s">
        <v>6</v>
      </c>
      <c r="J17" s="15" t="s">
        <v>4</v>
      </c>
      <c r="K17" s="15" t="s">
        <v>5</v>
      </c>
      <c r="L17" s="15" t="s">
        <v>3</v>
      </c>
      <c r="M17" s="15" t="s">
        <v>37</v>
      </c>
      <c r="N17" s="15" t="s">
        <v>67</v>
      </c>
      <c r="O17" s="15" t="s">
        <v>75</v>
      </c>
      <c r="P17" s="15" t="s">
        <v>6</v>
      </c>
      <c r="S17" s="15" t="s">
        <v>90</v>
      </c>
      <c r="T17" s="15" t="s">
        <v>26</v>
      </c>
      <c r="U17" s="15" t="s">
        <v>91</v>
      </c>
    </row>
    <row r="18" spans="1:23">
      <c r="A18" s="15">
        <v>500</v>
      </c>
      <c r="B18" s="23">
        <f>D18/F18</f>
        <v>0.02</v>
      </c>
      <c r="C18" s="15">
        <f>E18*F18</f>
        <v>12</v>
      </c>
      <c r="D18" s="26">
        <v>0.24</v>
      </c>
      <c r="E18" s="15">
        <v>1</v>
      </c>
      <c r="F18" s="15">
        <v>12</v>
      </c>
      <c r="G18" s="20">
        <f>A18/B18*(1-(1/(1+B18)^C18))</f>
        <v>5287.6706104585892</v>
      </c>
      <c r="H18" s="37">
        <f>PV(B18,C18,A18,0,0)</f>
        <v>-5287.6706104585901</v>
      </c>
      <c r="I18">
        <f>A18*((1-(1/(1+B18)^C18))/B18)*1/(1+B18)^5</f>
        <v>4789.206184124504</v>
      </c>
      <c r="J18" s="15">
        <v>500</v>
      </c>
      <c r="K18" s="23">
        <f>M18/O18</f>
        <v>0.02</v>
      </c>
      <c r="L18" s="15">
        <f>N18*O18</f>
        <v>12</v>
      </c>
      <c r="M18" s="26">
        <v>0.24</v>
      </c>
      <c r="N18" s="15">
        <v>1</v>
      </c>
      <c r="O18" s="15">
        <v>12</v>
      </c>
      <c r="P18" s="20">
        <f>(J18*((1-(1/(1+K18)^(L18-1)))/K18))+J18</f>
        <v>5393.4240226677575</v>
      </c>
      <c r="Q18" s="37">
        <f>PV(K18,L18,J18,0,1)</f>
        <v>-5393.4240226677621</v>
      </c>
      <c r="S18" s="15">
        <v>114</v>
      </c>
      <c r="T18" s="26">
        <v>8.9200000000000002E-2</v>
      </c>
      <c r="U18" s="24">
        <f>S18/T18</f>
        <v>1278.0269058295964</v>
      </c>
    </row>
    <row r="19" spans="1:23">
      <c r="G19">
        <f>G18/(1+B18)^F8</f>
        <v>4789.206184124504</v>
      </c>
      <c r="H19">
        <f>A18*E18*F18</f>
        <v>6000</v>
      </c>
    </row>
    <row r="20" spans="1:23">
      <c r="A20" s="65" t="s">
        <v>83</v>
      </c>
      <c r="B20" s="65"/>
      <c r="C20" s="65"/>
      <c r="D20" s="65"/>
      <c r="E20" s="65"/>
      <c r="F20" s="65"/>
      <c r="G20" s="65"/>
      <c r="J20" s="65" t="s">
        <v>88</v>
      </c>
      <c r="K20" s="65"/>
      <c r="L20" s="65"/>
      <c r="M20" s="65"/>
      <c r="N20" s="65"/>
      <c r="O20" s="65"/>
      <c r="P20" s="65"/>
    </row>
    <row r="21" spans="1:23">
      <c r="A21" s="15" t="s">
        <v>9</v>
      </c>
      <c r="B21" s="15" t="s">
        <v>5</v>
      </c>
      <c r="C21" s="15" t="s">
        <v>3</v>
      </c>
      <c r="D21" s="15" t="s">
        <v>37</v>
      </c>
      <c r="E21" s="15" t="s">
        <v>67</v>
      </c>
      <c r="F21" s="15" t="s">
        <v>75</v>
      </c>
      <c r="G21" s="15" t="s">
        <v>4</v>
      </c>
      <c r="J21" s="15" t="s">
        <v>9</v>
      </c>
      <c r="K21" s="15" t="s">
        <v>5</v>
      </c>
      <c r="L21" s="15" t="s">
        <v>3</v>
      </c>
      <c r="M21" s="15" t="s">
        <v>37</v>
      </c>
      <c r="N21" s="15" t="s">
        <v>67</v>
      </c>
      <c r="O21" s="15" t="s">
        <v>75</v>
      </c>
      <c r="P21" s="15" t="s">
        <v>4</v>
      </c>
    </row>
    <row r="22" spans="1:23">
      <c r="A22" s="15">
        <v>20000</v>
      </c>
      <c r="B22" s="35">
        <f>D22/F22</f>
        <v>5.5599999999999997E-2</v>
      </c>
      <c r="C22" s="34">
        <f>E22*F22</f>
        <v>20</v>
      </c>
      <c r="D22" s="26">
        <v>5.5599999999999997E-2</v>
      </c>
      <c r="E22" s="15">
        <v>20</v>
      </c>
      <c r="F22" s="15">
        <v>1</v>
      </c>
      <c r="G22" s="20">
        <f>((A22)/((1+B22)^C22-1))*B22</f>
        <v>569.92755470315933</v>
      </c>
      <c r="H22" s="37">
        <f>PMT(B22,C22,0,A22,0)</f>
        <v>-569.92755470316081</v>
      </c>
      <c r="J22" s="30">
        <v>25000</v>
      </c>
      <c r="K22" s="23">
        <f>M22/O22</f>
        <v>9.1000000000000004E-3</v>
      </c>
      <c r="L22" s="15">
        <f>N22*O22</f>
        <v>60</v>
      </c>
      <c r="M22" s="26">
        <v>0.10920000000000001</v>
      </c>
      <c r="N22" s="15">
        <v>5</v>
      </c>
      <c r="O22" s="15">
        <v>12</v>
      </c>
      <c r="P22" s="20">
        <f>(J22*K22)/(((1+K22)^L22-1)*(1+K22))</f>
        <v>312.22246651683383</v>
      </c>
      <c r="Q22" s="37">
        <f>PMT(K22,L22,0,J22,1)</f>
        <v>-312.22246651684054</v>
      </c>
    </row>
    <row r="23" spans="1:23">
      <c r="R23" s="7"/>
    </row>
    <row r="24" spans="1:23">
      <c r="A24" s="65" t="s">
        <v>92</v>
      </c>
      <c r="B24" s="65"/>
      <c r="C24" s="65"/>
      <c r="D24" s="65"/>
      <c r="E24" s="65"/>
      <c r="F24" s="65"/>
      <c r="G24" s="65"/>
      <c r="J24" s="65" t="s">
        <v>86</v>
      </c>
      <c r="K24" s="65"/>
      <c r="L24" s="65"/>
      <c r="M24" s="65"/>
      <c r="N24" s="65"/>
      <c r="O24" s="65"/>
      <c r="P24" s="65"/>
    </row>
    <row r="25" spans="1:23">
      <c r="A25" s="15" t="s">
        <v>4</v>
      </c>
      <c r="B25" s="15" t="s">
        <v>5</v>
      </c>
      <c r="C25" s="15" t="s">
        <v>3</v>
      </c>
      <c r="D25" s="15" t="s">
        <v>37</v>
      </c>
      <c r="E25" s="15" t="s">
        <v>67</v>
      </c>
      <c r="F25" s="15" t="s">
        <v>75</v>
      </c>
      <c r="G25" s="15" t="s">
        <v>9</v>
      </c>
      <c r="J25" s="15" t="s">
        <v>4</v>
      </c>
      <c r="K25" s="15" t="s">
        <v>5</v>
      </c>
      <c r="L25" s="15" t="s">
        <v>3</v>
      </c>
      <c r="M25" s="15" t="s">
        <v>37</v>
      </c>
      <c r="N25" s="15" t="s">
        <v>67</v>
      </c>
      <c r="O25" s="15" t="s">
        <v>75</v>
      </c>
      <c r="P25" s="15" t="s">
        <v>9</v>
      </c>
    </row>
    <row r="26" spans="1:23">
      <c r="A26" s="15">
        <v>500</v>
      </c>
      <c r="B26" s="35">
        <f>D26/F26</f>
        <v>0.02</v>
      </c>
      <c r="C26" s="34">
        <f>E26*F26</f>
        <v>12</v>
      </c>
      <c r="D26" s="26">
        <v>0.24</v>
      </c>
      <c r="E26" s="15">
        <v>1</v>
      </c>
      <c r="F26" s="15">
        <v>12</v>
      </c>
      <c r="G26" s="20">
        <f>A26/B26*((1+B26)^C26-1)</f>
        <v>6706.0448640636314</v>
      </c>
      <c r="H26" s="37">
        <f>FV(B26,C26,A26,0,0)</f>
        <v>-6706.0448640636314</v>
      </c>
      <c r="J26" s="15">
        <v>171420</v>
      </c>
      <c r="K26" s="23">
        <f>M26/O26</f>
        <v>7.0833333333333338E-3</v>
      </c>
      <c r="L26" s="15">
        <f>N26*O26</f>
        <v>252</v>
      </c>
      <c r="M26" s="26">
        <v>8.5000000000000006E-2</v>
      </c>
      <c r="N26" s="15">
        <v>21</v>
      </c>
      <c r="O26" s="15">
        <v>12</v>
      </c>
      <c r="P26" s="20">
        <f>J26/K26*((1+K26)^L26-1)*(1+K26)</f>
        <v>119963293.74506243</v>
      </c>
      <c r="Q26" s="37">
        <f>FV(K26,L26,J26,0,1)</f>
        <v>-119963293.74506241</v>
      </c>
    </row>
    <row r="28" spans="1:23">
      <c r="A28" s="65" t="s">
        <v>119</v>
      </c>
      <c r="B28" s="65"/>
      <c r="C28" s="65"/>
      <c r="D28" s="65"/>
      <c r="E28" s="65"/>
      <c r="F28" s="65"/>
      <c r="G28" s="65"/>
      <c r="L28" s="65" t="s">
        <v>103</v>
      </c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 spans="1:23">
      <c r="A29" t="s">
        <v>10</v>
      </c>
      <c r="B29" t="s">
        <v>2</v>
      </c>
      <c r="C29" t="s">
        <v>3</v>
      </c>
      <c r="D29" t="s">
        <v>12</v>
      </c>
      <c r="E29" t="s">
        <v>67</v>
      </c>
      <c r="F29" t="s">
        <v>75</v>
      </c>
      <c r="H29" t="s">
        <v>122</v>
      </c>
      <c r="L29" t="s">
        <v>67</v>
      </c>
      <c r="M29" s="15">
        <v>1</v>
      </c>
      <c r="N29" s="15">
        <v>2</v>
      </c>
      <c r="O29" s="15">
        <v>3</v>
      </c>
      <c r="P29" s="15">
        <v>4</v>
      </c>
      <c r="Q29" s="15">
        <v>4</v>
      </c>
      <c r="R29" t="s">
        <v>12</v>
      </c>
      <c r="S29" s="15" t="s">
        <v>108</v>
      </c>
      <c r="T29" s="15" t="s">
        <v>26</v>
      </c>
      <c r="U29" s="15" t="s">
        <v>101</v>
      </c>
      <c r="V29" s="15" t="s">
        <v>100</v>
      </c>
      <c r="W29" s="15" t="s">
        <v>22</v>
      </c>
    </row>
    <row r="30" spans="1:23">
      <c r="A30">
        <v>11</v>
      </c>
      <c r="B30" s="2">
        <v>0.1</v>
      </c>
      <c r="C30">
        <f>E30</f>
        <v>6</v>
      </c>
      <c r="D30" s="2">
        <v>0.06</v>
      </c>
      <c r="E30">
        <v>6</v>
      </c>
      <c r="F30">
        <v>1</v>
      </c>
      <c r="G30" s="16">
        <f>A30/(B30-D30)*(1-((1+D30)^C30)/((1+B30)^C30))</f>
        <v>54.80280900832657</v>
      </c>
      <c r="H30">
        <f>G30/(1+B30)</f>
        <v>49.82073546211506</v>
      </c>
      <c r="L30" s="15" t="s">
        <v>102</v>
      </c>
      <c r="M30" s="15">
        <v>3.4</v>
      </c>
      <c r="N30" s="15">
        <v>3.4</v>
      </c>
      <c r="O30" s="15">
        <v>3.4</v>
      </c>
      <c r="P30" s="15">
        <v>3.4</v>
      </c>
      <c r="Q30" s="15">
        <v>3.4</v>
      </c>
      <c r="R30" s="2">
        <v>0.2</v>
      </c>
      <c r="S30" s="21">
        <v>0.03</v>
      </c>
      <c r="T30" s="21">
        <v>8.8999999999999996E-2</v>
      </c>
      <c r="U30" s="15">
        <f>(Q30*(1+R30)^Q29*(1+S30)/(T30-S30))</f>
        <v>123.08046101694914</v>
      </c>
      <c r="V30" s="15">
        <f>U30/(1+T30)^Q29</f>
        <v>87.514012229878318</v>
      </c>
      <c r="W30" s="20">
        <f>SUM(M31:P31,V30)</f>
        <v>104.95118590149019</v>
      </c>
    </row>
    <row r="31" spans="1:23">
      <c r="I31" s="6">
        <f>D34/C34*(1-(1/(1+C34)^B34))</f>
        <v>323.35736409892189</v>
      </c>
      <c r="J31" s="6">
        <f>A34/(1+C34)^B34</f>
        <v>622.74974188459112</v>
      </c>
      <c r="L31" s="15" t="s">
        <v>6</v>
      </c>
      <c r="M31" s="15">
        <f>(M30*(1+R30))/(1+T30)</f>
        <v>3.7465564738292012</v>
      </c>
      <c r="N31" s="15">
        <f>(N30*(1+R30)^N29)/(1+T30)^N29</f>
        <v>4.1284368857622047</v>
      </c>
      <c r="O31" s="15">
        <f>(O30*(1+R30)^O29)/(1+T30)^O29</f>
        <v>4.5492417473963691</v>
      </c>
      <c r="P31" s="15">
        <f>(P30*(1+R30)^P29)/(1+T30)^P29</f>
        <v>5.0129385646240978</v>
      </c>
      <c r="Q31" s="15"/>
      <c r="R31" s="15"/>
      <c r="S31" s="15"/>
      <c r="T31" s="15"/>
      <c r="U31" s="15"/>
    </row>
    <row r="32" spans="1:23">
      <c r="A32" s="65" t="s">
        <v>98</v>
      </c>
      <c r="B32" s="65"/>
      <c r="C32" s="65"/>
      <c r="D32" s="65"/>
      <c r="E32" s="65"/>
      <c r="F32" s="65"/>
      <c r="G32" s="65"/>
      <c r="H32" s="65"/>
      <c r="I32" s="65"/>
      <c r="J32" s="65"/>
      <c r="M32" s="15" t="s">
        <v>29</v>
      </c>
      <c r="N32" s="15" t="s">
        <v>25</v>
      </c>
      <c r="O32" s="15" t="s">
        <v>30</v>
      </c>
      <c r="P32" s="15" t="s">
        <v>100</v>
      </c>
      <c r="Q32" s="15"/>
      <c r="R32" s="15"/>
      <c r="S32" s="15"/>
      <c r="T32" s="15"/>
      <c r="U32" s="15"/>
    </row>
    <row r="33" spans="1:34">
      <c r="A33" s="15" t="s">
        <v>9</v>
      </c>
      <c r="B33" s="15" t="s">
        <v>15</v>
      </c>
      <c r="C33" s="15" t="s">
        <v>95</v>
      </c>
      <c r="D33" s="15" t="s">
        <v>18</v>
      </c>
      <c r="E33" s="15" t="s">
        <v>94</v>
      </c>
      <c r="F33" s="15" t="s">
        <v>96</v>
      </c>
      <c r="G33" s="15" t="s">
        <v>14</v>
      </c>
      <c r="H33" s="15" t="s">
        <v>75</v>
      </c>
      <c r="I33" s="15" t="s">
        <v>16</v>
      </c>
    </row>
    <row r="34" spans="1:34">
      <c r="A34" s="15">
        <v>1000</v>
      </c>
      <c r="B34" s="34">
        <f>E34*H34</f>
        <v>7</v>
      </c>
      <c r="C34" s="34">
        <f>G34/H34</f>
        <v>7.0000000000000007E-2</v>
      </c>
      <c r="D34" s="34">
        <f>(F34*A34)/H34</f>
        <v>60</v>
      </c>
      <c r="E34">
        <v>7</v>
      </c>
      <c r="F34" s="10">
        <v>0.06</v>
      </c>
      <c r="G34" s="10">
        <v>7.0000000000000007E-2</v>
      </c>
      <c r="H34" s="15">
        <v>1</v>
      </c>
      <c r="I34" s="64">
        <f>D34/C34*(1-(1/(1+C34)^B34))+A34/(1+C34)^B34</f>
        <v>946.10710598351307</v>
      </c>
      <c r="J34">
        <f ca="1">PRICE(TODAY(),TODAY()+1,F34,G34,1000,1,1)</f>
        <v>999.82402586265198</v>
      </c>
      <c r="L34" s="65" t="s">
        <v>107</v>
      </c>
      <c r="M34" s="65"/>
      <c r="N34" s="65"/>
      <c r="O34" s="65"/>
      <c r="P34" s="65"/>
      <c r="Q34" s="65"/>
      <c r="R34" s="65"/>
      <c r="S34" s="65"/>
    </row>
    <row r="35" spans="1:34">
      <c r="A35" s="65" t="s">
        <v>99</v>
      </c>
      <c r="B35" s="65"/>
      <c r="C35" s="65"/>
      <c r="D35" s="65"/>
      <c r="E35" s="65"/>
      <c r="F35" s="65"/>
      <c r="G35" s="65"/>
      <c r="H35" s="65"/>
      <c r="I35" s="65"/>
      <c r="J35" s="65"/>
      <c r="L35" s="15" t="s">
        <v>23</v>
      </c>
      <c r="M35" s="15" t="s">
        <v>104</v>
      </c>
      <c r="N35" s="15" t="s">
        <v>12</v>
      </c>
      <c r="O35" s="15" t="s">
        <v>26</v>
      </c>
      <c r="P35" s="15" t="s">
        <v>35</v>
      </c>
      <c r="Q35" s="15" t="s">
        <v>105</v>
      </c>
      <c r="R35" s="15" t="s">
        <v>22</v>
      </c>
      <c r="S35" s="15" t="s">
        <v>106</v>
      </c>
    </row>
    <row r="36" spans="1:34">
      <c r="A36" s="15" t="s">
        <v>9</v>
      </c>
      <c r="B36" s="15" t="s">
        <v>15</v>
      </c>
      <c r="C36" s="15" t="s">
        <v>95</v>
      </c>
      <c r="D36" s="15" t="s">
        <v>18</v>
      </c>
      <c r="E36" s="15" t="s">
        <v>94</v>
      </c>
      <c r="F36" s="15" t="s">
        <v>96</v>
      </c>
      <c r="G36" s="15" t="s">
        <v>14</v>
      </c>
      <c r="H36" s="15" t="s">
        <v>75</v>
      </c>
      <c r="I36" s="15" t="s">
        <v>16</v>
      </c>
      <c r="J36" s="15" t="s">
        <v>16</v>
      </c>
      <c r="K36" s="15" t="s">
        <v>97</v>
      </c>
      <c r="L36" s="15">
        <v>5</v>
      </c>
      <c r="M36" s="21">
        <v>0.5</v>
      </c>
      <c r="N36" s="21">
        <v>0.08</v>
      </c>
      <c r="O36" s="21">
        <v>0.13</v>
      </c>
      <c r="P36" s="34">
        <f>L36/M36</f>
        <v>10</v>
      </c>
      <c r="Q36" s="34">
        <f>P36/O36</f>
        <v>76.92307692307692</v>
      </c>
      <c r="R36" s="34">
        <f>L36/(O36-N36)</f>
        <v>100</v>
      </c>
      <c r="S36" s="20">
        <f>R36-Q36</f>
        <v>23.07692307692308</v>
      </c>
    </row>
    <row r="37" spans="1:34">
      <c r="A37" s="15">
        <v>1000</v>
      </c>
      <c r="B37" s="34">
        <f>E37*H37</f>
        <v>10</v>
      </c>
      <c r="C37" s="36">
        <f>G37/H37</f>
        <v>0.12519018655727954</v>
      </c>
      <c r="D37" s="34">
        <f>(F37*A37)/H37</f>
        <v>80</v>
      </c>
      <c r="E37">
        <v>10</v>
      </c>
      <c r="F37" s="10">
        <v>0.08</v>
      </c>
      <c r="G37" s="12">
        <v>0.12519018655727954</v>
      </c>
      <c r="H37" s="15">
        <v>1</v>
      </c>
      <c r="I37" s="20">
        <f>D37/C37*(1-(1/(1+C37)^B37))+A37/(1+C37)^B37</f>
        <v>749.99999925065356</v>
      </c>
      <c r="J37" s="15">
        <v>750</v>
      </c>
      <c r="K37">
        <f>(I37-J37)^2/J37^2</f>
        <v>9.9825793508732356E-19</v>
      </c>
    </row>
    <row r="38" spans="1:34">
      <c r="G38" s="12">
        <f>((1+C37)^2)-1</f>
        <v>0.26605295592480549</v>
      </c>
      <c r="L38" s="65" t="s">
        <v>109</v>
      </c>
      <c r="M38" s="65"/>
      <c r="N38" s="65"/>
      <c r="O38" s="65"/>
      <c r="P38" s="65"/>
      <c r="Q38" s="65"/>
      <c r="R38" s="65"/>
    </row>
    <row r="39" spans="1:34">
      <c r="A39" s="65" t="s">
        <v>110</v>
      </c>
      <c r="B39" s="65"/>
      <c r="C39" s="65"/>
      <c r="E39" s="65" t="s">
        <v>111</v>
      </c>
      <c r="F39" s="65"/>
      <c r="G39" s="65"/>
      <c r="H39" s="65"/>
      <c r="L39" s="15"/>
      <c r="M39" s="15"/>
      <c r="N39" s="15" t="s">
        <v>58</v>
      </c>
      <c r="O39" s="15" t="s">
        <v>61</v>
      </c>
      <c r="P39" s="15" t="s">
        <v>22</v>
      </c>
    </row>
    <row r="40" spans="1:34">
      <c r="A40" s="15" t="s">
        <v>20</v>
      </c>
      <c r="B40" s="15" t="s">
        <v>21</v>
      </c>
      <c r="C40" s="15" t="s">
        <v>19</v>
      </c>
      <c r="E40" s="15" t="s">
        <v>27</v>
      </c>
      <c r="F40" s="15" t="s">
        <v>3</v>
      </c>
      <c r="G40" s="15" t="s">
        <v>26</v>
      </c>
      <c r="H40" s="15" t="s">
        <v>22</v>
      </c>
      <c r="L40" s="23"/>
      <c r="M40" s="23"/>
      <c r="N40" s="15">
        <v>7.42</v>
      </c>
      <c r="O40" s="23">
        <v>0.08</v>
      </c>
      <c r="P40" s="20">
        <f>N40/O40</f>
        <v>92.75</v>
      </c>
      <c r="AG40" t="str">
        <f>CONCATENATE(AA42," Year Delay")</f>
        <v>7 Year Delay</v>
      </c>
    </row>
    <row r="41" spans="1:34">
      <c r="A41" s="23">
        <v>0.03</v>
      </c>
      <c r="B41" s="23">
        <v>7.0000000000000007E-2</v>
      </c>
      <c r="C41" s="33">
        <f>((1+B41)/(1+A41))-1</f>
        <v>3.8834951456310662E-2</v>
      </c>
      <c r="E41" s="15">
        <v>5.0199999999999996</v>
      </c>
      <c r="F41" s="15">
        <v>1</v>
      </c>
      <c r="G41" s="23">
        <v>7.5200000000000003E-2</v>
      </c>
      <c r="H41" s="20">
        <f>(E41*F41)/G41</f>
        <v>66.755319148936167</v>
      </c>
      <c r="L41" s="65" t="s">
        <v>114</v>
      </c>
      <c r="M41" s="65"/>
      <c r="N41" s="65"/>
      <c r="O41" s="65"/>
      <c r="P41" s="65"/>
      <c r="T41" s="65" t="s">
        <v>121</v>
      </c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</row>
    <row r="42" spans="1:34">
      <c r="A42" s="23">
        <v>0.02</v>
      </c>
      <c r="B42" s="33">
        <f>((1+C42)*(1+A42))-1</f>
        <v>7.1000000000000174E-2</v>
      </c>
      <c r="C42" s="23">
        <v>0.05</v>
      </c>
      <c r="L42" s="15" t="s">
        <v>26</v>
      </c>
      <c r="M42" s="15" t="s">
        <v>60</v>
      </c>
      <c r="N42" s="15" t="s">
        <v>58</v>
      </c>
      <c r="O42" s="15" t="s">
        <v>59</v>
      </c>
      <c r="P42" s="15" t="s">
        <v>22</v>
      </c>
      <c r="Q42" s="15" t="s">
        <v>3</v>
      </c>
      <c r="R42" s="15" t="str">
        <f>CONCATENATE("P","",Q43)</f>
        <v>P7</v>
      </c>
      <c r="T42" t="s">
        <v>67</v>
      </c>
      <c r="U42" s="15">
        <v>1</v>
      </c>
      <c r="V42" s="15">
        <v>2</v>
      </c>
      <c r="W42" s="15">
        <v>3</v>
      </c>
      <c r="X42" s="15">
        <v>4</v>
      </c>
      <c r="Y42" s="15">
        <v>5</v>
      </c>
      <c r="Z42" s="15">
        <v>6</v>
      </c>
      <c r="AA42" s="15">
        <v>7</v>
      </c>
      <c r="AB42" s="15">
        <v>8</v>
      </c>
      <c r="AC42" t="s">
        <v>12</v>
      </c>
      <c r="AD42" s="15" t="s">
        <v>108</v>
      </c>
      <c r="AE42" s="15" t="s">
        <v>26</v>
      </c>
      <c r="AF42" s="15" t="s">
        <v>120</v>
      </c>
      <c r="AG42" s="15" t="s">
        <v>22</v>
      </c>
      <c r="AH42" s="15" t="s">
        <v>22</v>
      </c>
    </row>
    <row r="43" spans="1:34">
      <c r="A43" s="33">
        <f>((1+B43)/(1+C43))-1</f>
        <v>9.7087378640776656E-3</v>
      </c>
      <c r="B43" s="23">
        <v>0.04</v>
      </c>
      <c r="C43" s="23">
        <v>0.03</v>
      </c>
      <c r="L43" s="23">
        <v>0.1174</v>
      </c>
      <c r="M43" s="23">
        <v>3.85E-2</v>
      </c>
      <c r="N43" s="15">
        <v>7.48</v>
      </c>
      <c r="O43" s="35">
        <f>L43-M43</f>
        <v>7.8899999999999998E-2</v>
      </c>
      <c r="P43" s="20">
        <f>N43/O43</f>
        <v>94.803548795944238</v>
      </c>
      <c r="Q43">
        <v>7</v>
      </c>
      <c r="R43" s="20">
        <f>P43*(1+M43)^Q43</f>
        <v>123.50089382051317</v>
      </c>
      <c r="T43" s="15" t="s">
        <v>102</v>
      </c>
      <c r="U43" s="15">
        <v>10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11</v>
      </c>
      <c r="AB43" s="15">
        <v>0</v>
      </c>
      <c r="AC43" s="21">
        <v>0.06</v>
      </c>
      <c r="AD43" s="21">
        <v>0.03</v>
      </c>
      <c r="AE43" s="21">
        <v>0.1</v>
      </c>
      <c r="AF43" s="15">
        <f>(AA43*(1+AC43)^(AA42-V42)*(1+AD43)/(AE43-AD43))</f>
        <v>216.60136848868578</v>
      </c>
      <c r="AG43" s="15">
        <f>AF43/(1+AE43)^AA42</f>
        <v>111.15075065984983</v>
      </c>
      <c r="AH43" s="20">
        <f>SUM(U44:X44,AG43,AG44)</f>
        <v>170.60784975832854</v>
      </c>
    </row>
    <row r="44" spans="1:34">
      <c r="L44" s="65" t="s">
        <v>116</v>
      </c>
      <c r="M44" s="65"/>
      <c r="N44" s="65"/>
      <c r="O44" s="65"/>
      <c r="P44" s="65"/>
      <c r="Q44" s="65"/>
      <c r="R44" s="65"/>
      <c r="T44" s="15" t="s">
        <v>6</v>
      </c>
      <c r="U44" s="15">
        <f>(U43*(1+AC43))/(1+AE43)</f>
        <v>9.6363636363636367</v>
      </c>
      <c r="V44" s="15">
        <f>(V43*(1+AC43)^V42)/(1+AE43)^V42</f>
        <v>0</v>
      </c>
      <c r="W44" s="15">
        <f>(W43*(1+AC43)^W42)/(1+AE43)^W42</f>
        <v>0</v>
      </c>
      <c r="X44" s="15">
        <f>(X43*(1+AC43)^X42)/(1+AE43)^X42</f>
        <v>0</v>
      </c>
      <c r="Y44" s="15"/>
      <c r="Z44" s="15"/>
      <c r="AA44" s="15"/>
      <c r="AB44" s="15"/>
      <c r="AC44" s="21">
        <v>0.06</v>
      </c>
      <c r="AD44" s="21">
        <v>0.03</v>
      </c>
      <c r="AE44" s="15"/>
      <c r="AF44" s="15">
        <f>(AA43/(AE43-AC44))*(1-((1+AC44)^(AA42-U42)/(1+AE43)^(AA42-U42)))</f>
        <v>54.80280900832657</v>
      </c>
      <c r="AG44" s="15">
        <f>AF44/(1+AE43)^U42</f>
        <v>49.82073546211506</v>
      </c>
    </row>
    <row r="45" spans="1:34">
      <c r="A45" s="65" t="s">
        <v>123</v>
      </c>
      <c r="B45" s="65"/>
      <c r="C45" s="65"/>
      <c r="D45" s="65"/>
      <c r="E45" s="65"/>
      <c r="F45" s="65"/>
      <c r="G45" s="65"/>
      <c r="H45" s="65"/>
      <c r="I45" s="65"/>
      <c r="L45" s="15" t="s">
        <v>22</v>
      </c>
      <c r="M45" s="15" t="s">
        <v>26</v>
      </c>
      <c r="N45" s="15" t="s">
        <v>58</v>
      </c>
      <c r="O45" s="15" t="s">
        <v>3</v>
      </c>
      <c r="P45" s="15" t="s">
        <v>61</v>
      </c>
      <c r="Q45" s="15" t="s">
        <v>60</v>
      </c>
      <c r="R45" s="15" t="str">
        <f>CONCATENATE("P","",O46)</f>
        <v>P6</v>
      </c>
      <c r="U45" s="15" t="s">
        <v>29</v>
      </c>
      <c r="V45" s="15" t="s">
        <v>25</v>
      </c>
      <c r="W45" s="15" t="s">
        <v>30</v>
      </c>
      <c r="X45" s="15" t="s">
        <v>100</v>
      </c>
      <c r="Y45" s="15"/>
      <c r="Z45" s="15"/>
      <c r="AA45" s="15"/>
      <c r="AB45" s="15"/>
      <c r="AC45" s="15"/>
      <c r="AD45" s="15"/>
      <c r="AE45" s="15"/>
      <c r="AF45" s="15" t="s">
        <v>119</v>
      </c>
      <c r="AG45" t="str">
        <f>CONCATENATE(U42," Year Delay")</f>
        <v>1 Year Delay</v>
      </c>
    </row>
    <row r="46" spans="1:34">
      <c r="A46" s="15" t="s">
        <v>33</v>
      </c>
      <c r="B46" s="15" t="s">
        <v>34</v>
      </c>
      <c r="C46" s="15" t="s">
        <v>35</v>
      </c>
      <c r="D46" s="15" t="s">
        <v>2</v>
      </c>
      <c r="E46" s="15" t="s">
        <v>36</v>
      </c>
      <c r="F46" s="15" t="s">
        <v>12</v>
      </c>
      <c r="G46" s="15" t="s">
        <v>22</v>
      </c>
      <c r="H46" s="15" t="s">
        <v>105</v>
      </c>
      <c r="I46" s="15" t="s">
        <v>106</v>
      </c>
      <c r="K46" s="15"/>
      <c r="L46" s="15">
        <v>96.18</v>
      </c>
      <c r="M46" s="23">
        <v>0.12590000000000001</v>
      </c>
      <c r="N46" s="15">
        <v>8.1</v>
      </c>
      <c r="O46" s="15">
        <v>6</v>
      </c>
      <c r="P46" s="34">
        <f>N46/L46</f>
        <v>8.4217092950717401E-2</v>
      </c>
      <c r="Q46" s="34">
        <f>M46-P46</f>
        <v>4.1682907049282611E-2</v>
      </c>
      <c r="R46" s="20">
        <f>L46*(1+Q46)^O46</f>
        <v>122.88475277651887</v>
      </c>
    </row>
    <row r="47" spans="1:34">
      <c r="A47" s="21">
        <v>0.06</v>
      </c>
      <c r="B47" s="21">
        <v>0.4</v>
      </c>
      <c r="C47" s="15">
        <v>4</v>
      </c>
      <c r="D47" s="21">
        <v>0.08</v>
      </c>
      <c r="E47" s="15">
        <f>C47*(1-B47)</f>
        <v>2.4</v>
      </c>
      <c r="F47" s="23">
        <f>A47*B47</f>
        <v>2.4E-2</v>
      </c>
      <c r="G47" s="15">
        <f>E47/(D47-F47)</f>
        <v>42.857142857142854</v>
      </c>
      <c r="H47" s="15">
        <f>C47/D47</f>
        <v>50</v>
      </c>
      <c r="I47" s="20">
        <f>G47-H47</f>
        <v>-7.1428571428571459</v>
      </c>
      <c r="K47" s="15"/>
      <c r="L47" s="65" t="s">
        <v>117</v>
      </c>
      <c r="M47" s="65"/>
      <c r="N47" s="65"/>
      <c r="O47" s="65"/>
      <c r="P47" s="65"/>
      <c r="Q47" s="65"/>
      <c r="R47" s="65"/>
    </row>
    <row r="48" spans="1:34">
      <c r="L48" s="15" t="s">
        <v>59</v>
      </c>
      <c r="M48" s="15" t="s">
        <v>26</v>
      </c>
      <c r="N48" s="15" t="s">
        <v>60</v>
      </c>
      <c r="O48" s="15" t="s">
        <v>58</v>
      </c>
      <c r="P48" s="15" t="s">
        <v>3</v>
      </c>
      <c r="Q48" s="15" t="s">
        <v>22</v>
      </c>
      <c r="R48" s="15" t="str">
        <f>CONCATENATE("P","",P49)</f>
        <v>P4</v>
      </c>
    </row>
    <row r="49" spans="1:18">
      <c r="A49" s="65" t="s">
        <v>264</v>
      </c>
      <c r="B49" s="65"/>
      <c r="C49" s="65"/>
      <c r="D49" s="65"/>
      <c r="E49" s="65"/>
      <c r="F49" s="65"/>
      <c r="G49" s="65"/>
      <c r="H49" s="65"/>
      <c r="I49" s="65"/>
      <c r="J49" s="65"/>
      <c r="L49" s="23">
        <v>6.4000000000000001E-2</v>
      </c>
      <c r="M49" s="35">
        <f>L49+N49</f>
        <v>0.14360000000000001</v>
      </c>
      <c r="N49" s="36">
        <v>7.9600000000000004E-2</v>
      </c>
      <c r="O49" s="15">
        <v>4.88</v>
      </c>
      <c r="P49" s="15">
        <v>4</v>
      </c>
      <c r="Q49" s="6">
        <f>O49/L49</f>
        <v>76.25</v>
      </c>
      <c r="R49" s="20">
        <f>Q49*(1+N49)^P49</f>
        <v>103.5836836954004</v>
      </c>
    </row>
    <row r="50" spans="1:18">
      <c r="A50" s="15" t="s">
        <v>9</v>
      </c>
      <c r="B50" s="15" t="s">
        <v>15</v>
      </c>
      <c r="C50" s="15" t="s">
        <v>95</v>
      </c>
      <c r="D50" s="15" t="s">
        <v>18</v>
      </c>
      <c r="E50" s="15" t="s">
        <v>94</v>
      </c>
      <c r="F50" s="15" t="s">
        <v>96</v>
      </c>
      <c r="G50" s="15" t="s">
        <v>14</v>
      </c>
      <c r="H50" s="15" t="s">
        <v>75</v>
      </c>
      <c r="I50" s="15" t="s">
        <v>16</v>
      </c>
      <c r="J50" s="15" t="s">
        <v>16</v>
      </c>
      <c r="K50" s="15" t="s">
        <v>97</v>
      </c>
      <c r="L50" s="65" t="s">
        <v>118</v>
      </c>
      <c r="M50" s="65"/>
      <c r="N50" s="65"/>
      <c r="O50" s="65"/>
      <c r="P50" s="65"/>
      <c r="Q50" s="65"/>
      <c r="R50" s="65"/>
    </row>
    <row r="51" spans="1:18">
      <c r="A51" s="15">
        <v>1050</v>
      </c>
      <c r="B51" s="34">
        <f>E51*H51</f>
        <v>10</v>
      </c>
      <c r="C51" s="36">
        <f>G51/H51</f>
        <v>1.7624512100350768E-2</v>
      </c>
      <c r="D51" s="34">
        <f>(F51*A52)/H51</f>
        <v>30</v>
      </c>
      <c r="E51">
        <v>5</v>
      </c>
      <c r="F51" s="10">
        <v>0.06</v>
      </c>
      <c r="G51" s="90">
        <v>3.5249024200701536E-2</v>
      </c>
      <c r="H51" s="15">
        <v>2</v>
      </c>
      <c r="I51" s="20">
        <f>D51/C51*(1-(1/(1+C51)^B51))+A51/(1+C51)^B51</f>
        <v>1154.5432999999998</v>
      </c>
      <c r="J51" s="68">
        <v>1154.5433</v>
      </c>
      <c r="K51">
        <f>(I51-J51)^2/J51^2</f>
        <v>3.8784653295282267E-32</v>
      </c>
      <c r="L51" s="15" t="s">
        <v>22</v>
      </c>
      <c r="M51" s="15" t="s">
        <v>26</v>
      </c>
      <c r="N51" s="15" t="s">
        <v>112</v>
      </c>
      <c r="O51" s="15" t="s">
        <v>3</v>
      </c>
      <c r="P51" s="15" t="s">
        <v>60</v>
      </c>
      <c r="Q51" s="15" t="str">
        <f>CONCATENATE("P","",O52)</f>
        <v>P3</v>
      </c>
    </row>
    <row r="52" spans="1:18">
      <c r="A52">
        <v>1000</v>
      </c>
      <c r="L52" s="15">
        <v>52.48</v>
      </c>
      <c r="M52" s="23">
        <v>-1E-4</v>
      </c>
      <c r="N52" s="23">
        <v>6.6600000000000006E-2</v>
      </c>
      <c r="O52" s="15">
        <v>3</v>
      </c>
      <c r="P52" s="35">
        <f>M52-N52</f>
        <v>-6.6700000000000009E-2</v>
      </c>
      <c r="Q52" s="20">
        <f>L52*(1+P52)^O52</f>
        <v>42.663612275861766</v>
      </c>
    </row>
    <row r="53" spans="1:18">
      <c r="L53" s="65" t="s">
        <v>113</v>
      </c>
      <c r="M53" s="65"/>
      <c r="N53" s="65"/>
      <c r="O53" s="65"/>
    </row>
    <row r="54" spans="1:18">
      <c r="L54" s="15" t="s">
        <v>26</v>
      </c>
      <c r="M54" s="15" t="s">
        <v>12</v>
      </c>
      <c r="N54" s="15" t="s">
        <v>115</v>
      </c>
      <c r="O54" s="15" t="s">
        <v>22</v>
      </c>
      <c r="P54" s="15" t="s">
        <v>3</v>
      </c>
      <c r="Q54" s="15" t="str">
        <f>CONCATENATE("P","",P55)</f>
        <v>P8</v>
      </c>
    </row>
    <row r="55" spans="1:18">
      <c r="L55" s="23">
        <v>0.18629999999999999</v>
      </c>
      <c r="M55" s="23">
        <v>3.1899999999999998E-2</v>
      </c>
      <c r="N55" s="15">
        <v>6.59</v>
      </c>
      <c r="O55" s="24">
        <f>(N55*(1+M55))/(L55-M55)</f>
        <v>44.042882124352339</v>
      </c>
      <c r="P55">
        <v>8</v>
      </c>
      <c r="Q55" s="20">
        <f>O55*(1+M55)^P55</f>
        <v>56.620882060289766</v>
      </c>
    </row>
  </sheetData>
  <mergeCells count="34">
    <mergeCell ref="A49:J49"/>
    <mergeCell ref="T41:AG41"/>
    <mergeCell ref="A45:I45"/>
    <mergeCell ref="E39:H39"/>
    <mergeCell ref="A39:C39"/>
    <mergeCell ref="L38:R38"/>
    <mergeCell ref="L53:O53"/>
    <mergeCell ref="L41:P41"/>
    <mergeCell ref="L44:R44"/>
    <mergeCell ref="L47:R47"/>
    <mergeCell ref="L50:R50"/>
    <mergeCell ref="A24:G24"/>
    <mergeCell ref="J16:P16"/>
    <mergeCell ref="A32:J32"/>
    <mergeCell ref="A35:J35"/>
    <mergeCell ref="L28:V28"/>
    <mergeCell ref="L34:S34"/>
    <mergeCell ref="A28:G28"/>
    <mergeCell ref="A20:G20"/>
    <mergeCell ref="J24:P24"/>
    <mergeCell ref="J20:P20"/>
    <mergeCell ref="S12:U12"/>
    <mergeCell ref="S16:U16"/>
    <mergeCell ref="S1:Y1"/>
    <mergeCell ref="S7:V7"/>
    <mergeCell ref="W7:X7"/>
    <mergeCell ref="A12:G12"/>
    <mergeCell ref="A16:G16"/>
    <mergeCell ref="J12:P12"/>
    <mergeCell ref="A1:D1"/>
    <mergeCell ref="F1:I1"/>
    <mergeCell ref="A6:H6"/>
    <mergeCell ref="J6:P6"/>
    <mergeCell ref="K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topLeftCell="A10" workbookViewId="0">
      <selection activeCell="F2" sqref="F2"/>
    </sheetView>
  </sheetViews>
  <sheetFormatPr defaultRowHeight="15"/>
  <cols>
    <col min="3" max="3" width="23" bestFit="1" customWidth="1"/>
    <col min="5" max="5" width="11" bestFit="1" customWidth="1"/>
    <col min="6" max="6" width="11.5703125" bestFit="1" customWidth="1"/>
    <col min="7" max="7" width="11.140625" bestFit="1" customWidth="1"/>
  </cols>
  <sheetData>
    <row r="1" spans="1:7">
      <c r="A1" s="15">
        <v>0.08</v>
      </c>
      <c r="B1" s="15">
        <v>0.12</v>
      </c>
      <c r="C1" s="15">
        <v>0.1</v>
      </c>
      <c r="D1" s="15"/>
      <c r="E1" s="15"/>
      <c r="F1" s="22">
        <f>VAR(A1:E1)</f>
        <v>3.9999999999999584E-4</v>
      </c>
      <c r="G1" t="s">
        <v>124</v>
      </c>
    </row>
    <row r="2" spans="1:7">
      <c r="A2" s="15">
        <v>-0.05</v>
      </c>
      <c r="B2" s="15">
        <v>0.2</v>
      </c>
      <c r="C2" s="15">
        <v>0</v>
      </c>
      <c r="D2" s="15">
        <v>0.1</v>
      </c>
      <c r="E2" s="15">
        <v>0.05</v>
      </c>
      <c r="F2" s="33">
        <f>STDEV(A2:E2)</f>
        <v>9.6176920308356742E-2</v>
      </c>
      <c r="G2" t="s">
        <v>125</v>
      </c>
    </row>
    <row r="3" spans="1:7">
      <c r="A3" s="15"/>
      <c r="B3" s="15"/>
      <c r="C3" s="15"/>
      <c r="D3" s="15"/>
      <c r="E3" s="15"/>
      <c r="F3" s="29" t="e">
        <f>AVERAGE(A3:E3)</f>
        <v>#DIV/0!</v>
      </c>
      <c r="G3" t="s">
        <v>169</v>
      </c>
    </row>
    <row r="4" spans="1:7">
      <c r="A4" s="67" t="s">
        <v>160</v>
      </c>
      <c r="B4" s="67"/>
      <c r="C4" s="67"/>
      <c r="D4" s="67"/>
    </row>
    <row r="5" spans="1:7">
      <c r="A5" s="15" t="s">
        <v>126</v>
      </c>
      <c r="B5" s="15" t="s">
        <v>127</v>
      </c>
      <c r="C5" s="15" t="s">
        <v>128</v>
      </c>
      <c r="D5" s="15" t="s">
        <v>129</v>
      </c>
    </row>
    <row r="6" spans="1:7">
      <c r="A6" s="15">
        <v>1.5</v>
      </c>
      <c r="B6" s="15">
        <v>0.2</v>
      </c>
      <c r="C6" s="15">
        <v>1</v>
      </c>
      <c r="D6" s="22">
        <f>(A6*B6)/C6</f>
        <v>0.30000000000000004</v>
      </c>
    </row>
    <row r="7" spans="1:7">
      <c r="A7" s="67" t="s">
        <v>159</v>
      </c>
      <c r="B7" s="67"/>
      <c r="C7" s="67"/>
      <c r="D7" s="67"/>
    </row>
    <row r="8" spans="1:7">
      <c r="A8" s="15" t="s">
        <v>130</v>
      </c>
      <c r="B8" s="15" t="s">
        <v>127</v>
      </c>
      <c r="C8" s="15" t="s">
        <v>131</v>
      </c>
      <c r="D8" s="15" t="s">
        <v>126</v>
      </c>
    </row>
    <row r="9" spans="1:7">
      <c r="A9" s="15">
        <v>0.06</v>
      </c>
      <c r="B9" s="21">
        <v>0.2</v>
      </c>
      <c r="C9" s="15">
        <f>B9^2</f>
        <v>4.0000000000000008E-2</v>
      </c>
      <c r="D9" s="22">
        <f>(A9/C9)</f>
        <v>1.4999999999999996</v>
      </c>
    </row>
    <row r="10" spans="1:7">
      <c r="A10" s="67" t="s">
        <v>162</v>
      </c>
      <c r="B10" s="67"/>
      <c r="C10" s="67"/>
      <c r="D10" s="67"/>
      <c r="E10" s="67"/>
      <c r="F10" s="67"/>
      <c r="G10" s="67"/>
    </row>
    <row r="11" spans="1:7">
      <c r="A11" s="15" t="s">
        <v>126</v>
      </c>
      <c r="B11" s="15" t="s">
        <v>132</v>
      </c>
      <c r="C11" s="15" t="s">
        <v>133</v>
      </c>
      <c r="D11" s="15" t="s">
        <v>134</v>
      </c>
      <c r="E11" s="15" t="s">
        <v>136</v>
      </c>
      <c r="F11" s="15" t="s">
        <v>135</v>
      </c>
      <c r="G11" s="15" t="s">
        <v>161</v>
      </c>
    </row>
    <row r="12" spans="1:7">
      <c r="A12" s="15">
        <v>1.1399999999999999</v>
      </c>
      <c r="B12" s="21">
        <v>3.5999999999999997E-2</v>
      </c>
      <c r="C12" s="21">
        <v>0.126</v>
      </c>
      <c r="D12" s="21">
        <v>0.13</v>
      </c>
      <c r="E12" s="40">
        <f>B12+A12*(C12-B12)</f>
        <v>0.13859999999999997</v>
      </c>
      <c r="F12" s="22" t="str">
        <f>IF(E12&gt;D12,"Over-priced",IF(E12&lt;D12,"Under-priced","Fair"))</f>
        <v>Over-priced</v>
      </c>
      <c r="G12" s="39">
        <f>D12-E12</f>
        <v>-8.5999999999999688E-3</v>
      </c>
    </row>
    <row r="14" spans="1:7">
      <c r="A14" s="67" t="s">
        <v>158</v>
      </c>
      <c r="B14" s="67"/>
      <c r="C14" s="67"/>
      <c r="D14" s="67"/>
      <c r="E14" s="67"/>
      <c r="F14" s="67"/>
      <c r="G14" s="67"/>
    </row>
    <row r="15" spans="1:7">
      <c r="A15" s="15" t="s">
        <v>137</v>
      </c>
      <c r="B15" s="15" t="s">
        <v>138</v>
      </c>
      <c r="C15" s="15" t="s">
        <v>142</v>
      </c>
      <c r="D15" s="15" t="s">
        <v>139</v>
      </c>
      <c r="E15" s="15" t="s">
        <v>140</v>
      </c>
      <c r="F15" s="15" t="s">
        <v>143</v>
      </c>
      <c r="G15" s="15" t="s">
        <v>141</v>
      </c>
    </row>
    <row r="16" spans="1:7">
      <c r="A16" s="21">
        <v>0.15</v>
      </c>
      <c r="B16" s="21">
        <v>0.75</v>
      </c>
      <c r="C16" s="21">
        <v>0.1</v>
      </c>
      <c r="D16" s="21">
        <v>0.12</v>
      </c>
      <c r="E16" s="21">
        <v>0.08</v>
      </c>
      <c r="F16" s="21">
        <v>-0.05</v>
      </c>
      <c r="G16" s="23">
        <f>A16*D16+B16*E16+C16*F16</f>
        <v>7.2999999999999995E-2</v>
      </c>
    </row>
    <row r="17" spans="1:11">
      <c r="A17" s="67" t="s">
        <v>157</v>
      </c>
      <c r="B17" s="67"/>
      <c r="C17" s="67"/>
      <c r="D17" s="67"/>
    </row>
    <row r="18" spans="1:11">
      <c r="A18" s="15" t="s">
        <v>144</v>
      </c>
      <c r="B18" s="15" t="s">
        <v>145</v>
      </c>
      <c r="C18" s="15" t="s">
        <v>146</v>
      </c>
      <c r="D18" s="15" t="s">
        <v>147</v>
      </c>
    </row>
    <row r="19" spans="1:11">
      <c r="A19" s="21">
        <v>0.15</v>
      </c>
      <c r="B19" s="21">
        <v>0.3</v>
      </c>
      <c r="C19" s="15">
        <v>1</v>
      </c>
      <c r="D19" s="22">
        <f>C19*A19*B19</f>
        <v>4.4999999999999998E-2</v>
      </c>
    </row>
    <row r="21" spans="1:11">
      <c r="A21" s="67" t="s">
        <v>156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spans="1:11">
      <c r="A22" s="15" t="s">
        <v>137</v>
      </c>
      <c r="B22" s="15" t="s">
        <v>138</v>
      </c>
      <c r="C22" s="15" t="s">
        <v>142</v>
      </c>
      <c r="D22" s="15" t="s">
        <v>154</v>
      </c>
      <c r="E22" s="15" t="s">
        <v>148</v>
      </c>
      <c r="F22" s="15" t="s">
        <v>149</v>
      </c>
      <c r="G22" s="15" t="s">
        <v>150</v>
      </c>
      <c r="H22" s="15" t="s">
        <v>155</v>
      </c>
      <c r="I22" s="15" t="s">
        <v>151</v>
      </c>
      <c r="J22" s="15" t="s">
        <v>152</v>
      </c>
      <c r="K22" s="15" t="s">
        <v>153</v>
      </c>
    </row>
    <row r="23" spans="1:11">
      <c r="A23" s="21">
        <v>0.7</v>
      </c>
      <c r="B23" s="21">
        <v>0.3</v>
      </c>
      <c r="C23" s="21"/>
      <c r="D23" s="21"/>
      <c r="E23" s="21">
        <v>0.2</v>
      </c>
      <c r="F23" s="21">
        <v>-0.3</v>
      </c>
      <c r="G23" s="21"/>
      <c r="H23" s="21"/>
      <c r="I23" s="32">
        <f>A23*E23+B23*F23+C23*G23+D23*H23</f>
        <v>4.9999999999999989E-2</v>
      </c>
      <c r="J23" s="22">
        <f>(A23*(E23-I23)^2+B23*(F23-I23)^2+C23*(G23-I23)^2+D23*(H23-I23)^2)</f>
        <v>5.2499999999999991E-2</v>
      </c>
      <c r="K23" s="41">
        <f>SQRT(J23)</f>
        <v>0.22912878474779197</v>
      </c>
    </row>
    <row r="25" spans="1:11">
      <c r="A25" s="67" t="s">
        <v>166</v>
      </c>
      <c r="B25" s="67"/>
      <c r="C25" s="67"/>
      <c r="D25" s="67"/>
      <c r="E25" s="67"/>
      <c r="F25" s="67"/>
      <c r="G25" s="67"/>
      <c r="H25" s="67"/>
      <c r="I25" s="67"/>
    </row>
    <row r="26" spans="1:11">
      <c r="A26" s="15" t="s">
        <v>137</v>
      </c>
      <c r="B26" s="15" t="s">
        <v>138</v>
      </c>
      <c r="C26" s="15" t="s">
        <v>163</v>
      </c>
      <c r="D26" s="15" t="s">
        <v>164</v>
      </c>
      <c r="E26" s="15" t="s">
        <v>128</v>
      </c>
      <c r="F26" s="15" t="s">
        <v>165</v>
      </c>
      <c r="G26" s="15" t="s">
        <v>153</v>
      </c>
    </row>
    <row r="27" spans="1:11">
      <c r="A27" s="21">
        <v>0.6</v>
      </c>
      <c r="B27" s="21">
        <v>0.4</v>
      </c>
      <c r="C27" s="23">
        <v>0.1</v>
      </c>
      <c r="D27" s="21">
        <v>0.2</v>
      </c>
      <c r="E27" s="15">
        <v>0.5</v>
      </c>
      <c r="F27" s="12">
        <f>(A27^2)*(C27^2)+(B27^2)*(D27^2)+(2*E27*A27*B27*C27*D27)</f>
        <v>1.4800000000000004E-2</v>
      </c>
      <c r="G27" s="11">
        <f>SQRT(F27)</f>
        <v>0.12165525060596441</v>
      </c>
    </row>
    <row r="29" spans="1:11">
      <c r="A29" s="67" t="s">
        <v>167</v>
      </c>
      <c r="B29" s="67"/>
      <c r="C29" s="67"/>
      <c r="D29" s="67"/>
      <c r="E29" s="67"/>
      <c r="F29" s="67"/>
      <c r="G29" s="67"/>
      <c r="H29" s="67"/>
      <c r="I29" s="67"/>
    </row>
    <row r="30" spans="1:11">
      <c r="A30" s="15" t="s">
        <v>137</v>
      </c>
      <c r="B30" s="15" t="s">
        <v>138</v>
      </c>
      <c r="C30" s="15" t="s">
        <v>163</v>
      </c>
      <c r="D30" s="15" t="s">
        <v>164</v>
      </c>
      <c r="E30" s="15" t="s">
        <v>168</v>
      </c>
      <c r="F30" s="15" t="s">
        <v>165</v>
      </c>
      <c r="G30" s="15" t="s">
        <v>153</v>
      </c>
    </row>
    <row r="31" spans="1:11">
      <c r="A31" s="21">
        <v>0.6</v>
      </c>
      <c r="B31" s="21">
        <v>0.4</v>
      </c>
      <c r="C31" s="23">
        <v>0.13200000000000001</v>
      </c>
      <c r="D31" s="21">
        <v>0.31</v>
      </c>
      <c r="E31" s="15">
        <v>0.19</v>
      </c>
      <c r="F31" s="12">
        <f>(A31^2)*(C31^2)+(B31^2)*(D31^2)+(2*E31*A31*B31*C31*D31)</f>
        <v>2.5380544000000005E-2</v>
      </c>
      <c r="G31" s="12">
        <f>SQRT(F31)</f>
        <v>0.15931272391118045</v>
      </c>
    </row>
  </sheetData>
  <mergeCells count="8">
    <mergeCell ref="A7:D7"/>
    <mergeCell ref="A4:D4"/>
    <mergeCell ref="A10:G10"/>
    <mergeCell ref="A25:I25"/>
    <mergeCell ref="A29:I29"/>
    <mergeCell ref="A21:K21"/>
    <mergeCell ref="A17:D17"/>
    <mergeCell ref="A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8"/>
  <sheetViews>
    <sheetView topLeftCell="A10" workbookViewId="0">
      <selection activeCell="T10" sqref="T10"/>
    </sheetView>
  </sheetViews>
  <sheetFormatPr defaultRowHeight="15"/>
  <cols>
    <col min="3" max="3" width="11.140625" style="15" bestFit="1" customWidth="1"/>
    <col min="4" max="4" width="13.5703125" bestFit="1" customWidth="1"/>
    <col min="5" max="5" width="13" customWidth="1"/>
    <col min="8" max="8" width="10.28515625" bestFit="1" customWidth="1"/>
    <col min="11" max="11" width="9.140625" customWidth="1"/>
    <col min="12" max="12" width="10.5703125" bestFit="1" customWidth="1"/>
    <col min="14" max="14" width="8" bestFit="1" customWidth="1"/>
    <col min="15" max="15" width="24.42578125" customWidth="1"/>
  </cols>
  <sheetData>
    <row r="1" spans="1:15">
      <c r="A1" s="45"/>
      <c r="B1" s="45"/>
      <c r="C1" s="46" t="s">
        <v>2</v>
      </c>
      <c r="D1" s="46" t="s">
        <v>176</v>
      </c>
      <c r="F1" s="45"/>
      <c r="G1" s="45"/>
      <c r="H1" s="46" t="s">
        <v>2</v>
      </c>
      <c r="I1" s="46" t="s">
        <v>176</v>
      </c>
      <c r="K1" s="45"/>
      <c r="L1" s="45"/>
      <c r="M1" s="46" t="s">
        <v>2</v>
      </c>
      <c r="N1" s="45" t="s">
        <v>12</v>
      </c>
      <c r="O1" s="45" t="s">
        <v>177</v>
      </c>
    </row>
    <row r="2" spans="1:15">
      <c r="A2" s="45" t="s">
        <v>170</v>
      </c>
      <c r="B2" s="45">
        <v>-12000</v>
      </c>
      <c r="C2" s="47">
        <v>0.17</v>
      </c>
      <c r="D2" s="48">
        <f>NPV(C2,B3:B6)+B2</f>
        <v>2500.5082776566924</v>
      </c>
      <c r="F2" s="45" t="s">
        <v>170</v>
      </c>
      <c r="G2" s="45">
        <v>-42000</v>
      </c>
      <c r="H2" s="50">
        <v>0.17</v>
      </c>
      <c r="I2" s="51">
        <f>G2+NPV(H2,G3:G6)</f>
        <v>-27499.491722343308</v>
      </c>
      <c r="K2" s="45" t="s">
        <v>170</v>
      </c>
      <c r="L2" s="49">
        <v>-134000000</v>
      </c>
      <c r="M2" s="50">
        <v>0.06</v>
      </c>
      <c r="N2" s="53">
        <v>0</v>
      </c>
      <c r="O2" s="54">
        <f>NPV(M2,L3)+((1/(1+M2))*((L3*(1+N2))/(M2-N2)))+L2</f>
        <v>-100666666.66666667</v>
      </c>
    </row>
    <row r="3" spans="1:15">
      <c r="A3" s="45" t="s">
        <v>171</v>
      </c>
      <c r="B3" s="45">
        <v>9000</v>
      </c>
      <c r="C3" s="46"/>
      <c r="D3" s="45"/>
      <c r="F3" s="45" t="s">
        <v>171</v>
      </c>
      <c r="G3" s="45">
        <v>9000</v>
      </c>
      <c r="H3" s="52"/>
      <c r="I3" s="49"/>
      <c r="K3" s="45" t="s">
        <v>171</v>
      </c>
      <c r="L3" s="49">
        <v>2000000</v>
      </c>
      <c r="M3" s="52"/>
      <c r="N3" s="49"/>
      <c r="O3" s="45"/>
    </row>
    <row r="4" spans="1:15">
      <c r="A4" s="45" t="s">
        <v>172</v>
      </c>
      <c r="B4" s="45">
        <v>2000</v>
      </c>
      <c r="C4" s="46"/>
      <c r="D4" s="45"/>
      <c r="F4" s="45" t="s">
        <v>172</v>
      </c>
      <c r="G4" s="45">
        <v>2000</v>
      </c>
      <c r="H4" s="52"/>
      <c r="I4" s="49"/>
    </row>
    <row r="5" spans="1:15">
      <c r="A5" s="45" t="s">
        <v>173</v>
      </c>
      <c r="B5" s="45">
        <v>6000</v>
      </c>
      <c r="C5" s="46"/>
      <c r="D5" s="45"/>
      <c r="F5" s="45" t="s">
        <v>173</v>
      </c>
      <c r="G5" s="45">
        <v>6000</v>
      </c>
      <c r="H5" s="52"/>
      <c r="I5" s="49"/>
    </row>
    <row r="6" spans="1:15">
      <c r="A6" s="45" t="s">
        <v>174</v>
      </c>
      <c r="B6" s="45">
        <v>3000</v>
      </c>
      <c r="C6" s="46"/>
      <c r="D6" s="45"/>
      <c r="F6" s="45" t="s">
        <v>174</v>
      </c>
      <c r="G6" s="45">
        <v>3000</v>
      </c>
      <c r="H6" s="52"/>
      <c r="I6" s="49"/>
    </row>
    <row r="9" spans="1:15">
      <c r="A9" s="45"/>
      <c r="B9" s="45"/>
      <c r="C9" s="46"/>
      <c r="D9" s="46" t="s">
        <v>175</v>
      </c>
      <c r="F9" s="45"/>
      <c r="G9" s="45"/>
      <c r="H9" s="46"/>
      <c r="I9" s="46" t="s">
        <v>175</v>
      </c>
      <c r="K9" s="45"/>
      <c r="L9" s="45"/>
      <c r="M9" s="46" t="s">
        <v>175</v>
      </c>
      <c r="N9" s="45"/>
      <c r="O9" s="46" t="s">
        <v>176</v>
      </c>
    </row>
    <row r="10" spans="1:15">
      <c r="A10" s="45" t="s">
        <v>170</v>
      </c>
      <c r="B10" s="57">
        <v>-450000</v>
      </c>
      <c r="C10" s="46"/>
      <c r="D10" s="58">
        <f>IRR(B10:B15,0.16)</f>
        <v>0.34119741361337463</v>
      </c>
      <c r="F10" s="45" t="s">
        <v>170</v>
      </c>
      <c r="G10" s="49">
        <v>-111000</v>
      </c>
      <c r="H10" s="52"/>
      <c r="I10" s="55">
        <f>IRR(G10:G14)</f>
        <v>0.12531538348630478</v>
      </c>
      <c r="K10" s="45" t="s">
        <v>170</v>
      </c>
      <c r="L10" s="49">
        <v>-60000000</v>
      </c>
      <c r="M10" s="55">
        <v>0.19999999999997464</v>
      </c>
      <c r="N10" s="53">
        <v>0</v>
      </c>
      <c r="O10" s="56">
        <f>L10+(L11/(1+M10))+((1/(1+M10))*((L11*(1+N10))/(M10-N10)))</f>
        <v>7.5995922088623047E-6</v>
      </c>
    </row>
    <row r="11" spans="1:15">
      <c r="A11" s="45" t="s">
        <v>171</v>
      </c>
      <c r="B11" s="57">
        <v>200000</v>
      </c>
      <c r="C11" s="46"/>
      <c r="D11" s="45"/>
      <c r="F11" s="45" t="s">
        <v>171</v>
      </c>
      <c r="G11" s="49">
        <v>0</v>
      </c>
      <c r="H11" s="52"/>
      <c r="I11" s="49"/>
      <c r="K11" s="45" t="s">
        <v>171</v>
      </c>
      <c r="L11" s="49">
        <v>12000000</v>
      </c>
      <c r="M11" s="52"/>
      <c r="N11" s="52"/>
      <c r="O11" s="45"/>
    </row>
    <row r="12" spans="1:15">
      <c r="A12" s="45" t="s">
        <v>172</v>
      </c>
      <c r="B12" s="57">
        <v>225000</v>
      </c>
      <c r="C12" s="46"/>
      <c r="D12" s="45"/>
      <c r="F12" s="45" t="s">
        <v>172</v>
      </c>
      <c r="G12" s="49">
        <v>0</v>
      </c>
      <c r="H12" s="52"/>
      <c r="I12" s="49"/>
    </row>
    <row r="13" spans="1:15">
      <c r="A13" s="45" t="s">
        <v>173</v>
      </c>
      <c r="B13" s="57">
        <v>275000</v>
      </c>
      <c r="C13" s="46"/>
      <c r="D13" s="45"/>
      <c r="F13" s="45" t="s">
        <v>173</v>
      </c>
      <c r="G13" s="49">
        <v>0</v>
      </c>
      <c r="H13" s="52"/>
      <c r="I13" s="49"/>
    </row>
    <row r="14" spans="1:15">
      <c r="A14" s="45" t="s">
        <v>174</v>
      </c>
      <c r="B14" s="57">
        <v>200000</v>
      </c>
      <c r="C14" s="46"/>
      <c r="D14" s="45"/>
      <c r="F14" s="45" t="s">
        <v>174</v>
      </c>
      <c r="G14" s="49">
        <v>178000</v>
      </c>
      <c r="H14" s="52"/>
      <c r="I14" s="49"/>
    </row>
    <row r="15" spans="1:15">
      <c r="A15" s="45" t="s">
        <v>197</v>
      </c>
      <c r="B15" s="57"/>
    </row>
    <row r="18" spans="1:15">
      <c r="A18" s="45"/>
      <c r="B18" s="45"/>
      <c r="C18" s="46" t="s">
        <v>2</v>
      </c>
      <c r="D18" s="46" t="s">
        <v>178</v>
      </c>
      <c r="E18" s="45"/>
      <c r="F18" s="45"/>
      <c r="G18" s="46" t="s">
        <v>2</v>
      </c>
      <c r="H18" s="46" t="s">
        <v>179</v>
      </c>
      <c r="J18" s="46" t="s">
        <v>180</v>
      </c>
      <c r="K18" s="46" t="s">
        <v>181</v>
      </c>
      <c r="L18" s="46" t="s">
        <v>182</v>
      </c>
      <c r="M18" s="46" t="s">
        <v>183</v>
      </c>
      <c r="N18" s="46" t="s">
        <v>184</v>
      </c>
      <c r="O18" s="46" t="s">
        <v>185</v>
      </c>
    </row>
    <row r="19" spans="1:15">
      <c r="A19" s="45" t="s">
        <v>170</v>
      </c>
      <c r="B19" s="49">
        <v>-200000</v>
      </c>
      <c r="C19" s="50">
        <v>0.28000000000000003</v>
      </c>
      <c r="D19" s="52">
        <f>NPV(C19,B20)+B19</f>
        <v>3125</v>
      </c>
      <c r="E19" s="45" t="s">
        <v>170</v>
      </c>
      <c r="F19" s="49">
        <v>-400000</v>
      </c>
      <c r="G19" s="50">
        <v>0.28000000000000003</v>
      </c>
      <c r="H19" s="59">
        <f>NPV(G19,F20)+F19</f>
        <v>-9375</v>
      </c>
      <c r="J19" s="47">
        <v>0.5</v>
      </c>
      <c r="K19" s="47">
        <v>0.121</v>
      </c>
      <c r="L19" s="47">
        <f>1-J19</f>
        <v>0.5</v>
      </c>
      <c r="M19" s="47">
        <v>0.06</v>
      </c>
      <c r="N19" s="47">
        <v>0.35</v>
      </c>
      <c r="O19" s="60">
        <f>J19*K19+L19*M19*(1-N19)</f>
        <v>0.08</v>
      </c>
    </row>
    <row r="20" spans="1:15">
      <c r="A20" s="45" t="s">
        <v>171</v>
      </c>
      <c r="B20" s="49">
        <v>260000</v>
      </c>
      <c r="C20" s="52"/>
      <c r="D20" s="52"/>
      <c r="E20" s="45" t="s">
        <v>171</v>
      </c>
      <c r="F20" s="49">
        <v>500000</v>
      </c>
      <c r="G20" s="52"/>
      <c r="H20" s="49"/>
      <c r="J20" s="46" t="s">
        <v>180</v>
      </c>
      <c r="K20" s="46" t="s">
        <v>181</v>
      </c>
      <c r="L20" s="46" t="s">
        <v>182</v>
      </c>
      <c r="M20" s="46" t="s">
        <v>183</v>
      </c>
      <c r="N20" s="46" t="s">
        <v>184</v>
      </c>
      <c r="O20" s="46" t="s">
        <v>185</v>
      </c>
    </row>
    <row r="21" spans="1:15">
      <c r="J21" s="46">
        <v>6</v>
      </c>
      <c r="K21" s="47">
        <v>0.1</v>
      </c>
      <c r="L21" s="46">
        <v>4</v>
      </c>
      <c r="M21" s="47">
        <v>0.05</v>
      </c>
      <c r="N21" s="47">
        <v>0</v>
      </c>
      <c r="O21" s="60">
        <f>(J21/(J21+L21)*K21+(L21/(J21+L21)*M21*(1-N21)))</f>
        <v>0.08</v>
      </c>
    </row>
    <row r="23" spans="1:15">
      <c r="A23" s="67" t="s">
        <v>195</v>
      </c>
      <c r="B23" s="67"/>
      <c r="C23" s="67"/>
      <c r="D23" s="67"/>
      <c r="F23" s="67" t="s">
        <v>187</v>
      </c>
      <c r="G23" s="67"/>
      <c r="H23" s="67"/>
      <c r="I23" s="67"/>
      <c r="K23" s="67" t="s">
        <v>189</v>
      </c>
      <c r="L23" s="67"/>
      <c r="M23" s="67"/>
      <c r="N23" s="67"/>
      <c r="O23" s="67"/>
    </row>
    <row r="25" spans="1:15">
      <c r="A25" s="46" t="s">
        <v>148</v>
      </c>
      <c r="B25" s="46" t="s">
        <v>155</v>
      </c>
      <c r="C25" s="46" t="s">
        <v>192</v>
      </c>
      <c r="D25" s="46" t="s">
        <v>186</v>
      </c>
      <c r="F25" s="45" t="s">
        <v>186</v>
      </c>
      <c r="G25" s="45" t="s">
        <v>155</v>
      </c>
      <c r="H25" s="45" t="s">
        <v>188</v>
      </c>
      <c r="I25" s="45" t="s">
        <v>126</v>
      </c>
      <c r="K25" s="46" t="s">
        <v>190</v>
      </c>
      <c r="L25" s="46" t="s">
        <v>191</v>
      </c>
      <c r="M25" s="46" t="s">
        <v>192</v>
      </c>
      <c r="N25" s="46" t="s">
        <v>193</v>
      </c>
    </row>
    <row r="26" spans="1:15">
      <c r="A26" s="47">
        <v>0.1</v>
      </c>
      <c r="B26" s="47">
        <v>0.08</v>
      </c>
      <c r="C26" s="46">
        <f>0.6/0.4</f>
        <v>1.4999999999999998</v>
      </c>
      <c r="D26" s="60">
        <f>A26+(A26-B26)*C26</f>
        <v>0.13</v>
      </c>
      <c r="F26" s="61">
        <v>0.2016</v>
      </c>
      <c r="G26" s="61">
        <v>6.5000000000000002E-2</v>
      </c>
      <c r="H26" s="61">
        <v>0.1333</v>
      </c>
      <c r="I26" s="45">
        <f>(F26-G26)/(H26-G26)</f>
        <v>2</v>
      </c>
      <c r="K26" s="46">
        <v>2.25</v>
      </c>
      <c r="L26" s="47">
        <v>0.3</v>
      </c>
      <c r="M26" s="46">
        <v>0.7</v>
      </c>
      <c r="N26" s="62">
        <f>K26/(1+(M26*(1-L26)))</f>
        <v>1.5100671140939597</v>
      </c>
    </row>
    <row r="28" spans="1:15">
      <c r="A28" s="67" t="s">
        <v>196</v>
      </c>
      <c r="B28" s="67"/>
      <c r="C28" s="67"/>
      <c r="D28" s="67"/>
      <c r="E28" s="67"/>
      <c r="K28" s="67" t="s">
        <v>194</v>
      </c>
      <c r="L28" s="67"/>
      <c r="M28" s="67"/>
      <c r="N28" s="67"/>
      <c r="O28" s="67"/>
    </row>
    <row r="29" spans="1:15">
      <c r="A29" s="46" t="s">
        <v>186</v>
      </c>
      <c r="B29" s="46" t="s">
        <v>155</v>
      </c>
      <c r="C29" s="46" t="s">
        <v>192</v>
      </c>
      <c r="D29" s="46" t="s">
        <v>148</v>
      </c>
    </row>
    <row r="30" spans="1:15">
      <c r="A30" s="47">
        <v>0.1</v>
      </c>
      <c r="B30" s="47">
        <v>0.08</v>
      </c>
      <c r="C30" s="46">
        <v>0.6</v>
      </c>
      <c r="D30" s="60">
        <f>(A30+(B30*C30))/(1+C30)</f>
        <v>9.2500000000000013E-2</v>
      </c>
      <c r="K30" s="46" t="s">
        <v>193</v>
      </c>
      <c r="L30" s="46" t="s">
        <v>191</v>
      </c>
      <c r="M30" s="46" t="s">
        <v>192</v>
      </c>
      <c r="N30" s="46" t="s">
        <v>193</v>
      </c>
    </row>
    <row r="31" spans="1:15">
      <c r="K31" s="46">
        <v>1.51</v>
      </c>
      <c r="L31" s="47">
        <v>0.3</v>
      </c>
      <c r="M31" s="46">
        <f>0.2/0.8</f>
        <v>0.25</v>
      </c>
      <c r="N31" s="62">
        <f>K31*(1+(M31*(1-L31)))</f>
        <v>1.7742500000000001</v>
      </c>
    </row>
    <row r="33" spans="1:15">
      <c r="A33">
        <v>-250000</v>
      </c>
      <c r="B33">
        <v>-250000</v>
      </c>
      <c r="C33">
        <v>-250000</v>
      </c>
      <c r="D33">
        <v>-250000</v>
      </c>
      <c r="E33">
        <v>200000</v>
      </c>
      <c r="F33">
        <v>200000</v>
      </c>
      <c r="G33">
        <v>200000</v>
      </c>
      <c r="H33">
        <v>200000</v>
      </c>
      <c r="I33">
        <v>200000</v>
      </c>
      <c r="J33">
        <v>200000</v>
      </c>
      <c r="K33">
        <v>200000</v>
      </c>
      <c r="L33">
        <v>200000</v>
      </c>
      <c r="M33">
        <v>200000</v>
      </c>
      <c r="N33" s="2">
        <v>0.1</v>
      </c>
      <c r="O33" s="37">
        <f>NPV(N33,A33:M33)</f>
        <v>-5768.2103305584442</v>
      </c>
    </row>
    <row r="38" spans="1:15">
      <c r="A38" s="43"/>
      <c r="B38" s="42"/>
      <c r="C38" s="44"/>
    </row>
  </sheetData>
  <mergeCells count="5">
    <mergeCell ref="K23:O23"/>
    <mergeCell ref="K28:O28"/>
    <mergeCell ref="A23:D23"/>
    <mergeCell ref="A28:E28"/>
    <mergeCell ref="F23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B22" sqref="B22"/>
    </sheetView>
  </sheetViews>
  <sheetFormatPr defaultRowHeight="15"/>
  <cols>
    <col min="1" max="1" width="12" bestFit="1" customWidth="1"/>
  </cols>
  <sheetData>
    <row r="1" spans="1:3">
      <c r="A1">
        <f>1/(1+0.069)^2</f>
        <v>0.87507361556790975</v>
      </c>
    </row>
    <row r="2" spans="1:3">
      <c r="A2">
        <f>400*(1+8%/4)^(4*(9/12))</f>
        <v>424.48319999999995</v>
      </c>
    </row>
    <row r="3" spans="1:3">
      <c r="A3">
        <f>-10000/10%+10000/8%</f>
        <v>25000</v>
      </c>
    </row>
    <row r="4" spans="1:3">
      <c r="A4">
        <f>100/((1+(10%/2)^2))</f>
        <v>99.750623441396513</v>
      </c>
    </row>
    <row r="5" spans="1:3">
      <c r="A5">
        <f>125/(1+(10%/2))</f>
        <v>119.04761904761904</v>
      </c>
    </row>
    <row r="6" spans="1:3">
      <c r="A6" s="63">
        <f>(A5-A4)*(1+10%/2)</f>
        <v>20.261845386533651</v>
      </c>
    </row>
    <row r="7" spans="1:3">
      <c r="A7">
        <f>(1/(1+0.081)^4)</f>
        <v>0.73231381005366081</v>
      </c>
    </row>
    <row r="8" spans="1:3">
      <c r="A8">
        <f>6000000/(1+0.65)^6</f>
        <v>297336.06192133139</v>
      </c>
    </row>
    <row r="9" spans="1:3">
      <c r="A9" t="s">
        <v>199</v>
      </c>
      <c r="B9" s="6">
        <v>1.05</v>
      </c>
    </row>
    <row r="10" spans="1:3">
      <c r="A10" t="s">
        <v>198</v>
      </c>
      <c r="B10" s="6">
        <f>1/B9</f>
        <v>0.95238095238095233</v>
      </c>
    </row>
    <row r="11" spans="1:3">
      <c r="A11" t="s">
        <v>200</v>
      </c>
      <c r="B11" s="6">
        <v>100</v>
      </c>
      <c r="C11">
        <v>102</v>
      </c>
    </row>
    <row r="12" spans="1:3">
      <c r="A12" t="s">
        <v>201</v>
      </c>
      <c r="B12" s="6">
        <f>B9*B11</f>
        <v>105</v>
      </c>
      <c r="C12" s="6">
        <f>B12-C11</f>
        <v>3</v>
      </c>
    </row>
    <row r="13" spans="1:3">
      <c r="A13" t="s">
        <v>202</v>
      </c>
      <c r="B13" s="6">
        <f>B10*B11</f>
        <v>95.238095238095227</v>
      </c>
      <c r="C13">
        <v>0</v>
      </c>
    </row>
    <row r="14" spans="1:3">
      <c r="A14" t="s">
        <v>26</v>
      </c>
      <c r="B14" s="2">
        <v>0.02</v>
      </c>
    </row>
    <row r="16" spans="1:3">
      <c r="A16" t="s">
        <v>203</v>
      </c>
      <c r="B16">
        <f>105*D18+1.02*D19</f>
        <v>2.9999999999998828</v>
      </c>
      <c r="C16" s="6">
        <f>C12</f>
        <v>3</v>
      </c>
    </row>
    <row r="17" spans="1:4">
      <c r="A17" t="s">
        <v>204</v>
      </c>
      <c r="B17">
        <f>95.24*D18+1.02*D19</f>
        <v>-1.1723955140041653E-13</v>
      </c>
      <c r="C17" s="6">
        <f>C13</f>
        <v>0</v>
      </c>
    </row>
    <row r="18" spans="1:4">
      <c r="C18" t="s">
        <v>205</v>
      </c>
      <c r="D18">
        <v>0.30737704918032782</v>
      </c>
    </row>
    <row r="19" spans="1:4">
      <c r="C19" t="s">
        <v>206</v>
      </c>
      <c r="D19">
        <v>-28.700578592092683</v>
      </c>
    </row>
    <row r="20" spans="1:4">
      <c r="B20">
        <f>100*D18+D19*1</f>
        <v>2.0371263259401005</v>
      </c>
    </row>
    <row r="21" spans="1:4">
      <c r="B21">
        <f>(B20-D19)/D18</f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05E0-835F-4B82-B5B8-5E29B969F62F}">
  <dimension ref="A1:G40"/>
  <sheetViews>
    <sheetView tabSelected="1" workbookViewId="0">
      <selection activeCell="B30" sqref="B30"/>
    </sheetView>
  </sheetViews>
  <sheetFormatPr defaultRowHeight="15"/>
  <cols>
    <col min="1" max="1" width="28.140625" bestFit="1" customWidth="1"/>
    <col min="3" max="3" width="9.5703125" bestFit="1" customWidth="1"/>
    <col min="4" max="4" width="14.28515625" bestFit="1" customWidth="1"/>
    <col min="6" max="6" width="9.7109375" bestFit="1" customWidth="1"/>
  </cols>
  <sheetData>
    <row r="1" spans="1:4">
      <c r="A1" s="67" t="s">
        <v>207</v>
      </c>
      <c r="B1" s="67"/>
    </row>
    <row r="2" spans="1:4">
      <c r="A2" t="s">
        <v>2</v>
      </c>
      <c r="B2" s="1">
        <v>3.4000000000000002E-2</v>
      </c>
      <c r="C2" t="s">
        <v>261</v>
      </c>
    </row>
    <row r="3" spans="1:4">
      <c r="A3" t="s">
        <v>208</v>
      </c>
      <c r="B3">
        <v>87</v>
      </c>
    </row>
    <row r="4" spans="1:4">
      <c r="A4" t="s">
        <v>209</v>
      </c>
      <c r="B4">
        <v>9917.8330000000005</v>
      </c>
      <c r="C4" s="17">
        <f>B5*(1-((B2*B3)/360))</f>
        <v>9917.8333333333339</v>
      </c>
      <c r="D4" t="s">
        <v>260</v>
      </c>
    </row>
    <row r="5" spans="1:4">
      <c r="A5" t="s">
        <v>210</v>
      </c>
      <c r="B5">
        <v>10000</v>
      </c>
    </row>
    <row r="6" spans="1:4">
      <c r="A6" t="s">
        <v>211</v>
      </c>
      <c r="B6" s="89">
        <f>((B5-B4)/B4)*(365/B3)</f>
        <v>3.4757957780661652E-2</v>
      </c>
    </row>
    <row r="8" spans="1:4">
      <c r="A8" s="67" t="s">
        <v>212</v>
      </c>
      <c r="B8" s="67"/>
    </row>
    <row r="9" spans="1:4">
      <c r="A9" t="s">
        <v>18</v>
      </c>
      <c r="B9" s="1">
        <v>4.8000000000000001E-2</v>
      </c>
    </row>
    <row r="10" spans="1:4">
      <c r="A10" t="s">
        <v>213</v>
      </c>
      <c r="B10">
        <v>970</v>
      </c>
    </row>
    <row r="11" spans="1:4">
      <c r="A11" t="s">
        <v>214</v>
      </c>
      <c r="B11">
        <v>1000</v>
      </c>
    </row>
    <row r="12" spans="1:4">
      <c r="A12" t="s">
        <v>215</v>
      </c>
      <c r="B12">
        <f>B9*B11</f>
        <v>48</v>
      </c>
    </row>
    <row r="13" spans="1:4">
      <c r="A13" t="s">
        <v>216</v>
      </c>
      <c r="B13" s="89">
        <f>B12/B10</f>
        <v>4.9484536082474224E-2</v>
      </c>
    </row>
    <row r="15" spans="1:4">
      <c r="A15" s="67" t="s">
        <v>262</v>
      </c>
      <c r="B15" s="67"/>
    </row>
    <row r="16" spans="1:4">
      <c r="A16" t="s">
        <v>218</v>
      </c>
      <c r="B16">
        <v>1000</v>
      </c>
    </row>
    <row r="17" spans="1:7">
      <c r="A17" t="s">
        <v>219</v>
      </c>
      <c r="B17" s="1">
        <v>1.17</v>
      </c>
    </row>
    <row r="18" spans="1:7">
      <c r="A18" t="s">
        <v>220</v>
      </c>
      <c r="B18">
        <f>B16*B17</f>
        <v>1170</v>
      </c>
      <c r="C18">
        <v>985</v>
      </c>
      <c r="D18" t="s">
        <v>263</v>
      </c>
    </row>
    <row r="19" spans="1:7">
      <c r="A19" t="s">
        <v>18</v>
      </c>
      <c r="B19" s="2">
        <v>0.06</v>
      </c>
    </row>
    <row r="20" spans="1:7">
      <c r="A20" t="s">
        <v>215</v>
      </c>
      <c r="B20">
        <f>(B16*B19)/B21</f>
        <v>30</v>
      </c>
      <c r="C20">
        <v>69</v>
      </c>
    </row>
    <row r="21" spans="1:7">
      <c r="A21" t="s">
        <v>222</v>
      </c>
      <c r="B21" s="69">
        <v>2</v>
      </c>
    </row>
    <row r="22" spans="1:7">
      <c r="A22" t="s">
        <v>221</v>
      </c>
      <c r="B22" s="69">
        <v>30</v>
      </c>
      <c r="C22">
        <v>30</v>
      </c>
    </row>
    <row r="23" spans="1:7">
      <c r="A23" t="s">
        <v>223</v>
      </c>
      <c r="B23" s="69">
        <v>60</v>
      </c>
      <c r="C23">
        <v>61</v>
      </c>
      <c r="D23" s="70">
        <v>45514</v>
      </c>
      <c r="F23" s="70">
        <v>45443</v>
      </c>
      <c r="G23">
        <f>D23-F23</f>
        <v>71</v>
      </c>
    </row>
    <row r="24" spans="1:7">
      <c r="A24" t="s">
        <v>224</v>
      </c>
      <c r="B24">
        <v>182</v>
      </c>
      <c r="C24">
        <v>182</v>
      </c>
    </row>
    <row r="25" spans="1:7">
      <c r="A25" t="s">
        <v>225</v>
      </c>
      <c r="B25">
        <f>(B20)*(B23/B24)</f>
        <v>9.8901098901098905</v>
      </c>
      <c r="C25" s="16">
        <f>(C20)*(C23/C24)</f>
        <v>23.126373626373624</v>
      </c>
      <c r="D25" t="s">
        <v>265</v>
      </c>
    </row>
    <row r="26" spans="1:7">
      <c r="A26" t="s">
        <v>217</v>
      </c>
      <c r="B26" s="17">
        <f>B18+B25</f>
        <v>1179.8901098901099</v>
      </c>
    </row>
    <row r="28" spans="1:7">
      <c r="A28" s="67" t="s">
        <v>226</v>
      </c>
      <c r="B28" s="67"/>
    </row>
    <row r="29" spans="1:7">
      <c r="A29" t="s">
        <v>227</v>
      </c>
      <c r="B29" s="2">
        <v>0.12</v>
      </c>
    </row>
    <row r="30" spans="1:7">
      <c r="A30" t="s">
        <v>210</v>
      </c>
      <c r="B30">
        <v>1000</v>
      </c>
    </row>
    <row r="31" spans="1:7">
      <c r="A31" t="s">
        <v>228</v>
      </c>
      <c r="B31">
        <v>100</v>
      </c>
    </row>
    <row r="32" spans="1:7">
      <c r="A32" t="s">
        <v>229</v>
      </c>
      <c r="B32">
        <f>(B30+B31)+((1+B29)*100)</f>
        <v>1212</v>
      </c>
    </row>
    <row r="33" spans="1:2">
      <c r="A33" t="s">
        <v>226</v>
      </c>
      <c r="B33" s="89">
        <f>SQRT(B32/B30)-1</f>
        <v>0.10090871556183068</v>
      </c>
    </row>
    <row r="35" spans="1:2">
      <c r="A35" s="91" t="s">
        <v>266</v>
      </c>
      <c r="B35" s="91"/>
    </row>
    <row r="36" spans="1:2">
      <c r="A36" t="s">
        <v>267</v>
      </c>
      <c r="B36" s="2">
        <v>7.0000000000000007E-2</v>
      </c>
    </row>
    <row r="37" spans="1:2">
      <c r="A37" t="s">
        <v>268</v>
      </c>
      <c r="B37" s="2">
        <v>0.06</v>
      </c>
    </row>
    <row r="38" spans="1:2">
      <c r="A38" t="s">
        <v>3</v>
      </c>
      <c r="B38">
        <v>3</v>
      </c>
    </row>
    <row r="39" spans="1:2">
      <c r="A39" t="s">
        <v>269</v>
      </c>
      <c r="B39">
        <v>2</v>
      </c>
    </row>
    <row r="40" spans="1:2">
      <c r="A40" t="s">
        <v>270</v>
      </c>
      <c r="B40" s="89">
        <f>((1+B36)^B38)/((1+B37)^B39)-1</f>
        <v>9.0283908864364548E-2</v>
      </c>
    </row>
  </sheetData>
  <mergeCells count="5">
    <mergeCell ref="A1:B1"/>
    <mergeCell ref="A8:B8"/>
    <mergeCell ref="A15:B15"/>
    <mergeCell ref="A28:B28"/>
    <mergeCell ref="A35:B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8600-D07F-428E-87A8-E8B61AA572DD}">
  <dimension ref="A1:L23"/>
  <sheetViews>
    <sheetView workbookViewId="0">
      <selection activeCell="B8" sqref="B8"/>
    </sheetView>
  </sheetViews>
  <sheetFormatPr defaultRowHeight="15"/>
  <cols>
    <col min="1" max="1" width="80.140625" bestFit="1" customWidth="1"/>
    <col min="2" max="2" width="32.42578125" bestFit="1" customWidth="1"/>
    <col min="3" max="3" width="31.85546875" bestFit="1" customWidth="1"/>
    <col min="6" max="6" width="4" bestFit="1" customWidth="1"/>
    <col min="7" max="7" width="33.140625" bestFit="1" customWidth="1"/>
    <col min="8" max="8" width="10.5703125" bestFit="1" customWidth="1"/>
    <col min="9" max="9" width="6.140625" bestFit="1" customWidth="1"/>
    <col min="10" max="10" width="11.5703125" bestFit="1" customWidth="1"/>
    <col min="11" max="11" width="6.140625" bestFit="1" customWidth="1"/>
    <col min="12" max="12" width="10.5703125" bestFit="1" customWidth="1"/>
  </cols>
  <sheetData>
    <row r="1" spans="1:12" ht="15.75" thickBot="1">
      <c r="A1" s="82" t="s">
        <v>251</v>
      </c>
      <c r="B1" s="82"/>
      <c r="C1" s="82"/>
      <c r="G1" s="85" t="s">
        <v>258</v>
      </c>
      <c r="H1" s="85"/>
      <c r="I1" s="85"/>
      <c r="J1" s="85"/>
      <c r="K1" s="85"/>
      <c r="L1" s="85"/>
    </row>
    <row r="2" spans="1:12" ht="21" thickBot="1">
      <c r="A2" s="71" t="s">
        <v>230</v>
      </c>
      <c r="B2" s="71" t="s">
        <v>231</v>
      </c>
      <c r="C2" s="71" t="s">
        <v>4</v>
      </c>
      <c r="G2" s="86" t="s">
        <v>234</v>
      </c>
      <c r="H2" s="87">
        <v>44614</v>
      </c>
      <c r="I2" s="86"/>
      <c r="J2" s="87">
        <v>42781</v>
      </c>
      <c r="K2" s="86"/>
      <c r="L2" s="87">
        <v>36526</v>
      </c>
    </row>
    <row r="3" spans="1:12" ht="24" thickBot="1">
      <c r="A3" s="73" t="s">
        <v>232</v>
      </c>
      <c r="B3" s="74"/>
      <c r="C3" s="73" t="s">
        <v>233</v>
      </c>
      <c r="G3" s="86" t="s">
        <v>235</v>
      </c>
      <c r="H3" s="87">
        <v>47557</v>
      </c>
      <c r="I3" s="86"/>
      <c r="J3" s="86" t="s">
        <v>252</v>
      </c>
      <c r="K3" s="86"/>
      <c r="L3" s="87">
        <v>47484</v>
      </c>
    </row>
    <row r="4" spans="1:12" ht="21" thickBot="1">
      <c r="A4" s="72" t="s">
        <v>234</v>
      </c>
      <c r="B4" s="75">
        <v>36526</v>
      </c>
      <c r="C4" s="76">
        <f>DATE(2000,1,1)</f>
        <v>36526</v>
      </c>
      <c r="G4" s="86" t="s">
        <v>244</v>
      </c>
      <c r="H4" s="86">
        <v>5.5E-2</v>
      </c>
      <c r="I4" s="86"/>
      <c r="J4" s="86">
        <v>3.7499999999999999E-2</v>
      </c>
      <c r="K4" s="86"/>
      <c r="L4" s="86">
        <v>0.08</v>
      </c>
    </row>
    <row r="5" spans="1:12" ht="21" thickBot="1">
      <c r="A5" s="72" t="s">
        <v>235</v>
      </c>
      <c r="B5" s="75">
        <v>38353</v>
      </c>
      <c r="C5" s="76">
        <f>DATE(2008,1,1)</f>
        <v>39448</v>
      </c>
      <c r="G5" s="86" t="s">
        <v>237</v>
      </c>
      <c r="H5" s="86">
        <v>5.3400000000000003E-2</v>
      </c>
      <c r="I5" s="86"/>
      <c r="J5" s="86">
        <v>3.065E-2</v>
      </c>
      <c r="K5" s="86"/>
      <c r="L5" s="86">
        <v>0.1</v>
      </c>
    </row>
    <row r="6" spans="1:12" ht="21" thickBot="1">
      <c r="A6" s="72" t="s">
        <v>236</v>
      </c>
      <c r="B6" s="71">
        <v>0.08</v>
      </c>
      <c r="C6" s="72">
        <v>0.09</v>
      </c>
      <c r="G6" s="86" t="s">
        <v>246</v>
      </c>
      <c r="H6" s="86">
        <v>100</v>
      </c>
      <c r="I6" s="86"/>
      <c r="J6" s="86">
        <v>100</v>
      </c>
      <c r="K6" s="86"/>
      <c r="L6" s="86">
        <v>100</v>
      </c>
    </row>
    <row r="7" spans="1:12" ht="21" thickBot="1">
      <c r="A7" s="72" t="s">
        <v>237</v>
      </c>
      <c r="B7" s="71">
        <v>0.1</v>
      </c>
      <c r="C7" s="72">
        <v>0.1</v>
      </c>
      <c r="G7" s="86" t="s">
        <v>256</v>
      </c>
      <c r="H7" s="86">
        <v>2</v>
      </c>
      <c r="I7" s="86"/>
      <c r="J7" s="86">
        <v>2</v>
      </c>
      <c r="K7" s="86"/>
      <c r="L7" s="86">
        <v>2</v>
      </c>
    </row>
    <row r="8" spans="1:12" ht="21" thickBot="1">
      <c r="A8" s="72" t="s">
        <v>238</v>
      </c>
      <c r="B8" s="71">
        <v>1</v>
      </c>
      <c r="C8" s="72">
        <v>1</v>
      </c>
      <c r="G8" s="86" t="s">
        <v>257</v>
      </c>
      <c r="H8" s="86">
        <f>PRICE(H2,H3,H4,H5,H6,H7)</f>
        <v>101.03327091575827</v>
      </c>
      <c r="I8" s="86"/>
      <c r="J8" s="86">
        <f>PRICE(J2,J3,J4,J5,J6,J7)</f>
        <v>112.43976633641975</v>
      </c>
      <c r="K8" s="86"/>
      <c r="L8" s="86">
        <f>PRICE(L2,L3,L4,L5,L6,L7)</f>
        <v>81.07071047492984</v>
      </c>
    </row>
    <row r="9" spans="1:12" ht="24" thickBot="1">
      <c r="A9" s="74"/>
      <c r="B9" s="74"/>
      <c r="C9" s="74"/>
      <c r="G9" s="86" t="s">
        <v>253</v>
      </c>
      <c r="H9" s="86">
        <f>COUPDAYBS(H2,H3,2,1)</f>
        <v>160</v>
      </c>
      <c r="I9" s="86"/>
      <c r="J9" s="86">
        <f>COUPDAYBS(J2,J3,2,1)</f>
        <v>92</v>
      </c>
      <c r="K9" s="86"/>
      <c r="L9" s="86">
        <f>COUPDAYBS(L2,L3,2,1)</f>
        <v>0</v>
      </c>
    </row>
    <row r="10" spans="1:12" ht="24" thickBot="1">
      <c r="A10" s="73" t="s">
        <v>239</v>
      </c>
      <c r="B10" s="74"/>
      <c r="C10" s="74"/>
      <c r="G10" s="86" t="s">
        <v>254</v>
      </c>
      <c r="H10" s="86">
        <f>COUPDAYS(H2,H3,2,1)</f>
        <v>181</v>
      </c>
      <c r="I10" s="86"/>
      <c r="J10" s="86">
        <f>COUPDAYS(J2,J3,2,1)</f>
        <v>181</v>
      </c>
      <c r="K10" s="86"/>
      <c r="L10" s="86">
        <f>COUPDAYS(L2,L3,2,1)</f>
        <v>182</v>
      </c>
    </row>
    <row r="11" spans="1:12" ht="21" thickBot="1">
      <c r="A11" s="72" t="s">
        <v>240</v>
      </c>
      <c r="B11" s="77">
        <v>2.7774000000000001</v>
      </c>
      <c r="C11" s="83">
        <f>DURATION(B4,B5,B6,B7,B8)</f>
        <v>4.2814120859334253</v>
      </c>
      <c r="G11" s="86" t="s">
        <v>255</v>
      </c>
      <c r="H11" s="86">
        <f>(H9/H10)*H4*H6/2</f>
        <v>2.430939226519337</v>
      </c>
      <c r="I11" s="86"/>
      <c r="J11" s="86">
        <f>(J9/J10)*J4*100/2</f>
        <v>0.95303867403314924</v>
      </c>
      <c r="K11" s="86"/>
      <c r="L11" s="86">
        <f>(L9/L10)*L4*100/2</f>
        <v>0</v>
      </c>
    </row>
    <row r="12" spans="1:12" ht="21" thickBot="1">
      <c r="A12" s="72" t="s">
        <v>241</v>
      </c>
      <c r="B12" s="77">
        <v>2.5249000000000001</v>
      </c>
      <c r="C12" s="83">
        <f>MDURATION(B4,B5,B6,B7,B8)</f>
        <v>3.8921928053940227</v>
      </c>
      <c r="G12" s="86" t="s">
        <v>259</v>
      </c>
      <c r="H12" s="88">
        <f>H8+H11</f>
        <v>103.46421014227761</v>
      </c>
      <c r="I12" s="88"/>
      <c r="J12" s="88">
        <f>J8+J11</f>
        <v>113.3928050104529</v>
      </c>
      <c r="K12" s="88"/>
      <c r="L12" s="88">
        <f>L8+L11</f>
        <v>81.07071047492984</v>
      </c>
    </row>
    <row r="14" spans="1:12" ht="15.75" thickBot="1">
      <c r="A14" s="82" t="s">
        <v>14</v>
      </c>
      <c r="B14" s="82"/>
      <c r="C14" s="82"/>
    </row>
    <row r="15" spans="1:12" ht="24" thickBot="1">
      <c r="A15" s="74"/>
      <c r="B15" s="78" t="s">
        <v>242</v>
      </c>
      <c r="C15" s="78" t="s">
        <v>243</v>
      </c>
    </row>
    <row r="16" spans="1:12" ht="21" thickBot="1">
      <c r="A16" s="79" t="s">
        <v>234</v>
      </c>
      <c r="B16" s="80">
        <v>44614</v>
      </c>
      <c r="C16" s="80">
        <v>36527</v>
      </c>
    </row>
    <row r="17" spans="1:3" ht="21" thickBot="1">
      <c r="A17" s="79" t="s">
        <v>235</v>
      </c>
      <c r="B17" s="80">
        <v>47557</v>
      </c>
      <c r="C17" s="80">
        <v>47485</v>
      </c>
    </row>
    <row r="18" spans="1:3" ht="21" thickBot="1">
      <c r="A18" s="79" t="s">
        <v>244</v>
      </c>
      <c r="B18" s="81">
        <v>5.5E-2</v>
      </c>
      <c r="C18" s="81">
        <v>0.08</v>
      </c>
    </row>
    <row r="19" spans="1:3" ht="21" thickBot="1">
      <c r="A19" s="79" t="s">
        <v>245</v>
      </c>
      <c r="B19" s="81">
        <v>102</v>
      </c>
      <c r="C19" s="81">
        <v>127.676</v>
      </c>
    </row>
    <row r="20" spans="1:3" ht="21" thickBot="1">
      <c r="A20" s="79" t="s">
        <v>246</v>
      </c>
      <c r="B20" s="81">
        <v>100</v>
      </c>
      <c r="C20" s="81">
        <v>100</v>
      </c>
    </row>
    <row r="21" spans="1:3" ht="21" thickBot="1">
      <c r="A21" s="79" t="s">
        <v>247</v>
      </c>
      <c r="B21" s="81">
        <v>1</v>
      </c>
      <c r="C21" s="81">
        <v>1</v>
      </c>
    </row>
    <row r="22" spans="1:3" ht="21" thickBot="1">
      <c r="A22" s="79" t="s">
        <v>248</v>
      </c>
      <c r="B22" s="81" t="s">
        <v>249</v>
      </c>
      <c r="C22" s="81">
        <v>5.9900000000000002E-2</v>
      </c>
    </row>
    <row r="23" spans="1:3" ht="24" thickBot="1">
      <c r="A23" s="79" t="s">
        <v>250</v>
      </c>
      <c r="B23" s="92">
        <f>YIELD(B16,B17,B18,B19,B20,B21)</f>
        <v>5.1888948890963668E-2</v>
      </c>
      <c r="C23" s="84">
        <f>YIELD(C16,C17,C18,C19,C20,C21)</f>
        <v>5.9912507026489335E-2</v>
      </c>
    </row>
  </sheetData>
  <mergeCells count="3">
    <mergeCell ref="A1:C1"/>
    <mergeCell ref="A14:C14"/>
    <mergeCell ref="G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2F9C-D46E-4123-8FF4-0533A2E5094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Sheet5</vt:lpstr>
      <vt:lpstr>Sheet2</vt:lpstr>
      <vt:lpstr>Sheet3</vt:lpstr>
      <vt:lpstr>Sheet4</vt:lpstr>
      <vt:lpstr>Sheet1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AashishNahar RajendraKumarNahar (Student)</cp:lastModifiedBy>
  <dcterms:created xsi:type="dcterms:W3CDTF">2021-09-21T17:16:28Z</dcterms:created>
  <dcterms:modified xsi:type="dcterms:W3CDTF">2024-06-17T04:53:04Z</dcterms:modified>
</cp:coreProperties>
</file>