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re\Corporate. Finance(As result)\Corporate Finance [12]\Excel\"/>
    </mc:Choice>
  </mc:AlternateContent>
  <xr:revisionPtr revIDLastSave="0" documentId="13_ncr:1_{2D311078-C579-4B68-A91C-885A266561D4}" xr6:coauthVersionLast="47" xr6:coauthVersionMax="47" xr10:uidLastSave="{00000000-0000-0000-0000-000000000000}"/>
  <bookViews>
    <workbookView xWindow="-109" yWindow="-109" windowWidth="18775" windowHeight="10651" firstSheet="26" activeTab="26" xr2:uid="{D5B27C67-03CB-4693-B7FB-5F3BBE714603}"/>
  </bookViews>
  <sheets>
    <sheet name="1." sheetId="1" r:id="rId1"/>
    <sheet name="2." sheetId="2" r:id="rId2"/>
    <sheet name="3." sheetId="3" r:id="rId3"/>
    <sheet name="4." sheetId="4" r:id="rId4"/>
    <sheet name="5." sheetId="5" r:id="rId5"/>
    <sheet name="6." sheetId="6" r:id="rId6"/>
    <sheet name="7." sheetId="7" r:id="rId7"/>
    <sheet name="8." sheetId="8" r:id="rId8"/>
    <sheet name="9." sheetId="9" r:id="rId9"/>
    <sheet name="10." sheetId="10" r:id="rId10"/>
    <sheet name="11." sheetId="11" r:id="rId11"/>
    <sheet name="12." sheetId="12" r:id="rId12"/>
    <sheet name="13." sheetId="13" r:id="rId13"/>
    <sheet name="14." sheetId="14" r:id="rId14"/>
    <sheet name="15." sheetId="15" r:id="rId15"/>
    <sheet name="16." sheetId="16" r:id="rId16"/>
    <sheet name="17." sheetId="17" r:id="rId17"/>
    <sheet name="18." sheetId="35" r:id="rId18"/>
    <sheet name="22." sheetId="18" r:id="rId19"/>
    <sheet name="23." sheetId="19" r:id="rId20"/>
    <sheet name="24." sheetId="20" r:id="rId21"/>
    <sheet name="25." sheetId="21" r:id="rId22"/>
    <sheet name="26." sheetId="22" r:id="rId23"/>
    <sheet name="27." sheetId="23" r:id="rId24"/>
    <sheet name="28." sheetId="24" r:id="rId25"/>
    <sheet name="29." sheetId="25" r:id="rId26"/>
    <sheet name="30." sheetId="26" r:id="rId27"/>
    <sheet name="31." sheetId="27" r:id="rId28"/>
    <sheet name="32." sheetId="28" r:id="rId29"/>
    <sheet name="33." sheetId="29" r:id="rId30"/>
    <sheet name="34." sheetId="36" r:id="rId31"/>
    <sheet name="35." sheetId="31" r:id="rId32"/>
    <sheet name="36." sheetId="32" r:id="rId33"/>
    <sheet name="37." sheetId="33" r:id="rId34"/>
    <sheet name="38." sheetId="34" r:id="rId35"/>
    <sheet name="A JOB AT EAST COAST YACHTS" sheetId="38" r:id="rId36"/>
  </sheets>
  <definedNames>
    <definedName name="solver_adj" localSheetId="34" hidden="1">'38.'!$F$2</definedName>
    <definedName name="solver_adj" localSheetId="35" hidden="1">'A JOB AT EAST COAST YACHTS'!$G$4</definedName>
    <definedName name="solver_cvg" localSheetId="34" hidden="1">0.0001</definedName>
    <definedName name="solver_cvg" localSheetId="35" hidden="1">0.0001</definedName>
    <definedName name="solver_drv" localSheetId="34" hidden="1">1</definedName>
    <definedName name="solver_drv" localSheetId="35" hidden="1">1</definedName>
    <definedName name="solver_eng" localSheetId="17" hidden="1">1</definedName>
    <definedName name="solver_eng" localSheetId="34" hidden="1">1</definedName>
    <definedName name="solver_eng" localSheetId="35" hidden="1">1</definedName>
    <definedName name="solver_est" localSheetId="34" hidden="1">1</definedName>
    <definedName name="solver_est" localSheetId="35" hidden="1">1</definedName>
    <definedName name="solver_itr" localSheetId="34" hidden="1">2147483647</definedName>
    <definedName name="solver_itr" localSheetId="35" hidden="1">2147483647</definedName>
    <definedName name="solver_lhs1" localSheetId="35" hidden="1">'A JOB AT EAST COAST YACHTS'!$C$13</definedName>
    <definedName name="solver_lhs2" localSheetId="35" hidden="1">'A JOB AT EAST COAST YACHTS'!$C$13</definedName>
    <definedName name="solver_mip" localSheetId="34" hidden="1">2147483647</definedName>
    <definedName name="solver_mip" localSheetId="35" hidden="1">2147483647</definedName>
    <definedName name="solver_mni" localSheetId="34" hidden="1">30</definedName>
    <definedName name="solver_mni" localSheetId="35" hidden="1">30</definedName>
    <definedName name="solver_mrt" localSheetId="34" hidden="1">0.075</definedName>
    <definedName name="solver_mrt" localSheetId="35" hidden="1">0.075</definedName>
    <definedName name="solver_msl" localSheetId="34" hidden="1">2</definedName>
    <definedName name="solver_msl" localSheetId="35" hidden="1">2</definedName>
    <definedName name="solver_neg" localSheetId="17" hidden="1">1</definedName>
    <definedName name="solver_neg" localSheetId="34" hidden="1">1</definedName>
    <definedName name="solver_neg" localSheetId="35" hidden="1">1</definedName>
    <definedName name="solver_nod" localSheetId="34" hidden="1">2147483647</definedName>
    <definedName name="solver_nod" localSheetId="35" hidden="1">2147483647</definedName>
    <definedName name="solver_num" localSheetId="17" hidden="1">0</definedName>
    <definedName name="solver_num" localSheetId="34" hidden="1">0</definedName>
    <definedName name="solver_num" localSheetId="35" hidden="1">0</definedName>
    <definedName name="solver_nwt" localSheetId="34" hidden="1">1</definedName>
    <definedName name="solver_nwt" localSheetId="35" hidden="1">1</definedName>
    <definedName name="solver_opt" localSheetId="17" hidden="1">'18.'!$A$5</definedName>
    <definedName name="solver_opt" localSheetId="34" hidden="1">'38.'!$B$4</definedName>
    <definedName name="solver_opt" localSheetId="35" hidden="1">'A JOB AT EAST COAST YACHTS'!$K$8</definedName>
    <definedName name="solver_pre" localSheetId="34" hidden="1">0.000001</definedName>
    <definedName name="solver_pre" localSheetId="35" hidden="1">0.000001</definedName>
    <definedName name="solver_rbv" localSheetId="34" hidden="1">1</definedName>
    <definedName name="solver_rbv" localSheetId="35" hidden="1">1</definedName>
    <definedName name="solver_rel1" localSheetId="35" hidden="1">2</definedName>
    <definedName name="solver_rel2" localSheetId="35" hidden="1">2</definedName>
    <definedName name="solver_rhs1" localSheetId="35" hidden="1">'A JOB AT EAST COAST YACHTS'!$C$10</definedName>
    <definedName name="solver_rhs2" localSheetId="35" hidden="1">'A JOB AT EAST COAST YACHTS'!$C$10</definedName>
    <definedName name="solver_rlx" localSheetId="34" hidden="1">2</definedName>
    <definedName name="solver_rlx" localSheetId="35" hidden="1">2</definedName>
    <definedName name="solver_rsd" localSheetId="34" hidden="1">0</definedName>
    <definedName name="solver_rsd" localSheetId="35" hidden="1">0</definedName>
    <definedName name="solver_scl" localSheetId="34" hidden="1">1</definedName>
    <definedName name="solver_scl" localSheetId="35" hidden="1">1</definedName>
    <definedName name="solver_sho" localSheetId="34" hidden="1">2</definedName>
    <definedName name="solver_sho" localSheetId="35" hidden="1">2</definedName>
    <definedName name="solver_ssz" localSheetId="34" hidden="1">100</definedName>
    <definedName name="solver_ssz" localSheetId="35" hidden="1">100</definedName>
    <definedName name="solver_tim" localSheetId="34" hidden="1">2147483647</definedName>
    <definedName name="solver_tim" localSheetId="35" hidden="1">2147483647</definedName>
    <definedName name="solver_tol" localSheetId="34" hidden="1">0.01</definedName>
    <definedName name="solver_tol" localSheetId="35" hidden="1">0.01</definedName>
    <definedName name="solver_typ" localSheetId="17" hidden="1">1</definedName>
    <definedName name="solver_typ" localSheetId="34" hidden="1">2</definedName>
    <definedName name="solver_typ" localSheetId="35" hidden="1">1</definedName>
    <definedName name="solver_val" localSheetId="17" hidden="1">0</definedName>
    <definedName name="solver_val" localSheetId="34" hidden="1">0</definedName>
    <definedName name="solver_val" localSheetId="35" hidden="1">0</definedName>
    <definedName name="solver_ver" localSheetId="17" hidden="1">3</definedName>
    <definedName name="solver_ver" localSheetId="34" hidden="1">3</definedName>
    <definedName name="solver_ver" localSheetId="35" hidden="1">3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38" l="1"/>
  <c r="K6" i="38"/>
  <c r="K5" i="38" s="1"/>
  <c r="K7" i="38"/>
  <c r="B13" i="34"/>
  <c r="K2" i="38"/>
  <c r="K4" i="38" s="1"/>
  <c r="F5" i="38"/>
  <c r="K3" i="38" s="1" a="1"/>
  <c r="K3" i="38" s="1"/>
  <c r="E4" i="38"/>
  <c r="E5" i="38" s="1"/>
  <c r="B13" i="38"/>
  <c r="D13" i="38" s="1"/>
  <c r="C13" i="38"/>
  <c r="C11" i="38"/>
  <c r="C12" i="38"/>
  <c r="C14" i="38"/>
  <c r="C15" i="38"/>
  <c r="C16" i="38"/>
  <c r="C17" i="38"/>
  <c r="C18" i="38"/>
  <c r="C19" i="38"/>
  <c r="C20" i="38"/>
  <c r="C21" i="38"/>
  <c r="C10" i="38"/>
  <c r="H2" i="31"/>
  <c r="F3" i="33"/>
  <c r="L3" i="34"/>
  <c r="B11" i="38"/>
  <c r="D11" i="38" s="1"/>
  <c r="B12" i="38"/>
  <c r="D12" i="38" s="1"/>
  <c r="B14" i="38"/>
  <c r="B15" i="38"/>
  <c r="B16" i="38"/>
  <c r="B17" i="38"/>
  <c r="B18" i="38"/>
  <c r="B19" i="38"/>
  <c r="B20" i="38"/>
  <c r="B21" i="38"/>
  <c r="B10" i="38"/>
  <c r="D10" i="38" s="1"/>
  <c r="D2" i="38"/>
  <c r="D6" i="38"/>
  <c r="D5" i="38"/>
  <c r="D4" i="38"/>
  <c r="D3" i="38"/>
  <c r="K8" i="38" l="1"/>
  <c r="B19" i="34"/>
  <c r="B4" i="34"/>
  <c r="C7" i="32"/>
  <c r="C7" i="36"/>
  <c r="C4" i="36"/>
  <c r="B4" i="36"/>
  <c r="E3" i="25"/>
  <c r="D3" i="35"/>
  <c r="D2" i="35"/>
  <c r="B1" i="11"/>
  <c r="H4" i="8"/>
  <c r="F4" i="8"/>
  <c r="I3" i="8"/>
  <c r="H3" i="8"/>
  <c r="J3" i="8" s="1"/>
  <c r="G3" i="8"/>
  <c r="F3" i="8"/>
  <c r="B17" i="34"/>
  <c r="H3" i="33"/>
  <c r="B9" i="33"/>
  <c r="B6" i="33"/>
  <c r="B9" i="31"/>
  <c r="E2" i="25"/>
  <c r="C1" i="24"/>
  <c r="C2" i="23"/>
  <c r="B5" i="20"/>
  <c r="B7" i="19"/>
  <c r="J3" i="18"/>
  <c r="B10" i="17"/>
  <c r="C2" i="17"/>
  <c r="H3" i="9"/>
  <c r="B6" i="5"/>
  <c r="B25" i="34"/>
  <c r="B12" i="34" l="1"/>
  <c r="M18" i="34"/>
  <c r="M23" i="34"/>
  <c r="M28" i="34"/>
  <c r="M33" i="34"/>
  <c r="M36" i="34"/>
  <c r="M17" i="34"/>
  <c r="M25" i="34"/>
  <c r="M21" i="34"/>
  <c r="M35" i="34"/>
  <c r="M31" i="34"/>
  <c r="M19" i="34"/>
  <c r="M26" i="34"/>
  <c r="M24" i="34"/>
  <c r="M22" i="34"/>
  <c r="M20" i="34"/>
  <c r="M29" i="34"/>
  <c r="M34" i="34"/>
  <c r="M32" i="34"/>
  <c r="M30" i="34"/>
  <c r="M37" i="34"/>
  <c r="M38" i="34" s="1"/>
  <c r="M39" i="34" s="1"/>
  <c r="M40" i="34" s="1"/>
  <c r="M41" i="34" s="1"/>
  <c r="M42" i="34" s="1"/>
  <c r="M43" i="34" s="1"/>
  <c r="M44" i="34" s="1"/>
  <c r="M45" i="34" s="1"/>
  <c r="M46" i="34" s="1"/>
  <c r="M47" i="34" s="1"/>
  <c r="M27" i="34" l="1"/>
  <c r="B29" i="34"/>
  <c r="N39" i="34"/>
  <c r="N40" i="34"/>
  <c r="N41" i="34"/>
  <c r="N42" i="34"/>
  <c r="N43" i="34"/>
  <c r="N44" i="34"/>
  <c r="N45" i="34"/>
  <c r="N46" i="34"/>
  <c r="N47" i="34"/>
  <c r="N38" i="34"/>
  <c r="B18" i="34"/>
  <c r="M13" i="34"/>
  <c r="M4" i="34"/>
  <c r="N4" i="34" s="1"/>
  <c r="M5" i="34"/>
  <c r="N5" i="34" s="1"/>
  <c r="M6" i="34"/>
  <c r="N6" i="34" s="1"/>
  <c r="M7" i="34"/>
  <c r="N7" i="34" s="1"/>
  <c r="M8" i="34"/>
  <c r="N8" i="34" s="1"/>
  <c r="M9" i="34"/>
  <c r="N9" i="34" s="1"/>
  <c r="M11" i="34"/>
  <c r="M12" i="34"/>
  <c r="M3" i="34"/>
  <c r="N3" i="34" s="1"/>
  <c r="B6" i="34"/>
  <c r="K10" i="34"/>
  <c r="M10" i="34" s="1"/>
  <c r="N10" i="34" s="1"/>
  <c r="B9" i="34"/>
  <c r="B7" i="34" s="1"/>
  <c r="B8" i="34" s="1"/>
  <c r="I3" i="34"/>
  <c r="B5" i="34"/>
  <c r="F3" i="34"/>
  <c r="N17" i="34" l="1"/>
  <c r="N34" i="34"/>
  <c r="N35" i="34"/>
  <c r="N36" i="34"/>
  <c r="N37" i="34"/>
  <c r="N28" i="34"/>
  <c r="N29" i="34"/>
  <c r="N30" i="34"/>
  <c r="N31" i="34"/>
  <c r="N32" i="34"/>
  <c r="N33" i="34"/>
  <c r="N24" i="34"/>
  <c r="N25" i="34"/>
  <c r="N26" i="34"/>
  <c r="N27" i="34"/>
  <c r="N18" i="34"/>
  <c r="N19" i="34"/>
  <c r="N20" i="34"/>
  <c r="N21" i="34"/>
  <c r="N22" i="34"/>
  <c r="N23" i="34"/>
  <c r="B28" i="34"/>
  <c r="B14" i="34"/>
  <c r="B15" i="34" s="1"/>
  <c r="L13" i="34"/>
  <c r="L11" i="34"/>
  <c r="L9" i="34"/>
  <c r="L7" i="34"/>
  <c r="L5" i="34"/>
  <c r="L12" i="34"/>
  <c r="L10" i="34"/>
  <c r="L8" i="34"/>
  <c r="L6" i="34"/>
  <c r="L4" i="34"/>
  <c r="B10" i="33"/>
  <c r="D5" i="33"/>
  <c r="D4" i="33"/>
  <c r="D3" i="33"/>
  <c r="C8" i="32"/>
  <c r="D6" i="32"/>
  <c r="C6" i="32"/>
  <c r="Q2" i="31"/>
  <c r="P2" i="31"/>
  <c r="O2" i="31"/>
  <c r="N3" i="31"/>
  <c r="N4" i="31"/>
  <c r="N5" i="31"/>
  <c r="N2" i="31"/>
  <c r="M2" i="31"/>
  <c r="L2" i="31"/>
  <c r="K2" i="31"/>
  <c r="J3" i="31"/>
  <c r="J4" i="31"/>
  <c r="J5" i="31"/>
  <c r="J2" i="31"/>
  <c r="I2" i="31"/>
  <c r="G2" i="31"/>
  <c r="F3" i="31"/>
  <c r="F4" i="31"/>
  <c r="F5" i="31"/>
  <c r="F2" i="31"/>
  <c r="F3" i="18"/>
  <c r="B14" i="31"/>
  <c r="B13" i="31"/>
  <c r="B12" i="31"/>
  <c r="B11" i="31"/>
  <c r="B10" i="31"/>
  <c r="C7" i="31"/>
  <c r="D7" i="31"/>
  <c r="D8" i="31" s="1"/>
  <c r="B7" i="31"/>
  <c r="C8" i="31"/>
  <c r="B8" i="31"/>
  <c r="B6" i="31"/>
  <c r="C6" i="31"/>
  <c r="D6" i="31"/>
  <c r="C9" i="29"/>
  <c r="B9" i="29"/>
  <c r="C8" i="29"/>
  <c r="B8" i="29"/>
  <c r="C6" i="29"/>
  <c r="B6" i="29"/>
  <c r="B5" i="29"/>
  <c r="D2" i="29"/>
  <c r="C5" i="29" s="1"/>
  <c r="B2" i="28"/>
  <c r="B1" i="28"/>
  <c r="B3" i="27"/>
  <c r="B4" i="27" s="1"/>
  <c r="B2" i="27"/>
  <c r="B1" i="27"/>
  <c r="O5" i="26"/>
  <c r="N5" i="26"/>
  <c r="N4" i="26"/>
  <c r="B3" i="26"/>
  <c r="B2" i="26"/>
  <c r="B1" i="26"/>
  <c r="E4" i="25"/>
  <c r="F4" i="25" s="1"/>
  <c r="F3" i="25"/>
  <c r="F2" i="25"/>
  <c r="C5" i="24"/>
  <c r="C4" i="24"/>
  <c r="C2" i="24"/>
  <c r="C3" i="24" s="1"/>
  <c r="C3" i="23"/>
  <c r="C1" i="23"/>
  <c r="C6" i="21"/>
  <c r="B6" i="21"/>
  <c r="B7" i="21" s="1"/>
  <c r="B9" i="21" s="1"/>
  <c r="B9" i="22"/>
  <c r="B8" i="22"/>
  <c r="C7" i="22"/>
  <c r="B7" i="22"/>
  <c r="C6" i="22"/>
  <c r="B6" i="22"/>
  <c r="C5" i="22"/>
  <c r="B5" i="22"/>
  <c r="C2" i="22"/>
  <c r="B8" i="21"/>
  <c r="C7" i="21"/>
  <c r="C5" i="21"/>
  <c r="B5" i="21"/>
  <c r="C2" i="21"/>
  <c r="B2" i="20"/>
  <c r="B8" i="19"/>
  <c r="B5" i="19"/>
  <c r="P3" i="18"/>
  <c r="O3" i="18"/>
  <c r="L3" i="18"/>
  <c r="N3" i="18"/>
  <c r="M3" i="18"/>
  <c r="F4" i="18"/>
  <c r="F5" i="18"/>
  <c r="C3" i="17"/>
  <c r="C4" i="17"/>
  <c r="C5" i="17"/>
  <c r="C6" i="17"/>
  <c r="C7" i="17"/>
  <c r="C8" i="17"/>
  <c r="B3" i="17"/>
  <c r="B4" i="17"/>
  <c r="B5" i="17"/>
  <c r="B6" i="17"/>
  <c r="B7" i="17"/>
  <c r="B8" i="17"/>
  <c r="B2" i="17"/>
  <c r="F5" i="16"/>
  <c r="C5" i="16"/>
  <c r="C4" i="16"/>
  <c r="C3" i="16"/>
  <c r="F2" i="16"/>
  <c r="C2" i="16"/>
  <c r="C1" i="16"/>
  <c r="B1" i="15"/>
  <c r="B1" i="14"/>
  <c r="B1" i="13"/>
  <c r="B1" i="12"/>
  <c r="B6" i="6"/>
  <c r="D4" i="6" s="1"/>
  <c r="B1" i="10"/>
  <c r="I3" i="9"/>
  <c r="F4" i="9"/>
  <c r="F5" i="9"/>
  <c r="F6" i="9"/>
  <c r="F3" i="9"/>
  <c r="G3" i="9" s="1"/>
  <c r="B1" i="7"/>
  <c r="C8" i="5"/>
  <c r="B8" i="5"/>
  <c r="C9" i="5"/>
  <c r="B9" i="5"/>
  <c r="B7" i="5"/>
  <c r="E3" i="4"/>
  <c r="E2" i="4"/>
  <c r="B1" i="4"/>
  <c r="B1" i="3"/>
  <c r="B1" i="2"/>
  <c r="C2" i="1"/>
  <c r="C1" i="1"/>
  <c r="B3" i="1"/>
  <c r="B2" i="1"/>
  <c r="B1" i="1"/>
  <c r="E3" i="33" l="1"/>
  <c r="G3" i="18"/>
  <c r="D5" i="6"/>
  <c r="D3" i="6"/>
  <c r="B7" i="6"/>
  <c r="B8" i="6" s="1"/>
  <c r="D2" i="6"/>
  <c r="B7" i="33" l="1"/>
  <c r="B8" i="33" s="1"/>
  <c r="K3" i="18"/>
  <c r="H3" i="18"/>
  <c r="I3" i="18" s="1"/>
  <c r="G3" i="3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<sst xmlns="http://schemas.openxmlformats.org/spreadsheetml/2006/main" count="256" uniqueCount="126">
  <si>
    <t>Stock A</t>
  </si>
  <si>
    <t>Stock B</t>
  </si>
  <si>
    <t>Total</t>
  </si>
  <si>
    <t>E (    )</t>
  </si>
  <si>
    <t>The weight of Stock X</t>
  </si>
  <si>
    <t>Investment in X</t>
  </si>
  <si>
    <t>Investment in Y</t>
  </si>
  <si>
    <t>Recession</t>
  </si>
  <si>
    <t>Normal</t>
  </si>
  <si>
    <t>Boom</t>
  </si>
  <si>
    <t xml:space="preserve">State of Economy </t>
  </si>
  <si>
    <t xml:space="preserve"> Probability of</t>
  </si>
  <si>
    <t xml:space="preserve">                           </t>
  </si>
  <si>
    <t>Rate of Return if State Occurs</t>
  </si>
  <si>
    <t>Depression</t>
  </si>
  <si>
    <t>Probability of</t>
  </si>
  <si>
    <t>Stock C</t>
  </si>
  <si>
    <t>Bust</t>
  </si>
  <si>
    <t>a.</t>
  </si>
  <si>
    <t>b.</t>
  </si>
  <si>
    <t>State of Economy</t>
  </si>
  <si>
    <t>Good</t>
  </si>
  <si>
    <t>Poor</t>
  </si>
  <si>
    <t xml:space="preserve">Stock B </t>
  </si>
  <si>
    <t xml:space="preserve">Stock A              </t>
  </si>
  <si>
    <t>E (     )</t>
  </si>
  <si>
    <t>c.</t>
  </si>
  <si>
    <t>d.</t>
  </si>
  <si>
    <t>Beta</t>
  </si>
  <si>
    <t xml:space="preserve">Percentage of 
Portfolio in Asset W </t>
  </si>
  <si>
    <t>Portfolio Expected Return</t>
  </si>
  <si>
    <t>MRP</t>
  </si>
  <si>
    <t>Approximate 
expected 
real return</t>
  </si>
  <si>
    <t>The exact real return</t>
  </si>
  <si>
    <t>The exact real risk-free rate</t>
  </si>
  <si>
    <t>Approximate expected real risk premium</t>
  </si>
  <si>
    <t>Exact expected real risk premium</t>
  </si>
  <si>
    <t>The approximate real risk-free rate</t>
  </si>
  <si>
    <t>Investment</t>
  </si>
  <si>
    <t xml:space="preserve">Asset                                  </t>
  </si>
  <si>
    <t xml:space="preserve">Stock C
</t>
  </si>
  <si>
    <t>Risk-free asset</t>
  </si>
  <si>
    <t>Stock Y</t>
  </si>
  <si>
    <t>Stock X</t>
  </si>
  <si>
    <t>Expected return</t>
  </si>
  <si>
    <t>Return on Stock A</t>
  </si>
  <si>
    <t>Return on Stock B</t>
  </si>
  <si>
    <t>Bear</t>
  </si>
  <si>
    <t>Bull</t>
  </si>
  <si>
    <t>Cov(A,B)</t>
  </si>
  <si>
    <t>Probability of State of Economy</t>
  </si>
  <si>
    <t>Return on Stock J</t>
  </si>
  <si>
    <t>Return on Stock K</t>
  </si>
  <si>
    <t>Security</t>
  </si>
  <si>
    <t>Expected Return</t>
  </si>
  <si>
    <t>Standard Deviation</t>
  </si>
  <si>
    <t>Correlation*</t>
  </si>
  <si>
    <t>Firm A</t>
  </si>
  <si>
    <t>Firm B</t>
  </si>
  <si>
    <t>Firm C</t>
  </si>
  <si>
    <t>The market portfolio</t>
  </si>
  <si>
    <t>The risk-free asset</t>
  </si>
  <si>
    <t>CAPM</t>
  </si>
  <si>
    <t>Slope(CML)</t>
  </si>
  <si>
    <t>Stock I</t>
  </si>
  <si>
    <t>Stock II</t>
  </si>
  <si>
    <t>Irrational exuberance</t>
  </si>
  <si>
    <t>Probability of
State of Economy</t>
  </si>
  <si>
    <t>State</t>
  </si>
  <si>
    <t>Probability of Outcome</t>
  </si>
  <si>
    <t>Return on Security 1</t>
  </si>
  <si>
    <t>Return on Security 2</t>
  </si>
  <si>
    <t>Return on Security 3</t>
  </si>
  <si>
    <t>Cov (1,2)</t>
  </si>
  <si>
    <t>Cov (1,3)</t>
  </si>
  <si>
    <t>Cov (2,3)</t>
  </si>
  <si>
    <t>Probability of State</t>
  </si>
  <si>
    <t xml:space="preserve">Return if State Occurs </t>
  </si>
  <si>
    <t>Slope_SML</t>
  </si>
  <si>
    <t xml:space="preserve">Price if State Occurs </t>
  </si>
  <si>
    <t>Expansion</t>
  </si>
  <si>
    <t>Stock</t>
  </si>
  <si>
    <t>A</t>
  </si>
  <si>
    <t>B</t>
  </si>
  <si>
    <t>Percentage in A</t>
  </si>
  <si>
    <t>Percentage in B</t>
  </si>
  <si>
    <t>Efficient frontier points</t>
  </si>
  <si>
    <t>Sharpe Ratio max A proportion</t>
  </si>
  <si>
    <t>Percentage in Risk-Free</t>
  </si>
  <si>
    <t>Investor portfolio</t>
  </si>
  <si>
    <t>Percentage in R(m)</t>
  </si>
  <si>
    <t>Invested in risk-free</t>
  </si>
  <si>
    <t>Invested in R(m)</t>
  </si>
  <si>
    <t>E(Rp)</t>
  </si>
  <si>
    <t>Portfolio return statistics-point on the CML</t>
  </si>
  <si>
    <t xml:space="preserve">E(Rp)   CML </t>
  </si>
  <si>
    <t xml:space="preserve"> Stock A</t>
  </si>
  <si>
    <t xml:space="preserve">Probability </t>
  </si>
  <si>
    <t>Y</t>
  </si>
  <si>
    <t>E(R)</t>
  </si>
  <si>
    <t>Z</t>
  </si>
  <si>
    <t>risk-free</t>
  </si>
  <si>
    <t xml:space="preserve">                                                        Rate of Return if State Occurs</t>
  </si>
  <si>
    <t>Pete Corp.</t>
  </si>
  <si>
    <t>Repete Co.</t>
  </si>
  <si>
    <t>(R)market</t>
  </si>
  <si>
    <t>R(F)</t>
  </si>
  <si>
    <t>R(M)</t>
  </si>
  <si>
    <t>E (R)</t>
  </si>
  <si>
    <t>3.Confirm CML</t>
  </si>
  <si>
    <t>MAX Slope CML</t>
  </si>
  <si>
    <t>10-Year Annual Return</t>
  </si>
  <si>
    <t xml:space="preserve">         Standard Deviation</t>
  </si>
  <si>
    <t>The Sharpe ratio</t>
  </si>
  <si>
    <t>Bledsoe S&amp;P 500 Index Fund</t>
  </si>
  <si>
    <t>Bledsoe Small-Cap Fund</t>
  </si>
  <si>
    <t>Bledsoe Large-Company Stock Fund</t>
  </si>
  <si>
    <t>Bledsoe Bond Fund</t>
  </si>
  <si>
    <t>East Coast Yachts Stock</t>
  </si>
  <si>
    <t>Weight of stock fund</t>
  </si>
  <si>
    <t>Portfolio E(R)</t>
  </si>
  <si>
    <t>Portfolio standard
deviation</t>
  </si>
  <si>
    <t>Percentage in</t>
  </si>
  <si>
    <t>Weights</t>
  </si>
  <si>
    <t>Sharpe optimal portfolio</t>
  </si>
  <si>
    <t>Sharpe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</si>
</sst>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6" formatCode="&quot;$&quot;#,##0_);[Red]\(&quot;$&quot;#,##0\)"/>
    <numFmt numFmtId="8" formatCode="&quot;$&quot;#,##0.00_);[Red]\(&quot;$&quot;#,##0.00\)"/>
    <numFmt numFmtId="164" formatCode="#,##0.000"/>
    <numFmt numFmtId="165" formatCode="#,##0.0000"/>
    <numFmt numFmtId="166" formatCode="0.00000"/>
    <numFmt numFmtId="167" formatCode=";;;"/>
    <numFmt numFmtId="168" formatCode="#,##0.000000"/>
    <numFmt numFmtId="169" formatCode="0.0%"/>
    <numFmt numFmtId="170" formatCode="0.0000"/>
    <numFmt numFmtId="171" formatCode="0.000"/>
    <numFmt numFmtId="172" formatCode="0.000000"/>
    <numFmt numFmtId="173" formatCode="0.0"/>
    <numFmt numFmtId="174" formatCode="#,##0.00000"/>
    <numFmt numFmtId="175" formatCode="0.000000000000000%"/>
    <numFmt numFmtId="176" formatCode="0.000%"/>
    <numFmt numFmtId="177" formatCode="0.0000%"/>
  </numFmts>
  <fonts count="20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name val="Times New Roman"/>
      <family val="1"/>
      <charset val="204"/>
    </font>
    <font>
      <b/>
      <sz val="9"/>
      <color indexed="9"/>
      <name val="Gill Sans MT"/>
      <family val="2"/>
    </font>
    <font>
      <b/>
      <sz val="12"/>
      <color indexed="9"/>
      <name val="Arial Narrow"/>
      <family val="2"/>
    </font>
    <font>
      <sz val="12"/>
      <color indexed="63"/>
      <name val="Arial Narrow"/>
      <family val="2"/>
    </font>
    <font>
      <sz val="12"/>
      <name val="Arial Narrow"/>
      <family val="2"/>
    </font>
    <font>
      <b/>
      <sz val="12"/>
      <color rgb="FFFFFFFF"/>
      <name val="Arial Narrow"/>
      <family val="2"/>
    </font>
    <font>
      <sz val="10"/>
      <name val="Arial"/>
      <family val="2"/>
    </font>
    <font>
      <b/>
      <sz val="12"/>
      <name val="Arial Narrow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2"/>
      <color indexed="8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rgb="FFD5622A"/>
        <bgColor indexed="64"/>
      </patternFill>
    </fill>
    <fill>
      <patternFill patternType="solid">
        <fgColor rgb="FFFFE1B7"/>
        <bgColor indexed="64"/>
      </patternFill>
    </fill>
    <fill>
      <patternFill patternType="solid">
        <fgColor rgb="FFD5622A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FFF0D8"/>
        <bgColor indexed="64"/>
      </patternFill>
    </fill>
    <fill>
      <patternFill patternType="solid">
        <fgColor theme="7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5" fillId="0" borderId="0"/>
    <xf numFmtId="9" fontId="15" fillId="0" borderId="0" applyFont="0" applyFill="0" applyBorder="0" applyAlignment="0" applyProtection="0"/>
    <xf numFmtId="0" fontId="18" fillId="0" borderId="0"/>
  </cellStyleXfs>
  <cellXfs count="193">
    <xf numFmtId="0" fontId="0" fillId="0" borderId="0" xfId="0"/>
    <xf numFmtId="0" fontId="7" fillId="0" borderId="0" xfId="0" applyFont="1"/>
    <xf numFmtId="0" fontId="8" fillId="0" borderId="0" xfId="0" applyFont="1"/>
    <xf numFmtId="0" fontId="11" fillId="2" borderId="0" xfId="0" applyFont="1" applyFill="1" applyAlignment="1">
      <alignment vertical="top" wrapText="1"/>
    </xf>
    <xf numFmtId="0" fontId="11" fillId="2" borderId="0" xfId="0" applyFont="1" applyFill="1" applyAlignment="1">
      <alignment horizontal="left" vertical="top" wrapText="1" indent="1"/>
    </xf>
    <xf numFmtId="0" fontId="11" fillId="2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horizontal="left" vertical="top" wrapText="1" indent="1"/>
    </xf>
    <xf numFmtId="2" fontId="12" fillId="3" borderId="0" xfId="0" applyNumberFormat="1" applyFont="1" applyFill="1" applyAlignment="1">
      <alignment horizontal="center" vertical="top" shrinkToFit="1"/>
    </xf>
    <xf numFmtId="4" fontId="12" fillId="3" borderId="0" xfId="0" applyNumberFormat="1" applyFont="1" applyFill="1" applyAlignment="1">
      <alignment horizontal="center" vertical="top" wrapText="1"/>
    </xf>
    <xf numFmtId="4" fontId="12" fillId="3" borderId="0" xfId="0" applyNumberFormat="1" applyFont="1" applyFill="1" applyAlignment="1">
      <alignment horizontal="center" vertical="top" shrinkToFit="1"/>
    </xf>
    <xf numFmtId="4" fontId="12" fillId="3" borderId="0" xfId="0" applyNumberFormat="1" applyFont="1" applyFill="1" applyAlignment="1">
      <alignment horizontal="right" vertical="top" shrinkToFit="1"/>
    </xf>
    <xf numFmtId="0" fontId="11" fillId="2" borderId="0" xfId="0" applyFont="1" applyFill="1" applyAlignment="1">
      <alignment horizontal="center" vertical="center" wrapText="1"/>
    </xf>
    <xf numFmtId="10" fontId="7" fillId="0" borderId="0" xfId="0" applyNumberFormat="1" applyFont="1" applyBorder="1"/>
    <xf numFmtId="10" fontId="7" fillId="0" borderId="4" xfId="0" applyNumberFormat="1" applyFont="1" applyBorder="1"/>
    <xf numFmtId="10" fontId="7" fillId="0" borderId="8" xfId="0" applyNumberFormat="1" applyFont="1" applyBorder="1"/>
    <xf numFmtId="0" fontId="0" fillId="0" borderId="0" xfId="0" applyBorder="1"/>
    <xf numFmtId="0" fontId="10" fillId="0" borderId="0" xfId="0" applyFont="1" applyAlignment="1">
      <alignment wrapText="1"/>
    </xf>
    <xf numFmtId="0" fontId="11" fillId="2" borderId="0" xfId="0" applyFont="1" applyFill="1" applyAlignment="1">
      <alignment horizontal="left" vertical="top" wrapText="1"/>
    </xf>
    <xf numFmtId="0" fontId="12" fillId="3" borderId="0" xfId="0" applyFont="1" applyFill="1" applyAlignment="1">
      <alignment vertical="top" wrapText="1"/>
    </xf>
    <xf numFmtId="166" fontId="9" fillId="0" borderId="0" xfId="0" applyNumberFormat="1" applyFont="1" applyAlignment="1">
      <alignment horizontal="left" vertical="center" wrapText="1"/>
    </xf>
    <xf numFmtId="0" fontId="0" fillId="0" borderId="4" xfId="0" applyBorder="1"/>
    <xf numFmtId="167" fontId="13" fillId="0" borderId="0" xfId="0" applyNumberFormat="1" applyFont="1" applyAlignment="1">
      <alignment horizontal="left" vertical="center" wrapText="1"/>
    </xf>
    <xf numFmtId="164" fontId="12" fillId="3" borderId="0" xfId="0" applyNumberFormat="1" applyFont="1" applyFill="1" applyAlignment="1">
      <alignment horizontal="right" vertical="top" shrinkToFit="1"/>
    </xf>
    <xf numFmtId="0" fontId="7" fillId="0" borderId="9" xfId="0" applyFont="1" applyBorder="1"/>
    <xf numFmtId="0" fontId="7" fillId="0" borderId="4" xfId="0" applyFont="1" applyBorder="1" applyAlignment="1">
      <alignment horizontal="center" vertical="center"/>
    </xf>
    <xf numFmtId="0" fontId="12" fillId="3" borderId="0" xfId="0" applyFont="1" applyFill="1" applyAlignment="1">
      <alignment horizontal="left" vertical="top" wrapText="1"/>
    </xf>
    <xf numFmtId="4" fontId="12" fillId="3" borderId="0" xfId="0" applyNumberFormat="1" applyFont="1" applyFill="1" applyAlignment="1">
      <alignment horizontal="center" vertical="top"/>
    </xf>
    <xf numFmtId="0" fontId="11" fillId="2" borderId="0" xfId="0" applyFont="1" applyFill="1" applyAlignment="1">
      <alignment horizontal="left" wrapText="1"/>
    </xf>
    <xf numFmtId="0" fontId="7" fillId="0" borderId="4" xfId="0" applyFont="1" applyBorder="1"/>
    <xf numFmtId="169" fontId="7" fillId="0" borderId="4" xfId="0" applyNumberFormat="1" applyFont="1" applyBorder="1"/>
    <xf numFmtId="10" fontId="7" fillId="0" borderId="10" xfId="0" applyNumberFormat="1" applyFont="1" applyBorder="1"/>
    <xf numFmtId="0" fontId="11" fillId="2" borderId="0" xfId="0" applyFont="1" applyFill="1" applyAlignment="1">
      <alignment horizontal="left" vertical="top" wrapText="1"/>
    </xf>
    <xf numFmtId="10" fontId="0" fillId="0" borderId="0" xfId="0" applyNumberFormat="1"/>
    <xf numFmtId="0" fontId="7" fillId="0" borderId="0" xfId="0" applyFont="1" applyBorder="1" applyAlignment="1">
      <alignment horizontal="center" vertical="center"/>
    </xf>
    <xf numFmtId="4" fontId="7" fillId="0" borderId="0" xfId="0" applyNumberFormat="1" applyFont="1" applyAlignment="1">
      <alignment horizontal="center"/>
    </xf>
    <xf numFmtId="0" fontId="9" fillId="0" borderId="0" xfId="0" applyFont="1" applyAlignment="1">
      <alignment vertical="top" wrapText="1"/>
    </xf>
    <xf numFmtId="4" fontId="12" fillId="3" borderId="0" xfId="0" applyNumberFormat="1" applyFont="1" applyFill="1" applyAlignment="1">
      <alignment horizontal="right" vertical="top" wrapText="1"/>
    </xf>
    <xf numFmtId="9" fontId="7" fillId="0" borderId="4" xfId="0" applyNumberFormat="1" applyFont="1" applyBorder="1"/>
    <xf numFmtId="0" fontId="7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/>
    </xf>
    <xf numFmtId="0" fontId="11" fillId="2" borderId="0" xfId="0" applyFont="1" applyFill="1" applyAlignment="1">
      <alignment horizontal="left" vertical="center" wrapText="1"/>
    </xf>
    <xf numFmtId="0" fontId="11" fillId="2" borderId="0" xfId="0" applyFont="1" applyFill="1" applyAlignment="1">
      <alignment horizontal="right" vertical="center" wrapText="1"/>
    </xf>
    <xf numFmtId="6" fontId="12" fillId="3" borderId="0" xfId="0" applyNumberFormat="1" applyFont="1" applyFill="1" applyAlignment="1">
      <alignment horizontal="right" vertical="top" shrinkToFit="1"/>
    </xf>
    <xf numFmtId="8" fontId="13" fillId="3" borderId="0" xfId="0" applyNumberFormat="1" applyFont="1" applyFill="1" applyAlignment="1">
      <alignment horizontal="right" vertical="center" wrapText="1"/>
    </xf>
    <xf numFmtId="3" fontId="12" fillId="3" borderId="0" xfId="0" applyNumberFormat="1" applyFont="1" applyFill="1" applyAlignment="1">
      <alignment horizontal="right" vertical="top" shrinkToFit="1"/>
    </xf>
    <xf numFmtId="6" fontId="0" fillId="0" borderId="0" xfId="0" applyNumberFormat="1"/>
    <xf numFmtId="169" fontId="12" fillId="3" borderId="0" xfId="0" applyNumberFormat="1" applyFont="1" applyFill="1" applyAlignment="1">
      <alignment horizontal="right" vertical="top" shrinkToFit="1"/>
    </xf>
    <xf numFmtId="10" fontId="12" fillId="3" borderId="0" xfId="0" applyNumberFormat="1" applyFont="1" applyFill="1" applyAlignment="1">
      <alignment horizontal="right" vertical="top" shrinkToFit="1"/>
    </xf>
    <xf numFmtId="0" fontId="7" fillId="0" borderId="0" xfId="0" applyFont="1" applyBorder="1"/>
    <xf numFmtId="8" fontId="12" fillId="3" borderId="0" xfId="0" applyNumberFormat="1" applyFont="1" applyFill="1" applyAlignment="1">
      <alignment horizontal="left" vertical="top" wrapText="1"/>
    </xf>
    <xf numFmtId="0" fontId="7" fillId="0" borderId="1" xfId="0" applyFont="1" applyBorder="1"/>
    <xf numFmtId="166" fontId="7" fillId="0" borderId="4" xfId="0" applyNumberFormat="1" applyFont="1" applyBorder="1"/>
    <xf numFmtId="0" fontId="7" fillId="0" borderId="4" xfId="0" applyFont="1" applyFill="1" applyBorder="1"/>
    <xf numFmtId="170" fontId="7" fillId="0" borderId="4" xfId="0" applyNumberFormat="1" applyFont="1" applyBorder="1"/>
    <xf numFmtId="0" fontId="11" fillId="2" borderId="0" xfId="0" applyFont="1" applyFill="1" applyAlignment="1">
      <alignment horizontal="left" vertical="center" wrapText="1" indent="1"/>
    </xf>
    <xf numFmtId="172" fontId="7" fillId="0" borderId="4" xfId="0" applyNumberFormat="1" applyFont="1" applyBorder="1"/>
    <xf numFmtId="0" fontId="12" fillId="3" borderId="0" xfId="0" applyFont="1" applyFill="1" applyAlignment="1">
      <alignment horizontal="center" vertical="top" wrapText="1"/>
    </xf>
    <xf numFmtId="2" fontId="12" fillId="3" borderId="0" xfId="0" applyNumberFormat="1" applyFont="1" applyFill="1" applyAlignment="1">
      <alignment horizontal="center" vertical="top" wrapText="1"/>
    </xf>
    <xf numFmtId="173" fontId="12" fillId="3" borderId="0" xfId="0" applyNumberFormat="1" applyFont="1" applyFill="1" applyAlignment="1">
      <alignment horizontal="center" vertical="top" wrapText="1"/>
    </xf>
    <xf numFmtId="10" fontId="12" fillId="3" borderId="0" xfId="0" applyNumberFormat="1" applyFont="1" applyFill="1" applyAlignment="1">
      <alignment horizontal="center" vertical="top" shrinkToFit="1"/>
    </xf>
    <xf numFmtId="0" fontId="7" fillId="0" borderId="4" xfId="0" applyFont="1" applyBorder="1" applyAlignment="1">
      <alignment horizontal="center"/>
    </xf>
    <xf numFmtId="169" fontId="7" fillId="5" borderId="4" xfId="0" applyNumberFormat="1" applyFont="1" applyFill="1" applyBorder="1"/>
    <xf numFmtId="9" fontId="7" fillId="5" borderId="4" xfId="0" applyNumberFormat="1" applyFont="1" applyFill="1" applyBorder="1"/>
    <xf numFmtId="4" fontId="7" fillId="0" borderId="4" xfId="0" applyNumberFormat="1" applyFont="1" applyBorder="1"/>
    <xf numFmtId="1" fontId="12" fillId="3" borderId="0" xfId="0" applyNumberFormat="1" applyFont="1" applyFill="1" applyAlignment="1">
      <alignment horizontal="center" vertical="top" shrinkToFit="1"/>
    </xf>
    <xf numFmtId="2" fontId="12" fillId="3" borderId="0" xfId="0" applyNumberFormat="1" applyFont="1" applyFill="1" applyAlignment="1">
      <alignment horizontal="right" vertical="top" indent="2" shrinkToFit="1"/>
    </xf>
    <xf numFmtId="0" fontId="11" fillId="2" borderId="0" xfId="0" applyFont="1" applyFill="1" applyAlignment="1">
      <alignment horizontal="left" vertical="center" wrapText="1" indent="2"/>
    </xf>
    <xf numFmtId="173" fontId="7" fillId="0" borderId="4" xfId="0" applyNumberFormat="1" applyFont="1" applyBorder="1"/>
    <xf numFmtId="169" fontId="7" fillId="0" borderId="10" xfId="0" applyNumberFormat="1" applyFont="1" applyBorder="1"/>
    <xf numFmtId="2" fontId="12" fillId="3" borderId="0" xfId="0" applyNumberFormat="1" applyFont="1" applyFill="1" applyAlignment="1">
      <alignment horizontal="right" vertical="top" indent="4" shrinkToFit="1"/>
    </xf>
    <xf numFmtId="0" fontId="12" fillId="3" borderId="0" xfId="0" applyFont="1" applyFill="1" applyAlignment="1">
      <alignment horizontal="right" vertical="top" wrapText="1"/>
    </xf>
    <xf numFmtId="2" fontId="12" fillId="3" borderId="0" xfId="0" applyNumberFormat="1" applyFont="1" applyFill="1" applyAlignment="1">
      <alignment horizontal="right" vertical="top" wrapText="1"/>
    </xf>
    <xf numFmtId="0" fontId="8" fillId="0" borderId="4" xfId="0" applyFont="1" applyBorder="1"/>
    <xf numFmtId="0" fontId="11" fillId="2" borderId="0" xfId="0" applyFont="1" applyFill="1" applyAlignment="1">
      <alignment horizontal="center" vertical="top" wrapText="1"/>
    </xf>
    <xf numFmtId="6" fontId="12" fillId="3" borderId="0" xfId="0" applyNumberFormat="1" applyFont="1" applyFill="1" applyAlignment="1">
      <alignment horizontal="right" vertical="top" wrapText="1"/>
    </xf>
    <xf numFmtId="9" fontId="12" fillId="3" borderId="0" xfId="0" applyNumberFormat="1" applyFont="1" applyFill="1" applyAlignment="1">
      <alignment horizontal="right" vertical="top" wrapText="1"/>
    </xf>
    <xf numFmtId="10" fontId="12" fillId="3" borderId="0" xfId="0" applyNumberFormat="1" applyFont="1" applyFill="1" applyAlignment="1">
      <alignment horizontal="right" vertical="top" wrapText="1"/>
    </xf>
    <xf numFmtId="164" fontId="7" fillId="0" borderId="4" xfId="0" applyNumberFormat="1" applyFont="1" applyFill="1" applyBorder="1"/>
    <xf numFmtId="9" fontId="12" fillId="3" borderId="0" xfId="0" applyNumberFormat="1" applyFont="1" applyFill="1" applyAlignment="1">
      <alignment horizontal="center" vertical="top" shrinkToFit="1"/>
    </xf>
    <xf numFmtId="0" fontId="13" fillId="6" borderId="5" xfId="1" applyFont="1" applyFill="1" applyBorder="1"/>
    <xf numFmtId="10" fontId="7" fillId="6" borderId="6" xfId="2" applyNumberFormat="1" applyFont="1" applyFill="1" applyBorder="1"/>
    <xf numFmtId="0" fontId="13" fillId="6" borderId="7" xfId="1" applyFont="1" applyFill="1" applyBorder="1"/>
    <xf numFmtId="10" fontId="7" fillId="6" borderId="8" xfId="2" applyNumberFormat="1" applyFont="1" applyFill="1" applyBorder="1"/>
    <xf numFmtId="0" fontId="13" fillId="7" borderId="5" xfId="1" applyFont="1" applyFill="1" applyBorder="1"/>
    <xf numFmtId="10" fontId="7" fillId="7" borderId="6" xfId="2" applyNumberFormat="1" applyFont="1" applyFill="1" applyBorder="1"/>
    <xf numFmtId="0" fontId="13" fillId="7" borderId="7" xfId="1" applyFont="1" applyFill="1" applyBorder="1"/>
    <xf numFmtId="10" fontId="7" fillId="7" borderId="8" xfId="2" applyNumberFormat="1" applyFont="1" applyFill="1" applyBorder="1"/>
    <xf numFmtId="10" fontId="7" fillId="0" borderId="0" xfId="0" applyNumberFormat="1" applyFont="1"/>
    <xf numFmtId="0" fontId="13" fillId="0" borderId="1" xfId="1" applyFont="1" applyFill="1" applyBorder="1"/>
    <xf numFmtId="0" fontId="7" fillId="0" borderId="1" xfId="0" applyFont="1" applyBorder="1" applyAlignment="1">
      <alignment horizontal="center"/>
    </xf>
    <xf numFmtId="9" fontId="8" fillId="0" borderId="0" xfId="0" applyNumberFormat="1" applyFont="1" applyAlignment="1">
      <alignment horizontal="center"/>
    </xf>
    <xf numFmtId="0" fontId="16" fillId="0" borderId="1" xfId="1" applyFont="1" applyBorder="1" applyAlignment="1">
      <alignment horizontal="center" wrapText="1"/>
    </xf>
    <xf numFmtId="10" fontId="7" fillId="0" borderId="0" xfId="0" applyNumberFormat="1" applyFont="1" applyAlignment="1">
      <alignment horizontal="right"/>
    </xf>
    <xf numFmtId="0" fontId="8" fillId="0" borderId="1" xfId="0" applyFont="1" applyBorder="1" applyAlignment="1">
      <alignment horizontal="center"/>
    </xf>
    <xf numFmtId="0" fontId="13" fillId="5" borderId="5" xfId="1" applyFont="1" applyFill="1" applyBorder="1"/>
    <xf numFmtId="10" fontId="7" fillId="5" borderId="6" xfId="2" applyNumberFormat="1" applyFont="1" applyFill="1" applyBorder="1"/>
    <xf numFmtId="0" fontId="13" fillId="5" borderId="7" xfId="1" applyFont="1" applyFill="1" applyBorder="1"/>
    <xf numFmtId="10" fontId="7" fillId="5" borderId="8" xfId="2" applyNumberFormat="1" applyFont="1" applyFill="1" applyBorder="1"/>
    <xf numFmtId="4" fontId="0" fillId="0" borderId="0" xfId="0" applyNumberFormat="1"/>
    <xf numFmtId="0" fontId="13" fillId="0" borderId="1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7" fillId="0" borderId="0" xfId="0" applyFont="1"/>
    <xf numFmtId="10" fontId="0" fillId="0" borderId="0" xfId="0" applyNumberFormat="1" applyFill="1"/>
    <xf numFmtId="0" fontId="7" fillId="0" borderId="0" xfId="0" applyFont="1" applyAlignment="1">
      <alignment horizontal="center"/>
    </xf>
    <xf numFmtId="0" fontId="13" fillId="5" borderId="5" xfId="1" applyFont="1" applyFill="1" applyBorder="1" applyAlignment="1">
      <alignment horizontal="left" vertical="top"/>
    </xf>
    <xf numFmtId="0" fontId="13" fillId="5" borderId="7" xfId="1" applyFont="1" applyFill="1" applyBorder="1" applyAlignment="1">
      <alignment horizontal="left" vertical="top"/>
    </xf>
    <xf numFmtId="165" fontId="0" fillId="0" borderId="0" xfId="0" applyNumberFormat="1"/>
    <xf numFmtId="0" fontId="7" fillId="6" borderId="4" xfId="0" applyFont="1" applyFill="1" applyBorder="1" applyAlignment="1">
      <alignment horizontal="left" vertical="center" wrapText="1"/>
    </xf>
    <xf numFmtId="168" fontId="7" fillId="6" borderId="4" xfId="0" applyNumberFormat="1" applyFont="1" applyFill="1" applyBorder="1"/>
    <xf numFmtId="6" fontId="7" fillId="0" borderId="4" xfId="0" applyNumberFormat="1" applyFont="1" applyBorder="1"/>
    <xf numFmtId="165" fontId="7" fillId="0" borderId="4" xfId="0" applyNumberFormat="1" applyFont="1" applyBorder="1"/>
    <xf numFmtId="8" fontId="7" fillId="0" borderId="4" xfId="0" applyNumberFormat="1" applyFont="1" applyBorder="1"/>
    <xf numFmtId="0" fontId="7" fillId="0" borderId="4" xfId="0" applyFont="1" applyBorder="1" applyAlignment="1">
      <alignment horizontal="left" vertical="center"/>
    </xf>
    <xf numFmtId="2" fontId="7" fillId="0" borderId="4" xfId="0" applyNumberFormat="1" applyFont="1" applyBorder="1"/>
    <xf numFmtId="1" fontId="7" fillId="0" borderId="4" xfId="0" applyNumberFormat="1" applyFont="1" applyBorder="1"/>
    <xf numFmtId="171" fontId="7" fillId="0" borderId="4" xfId="0" applyNumberFormat="1" applyFont="1" applyBorder="1"/>
    <xf numFmtId="9" fontId="7" fillId="0" borderId="0" xfId="0" applyNumberFormat="1" applyFont="1" applyBorder="1" applyAlignment="1">
      <alignment horizontal="center"/>
    </xf>
    <xf numFmtId="10" fontId="7" fillId="0" borderId="0" xfId="0" applyNumberFormat="1" applyFont="1" applyBorder="1" applyAlignment="1">
      <alignment horizontal="center"/>
    </xf>
    <xf numFmtId="0" fontId="14" fillId="4" borderId="0" xfId="0" applyFont="1" applyFill="1" applyBorder="1" applyAlignment="1">
      <alignment horizontal="center" vertical="center" wrapText="1"/>
    </xf>
    <xf numFmtId="0" fontId="14" fillId="4" borderId="0" xfId="0" applyFont="1" applyFill="1" applyBorder="1" applyAlignment="1">
      <alignment horizontal="center" vertical="top" wrapText="1"/>
    </xf>
    <xf numFmtId="9" fontId="7" fillId="0" borderId="0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/>
    </xf>
    <xf numFmtId="4" fontId="7" fillId="0" borderId="0" xfId="0" applyNumberFormat="1" applyFont="1" applyBorder="1" applyAlignment="1">
      <alignment horizontal="center"/>
    </xf>
    <xf numFmtId="4" fontId="7" fillId="7" borderId="4" xfId="0" applyNumberFormat="1" applyFont="1" applyFill="1" applyBorder="1"/>
    <xf numFmtId="10" fontId="7" fillId="7" borderId="4" xfId="0" applyNumberFormat="1" applyFont="1" applyFill="1" applyBorder="1"/>
    <xf numFmtId="10" fontId="7" fillId="6" borderId="4" xfId="0" applyNumberFormat="1" applyFont="1" applyFill="1" applyBorder="1"/>
    <xf numFmtId="166" fontId="0" fillId="0" borderId="0" xfId="0" applyNumberFormat="1"/>
    <xf numFmtId="174" fontId="0" fillId="0" borderId="0" xfId="0" applyNumberFormat="1"/>
    <xf numFmtId="0" fontId="7" fillId="6" borderId="4" xfId="0" applyFont="1" applyFill="1" applyBorder="1"/>
    <xf numFmtId="170" fontId="7" fillId="6" borderId="4" xfId="0" applyNumberFormat="1" applyFont="1" applyFill="1" applyBorder="1"/>
    <xf numFmtId="0" fontId="7" fillId="7" borderId="4" xfId="0" applyFont="1" applyFill="1" applyBorder="1"/>
    <xf numFmtId="170" fontId="7" fillId="7" borderId="4" xfId="0" applyNumberFormat="1" applyFont="1" applyFill="1" applyBorder="1"/>
    <xf numFmtId="10" fontId="6" fillId="5" borderId="8" xfId="2" applyNumberFormat="1" applyFont="1" applyFill="1" applyBorder="1"/>
    <xf numFmtId="175" fontId="0" fillId="0" borderId="0" xfId="0" applyNumberFormat="1"/>
    <xf numFmtId="10" fontId="8" fillId="8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centerContinuous" vertical="top" wrapText="1"/>
    </xf>
    <xf numFmtId="10" fontId="5" fillId="0" borderId="2" xfId="3" applyNumberFormat="1" applyFont="1" applyBorder="1"/>
    <xf numFmtId="10" fontId="5" fillId="0" borderId="3" xfId="3" applyNumberFormat="1" applyFont="1" applyBorder="1"/>
    <xf numFmtId="168" fontId="5" fillId="0" borderId="4" xfId="3" applyNumberFormat="1" applyFont="1" applyBorder="1"/>
    <xf numFmtId="10" fontId="5" fillId="0" borderId="4" xfId="3" applyNumberFormat="1" applyFont="1" applyBorder="1"/>
    <xf numFmtId="0" fontId="5" fillId="0" borderId="0" xfId="3" applyFont="1"/>
    <xf numFmtId="0" fontId="18" fillId="0" borderId="0" xfId="3"/>
    <xf numFmtId="0" fontId="11" fillId="2" borderId="0" xfId="0" applyFont="1" applyFill="1" applyAlignment="1">
      <alignment horizontal="centerContinuous" vertical="center" wrapText="1"/>
    </xf>
    <xf numFmtId="0" fontId="11" fillId="2" borderId="0" xfId="0" applyFont="1" applyFill="1" applyAlignment="1">
      <alignment horizontal="center" vertical="top" wrapText="1"/>
    </xf>
    <xf numFmtId="170" fontId="0" fillId="0" borderId="0" xfId="0" applyNumberFormat="1"/>
    <xf numFmtId="0" fontId="4" fillId="0" borderId="0" xfId="0" applyFont="1"/>
    <xf numFmtId="0" fontId="4" fillId="0" borderId="0" xfId="0" applyNumberFormat="1" applyFont="1"/>
    <xf numFmtId="0" fontId="4" fillId="0" borderId="4" xfId="0" applyFont="1" applyBorder="1" applyAlignment="1">
      <alignment horizontal="center"/>
    </xf>
    <xf numFmtId="0" fontId="4" fillId="0" borderId="4" xfId="0" applyFont="1" applyBorder="1"/>
    <xf numFmtId="10" fontId="4" fillId="0" borderId="4" xfId="0" applyNumberFormat="1" applyFont="1" applyBorder="1"/>
    <xf numFmtId="0" fontId="11" fillId="2" borderId="0" xfId="0" applyFont="1" applyFill="1" applyAlignment="1">
      <alignment horizontal="center" vertical="top" wrapText="1"/>
    </xf>
    <xf numFmtId="0" fontId="11" fillId="2" borderId="0" xfId="0" applyFont="1" applyFill="1" applyAlignment="1">
      <alignment vertical="top"/>
    </xf>
    <xf numFmtId="0" fontId="11" fillId="2" borderId="0" xfId="0" applyFont="1" applyFill="1" applyAlignment="1">
      <alignment horizontal="centerContinuous" vertical="top"/>
    </xf>
    <xf numFmtId="171" fontId="12" fillId="3" borderId="0" xfId="0" applyNumberFormat="1" applyFont="1" applyFill="1" applyAlignment="1">
      <alignment vertical="top" shrinkToFit="1"/>
    </xf>
    <xf numFmtId="0" fontId="12" fillId="9" borderId="0" xfId="0" applyFont="1" applyFill="1" applyAlignment="1">
      <alignment horizontal="left" vertical="top" wrapText="1"/>
    </xf>
    <xf numFmtId="2" fontId="12" fillId="9" borderId="0" xfId="0" applyNumberFormat="1" applyFont="1" applyFill="1" applyAlignment="1">
      <alignment horizontal="center" vertical="top" shrinkToFit="1"/>
    </xf>
    <xf numFmtId="170" fontId="12" fillId="9" borderId="0" xfId="0" applyNumberFormat="1" applyFont="1" applyFill="1" applyAlignment="1">
      <alignment horizontal="center" vertical="top" shrinkToFit="1"/>
    </xf>
    <xf numFmtId="0" fontId="3" fillId="0" borderId="4" xfId="0" applyFont="1" applyBorder="1"/>
    <xf numFmtId="10" fontId="3" fillId="0" borderId="4" xfId="0" applyNumberFormat="1" applyFont="1" applyBorder="1"/>
    <xf numFmtId="169" fontId="3" fillId="0" borderId="4" xfId="0" applyNumberFormat="1" applyFont="1" applyBorder="1"/>
    <xf numFmtId="172" fontId="7" fillId="6" borderId="4" xfId="0" applyNumberFormat="1" applyFont="1" applyFill="1" applyBorder="1"/>
    <xf numFmtId="0" fontId="2" fillId="0" borderId="4" xfId="3" applyFont="1" applyBorder="1" applyAlignment="1">
      <alignment horizontal="left" vertical="center" wrapText="1"/>
    </xf>
    <xf numFmtId="0" fontId="2" fillId="0" borderId="0" xfId="3" applyFont="1" applyAlignment="1">
      <alignment horizontal="left" vertical="center" wrapText="1"/>
    </xf>
    <xf numFmtId="0" fontId="2" fillId="0" borderId="0" xfId="3" applyFont="1"/>
    <xf numFmtId="176" fontId="7" fillId="0" borderId="4" xfId="0" applyNumberFormat="1" applyFont="1" applyBorder="1"/>
    <xf numFmtId="176" fontId="2" fillId="0" borderId="4" xfId="3" applyNumberFormat="1" applyFont="1" applyBorder="1" applyAlignment="1">
      <alignment vertical="center" wrapText="1"/>
    </xf>
    <xf numFmtId="4" fontId="2" fillId="0" borderId="4" xfId="3" applyNumberFormat="1" applyFont="1" applyBorder="1" applyAlignment="1">
      <alignment vertical="center" wrapText="1"/>
    </xf>
    <xf numFmtId="0" fontId="12" fillId="9" borderId="0" xfId="0" applyFont="1" applyFill="1" applyAlignment="1">
      <alignment vertical="top" wrapText="1"/>
    </xf>
    <xf numFmtId="0" fontId="12" fillId="9" borderId="0" xfId="0" applyFont="1" applyFill="1" applyAlignment="1">
      <alignment vertical="top" shrinkToFit="1"/>
    </xf>
    <xf numFmtId="165" fontId="12" fillId="9" borderId="0" xfId="0" applyNumberFormat="1" applyFont="1" applyFill="1" applyAlignment="1">
      <alignment vertical="top" shrinkToFit="1"/>
    </xf>
    <xf numFmtId="0" fontId="11" fillId="2" borderId="0" xfId="0" applyFont="1" applyFill="1" applyAlignment="1">
      <alignment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0" borderId="4" xfId="0" applyFont="1" applyFill="1" applyBorder="1"/>
    <xf numFmtId="0" fontId="1" fillId="0" borderId="4" xfId="0" applyFont="1" applyBorder="1" applyAlignment="1">
      <alignment vertical="center"/>
    </xf>
    <xf numFmtId="169" fontId="1" fillId="0" borderId="4" xfId="0" applyNumberFormat="1" applyFont="1" applyBorder="1" applyAlignment="1">
      <alignment vertical="center"/>
    </xf>
    <xf numFmtId="0" fontId="1" fillId="0" borderId="4" xfId="0" applyFont="1" applyBorder="1"/>
    <xf numFmtId="177" fontId="1" fillId="7" borderId="4" xfId="0" applyNumberFormat="1" applyFont="1" applyFill="1" applyBorder="1"/>
    <xf numFmtId="10" fontId="1" fillId="10" borderId="4" xfId="0" applyNumberFormat="1" applyFont="1" applyFill="1" applyBorder="1"/>
    <xf numFmtId="165" fontId="1" fillId="10" borderId="4" xfId="0" applyNumberFormat="1" applyFont="1" applyFill="1" applyBorder="1"/>
    <xf numFmtId="10" fontId="1" fillId="6" borderId="0" xfId="0" applyNumberFormat="1" applyFont="1" applyFill="1"/>
    <xf numFmtId="10" fontId="1" fillId="7" borderId="0" xfId="0" applyNumberFormat="1" applyFont="1" applyFill="1"/>
    <xf numFmtId="10" fontId="1" fillId="10" borderId="0" xfId="0" applyNumberFormat="1" applyFont="1" applyFill="1"/>
    <xf numFmtId="0" fontId="1" fillId="7" borderId="4" xfId="0" applyNumberFormat="1" applyFont="1" applyFill="1" applyBorder="1"/>
    <xf numFmtId="0" fontId="19" fillId="0" borderId="0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top" wrapText="1"/>
    </xf>
    <xf numFmtId="9" fontId="19" fillId="0" borderId="0" xfId="0" applyNumberFormat="1" applyFont="1" applyBorder="1" applyAlignment="1">
      <alignment horizontal="center" vertical="top" shrinkToFit="1"/>
    </xf>
    <xf numFmtId="10" fontId="19" fillId="0" borderId="0" xfId="0" applyNumberFormat="1" applyFont="1" applyBorder="1" applyAlignment="1">
      <alignment horizontal="center" vertical="top" shrinkToFit="1"/>
    </xf>
    <xf numFmtId="177" fontId="19" fillId="0" borderId="0" xfId="0" applyNumberFormat="1" applyFont="1" applyBorder="1" applyAlignment="1">
      <alignment horizontal="center" vertical="top" shrinkToFit="1"/>
    </xf>
    <xf numFmtId="10" fontId="19" fillId="6" borderId="0" xfId="0" applyNumberFormat="1" applyFont="1" applyFill="1" applyBorder="1" applyAlignment="1">
      <alignment horizontal="center" vertical="top" shrinkToFit="1"/>
    </xf>
    <xf numFmtId="177" fontId="19" fillId="6" borderId="0" xfId="0" applyNumberFormat="1" applyFont="1" applyFill="1" applyBorder="1" applyAlignment="1">
      <alignment horizontal="center" vertical="top" shrinkToFit="1"/>
    </xf>
    <xf numFmtId="0" fontId="1" fillId="0" borderId="0" xfId="0" applyFont="1"/>
    <xf numFmtId="0" fontId="8" fillId="0" borderId="1" xfId="0" applyFont="1" applyBorder="1" applyAlignment="1">
      <alignment horizontal="center"/>
    </xf>
    <xf numFmtId="0" fontId="8" fillId="0" borderId="7" xfId="0" applyFont="1" applyBorder="1" applyAlignment="1">
      <alignment horizontal="center"/>
    </xf>
  </cellXfs>
  <cellStyles count="4">
    <cellStyle name="Normal" xfId="0" builtinId="0"/>
    <cellStyle name="Normal 2" xfId="3" xr:uid="{C2D51F69-6B5A-4AF9-A497-EC4C52CC2B5B}"/>
    <cellStyle name="Normal 9" xfId="1" xr:uid="{D2EC718C-014C-4DFF-93DB-4F40D15E11C1}"/>
    <cellStyle name="Percent 3" xfId="2" xr:uid="{A0A25BF7-2D04-432E-8CCA-98628EC9C72B}"/>
  </cellStyles>
  <dxfs count="0"/>
  <tableStyles count="0" defaultTableStyle="TableStyleMedium2" defaultPivotStyle="PivotStyleLight16"/>
  <colors>
    <mruColors>
      <color rgb="FF99CC00"/>
      <color rgb="FFFFFF00"/>
      <color rgb="FFFF6600"/>
      <color rgb="FF00FF00"/>
      <color rgb="FFCCECFF"/>
      <color rgb="FFCCFF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000" b="1">
                <a:latin typeface="Arial Narrow" panose="020B0606020202030204" pitchFamily="34" charset="0"/>
              </a:rPr>
              <a:t>Relationship between portfolio expected return and portfolio
beta</a:t>
            </a:r>
          </a:p>
        </c:rich>
      </c:tx>
      <c:layout>
        <c:manualLayout>
          <c:xMode val="edge"/>
          <c:yMode val="edge"/>
          <c:x val="0.15584480599670672"/>
          <c:y val="2.35126698758317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none"/>
          </c:marker>
          <c:dPt>
            <c:idx val="4"/>
            <c:marker>
              <c:symbol val="none"/>
            </c:marker>
            <c:bubble3D val="0"/>
            <c:extLst>
              <c:ext xmlns:c16="http://schemas.microsoft.com/office/drawing/2014/chart" uri="{C3380CC4-5D6E-409C-BE32-E72D297353CC}">
                <c16:uniqueId val="{00000004-4160-4EEB-85EC-E19CA2DC6208}"/>
              </c:ext>
            </c:extLst>
          </c:dPt>
          <c:dLbls>
            <c:dLbl>
              <c:idx val="4"/>
              <c:spPr>
                <a:solidFill>
                  <a:schemeClr val="lt1"/>
                </a:solidFill>
                <a:ln w="12700" cap="flat" cmpd="sng" algn="ctr">
                  <a:solidFill>
                    <a:schemeClr val="accent6"/>
                  </a:solidFill>
                  <a:prstDash val="solid"/>
                  <a:miter lim="800000"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0" i="0" u="none" strike="noStrike" kern="1200" baseline="0">
                      <a:solidFill>
                        <a:schemeClr val="dk1"/>
                      </a:solidFill>
                      <a:latin typeface="Agency FB" panose="020B0503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4160-4EEB-85EC-E19CA2DC6208}"/>
                </c:ext>
              </c:extLst>
            </c:dLbl>
            <c:spPr>
              <a:solidFill>
                <a:schemeClr val="lt1"/>
              </a:solidFill>
              <a:ln w="12700" cap="flat" cmpd="sng" algn="ctr">
                <a:solidFill>
                  <a:schemeClr val="accent2"/>
                </a:solidFill>
                <a:prstDash val="solid"/>
                <a:miter lim="800000"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2700" cap="flat" cmpd="sng" algn="ctr">
                <a:solidFill>
                  <a:schemeClr val="accent5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668383413394351E-2"/>
                  <c:y val="-0.1674934092043801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</a:t>
                    </a:r>
                    <a:r>
                      <a:rPr lang="en-US" baseline="0">
                        <a:solidFill>
                          <a:srgbClr val="00B050"/>
                        </a:solidFill>
                      </a:rPr>
                      <a:t>0.0692</a:t>
                    </a:r>
                    <a:r>
                      <a:rPr lang="en-US" baseline="0"/>
                      <a:t>x + 0.04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'17.'!$C$2:$C$8</c:f>
              <c:numCache>
                <c:formatCode>#,##0.00</c:formatCode>
                <c:ptCount val="7"/>
                <c:pt idx="0" formatCode="#,##0">
                  <c:v>0</c:v>
                </c:pt>
                <c:pt idx="1">
                  <c:v>0.3</c:v>
                </c:pt>
                <c:pt idx="2">
                  <c:v>0.6</c:v>
                </c:pt>
                <c:pt idx="3">
                  <c:v>0.89999999999999991</c:v>
                </c:pt>
                <c:pt idx="4">
                  <c:v>1.2</c:v>
                </c:pt>
                <c:pt idx="5">
                  <c:v>1.5</c:v>
                </c:pt>
                <c:pt idx="6">
                  <c:v>1.7999999999999998</c:v>
                </c:pt>
              </c:numCache>
            </c:numRef>
          </c:xVal>
          <c:yVal>
            <c:numRef>
              <c:f>'17.'!$B$2:$B$8</c:f>
              <c:numCache>
                <c:formatCode>0.00%</c:formatCode>
                <c:ptCount val="7"/>
                <c:pt idx="0" formatCode="0%">
                  <c:v>0.04</c:v>
                </c:pt>
                <c:pt idx="1">
                  <c:v>6.0749999999999998E-2</c:v>
                </c:pt>
                <c:pt idx="2">
                  <c:v>8.1500000000000003E-2</c:v>
                </c:pt>
                <c:pt idx="3">
                  <c:v>0.10224999999999999</c:v>
                </c:pt>
                <c:pt idx="4">
                  <c:v>0.123</c:v>
                </c:pt>
                <c:pt idx="5">
                  <c:v>0.14374999999999999</c:v>
                </c:pt>
                <c:pt idx="6">
                  <c:v>0.16450000000000001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60-4EEB-85EC-E19CA2DC620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847696192"/>
        <c:axId val="847694528"/>
      </c:scatterChart>
      <c:valAx>
        <c:axId val="847696192"/>
        <c:scaling>
          <c:orientation val="minMax"/>
          <c:max val="1.8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b="1">
                    <a:latin typeface="Arial Narrow" panose="020B0606020202030204" pitchFamily="34" charset="0"/>
                  </a:rPr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#,##0.00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/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endParaRPr lang="en-US"/>
          </a:p>
        </c:txPr>
        <c:crossAx val="847694528"/>
        <c:crosses val="autoZero"/>
        <c:crossBetween val="midCat"/>
        <c:majorUnit val="0.30000000000000004"/>
      </c:valAx>
      <c:valAx>
        <c:axId val="847694528"/>
        <c:scaling>
          <c:orientation val="minMax"/>
          <c:max val="0.19000000000000003"/>
          <c:min val="0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 b="1">
                    <a:latin typeface="Arial Narrow" panose="020B0606020202030204" pitchFamily="34" charset="0"/>
                  </a:rPr>
                  <a:t>Expected Return</a:t>
                </a:r>
              </a:p>
            </c:rich>
          </c:tx>
          <c:layout>
            <c:manualLayout>
              <c:xMode val="edge"/>
              <c:yMode val="edge"/>
              <c:x val="1.3702245247748462E-2"/>
              <c:y val="0.2702506657004663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out"/>
        <c:minorTickMark val="none"/>
        <c:tickLblPos val="nextTo"/>
        <c:crossAx val="847696192"/>
        <c:crosses val="autoZero"/>
        <c:crossBetween val="midCat"/>
        <c:majorUnit val="3.0000000000000006E-2"/>
        <c:minorUnit val="4.000000000000001E-3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square"/>
              <c:size val="7"/>
              <c:spPr>
                <a:solidFill>
                  <a:srgbClr val="FF66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4-30DC-4976-9F68-111A5581A200}"/>
              </c:ext>
            </c:extLst>
          </c:dPt>
          <c:dPt>
            <c:idx val="1"/>
            <c:marker>
              <c:symbol val="diamond"/>
              <c:size val="8"/>
              <c:spPr>
                <a:solidFill>
                  <a:srgbClr val="66FFFF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5-30DC-4976-9F68-111A5581A200}"/>
              </c:ext>
            </c:extLst>
          </c:dPt>
          <c:dPt>
            <c:idx val="2"/>
            <c:marker>
              <c:symbol val="triangle"/>
              <c:size val="7"/>
              <c:spPr>
                <a:solidFill>
                  <a:srgbClr val="99CC00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30DC-4976-9F68-111A5581A200}"/>
              </c:ext>
            </c:extLst>
          </c:dPt>
          <c:dPt>
            <c:idx val="3"/>
            <c:marker>
              <c:symbol val="circle"/>
              <c:size val="7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7-30DC-4976-9F68-111A5581A200}"/>
              </c:ext>
            </c:extLst>
          </c:dPt>
          <c:dLbls>
            <c:dLbl>
              <c:idx val="0"/>
              <c:layout>
                <c:manualLayout>
                  <c:x val="-2.1948472593447083E-2"/>
                  <c:y val="-0.1308271559621612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30DC-4976-9F68-111A5581A200}"/>
                </c:ext>
              </c:extLst>
            </c:dLbl>
            <c:dLbl>
              <c:idx val="1"/>
              <c:layout>
                <c:manualLayout>
                  <c:x val="-4.316926104000645E-2"/>
                  <c:y val="-0.10083942775197609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30DC-4976-9F68-111A5581A200}"/>
                </c:ext>
              </c:extLst>
            </c:dLbl>
            <c:dLbl>
              <c:idx val="2"/>
              <c:layout>
                <c:manualLayout>
                  <c:x val="2.2033844614384693E-2"/>
                  <c:y val="-8.14444783167272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30DC-4976-9F68-111A5581A200}"/>
                </c:ext>
              </c:extLst>
            </c:dLbl>
            <c:dLbl>
              <c:idx val="3"/>
              <c:layout>
                <c:manualLayout>
                  <c:x val="-9.7366789879461454E-3"/>
                  <c:y val="-0.116012352668531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30DC-4976-9F68-111A5581A2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gency FB" panose="020B0503020202020204" pitchFamily="34" charset="0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5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5843458717123628E-2"/>
                  <c:y val="-0.18809861915145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'30.'!$O$3:$O$6</c:f>
              <c:numCache>
                <c:formatCode>0%</c:formatCode>
                <c:ptCount val="4"/>
                <c:pt idx="0">
                  <c:v>0.19</c:v>
                </c:pt>
                <c:pt idx="1">
                  <c:v>0.09</c:v>
                </c:pt>
                <c:pt idx="2" formatCode="0.00%">
                  <c:v>0.40824324324324324</c:v>
                </c:pt>
                <c:pt idx="3">
                  <c:v>0</c:v>
                </c:pt>
              </c:numCache>
            </c:numRef>
          </c:xVal>
          <c:yVal>
            <c:numRef>
              <c:f>'30.'!$N$3:$N$6</c:f>
              <c:numCache>
                <c:formatCode>0.00%</c:formatCode>
                <c:ptCount val="4"/>
                <c:pt idx="0" formatCode="0.0%">
                  <c:v>0.115</c:v>
                </c:pt>
                <c:pt idx="1">
                  <c:v>7.6052631578947372E-2</c:v>
                </c:pt>
                <c:pt idx="2" formatCode="0%">
                  <c:v>0.2</c:v>
                </c:pt>
                <c:pt idx="3" formatCode="0.0%">
                  <c:v>4.1000000000000002E-2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D9-42EC-BA97-84F34972A4B8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547410432"/>
        <c:axId val="547398784"/>
      </c:scatterChart>
      <c:valAx>
        <c:axId val="547410432"/>
        <c:scaling>
          <c:orientation val="minMax"/>
          <c:max val="0.45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98784"/>
        <c:crosses val="autoZero"/>
        <c:crossBetween val="midCat"/>
        <c:majorUnit val="5.000000000000001E-2"/>
      </c:valAx>
      <c:valAx>
        <c:axId val="547398784"/>
        <c:scaling>
          <c:orientation val="minMax"/>
          <c:max val="0.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410432"/>
        <c:crosses val="autoZero"/>
        <c:crossBetween val="midCat"/>
        <c:majorUnit val="5.000000000000001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2700" cap="flat" cmpd="sng" algn="ctr">
                <a:solidFill>
                  <a:srgbClr val="00FF00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rgbClr val="00FF00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314757217847769"/>
                  <c:y val="-0.1578240740740740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0.079x + </a:t>
                    </a:r>
                    <a:r>
                      <a:rPr lang="en-US" baseline="0">
                        <a:solidFill>
                          <a:srgbClr val="00FF00"/>
                        </a:solidFill>
                      </a:rPr>
                      <a:t>0.034</a:t>
                    </a:r>
                    <a:endParaRPr lang="en-US">
                      <a:solidFill>
                        <a:srgbClr val="00FF00"/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('34.'!$B$2:$B$3,'34.'!$B$6:$B$7)</c:f>
              <c:numCache>
                <c:formatCode>0.00</c:formatCode>
                <c:ptCount val="4"/>
                <c:pt idx="0">
                  <c:v>1.25</c:v>
                </c:pt>
                <c:pt idx="1">
                  <c:v>0.85</c:v>
                </c:pt>
                <c:pt idx="2" formatCode="General">
                  <c:v>0</c:v>
                </c:pt>
                <c:pt idx="3" formatCode="General">
                  <c:v>1</c:v>
                </c:pt>
              </c:numCache>
            </c:numRef>
          </c:xVal>
          <c:yVal>
            <c:numRef>
              <c:f>('34.'!$C$2:$C$3,'34.'!$C$6:$C$7)</c:f>
              <c:numCache>
                <c:formatCode>0.0000</c:formatCode>
                <c:ptCount val="4"/>
                <c:pt idx="0">
                  <c:v>0.1328</c:v>
                </c:pt>
                <c:pt idx="1">
                  <c:v>0.1012</c:v>
                </c:pt>
                <c:pt idx="2" formatCode="0.0%">
                  <c:v>3.4000000000000002E-2</c:v>
                </c:pt>
                <c:pt idx="3" formatCode="0.00%">
                  <c:v>0.11305882352941177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6B0-4B86-88D9-4EC81258B0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988896"/>
        <c:axId val="1791975168"/>
      </c:scatterChart>
      <c:valAx>
        <c:axId val="17919888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75168"/>
        <c:crosses val="autoZero"/>
        <c:crossBetween val="midCat"/>
      </c:valAx>
      <c:valAx>
        <c:axId val="17919751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1988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 Narrow" panose="020B0606020202030204" pitchFamily="34" charset="0"/>
                <a:ea typeface="+mn-ea"/>
                <a:cs typeface="+mn-cs"/>
              </a:defRPr>
            </a:pPr>
            <a:r>
              <a:rPr lang="en-US" sz="1000" b="1">
                <a:latin typeface="Arial Narrow" panose="020B0606020202030204" pitchFamily="34" charset="0"/>
              </a:rPr>
              <a:t>Expected Return and Standard Deviation of Portfolio Return</a:t>
            </a:r>
            <a:r>
              <a:rPr lang="en-US" sz="1000" b="1" baseline="0">
                <a:latin typeface="Arial Narrow" panose="020B0606020202030204" pitchFamily="34" charset="0"/>
              </a:rPr>
              <a:t> </a:t>
            </a:r>
            <a:r>
              <a:rPr lang="en-US" sz="1000" b="1">
                <a:latin typeface="Arial Narrow" panose="020B0606020202030204" pitchFamily="34" charset="0"/>
              </a:rPr>
              <a:t>Showing Efficient Frontier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Narrow" panose="020B060602020203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'38.'!$L$3:$L$13</c:f>
              <c:numCache>
                <c:formatCode>0.00%</c:formatCode>
                <c:ptCount val="11"/>
                <c:pt idx="0">
                  <c:v>0.77</c:v>
                </c:pt>
                <c:pt idx="1">
                  <c:v>0.69434141457931198</c:v>
                </c:pt>
                <c:pt idx="2">
                  <c:v>0.62169124169478218</c:v>
                </c:pt>
                <c:pt idx="3">
                  <c:v>0.55323593520305603</c:v>
                </c:pt>
                <c:pt idx="4">
                  <c:v>0.49073414391093678</c:v>
                </c:pt>
                <c:pt idx="5">
                  <c:v>0.43674935603844911</c:v>
                </c:pt>
                <c:pt idx="6">
                  <c:v>0.39479108399253393</c:v>
                </c:pt>
                <c:pt idx="7">
                  <c:v>0.36236939858060307</c:v>
                </c:pt>
                <c:pt idx="8">
                  <c:v>0.36279470778940526</c:v>
                </c:pt>
                <c:pt idx="9">
                  <c:v>0.37718695629621124</c:v>
                </c:pt>
                <c:pt idx="10">
                  <c:v>0.41</c:v>
                </c:pt>
              </c:numCache>
            </c:numRef>
          </c:xVal>
          <c:yVal>
            <c:numRef>
              <c:f>'38.'!$M$3:$M$13</c:f>
              <c:numCache>
                <c:formatCode>0.00%</c:formatCode>
                <c:ptCount val="11"/>
                <c:pt idx="0">
                  <c:v>0.16</c:v>
                </c:pt>
                <c:pt idx="1">
                  <c:v>0.15400000000000003</c:v>
                </c:pt>
                <c:pt idx="2">
                  <c:v>0.14800000000000002</c:v>
                </c:pt>
                <c:pt idx="3">
                  <c:v>0.14199999999999999</c:v>
                </c:pt>
                <c:pt idx="4">
                  <c:v>0.13600000000000001</c:v>
                </c:pt>
                <c:pt idx="5">
                  <c:v>0.13</c:v>
                </c:pt>
                <c:pt idx="6">
                  <c:v>0.124</c:v>
                </c:pt>
                <c:pt idx="7">
                  <c:v>0.1132094861660079</c:v>
                </c:pt>
                <c:pt idx="8">
                  <c:v>0.11200000000000002</c:v>
                </c:pt>
                <c:pt idx="9">
                  <c:v>0.10600000000000001</c:v>
                </c:pt>
                <c:pt idx="10">
                  <c:v>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DA-4AAA-BC39-D010370891C8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square"/>
            <c:size val="7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dLbls>
            <c:dLbl>
              <c:idx val="7"/>
              <c:layout>
                <c:manualLayout>
                  <c:x val="-0.2690346131161872"/>
                  <c:y val="-6.970181162509138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1-C3FF-41EA-8C8B-84859C8A4FE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'38.'!$L$3:$L$13</c:f>
              <c:numCache>
                <c:formatCode>0.00%</c:formatCode>
                <c:ptCount val="11"/>
                <c:pt idx="0">
                  <c:v>0.77</c:v>
                </c:pt>
                <c:pt idx="1">
                  <c:v>0.69434141457931198</c:v>
                </c:pt>
                <c:pt idx="2">
                  <c:v>0.62169124169478218</c:v>
                </c:pt>
                <c:pt idx="3">
                  <c:v>0.55323593520305603</c:v>
                </c:pt>
                <c:pt idx="4">
                  <c:v>0.49073414391093678</c:v>
                </c:pt>
                <c:pt idx="5">
                  <c:v>0.43674935603844911</c:v>
                </c:pt>
                <c:pt idx="6">
                  <c:v>0.39479108399253393</c:v>
                </c:pt>
                <c:pt idx="7">
                  <c:v>0.36236939858060307</c:v>
                </c:pt>
                <c:pt idx="8">
                  <c:v>0.36279470778940526</c:v>
                </c:pt>
                <c:pt idx="9">
                  <c:v>0.37718695629621124</c:v>
                </c:pt>
                <c:pt idx="10">
                  <c:v>0.41</c:v>
                </c:pt>
              </c:numCache>
            </c:numRef>
          </c:xVal>
          <c:yVal>
            <c:numRef>
              <c:f>'38.'!$N$3:$N$13</c:f>
              <c:numCache>
                <c:formatCode>0.00%</c:formatCode>
                <c:ptCount val="11"/>
                <c:pt idx="0">
                  <c:v>0.16</c:v>
                </c:pt>
                <c:pt idx="1">
                  <c:v>0.15400000000000003</c:v>
                </c:pt>
                <c:pt idx="2">
                  <c:v>0.14800000000000002</c:v>
                </c:pt>
                <c:pt idx="3">
                  <c:v>0.14199999999999999</c:v>
                </c:pt>
                <c:pt idx="4">
                  <c:v>0.13600000000000001</c:v>
                </c:pt>
                <c:pt idx="5">
                  <c:v>0.13</c:v>
                </c:pt>
                <c:pt idx="6">
                  <c:v>0.124</c:v>
                </c:pt>
                <c:pt idx="7">
                  <c:v>0.1132094861660079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BDA-4AAA-BC39-D010370891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963984"/>
        <c:axId val="12966064"/>
      </c:scatterChart>
      <c:valAx>
        <c:axId val="12963984"/>
        <c:scaling>
          <c:orientation val="minMax"/>
          <c:max val="0.8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+mn-cs"/>
                  </a:defRPr>
                </a:pPr>
                <a:r>
                  <a:rPr lang="en-US">
                    <a:latin typeface="Arial Narrow" panose="020B0606020202030204" pitchFamily="34" charset="0"/>
                  </a:rPr>
                  <a:t>Standard deviation of portfolio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6064"/>
        <c:crosses val="autoZero"/>
        <c:crossBetween val="midCat"/>
        <c:majorUnit val="0.1"/>
      </c:valAx>
      <c:valAx>
        <c:axId val="12966064"/>
        <c:scaling>
          <c:orientation val="minMax"/>
          <c:max val="0.1600000000000000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 Narrow" panose="020B060602020203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000">
                    <a:latin typeface="Arial Narrow" panose="020B0606020202030204" pitchFamily="34" charset="0"/>
                    <a:cs typeface="Arial" panose="020B0604020202020204" pitchFamily="34" charset="0"/>
                  </a:rPr>
                  <a:t>Expected portfolio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 Narrow" panose="020B060602020203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63984"/>
        <c:crosses val="autoZero"/>
        <c:crossBetween val="midCat"/>
        <c:majorUnit val="2.0000000000000004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Points on the Capital Market Line, CML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square"/>
            <c:size val="9"/>
            <c:spPr>
              <a:solidFill>
                <a:srgbClr val="FF6600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-0.12785800713915821"/>
                  <c:y val="-0.1244364252887912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AB75-4437-82CD-46D43F089E1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trendline>
            <c:spPr>
              <a:ln w="25400" cap="rnd">
                <a:solidFill>
                  <a:schemeClr val="tx1"/>
                </a:solidFill>
                <a:prstDash val="solid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flat" cmpd="sng" algn="ctr">
                <a:solidFill>
                  <a:schemeClr val="accent1"/>
                </a:solidFill>
                <a:prstDash val="solid"/>
                <a:miter lim="800000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0660476815398075"/>
                  <c:y val="-0.12800488480606592"/>
                </c:manualLayout>
              </c:layout>
              <c:numFmt formatCode="General" sourceLinked="0"/>
              <c:spPr>
                <a:noFill/>
                <a:ln>
                  <a:solidFill>
                    <a:schemeClr val="accent1"/>
                  </a:solidFill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gency FB" panose="020B0503020202020204" pitchFamily="34" charset="0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'38.'!$M$17:$M$37</c:f>
              <c:numCache>
                <c:formatCode>0.00%</c:formatCode>
                <c:ptCount val="21"/>
                <c:pt idx="0">
                  <c:v>0.7527248406716045</c:v>
                </c:pt>
                <c:pt idx="1">
                  <c:v>0.71508859863802421</c:v>
                </c:pt>
                <c:pt idx="2">
                  <c:v>0.67745235660444403</c:v>
                </c:pt>
                <c:pt idx="3">
                  <c:v>0.63981611457086385</c:v>
                </c:pt>
                <c:pt idx="4">
                  <c:v>0.60217987253728367</c:v>
                </c:pt>
                <c:pt idx="5">
                  <c:v>0.56454363050370338</c:v>
                </c:pt>
                <c:pt idx="6">
                  <c:v>0.52690738847012308</c:v>
                </c:pt>
                <c:pt idx="7">
                  <c:v>0.48927114643654285</c:v>
                </c:pt>
                <c:pt idx="8">
                  <c:v>0.45163490440296267</c:v>
                </c:pt>
                <c:pt idx="9">
                  <c:v>0.41399866236938249</c:v>
                </c:pt>
                <c:pt idx="10">
                  <c:v>0.37636242033580225</c:v>
                </c:pt>
                <c:pt idx="11">
                  <c:v>0.33872617830222201</c:v>
                </c:pt>
                <c:pt idx="12">
                  <c:v>0.30108993626864172</c:v>
                </c:pt>
                <c:pt idx="13">
                  <c:v>0.26345369423506154</c:v>
                </c:pt>
                <c:pt idx="14">
                  <c:v>0.22581745220148131</c:v>
                </c:pt>
                <c:pt idx="15">
                  <c:v>0.18818121016790113</c:v>
                </c:pt>
                <c:pt idx="16">
                  <c:v>0.15054496813432086</c:v>
                </c:pt>
                <c:pt idx="17">
                  <c:v>0.11290872610074061</c:v>
                </c:pt>
                <c:pt idx="18">
                  <c:v>7.5272484067160431E-2</c:v>
                </c:pt>
                <c:pt idx="19">
                  <c:v>3.7636242033580174E-2</c:v>
                </c:pt>
                <c:pt idx="20">
                  <c:v>0</c:v>
                </c:pt>
              </c:numCache>
            </c:numRef>
          </c:xVal>
          <c:yVal>
            <c:numRef>
              <c:f>'38.'!$N$17:$N$37</c:f>
              <c:numCache>
                <c:formatCode>0.00%</c:formatCode>
                <c:ptCount val="21"/>
                <c:pt idx="0">
                  <c:v>0.21975679049926025</c:v>
                </c:pt>
                <c:pt idx="1">
                  <c:v>0.20976895097429721</c:v>
                </c:pt>
                <c:pt idx="2">
                  <c:v>0.19978111144933422</c:v>
                </c:pt>
                <c:pt idx="3">
                  <c:v>0.1897932719243712</c:v>
                </c:pt>
                <c:pt idx="4">
                  <c:v>0.17980543239940822</c:v>
                </c:pt>
                <c:pt idx="5">
                  <c:v>0.16981759287444517</c:v>
                </c:pt>
                <c:pt idx="6">
                  <c:v>0.15982975334948216</c:v>
                </c:pt>
                <c:pt idx="7">
                  <c:v>0.14984191382451914</c:v>
                </c:pt>
                <c:pt idx="8">
                  <c:v>0.13985407429955615</c:v>
                </c:pt>
                <c:pt idx="9">
                  <c:v>0.12986623477459314</c:v>
                </c:pt>
                <c:pt idx="10">
                  <c:v>0.11987839524963013</c:v>
                </c:pt>
                <c:pt idx="11">
                  <c:v>0.10989055572466712</c:v>
                </c:pt>
                <c:pt idx="12">
                  <c:v>9.9902716199704089E-2</c:v>
                </c:pt>
                <c:pt idx="13">
                  <c:v>8.9914876674741087E-2</c:v>
                </c:pt>
                <c:pt idx="14">
                  <c:v>7.9927037149778071E-2</c:v>
                </c:pt>
                <c:pt idx="15">
                  <c:v>6.9939197624815069E-2</c:v>
                </c:pt>
                <c:pt idx="16">
                  <c:v>5.995135809985204E-2</c:v>
                </c:pt>
                <c:pt idx="17">
                  <c:v>4.9963518574889024E-2</c:v>
                </c:pt>
                <c:pt idx="18">
                  <c:v>3.9975679049926022E-2</c:v>
                </c:pt>
                <c:pt idx="19">
                  <c:v>2.9987839524962999E-2</c:v>
                </c:pt>
                <c:pt idx="20">
                  <c:v>0.02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71-4DAA-BAE7-80A4157D3B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621120"/>
        <c:axId val="550622368"/>
      </c:scatterChart>
      <c:valAx>
        <c:axId val="550621120"/>
        <c:scaling>
          <c:orientation val="minMax"/>
          <c:max val="0.8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Standard deviation of portfolio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22368"/>
        <c:crosses val="autoZero"/>
        <c:crossBetween val="midCat"/>
        <c:majorUnit val="0.1"/>
      </c:valAx>
      <c:valAx>
        <c:axId val="550622368"/>
        <c:scaling>
          <c:orientation val="minMax"/>
          <c:max val="0.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Expected portfolio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06211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Investment Opportunity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 JOB AT EAST COAST YACHTS'!$C$10:$C$21</c:f>
              <c:numCache>
                <c:formatCode>0.0000%</c:formatCode>
                <c:ptCount val="12"/>
                <c:pt idx="0">
                  <c:v>9.9600000000000008E-2</c:v>
                </c:pt>
                <c:pt idx="1">
                  <c:v>9.6380112367645654E-2</c:v>
                </c:pt>
                <c:pt idx="2">
                  <c:v>9.9519603295029277E-2</c:v>
                </c:pt>
                <c:pt idx="3">
                  <c:v>9.9599981486350575E-2</c:v>
                </c:pt>
                <c:pt idx="4">
                  <c:v>0.10846767324876107</c:v>
                </c:pt>
                <c:pt idx="5">
                  <c:v>0.12195236840668575</c:v>
                </c:pt>
                <c:pt idx="6">
                  <c:v>0.13865635037747098</c:v>
                </c:pt>
                <c:pt idx="7">
                  <c:v>0.1575590243686473</c:v>
                </c:pt>
                <c:pt idx="8">
                  <c:v>0.17796114221930584</c:v>
                </c:pt>
                <c:pt idx="9">
                  <c:v>0.19940298252533739</c:v>
                </c:pt>
                <c:pt idx="10">
                  <c:v>0.22158291915217654</c:v>
                </c:pt>
                <c:pt idx="11">
                  <c:v>0.24429999999999999</c:v>
                </c:pt>
              </c:numCache>
            </c:numRef>
          </c:xVal>
          <c:yVal>
            <c:numRef>
              <c:f>'A JOB AT EAST COAST YACHTS'!$B$10:$B$21</c:f>
              <c:numCache>
                <c:formatCode>0.00%</c:formatCode>
                <c:ptCount val="12"/>
                <c:pt idx="0">
                  <c:v>6.93E-2</c:v>
                </c:pt>
                <c:pt idx="1">
                  <c:v>7.4520000000000003E-2</c:v>
                </c:pt>
                <c:pt idx="2">
                  <c:v>7.9740000000000005E-2</c:v>
                </c:pt>
                <c:pt idx="3">
                  <c:v>7.9807047815275201E-2</c:v>
                </c:pt>
                <c:pt idx="4">
                  <c:v>8.4959999999999994E-2</c:v>
                </c:pt>
                <c:pt idx="5">
                  <c:v>9.018000000000001E-2</c:v>
                </c:pt>
                <c:pt idx="6">
                  <c:v>9.5399999999999999E-2</c:v>
                </c:pt>
                <c:pt idx="7">
                  <c:v>0.10061999999999999</c:v>
                </c:pt>
                <c:pt idx="8">
                  <c:v>0.10583999999999999</c:v>
                </c:pt>
                <c:pt idx="9">
                  <c:v>0.11106000000000001</c:v>
                </c:pt>
                <c:pt idx="10">
                  <c:v>0.11627999999999999</c:v>
                </c:pt>
                <c:pt idx="11">
                  <c:v>0.1215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C4-4264-BF19-E0DD7A72C58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2"/>
              <c:layout>
                <c:manualLayout>
                  <c:x val="-0.28550566173551911"/>
                  <c:y val="-6.9776242151031259E-2"/>
                </c:manualLayout>
              </c:layout>
              <c:tx>
                <c:rich>
                  <a:bodyPr rot="0" spcFirstLastPara="1" vertOverflow="clip" horzOverflow="clip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0" i="0" u="none" strike="noStrike" kern="1200" baseline="0">
                        <a:solidFill>
                          <a:schemeClr val="dk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Efficient frontier point</a:t>
                    </a:r>
                    <a:endParaRPr lang="en-US"/>
                  </a:p>
                </c:rich>
              </c:tx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  <c15:showDataLabelsRange val="0"/>
                </c:ext>
                <c:ext xmlns:c16="http://schemas.microsoft.com/office/drawing/2014/chart" uri="{C3380CC4-5D6E-409C-BE32-E72D297353CC}">
                  <c16:uniqueId val="{00000007-9BC4-4264-BF19-E0DD7A72C58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'A JOB AT EAST COAST YACHTS'!$C$10:$C$13</c:f>
              <c:numCache>
                <c:formatCode>0.0000%</c:formatCode>
                <c:ptCount val="4"/>
                <c:pt idx="0">
                  <c:v>9.9600000000000008E-2</c:v>
                </c:pt>
                <c:pt idx="1">
                  <c:v>9.6380112367645654E-2</c:v>
                </c:pt>
                <c:pt idx="2">
                  <c:v>9.9519603295029277E-2</c:v>
                </c:pt>
                <c:pt idx="3">
                  <c:v>9.9599981486350575E-2</c:v>
                </c:pt>
              </c:numCache>
            </c:numRef>
          </c:xVal>
          <c:yVal>
            <c:numRef>
              <c:f>'A JOB AT EAST COAST YACHTS'!$D$10:$D$13</c:f>
              <c:numCache>
                <c:formatCode>0.00%</c:formatCode>
                <c:ptCount val="4"/>
                <c:pt idx="0">
                  <c:v>6.93E-2</c:v>
                </c:pt>
                <c:pt idx="1">
                  <c:v>7.4520000000000003E-2</c:v>
                </c:pt>
                <c:pt idx="2">
                  <c:v>7.9740000000000005E-2</c:v>
                </c:pt>
                <c:pt idx="3">
                  <c:v>7.9807047815275201E-2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C4-4264-BF19-E0DD7A72C583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.11135318006488734"/>
                  <c:y val="3.052710594107616E-2"/>
                </c:manualLayout>
              </c:layout>
              <c:tx>
                <c:rich>
                  <a:bodyPr/>
                  <a:lstStyle/>
                  <a:p>
                    <a:r>
                      <a:rPr lang="en-US" sz="900" b="0" i="0" u="none" strike="noStrike" baseline="0"/>
                      <a:t>The minimum variance portfolio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6-9BC4-4264-BF19-E0DD7A72C58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'A JOB AT EAST COAST YACHTS'!$K$4</c:f>
              <c:numCache>
                <c:formatCode>0.0000%</c:formatCode>
                <c:ptCount val="1"/>
                <c:pt idx="0">
                  <c:v>9.6379978997474691E-2</c:v>
                </c:pt>
              </c:numCache>
            </c:numRef>
          </c:xVal>
          <c:yVal>
            <c:numRef>
              <c:f>'A JOB AT EAST COAST YACHTS'!$K$3</c:f>
              <c:numCache>
                <c:formatCode>0.0000%</c:formatCode>
                <c:ptCount val="1"/>
                <c:pt idx="0">
                  <c:v>7.4553531532094458E-2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BC4-4264-BF19-E0DD7A72C583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0.16888023759001095"/>
                  <c:y val="-0.2354948172597304"/>
                </c:manualLayout>
              </c:layout>
              <c:tx>
                <c:rich>
                  <a:bodyPr/>
                  <a:lstStyle/>
                  <a:p>
                    <a:r>
                      <a:rPr lang="en-US" sz="900" b="0" i="0" u="none" strike="noStrike" baseline="0"/>
                      <a:t>Sharpe optimal portfolio</a:t>
                    </a:r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howDataLabelsRange val="0"/>
                </c:ext>
                <c:ext xmlns:c16="http://schemas.microsoft.com/office/drawing/2014/chart" uri="{C3380CC4-5D6E-409C-BE32-E72D297353CC}">
                  <c16:uniqueId val="{00000009-9BC4-4264-BF19-E0DD7A72C583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'A JOB AT EAST COAST YACHTS'!$K$7</c:f>
              <c:numCache>
                <c:formatCode>0.00%</c:formatCode>
                <c:ptCount val="1"/>
                <c:pt idx="0">
                  <c:v>0.10664497851915698</c:v>
                </c:pt>
              </c:numCache>
            </c:numRef>
          </c:xVal>
          <c:yVal>
            <c:numRef>
              <c:f>'A JOB AT EAST COAST YACHTS'!$K$6</c:f>
              <c:numCache>
                <c:formatCode>0.00%</c:formatCode>
                <c:ptCount val="1"/>
                <c:pt idx="0">
                  <c:v>8.4100606329437111E-2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9BC4-4264-BF19-E0DD7A72C5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6062336"/>
        <c:axId val="2056063584"/>
      </c:scatterChart>
      <c:valAx>
        <c:axId val="2056062336"/>
        <c:scaling>
          <c:orientation val="minMax"/>
          <c:max val="0.2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Standard Deviation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63584"/>
        <c:crosses val="autoZero"/>
        <c:crossBetween val="midCat"/>
        <c:majorUnit val="2.0000000000000004E-2"/>
      </c:valAx>
      <c:valAx>
        <c:axId val="2056063584"/>
        <c:scaling>
          <c:orientation val="minMax"/>
          <c:max val="0.14000000000000001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Portfolio Expected Return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out"/>
        <c:minorTickMark val="none"/>
        <c:tickLblPos val="nextTo"/>
        <c:spPr>
          <a:noFill/>
          <a:ln w="6350" cap="flat" cmpd="sng" algn="ctr">
            <a:solidFill>
              <a:schemeClr val="dk1"/>
            </a:solidFill>
            <a:prstDash val="solid"/>
            <a:miter lim="800000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06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0</xdr:row>
      <xdr:rowOff>29308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BC0F0D-1FEB-4C7C-81A9-A653A528283E}"/>
                </a:ext>
              </a:extLst>
            </xdr:cNvPr>
            <xdr:cNvSpPr txBox="1"/>
          </xdr:nvSpPr>
          <xdr:spPr>
            <a:xfrm>
              <a:off x="13188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BC0F0D-1FEB-4C7C-81A9-A653A528283E}"/>
                </a:ext>
              </a:extLst>
            </xdr:cNvPr>
            <xdr:cNvSpPr txBox="1"/>
          </xdr:nvSpPr>
          <xdr:spPr>
            <a:xfrm>
              <a:off x="13188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0</xdr:row>
      <xdr:rowOff>29308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1A407E-27DF-4768-9554-127E7B9D21AA}"/>
                </a:ext>
              </a:extLst>
            </xdr:cNvPr>
            <xdr:cNvSpPr txBox="1"/>
          </xdr:nvSpPr>
          <xdr:spPr>
            <a:xfrm>
              <a:off x="13188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1A407E-27DF-4768-9554-127E7B9D21AA}"/>
                </a:ext>
              </a:extLst>
            </xdr:cNvPr>
            <xdr:cNvSpPr txBox="1"/>
          </xdr:nvSpPr>
          <xdr:spPr>
            <a:xfrm>
              <a:off x="13188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0</xdr:row>
      <xdr:rowOff>29308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5E1DA0-0109-4D94-866D-C022F9A429EF}"/>
                </a:ext>
              </a:extLst>
            </xdr:cNvPr>
            <xdr:cNvSpPr txBox="1"/>
          </xdr:nvSpPr>
          <xdr:spPr>
            <a:xfrm>
              <a:off x="13188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75E1DA0-0109-4D94-866D-C022F9A429EF}"/>
                </a:ext>
              </a:extLst>
            </xdr:cNvPr>
            <xdr:cNvSpPr txBox="1"/>
          </xdr:nvSpPr>
          <xdr:spPr>
            <a:xfrm>
              <a:off x="13188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112007</xdr:colOff>
      <xdr:row>5</xdr:row>
      <xdr:rowOff>14399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BE46EB-4BE9-4D41-8270-D157ADAAD552}"/>
                </a:ext>
              </a:extLst>
            </xdr:cNvPr>
            <xdr:cNvSpPr txBox="1"/>
          </xdr:nvSpPr>
          <xdr:spPr>
            <a:xfrm>
              <a:off x="112007" y="116236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ABE46EB-4BE9-4D41-8270-D157ADAAD552}"/>
                </a:ext>
              </a:extLst>
            </xdr:cNvPr>
            <xdr:cNvSpPr txBox="1"/>
          </xdr:nvSpPr>
          <xdr:spPr>
            <a:xfrm>
              <a:off x="112007" y="116236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121947</xdr:colOff>
      <xdr:row>5</xdr:row>
      <xdr:rowOff>198274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FAF34E-531D-4877-87D5-6C8755DEAD38}"/>
                </a:ext>
              </a:extLst>
            </xdr:cNvPr>
            <xdr:cNvSpPr txBox="1"/>
          </xdr:nvSpPr>
          <xdr:spPr>
            <a:xfrm>
              <a:off x="121947" y="134624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BEFAF34E-531D-4877-87D5-6C8755DEAD38}"/>
                </a:ext>
              </a:extLst>
            </xdr:cNvPr>
            <xdr:cNvSpPr txBox="1"/>
          </xdr:nvSpPr>
          <xdr:spPr>
            <a:xfrm>
              <a:off x="121947" y="134624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201705</xdr:rowOff>
    </xdr:from>
    <xdr:ext cx="350960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CE59836-7CB1-491A-8242-FC609866D293}"/>
                </a:ext>
              </a:extLst>
            </xdr:cNvPr>
            <xdr:cNvSpPr txBox="1"/>
          </xdr:nvSpPr>
          <xdr:spPr>
            <a:xfrm>
              <a:off x="0" y="1608844"/>
              <a:ext cx="35096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1CE59836-7CB1-491A-8242-FC609866D293}"/>
                </a:ext>
              </a:extLst>
            </xdr:cNvPr>
            <xdr:cNvSpPr txBox="1"/>
          </xdr:nvSpPr>
          <xdr:spPr>
            <a:xfrm>
              <a:off x="0" y="1608844"/>
              <a:ext cx="35096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𝐴^2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180969</xdr:colOff>
      <xdr:row>7</xdr:row>
      <xdr:rowOff>7891</xdr:rowOff>
    </xdr:from>
    <xdr:ext cx="417634" cy="17806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1FBB0A8-05E2-490D-8170-B8B4E6FB6A1D}"/>
                </a:ext>
              </a:extLst>
            </xdr:cNvPr>
            <xdr:cNvSpPr txBox="1"/>
          </xdr:nvSpPr>
          <xdr:spPr>
            <a:xfrm>
              <a:off x="180969" y="1553426"/>
              <a:ext cx="417634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1FBB0A8-05E2-490D-8170-B8B4E6FB6A1D}"/>
                </a:ext>
              </a:extLst>
            </xdr:cNvPr>
            <xdr:cNvSpPr txBox="1"/>
          </xdr:nvSpPr>
          <xdr:spPr>
            <a:xfrm>
              <a:off x="180969" y="1553426"/>
              <a:ext cx="417634" cy="17806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𝐵^2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365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03B60F3-0110-42D7-90CC-4DAF1FBC2909}"/>
                </a:ext>
              </a:extLst>
            </xdr:cNvPr>
            <xdr:cNvSpPr txBox="1"/>
          </xdr:nvSpPr>
          <xdr:spPr>
            <a:xfrm>
              <a:off x="0" y="1810551"/>
              <a:ext cx="365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03B60F3-0110-42D7-90CC-4DAF1FBC2909}"/>
                </a:ext>
              </a:extLst>
            </xdr:cNvPr>
            <xdr:cNvSpPr txBox="1"/>
          </xdr:nvSpPr>
          <xdr:spPr>
            <a:xfrm>
              <a:off x="0" y="1810551"/>
              <a:ext cx="365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252742</xdr:colOff>
      <xdr:row>8</xdr:row>
      <xdr:rowOff>0</xdr:rowOff>
    </xdr:from>
    <xdr:ext cx="365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D3B562A-A9A3-49AF-9A1F-BADC6AC05B50}"/>
                </a:ext>
              </a:extLst>
            </xdr:cNvPr>
            <xdr:cNvSpPr txBox="1"/>
          </xdr:nvSpPr>
          <xdr:spPr>
            <a:xfrm>
              <a:off x="252742" y="1810551"/>
              <a:ext cx="365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BD3B562A-A9A3-49AF-9A1F-BADC6AC05B50}"/>
                </a:ext>
              </a:extLst>
            </xdr:cNvPr>
            <xdr:cNvSpPr txBox="1"/>
          </xdr:nvSpPr>
          <xdr:spPr>
            <a:xfrm>
              <a:off x="252742" y="1810551"/>
              <a:ext cx="365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117478</xdr:colOff>
      <xdr:row>5</xdr:row>
      <xdr:rowOff>19703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378ACB-B4E8-43B7-87EB-9E35C74F05B7}"/>
                </a:ext>
              </a:extLst>
            </xdr:cNvPr>
            <xdr:cNvSpPr txBox="1"/>
          </xdr:nvSpPr>
          <xdr:spPr>
            <a:xfrm>
              <a:off x="117478" y="1033035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4378ACB-B4E8-43B7-87EB-9E35C74F05B7}"/>
                </a:ext>
              </a:extLst>
            </xdr:cNvPr>
            <xdr:cNvSpPr txBox="1"/>
          </xdr:nvSpPr>
          <xdr:spPr>
            <a:xfrm>
              <a:off x="117478" y="1033035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350960" cy="1784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BA624F2-26F0-43B5-9A5C-166661AABDA3}"/>
                </a:ext>
              </a:extLst>
            </xdr:cNvPr>
            <xdr:cNvSpPr txBox="1"/>
          </xdr:nvSpPr>
          <xdr:spPr>
            <a:xfrm>
              <a:off x="0" y="1600200"/>
              <a:ext cx="35096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  <m:sup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DBA624F2-26F0-43B5-9A5C-166661AABDA3}"/>
                </a:ext>
              </a:extLst>
            </xdr:cNvPr>
            <xdr:cNvSpPr txBox="1"/>
          </xdr:nvSpPr>
          <xdr:spPr>
            <a:xfrm>
              <a:off x="0" y="1600200"/>
              <a:ext cx="350960" cy="1784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𝐴^2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3656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A129E2F-E338-4783-B7F3-09D0B4134A94}"/>
                </a:ext>
              </a:extLst>
            </xdr:cNvPr>
            <xdr:cNvSpPr txBox="1"/>
          </xdr:nvSpPr>
          <xdr:spPr>
            <a:xfrm>
              <a:off x="0" y="1416744"/>
              <a:ext cx="365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8A129E2F-E338-4783-B7F3-09D0B4134A94}"/>
                </a:ext>
              </a:extLst>
            </xdr:cNvPr>
            <xdr:cNvSpPr txBox="1"/>
          </xdr:nvSpPr>
          <xdr:spPr>
            <a:xfrm>
              <a:off x="0" y="1416744"/>
              <a:ext cx="3656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σ</a:t>
              </a:r>
              <a:r>
                <a:rPr lang="en-US" sz="110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0</xdr:row>
      <xdr:rowOff>9430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E9D3BBC-3B08-4FF8-949B-FDBB05662544}"/>
                </a:ext>
              </a:extLst>
            </xdr:cNvPr>
            <xdr:cNvSpPr txBox="1"/>
          </xdr:nvSpPr>
          <xdr:spPr>
            <a:xfrm>
              <a:off x="131886" y="9430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4E9D3BBC-3B08-4FF8-949B-FDBB05662544}"/>
                </a:ext>
              </a:extLst>
            </xdr:cNvPr>
            <xdr:cNvSpPr txBox="1"/>
          </xdr:nvSpPr>
          <xdr:spPr>
            <a:xfrm>
              <a:off x="131886" y="9430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87923</xdr:colOff>
      <xdr:row>1</xdr:row>
      <xdr:rowOff>87923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CFB9B00-1FC0-4F91-8291-082F23DA47AA}"/>
                </a:ext>
              </a:extLst>
            </xdr:cNvPr>
            <xdr:cNvSpPr txBox="1"/>
          </xdr:nvSpPr>
          <xdr:spPr>
            <a:xfrm>
              <a:off x="4769827" y="28575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CFB9B00-1FC0-4F91-8291-082F23DA47AA}"/>
                </a:ext>
              </a:extLst>
            </xdr:cNvPr>
            <xdr:cNvSpPr txBox="1"/>
          </xdr:nvSpPr>
          <xdr:spPr>
            <a:xfrm>
              <a:off x="4769827" y="28575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118568</xdr:colOff>
      <xdr:row>1</xdr:row>
      <xdr:rowOff>124558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8FBA492-D6D7-4F8E-B9A4-C261DBC3E0D3}"/>
                </a:ext>
              </a:extLst>
            </xdr:cNvPr>
            <xdr:cNvSpPr txBox="1"/>
          </xdr:nvSpPr>
          <xdr:spPr>
            <a:xfrm>
              <a:off x="3845742" y="323341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8FBA492-D6D7-4F8E-B9A4-C261DBC3E0D3}"/>
                </a:ext>
              </a:extLst>
            </xdr:cNvPr>
            <xdr:cNvSpPr txBox="1"/>
          </xdr:nvSpPr>
          <xdr:spPr>
            <a:xfrm>
              <a:off x="3845742" y="323341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87923</xdr:colOff>
      <xdr:row>1</xdr:row>
      <xdr:rowOff>87923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7DB1087-3E06-4FC1-AF01-0A1DC95A41E7}"/>
                </a:ext>
              </a:extLst>
            </xdr:cNvPr>
            <xdr:cNvSpPr txBox="1"/>
          </xdr:nvSpPr>
          <xdr:spPr>
            <a:xfrm>
              <a:off x="4769827" y="28575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77DB1087-3E06-4FC1-AF01-0A1DC95A41E7}"/>
                </a:ext>
              </a:extLst>
            </xdr:cNvPr>
            <xdr:cNvSpPr txBox="1"/>
          </xdr:nvSpPr>
          <xdr:spPr>
            <a:xfrm>
              <a:off x="4769827" y="28575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128507</xdr:colOff>
      <xdr:row>1</xdr:row>
      <xdr:rowOff>114619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D68EDDF-2CD8-4606-9A1A-99341381C256}"/>
                </a:ext>
              </a:extLst>
            </xdr:cNvPr>
            <xdr:cNvSpPr txBox="1"/>
          </xdr:nvSpPr>
          <xdr:spPr>
            <a:xfrm>
              <a:off x="4829716" y="313402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D68EDDF-2CD8-4606-9A1A-99341381C256}"/>
                </a:ext>
              </a:extLst>
            </xdr:cNvPr>
            <xdr:cNvSpPr txBox="1"/>
          </xdr:nvSpPr>
          <xdr:spPr>
            <a:xfrm>
              <a:off x="4829716" y="313402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103310</xdr:colOff>
      <xdr:row>1</xdr:row>
      <xdr:rowOff>88655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78B870-34EC-4F26-B54C-EB912BA23B23}"/>
                </a:ext>
              </a:extLst>
            </xdr:cNvPr>
            <xdr:cNvSpPr txBox="1"/>
          </xdr:nvSpPr>
          <xdr:spPr>
            <a:xfrm>
              <a:off x="7071214" y="286482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78B870-34EC-4F26-B54C-EB912BA23B23}"/>
                </a:ext>
              </a:extLst>
            </xdr:cNvPr>
            <xdr:cNvSpPr txBox="1"/>
          </xdr:nvSpPr>
          <xdr:spPr>
            <a:xfrm>
              <a:off x="7071214" y="286482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161192</xdr:colOff>
      <xdr:row>0</xdr:row>
      <xdr:rowOff>395654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85CC9EC-F319-4AAD-A8AF-CE107C920C67}"/>
                </a:ext>
              </a:extLst>
            </xdr:cNvPr>
            <xdr:cNvSpPr txBox="1"/>
          </xdr:nvSpPr>
          <xdr:spPr>
            <a:xfrm>
              <a:off x="4132384" y="395654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85CC9EC-F319-4AAD-A8AF-CE107C920C67}"/>
                </a:ext>
              </a:extLst>
            </xdr:cNvPr>
            <xdr:cNvSpPr txBox="1"/>
          </xdr:nvSpPr>
          <xdr:spPr>
            <a:xfrm>
              <a:off x="4132384" y="395654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93721</xdr:colOff>
      <xdr:row>1</xdr:row>
      <xdr:rowOff>34022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20A3511-65E2-4F17-A825-12FC68E342AC}"/>
                </a:ext>
              </a:extLst>
            </xdr:cNvPr>
            <xdr:cNvSpPr txBox="1"/>
          </xdr:nvSpPr>
          <xdr:spPr>
            <a:xfrm>
              <a:off x="3651930" y="421648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20A3511-65E2-4F17-A825-12FC68E342AC}"/>
                </a:ext>
              </a:extLst>
            </xdr:cNvPr>
            <xdr:cNvSpPr txBox="1"/>
          </xdr:nvSpPr>
          <xdr:spPr>
            <a:xfrm>
              <a:off x="3651930" y="421648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110637</xdr:colOff>
      <xdr:row>0</xdr:row>
      <xdr:rowOff>389059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A0CF7E9-817F-41B1-B133-C164E90C2B86}"/>
                </a:ext>
              </a:extLst>
            </xdr:cNvPr>
            <xdr:cNvSpPr txBox="1"/>
          </xdr:nvSpPr>
          <xdr:spPr>
            <a:xfrm>
              <a:off x="5298099" y="38905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2A0CF7E9-817F-41B1-B133-C164E90C2B86}"/>
                </a:ext>
              </a:extLst>
            </xdr:cNvPr>
            <xdr:cNvSpPr txBox="1"/>
          </xdr:nvSpPr>
          <xdr:spPr>
            <a:xfrm>
              <a:off x="5298099" y="38905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161192</xdr:colOff>
      <xdr:row>0</xdr:row>
      <xdr:rowOff>395654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7E8CEAC-F973-43B0-8103-95340BC938F9}"/>
                </a:ext>
              </a:extLst>
            </xdr:cNvPr>
            <xdr:cNvSpPr txBox="1"/>
          </xdr:nvSpPr>
          <xdr:spPr>
            <a:xfrm>
              <a:off x="4132384" y="395654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7E8CEAC-F973-43B0-8103-95340BC938F9}"/>
                </a:ext>
              </a:extLst>
            </xdr:cNvPr>
            <xdr:cNvSpPr txBox="1"/>
          </xdr:nvSpPr>
          <xdr:spPr>
            <a:xfrm>
              <a:off x="4132384" y="395654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7208C4-06EB-4C5C-BA2F-C774C42FB390}"/>
                </a:ext>
              </a:extLst>
            </xdr:cNvPr>
            <xdr:cNvSpPr txBox="1"/>
          </xdr:nvSpPr>
          <xdr:spPr>
            <a:xfrm>
              <a:off x="0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87208C4-06EB-4C5C-BA2F-C774C42FB390}"/>
                </a:ext>
              </a:extLst>
            </xdr:cNvPr>
            <xdr:cNvSpPr txBox="1"/>
          </xdr:nvSpPr>
          <xdr:spPr>
            <a:xfrm>
              <a:off x="0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8D6F91-D635-4CE6-A99B-CFFAE214B64A}"/>
                </a:ext>
              </a:extLst>
            </xdr:cNvPr>
            <xdr:cNvSpPr txBox="1"/>
          </xdr:nvSpPr>
          <xdr:spPr>
            <a:xfrm>
              <a:off x="0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08D6F91-D635-4CE6-A99B-CFFAE214B64A}"/>
                </a:ext>
              </a:extLst>
            </xdr:cNvPr>
            <xdr:cNvSpPr txBox="1"/>
          </xdr:nvSpPr>
          <xdr:spPr>
            <a:xfrm>
              <a:off x="0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608134</xdr:colOff>
      <xdr:row>0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46744BD-6A88-4D8C-81FC-7FC42DA343BE}"/>
                </a:ext>
              </a:extLst>
            </xdr:cNvPr>
            <xdr:cNvSpPr txBox="1"/>
          </xdr:nvSpPr>
          <xdr:spPr>
            <a:xfrm>
              <a:off x="2432538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46744BD-6A88-4D8C-81FC-7FC42DA343BE}"/>
                </a:ext>
              </a:extLst>
            </xdr:cNvPr>
            <xdr:cNvSpPr txBox="1"/>
          </xdr:nvSpPr>
          <xdr:spPr>
            <a:xfrm>
              <a:off x="2432538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𝑆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88655</xdr:colOff>
      <xdr:row>0</xdr:row>
      <xdr:rowOff>15386</xdr:rowOff>
    </xdr:from>
    <xdr:ext cx="39492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089478-6E9E-4ADD-9465-2AAAB8D51882}"/>
                </a:ext>
              </a:extLst>
            </xdr:cNvPr>
            <xdr:cNvSpPr txBox="1"/>
          </xdr:nvSpPr>
          <xdr:spPr>
            <a:xfrm>
              <a:off x="88655" y="15386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7C089478-6E9E-4ADD-9465-2AAAB8D51882}"/>
                </a:ext>
              </a:extLst>
            </xdr:cNvPr>
            <xdr:cNvSpPr txBox="1"/>
          </xdr:nvSpPr>
          <xdr:spPr>
            <a:xfrm>
              <a:off x="88655" y="15386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74247</xdr:colOff>
      <xdr:row>0</xdr:row>
      <xdr:rowOff>58609</xdr:rowOff>
    </xdr:from>
    <xdr:ext cx="39492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E0081F-FB71-47E1-893A-9E111DB9ED3D}"/>
                </a:ext>
              </a:extLst>
            </xdr:cNvPr>
            <xdr:cNvSpPr txBox="1"/>
          </xdr:nvSpPr>
          <xdr:spPr>
            <a:xfrm>
              <a:off x="74247" y="58609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FE0081F-FB71-47E1-893A-9E111DB9ED3D}"/>
                </a:ext>
              </a:extLst>
            </xdr:cNvPr>
            <xdr:cNvSpPr txBox="1"/>
          </xdr:nvSpPr>
          <xdr:spPr>
            <a:xfrm>
              <a:off x="74247" y="58609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7810B1-615F-490F-97B6-0A281FB1DDCB}"/>
                </a:ext>
              </a:extLst>
            </xdr:cNvPr>
            <xdr:cNvSpPr txBox="1"/>
          </xdr:nvSpPr>
          <xdr:spPr>
            <a:xfrm>
              <a:off x="1844168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7810B1-615F-490F-97B6-0A281FB1DDCB}"/>
                </a:ext>
              </a:extLst>
            </xdr:cNvPr>
            <xdr:cNvSpPr txBox="1"/>
          </xdr:nvSpPr>
          <xdr:spPr>
            <a:xfrm>
              <a:off x="1844168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𝑆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88655</xdr:colOff>
      <xdr:row>0</xdr:row>
      <xdr:rowOff>15386</xdr:rowOff>
    </xdr:from>
    <xdr:ext cx="39492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4DD102-C322-48A7-8743-086E8177BC5C}"/>
                </a:ext>
              </a:extLst>
            </xdr:cNvPr>
            <xdr:cNvSpPr txBox="1"/>
          </xdr:nvSpPr>
          <xdr:spPr>
            <a:xfrm>
              <a:off x="88655" y="15386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2A4DD102-C322-48A7-8743-086E8177BC5C}"/>
                </a:ext>
              </a:extLst>
            </xdr:cNvPr>
            <xdr:cNvSpPr txBox="1"/>
          </xdr:nvSpPr>
          <xdr:spPr>
            <a:xfrm>
              <a:off x="88655" y="15386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88655</xdr:colOff>
      <xdr:row>0</xdr:row>
      <xdr:rowOff>15386</xdr:rowOff>
    </xdr:from>
    <xdr:ext cx="39492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1A02EA-B489-4122-8D3D-D892CFDF6451}"/>
                </a:ext>
              </a:extLst>
            </xdr:cNvPr>
            <xdr:cNvSpPr txBox="1"/>
          </xdr:nvSpPr>
          <xdr:spPr>
            <a:xfrm>
              <a:off x="88655" y="15386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941A02EA-B489-4122-8D3D-D892CFDF6451}"/>
                </a:ext>
              </a:extLst>
            </xdr:cNvPr>
            <xdr:cNvSpPr txBox="1"/>
          </xdr:nvSpPr>
          <xdr:spPr>
            <a:xfrm>
              <a:off x="88655" y="15386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200" b="0" i="0">
                  <a:latin typeface="Cambria Math" panose="02040503050406030204" pitchFamily="18" charset="0"/>
                </a:rPr>
                <a:t>𝑅_𝑀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83853</xdr:colOff>
      <xdr:row>0</xdr:row>
      <xdr:rowOff>68214</xdr:rowOff>
    </xdr:from>
    <xdr:ext cx="394921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EEE9696-5A18-4B6C-B4B9-2B9125DA82DE}"/>
                </a:ext>
              </a:extLst>
            </xdr:cNvPr>
            <xdr:cNvSpPr txBox="1"/>
          </xdr:nvSpPr>
          <xdr:spPr>
            <a:xfrm>
              <a:off x="83853" y="68214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2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2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8EEE9696-5A18-4B6C-B4B9-2B9125DA82DE}"/>
                </a:ext>
              </a:extLst>
            </xdr:cNvPr>
            <xdr:cNvSpPr txBox="1"/>
          </xdr:nvSpPr>
          <xdr:spPr>
            <a:xfrm>
              <a:off x="83853" y="68214"/>
              <a:ext cx="394921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2</xdr:col>
      <xdr:colOff>608134</xdr:colOff>
      <xdr:row>0</xdr:row>
      <xdr:rowOff>0</xdr:rowOff>
    </xdr:from>
    <xdr:ext cx="380268" cy="2330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6193266-F535-4833-94F7-4A0255329CBC}"/>
                </a:ext>
              </a:extLst>
            </xdr:cNvPr>
            <xdr:cNvSpPr txBox="1"/>
          </xdr:nvSpPr>
          <xdr:spPr>
            <a:xfrm>
              <a:off x="1824403" y="0"/>
              <a:ext cx="380268" cy="233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86193266-F535-4833-94F7-4A0255329CBC}"/>
                </a:ext>
              </a:extLst>
            </xdr:cNvPr>
            <xdr:cNvSpPr txBox="1"/>
          </xdr:nvSpPr>
          <xdr:spPr>
            <a:xfrm>
              <a:off x="1824403" y="0"/>
              <a:ext cx="380268" cy="233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𝑅_𝑓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80596</xdr:colOff>
      <xdr:row>0</xdr:row>
      <xdr:rowOff>36634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4857B4-2887-4E35-A234-167448DB6883}"/>
                </a:ext>
              </a:extLst>
            </xdr:cNvPr>
            <xdr:cNvSpPr txBox="1"/>
          </xdr:nvSpPr>
          <xdr:spPr>
            <a:xfrm>
              <a:off x="80596" y="36634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4857B4-2887-4E35-A234-167448DB6883}"/>
                </a:ext>
              </a:extLst>
            </xdr:cNvPr>
            <xdr:cNvSpPr txBox="1"/>
          </xdr:nvSpPr>
          <xdr:spPr>
            <a:xfrm>
              <a:off x="80596" y="36634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0</xdr:colOff>
      <xdr:row>1</xdr:row>
      <xdr:rowOff>37279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8FDB19-C897-409E-A6DE-0C28C9B21C73}"/>
                </a:ext>
              </a:extLst>
            </xdr:cNvPr>
            <xdr:cNvSpPr txBox="1"/>
          </xdr:nvSpPr>
          <xdr:spPr>
            <a:xfrm>
              <a:off x="0" y="235106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A38FDB19-C897-409E-A6DE-0C28C9B21C73}"/>
                </a:ext>
              </a:extLst>
            </xdr:cNvPr>
            <xdr:cNvSpPr txBox="1"/>
          </xdr:nvSpPr>
          <xdr:spPr>
            <a:xfrm>
              <a:off x="0" y="235106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0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BE69229-EAAB-474D-B302-74BD41B79813}"/>
                </a:ext>
              </a:extLst>
            </xdr:cNvPr>
            <xdr:cNvSpPr txBox="1"/>
          </xdr:nvSpPr>
          <xdr:spPr>
            <a:xfrm>
              <a:off x="1567962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BE69229-EAAB-474D-B302-74BD41B79813}"/>
                </a:ext>
              </a:extLst>
            </xdr:cNvPr>
            <xdr:cNvSpPr txBox="1"/>
          </xdr:nvSpPr>
          <xdr:spPr>
            <a:xfrm>
              <a:off x="1567962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𝑋_𝑆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1</xdr:row>
      <xdr:rowOff>0</xdr:rowOff>
    </xdr:from>
    <xdr:ext cx="380268" cy="2330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2670EA0-0E80-49A4-A95F-7182B24069BC}"/>
                </a:ext>
              </a:extLst>
            </xdr:cNvPr>
            <xdr:cNvSpPr txBox="1"/>
          </xdr:nvSpPr>
          <xdr:spPr>
            <a:xfrm>
              <a:off x="1567962" y="197827"/>
              <a:ext cx="380268" cy="233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𝑅𝑓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2670EA0-0E80-49A4-A95F-7182B24069BC}"/>
                </a:ext>
              </a:extLst>
            </xdr:cNvPr>
            <xdr:cNvSpPr txBox="1"/>
          </xdr:nvSpPr>
          <xdr:spPr>
            <a:xfrm>
              <a:off x="1567962" y="197827"/>
              <a:ext cx="380268" cy="233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𝑋_𝑅𝑓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80596</xdr:colOff>
      <xdr:row>2</xdr:row>
      <xdr:rowOff>36634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092F178-2A3B-462D-B686-D80D342687B2}"/>
                </a:ext>
              </a:extLst>
            </xdr:cNvPr>
            <xdr:cNvSpPr txBox="1"/>
          </xdr:nvSpPr>
          <xdr:spPr>
            <a:xfrm>
              <a:off x="80596" y="36634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F092F178-2A3B-462D-B686-D80D342687B2}"/>
                </a:ext>
              </a:extLst>
            </xdr:cNvPr>
            <xdr:cNvSpPr txBox="1"/>
          </xdr:nvSpPr>
          <xdr:spPr>
            <a:xfrm>
              <a:off x="80596" y="36634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2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776EDF4-0643-484A-99D6-9C0CF7B84C37}"/>
                </a:ext>
              </a:extLst>
            </xdr:cNvPr>
            <xdr:cNvSpPr txBox="1"/>
          </xdr:nvSpPr>
          <xdr:spPr>
            <a:xfrm>
              <a:off x="1567962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8776EDF4-0643-484A-99D6-9C0CF7B84C37}"/>
                </a:ext>
              </a:extLst>
            </xdr:cNvPr>
            <xdr:cNvSpPr txBox="1"/>
          </xdr:nvSpPr>
          <xdr:spPr>
            <a:xfrm>
              <a:off x="1567962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𝑋_𝑆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80596</xdr:colOff>
      <xdr:row>2</xdr:row>
      <xdr:rowOff>36634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B03B917-CD03-4DA9-B139-1A62DA623D3A}"/>
                </a:ext>
              </a:extLst>
            </xdr:cNvPr>
            <xdr:cNvSpPr txBox="1"/>
          </xdr:nvSpPr>
          <xdr:spPr>
            <a:xfrm>
              <a:off x="80596" y="36634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FB03B917-CD03-4DA9-B139-1A62DA623D3A}"/>
                </a:ext>
              </a:extLst>
            </xdr:cNvPr>
            <xdr:cNvSpPr txBox="1"/>
          </xdr:nvSpPr>
          <xdr:spPr>
            <a:xfrm>
              <a:off x="80596" y="36634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21981</xdr:colOff>
      <xdr:row>3</xdr:row>
      <xdr:rowOff>14654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9B00533-A65D-466F-9A98-FACF1B91BD89}"/>
                </a:ext>
              </a:extLst>
            </xdr:cNvPr>
            <xdr:cNvSpPr txBox="1"/>
          </xdr:nvSpPr>
          <xdr:spPr>
            <a:xfrm>
              <a:off x="21981" y="688731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9B00533-A65D-466F-9A98-FACF1B91BD89}"/>
                </a:ext>
              </a:extLst>
            </xdr:cNvPr>
            <xdr:cNvSpPr txBox="1"/>
          </xdr:nvSpPr>
          <xdr:spPr>
            <a:xfrm>
              <a:off x="21981" y="688731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29307</xdr:colOff>
      <xdr:row>4</xdr:row>
      <xdr:rowOff>59260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5647C37-6EF8-4662-8298-43F665654745}"/>
                </a:ext>
              </a:extLst>
            </xdr:cNvPr>
            <xdr:cNvSpPr txBox="1"/>
          </xdr:nvSpPr>
          <xdr:spPr>
            <a:xfrm>
              <a:off x="29307" y="931164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65647C37-6EF8-4662-8298-43F665654745}"/>
                </a:ext>
              </a:extLst>
            </xdr:cNvPr>
            <xdr:cNvSpPr txBox="1"/>
          </xdr:nvSpPr>
          <xdr:spPr>
            <a:xfrm>
              <a:off x="29307" y="931164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E1F5E43-C203-4C3D-AAAF-310A5C11BBBF}"/>
                </a:ext>
              </a:extLst>
            </xdr:cNvPr>
            <xdr:cNvSpPr txBox="1"/>
          </xdr:nvSpPr>
          <xdr:spPr>
            <a:xfrm>
              <a:off x="1648558" y="395654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6E1F5E43-C203-4C3D-AAAF-310A5C11BBBF}"/>
                </a:ext>
              </a:extLst>
            </xdr:cNvPr>
            <xdr:cNvSpPr txBox="1"/>
          </xdr:nvSpPr>
          <xdr:spPr>
            <a:xfrm>
              <a:off x="1648558" y="395654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𝑋_𝑆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3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1B434A7-B736-41D9-AAED-883E9B99B0D1}"/>
                </a:ext>
              </a:extLst>
            </xdr:cNvPr>
            <xdr:cNvSpPr txBox="1"/>
          </xdr:nvSpPr>
          <xdr:spPr>
            <a:xfrm>
              <a:off x="1648558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𝑆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51B434A7-B736-41D9-AAED-883E9B99B0D1}"/>
                </a:ext>
              </a:extLst>
            </xdr:cNvPr>
            <xdr:cNvSpPr txBox="1"/>
          </xdr:nvSpPr>
          <xdr:spPr>
            <a:xfrm>
              <a:off x="1648558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𝑋_𝑆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0</xdr:colOff>
      <xdr:row>4</xdr:row>
      <xdr:rowOff>0</xdr:rowOff>
    </xdr:from>
    <xdr:ext cx="380268" cy="2330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4930985-45B8-40BB-86A5-7F5A7CE8AAFE}"/>
                </a:ext>
              </a:extLst>
            </xdr:cNvPr>
            <xdr:cNvSpPr txBox="1"/>
          </xdr:nvSpPr>
          <xdr:spPr>
            <a:xfrm>
              <a:off x="1648558" y="197827"/>
              <a:ext cx="380268" cy="233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𝑅𝑓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24930985-45B8-40BB-86A5-7F5A7CE8AAFE}"/>
                </a:ext>
              </a:extLst>
            </xdr:cNvPr>
            <xdr:cNvSpPr txBox="1"/>
          </xdr:nvSpPr>
          <xdr:spPr>
            <a:xfrm>
              <a:off x="1648558" y="197827"/>
              <a:ext cx="380268" cy="233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𝑋_𝑅𝑓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102577</xdr:colOff>
      <xdr:row>9</xdr:row>
      <xdr:rowOff>29307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16A20B7-7B0B-4772-93AC-20A6652309E3}"/>
                </a:ext>
              </a:extLst>
            </xdr:cNvPr>
            <xdr:cNvSpPr txBox="1"/>
          </xdr:nvSpPr>
          <xdr:spPr>
            <a:xfrm>
              <a:off x="102577" y="2205403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𝑊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16A20B7-7B0B-4772-93AC-20A6652309E3}"/>
                </a:ext>
              </a:extLst>
            </xdr:cNvPr>
            <xdr:cNvSpPr txBox="1"/>
          </xdr:nvSpPr>
          <xdr:spPr>
            <a:xfrm>
              <a:off x="102577" y="2205403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𝑅_𝑊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3</xdr:col>
      <xdr:colOff>194165</xdr:colOff>
      <xdr:row>0</xdr:row>
      <xdr:rowOff>65943</xdr:rowOff>
    </xdr:from>
    <xdr:to>
      <xdr:col>10</xdr:col>
      <xdr:colOff>571500</xdr:colOff>
      <xdr:row>12</xdr:row>
      <xdr:rowOff>85725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9FD8D77-F83C-4A6B-933E-C6EECEBA36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163494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74FCA2B-2133-41A4-AE75-EE0CB1722A83}"/>
                </a:ext>
              </a:extLst>
            </xdr:cNvPr>
            <xdr:cNvSpPr txBox="1"/>
          </xdr:nvSpPr>
          <xdr:spPr>
            <a:xfrm>
              <a:off x="4537213" y="362277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074FCA2B-2133-41A4-AE75-EE0CB1722A83}"/>
                </a:ext>
              </a:extLst>
            </xdr:cNvPr>
            <xdr:cNvSpPr txBox="1"/>
          </xdr:nvSpPr>
          <xdr:spPr>
            <a:xfrm>
              <a:off x="4537213" y="362277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198082</xdr:colOff>
      <xdr:row>1</xdr:row>
      <xdr:rowOff>234462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F24D105-AA1E-4FBA-B62C-A5E5ED4971D7}"/>
                </a:ext>
              </a:extLst>
            </xdr:cNvPr>
            <xdr:cNvSpPr txBox="1"/>
          </xdr:nvSpPr>
          <xdr:spPr>
            <a:xfrm>
              <a:off x="5371400" y="433245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BF24D105-AA1E-4FBA-B62C-A5E5ED4971D7}"/>
                </a:ext>
              </a:extLst>
            </xdr:cNvPr>
            <xdr:cNvSpPr txBox="1"/>
          </xdr:nvSpPr>
          <xdr:spPr>
            <a:xfrm>
              <a:off x="5371400" y="433245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110638</xdr:colOff>
      <xdr:row>1</xdr:row>
      <xdr:rowOff>191232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B2901E9-41E8-4DFA-92C4-9E3FDE533CE9}"/>
                </a:ext>
              </a:extLst>
            </xdr:cNvPr>
            <xdr:cNvSpPr txBox="1"/>
          </xdr:nvSpPr>
          <xdr:spPr>
            <a:xfrm>
              <a:off x="5583850" y="38905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CB2901E9-41E8-4DFA-92C4-9E3FDE533CE9}"/>
                </a:ext>
              </a:extLst>
            </xdr:cNvPr>
            <xdr:cNvSpPr txBox="1"/>
          </xdr:nvSpPr>
          <xdr:spPr>
            <a:xfrm>
              <a:off x="5583850" y="38905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139211</xdr:colOff>
      <xdr:row>1</xdr:row>
      <xdr:rowOff>166322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FD0D336-CB99-42C2-8C9D-116D720A830F}"/>
                </a:ext>
              </a:extLst>
            </xdr:cNvPr>
            <xdr:cNvSpPr txBox="1"/>
          </xdr:nvSpPr>
          <xdr:spPr>
            <a:xfrm>
              <a:off x="6220557" y="364149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FFD0D336-CB99-42C2-8C9D-116D720A830F}"/>
                </a:ext>
              </a:extLst>
            </xdr:cNvPr>
            <xdr:cNvSpPr txBox="1"/>
          </xdr:nvSpPr>
          <xdr:spPr>
            <a:xfrm>
              <a:off x="6220557" y="364149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87922</xdr:colOff>
      <xdr:row>1</xdr:row>
      <xdr:rowOff>183173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0236F50-3D80-4761-89F7-E7ADF222B5F9}"/>
                </a:ext>
              </a:extLst>
            </xdr:cNvPr>
            <xdr:cNvSpPr txBox="1"/>
          </xdr:nvSpPr>
          <xdr:spPr>
            <a:xfrm>
              <a:off x="6777403" y="38100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10236F50-3D80-4761-89F7-E7ADF222B5F9}"/>
                </a:ext>
              </a:extLst>
            </xdr:cNvPr>
            <xdr:cNvSpPr txBox="1"/>
          </xdr:nvSpPr>
          <xdr:spPr>
            <a:xfrm>
              <a:off x="6777403" y="38100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i="0">
                  <a:latin typeface="Cambria Math" panose="02040503050406030204" pitchFamily="18" charset="0"/>
                </a:rPr>
                <a:t>〖</a:t>
              </a:r>
              <a:r>
                <a:rPr lang="en-US" sz="1400" b="0" i="0">
                  <a:latin typeface="Cambria Math" panose="02040503050406030204" pitchFamily="18" charset="0"/>
                </a:rPr>
                <a:t>𝑅𝑃〗_𝑖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</xdr:row>
      <xdr:rowOff>169164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D4B5053-BE34-44B5-A8DC-8BB6FA3901A2}"/>
                </a:ext>
              </a:extLst>
            </xdr:cNvPr>
            <xdr:cNvSpPr txBox="1"/>
          </xdr:nvSpPr>
          <xdr:spPr>
            <a:xfrm>
              <a:off x="0" y="1180279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D4B5053-BE34-44B5-A8DC-8BB6FA3901A2}"/>
                </a:ext>
              </a:extLst>
            </xdr:cNvPr>
            <xdr:cNvSpPr txBox="1"/>
          </xdr:nvSpPr>
          <xdr:spPr>
            <a:xfrm>
              <a:off x="0" y="1180279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0</xdr:rowOff>
    </xdr:from>
    <xdr:ext cx="380268" cy="2330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0EB359-A25C-4172-81D0-FC7F990241BF}"/>
                </a:ext>
              </a:extLst>
            </xdr:cNvPr>
            <xdr:cNvSpPr txBox="1"/>
          </xdr:nvSpPr>
          <xdr:spPr>
            <a:xfrm>
              <a:off x="1866900" y="200025"/>
              <a:ext cx="380268" cy="233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𝑅𝑓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B0EB359-A25C-4172-81D0-FC7F990241BF}"/>
                </a:ext>
              </a:extLst>
            </xdr:cNvPr>
            <xdr:cNvSpPr txBox="1"/>
          </xdr:nvSpPr>
          <xdr:spPr>
            <a:xfrm>
              <a:off x="1866900" y="200025"/>
              <a:ext cx="380268" cy="2330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𝑋_𝑅𝑓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4</xdr:row>
      <xdr:rowOff>29308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B4A8A3-B56E-48B2-9CEB-BEEA1EF2A8B2}"/>
                </a:ext>
              </a:extLst>
            </xdr:cNvPr>
            <xdr:cNvSpPr txBox="1"/>
          </xdr:nvSpPr>
          <xdr:spPr>
            <a:xfrm>
              <a:off x="13188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35B4A8A3-B56E-48B2-9CEB-BEEA1EF2A8B2}"/>
                </a:ext>
              </a:extLst>
            </xdr:cNvPr>
            <xdr:cNvSpPr txBox="1"/>
          </xdr:nvSpPr>
          <xdr:spPr>
            <a:xfrm>
              <a:off x="13188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8A57A9E-F9BB-4BC8-A864-F9CE08F34B69}"/>
                </a:ext>
              </a:extLst>
            </xdr:cNvPr>
            <xdr:cNvSpPr txBox="1"/>
          </xdr:nvSpPr>
          <xdr:spPr>
            <a:xfrm>
              <a:off x="1866900" y="676275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𝑋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𝑌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8A57A9E-F9BB-4BC8-A864-F9CE08F34B69}"/>
                </a:ext>
              </a:extLst>
            </xdr:cNvPr>
            <xdr:cNvSpPr txBox="1"/>
          </xdr:nvSpPr>
          <xdr:spPr>
            <a:xfrm>
              <a:off x="1866900" y="676275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𝑋_𝑌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4</xdr:row>
      <xdr:rowOff>19783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E5F69DC-0763-42A2-B114-27AA5458177E}"/>
                </a:ext>
              </a:extLst>
            </xdr:cNvPr>
            <xdr:cNvSpPr txBox="1"/>
          </xdr:nvSpPr>
          <xdr:spPr>
            <a:xfrm>
              <a:off x="131886" y="1016245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5E5F69DC-0763-42A2-B114-27AA5458177E}"/>
                </a:ext>
              </a:extLst>
            </xdr:cNvPr>
            <xdr:cNvSpPr txBox="1"/>
          </xdr:nvSpPr>
          <xdr:spPr>
            <a:xfrm>
              <a:off x="131886" y="1016245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183904</xdr:rowOff>
    </xdr:from>
    <xdr:ext cx="380268" cy="237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3D9C955-B47F-4F9E-A89A-26EA4DA9C55E}"/>
                </a:ext>
              </a:extLst>
            </xdr:cNvPr>
            <xdr:cNvSpPr txBox="1"/>
          </xdr:nvSpPr>
          <xdr:spPr>
            <a:xfrm>
              <a:off x="0" y="1180366"/>
              <a:ext cx="380268" cy="237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93D9C955-B47F-4F9E-A89A-26EA4DA9C55E}"/>
                </a:ext>
              </a:extLst>
            </xdr:cNvPr>
            <xdr:cNvSpPr txBox="1"/>
          </xdr:nvSpPr>
          <xdr:spPr>
            <a:xfrm>
              <a:off x="0" y="1180366"/>
              <a:ext cx="380268" cy="237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21980</xdr:colOff>
      <xdr:row>5</xdr:row>
      <xdr:rowOff>210284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D2F35C2-2216-456A-A6A7-B57663D58294}"/>
                </a:ext>
              </a:extLst>
            </xdr:cNvPr>
            <xdr:cNvSpPr txBox="1"/>
          </xdr:nvSpPr>
          <xdr:spPr>
            <a:xfrm>
              <a:off x="21980" y="1404572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5D2F35C2-2216-456A-A6A7-B57663D58294}"/>
                </a:ext>
              </a:extLst>
            </xdr:cNvPr>
            <xdr:cNvSpPr txBox="1"/>
          </xdr:nvSpPr>
          <xdr:spPr>
            <a:xfrm>
              <a:off x="21980" y="1404572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139211</xdr:rowOff>
    </xdr:from>
    <xdr:ext cx="454268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9E21A3F-C72D-47FD-A364-5883CD10FB28}"/>
                </a:ext>
              </a:extLst>
            </xdr:cNvPr>
            <xdr:cNvSpPr txBox="1"/>
          </xdr:nvSpPr>
          <xdr:spPr>
            <a:xfrm>
              <a:off x="0" y="1809749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ρ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99E21A3F-C72D-47FD-A364-5883CD10FB28}"/>
                </a:ext>
              </a:extLst>
            </xdr:cNvPr>
            <xdr:cNvSpPr txBox="1"/>
          </xdr:nvSpPr>
          <xdr:spPr>
            <a:xfrm>
              <a:off x="0" y="1809749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ρ</a:t>
              </a:r>
              <a:r>
                <a:rPr lang="en-US" sz="1400" i="0">
                  <a:latin typeface="Cambria Math" panose="02040503050406030204" pitchFamily="18" charset="0"/>
                </a:rPr>
                <a:t>_(</a:t>
              </a:r>
              <a:r>
                <a:rPr lang="en-US" sz="1400" b="0" i="0">
                  <a:latin typeface="Cambria Math" panose="02040503050406030204" pitchFamily="18" charset="0"/>
                </a:rPr>
                <a:t>𝐴,𝐵)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4</xdr:row>
      <xdr:rowOff>19783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8CEE0D0-E6A9-4BAA-995C-57277AC9995D}"/>
                </a:ext>
              </a:extLst>
            </xdr:cNvPr>
            <xdr:cNvSpPr txBox="1"/>
          </xdr:nvSpPr>
          <xdr:spPr>
            <a:xfrm>
              <a:off x="131886" y="10199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78CEE0D0-E6A9-4BAA-995C-57277AC9995D}"/>
                </a:ext>
              </a:extLst>
            </xdr:cNvPr>
            <xdr:cNvSpPr txBox="1"/>
          </xdr:nvSpPr>
          <xdr:spPr>
            <a:xfrm>
              <a:off x="131886" y="10199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4</xdr:row>
      <xdr:rowOff>183904</xdr:rowOff>
    </xdr:from>
    <xdr:ext cx="380268" cy="237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DA9015-A38C-4239-8F0E-B026D3BB3A24}"/>
                </a:ext>
              </a:extLst>
            </xdr:cNvPr>
            <xdr:cNvSpPr txBox="1"/>
          </xdr:nvSpPr>
          <xdr:spPr>
            <a:xfrm>
              <a:off x="0" y="1184029"/>
              <a:ext cx="380268" cy="237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00DA9015-A38C-4239-8F0E-B026D3BB3A24}"/>
                </a:ext>
              </a:extLst>
            </xdr:cNvPr>
            <xdr:cNvSpPr txBox="1"/>
          </xdr:nvSpPr>
          <xdr:spPr>
            <a:xfrm>
              <a:off x="0" y="1184029"/>
              <a:ext cx="380268" cy="237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14653</xdr:colOff>
      <xdr:row>5</xdr:row>
      <xdr:rowOff>202957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41C6FBC-EB22-4AA1-8C03-2F7022D0CC6C}"/>
                </a:ext>
              </a:extLst>
            </xdr:cNvPr>
            <xdr:cNvSpPr txBox="1"/>
          </xdr:nvSpPr>
          <xdr:spPr>
            <a:xfrm>
              <a:off x="14653" y="1595072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541C6FBC-EB22-4AA1-8C03-2F7022D0CC6C}"/>
                </a:ext>
              </a:extLst>
            </xdr:cNvPr>
            <xdr:cNvSpPr txBox="1"/>
          </xdr:nvSpPr>
          <xdr:spPr>
            <a:xfrm>
              <a:off x="14653" y="1595072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139211</xdr:rowOff>
    </xdr:from>
    <xdr:ext cx="454268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80149FC-8A4A-4684-9832-2F21F7B35955}"/>
                </a:ext>
              </a:extLst>
            </xdr:cNvPr>
            <xdr:cNvSpPr txBox="1"/>
          </xdr:nvSpPr>
          <xdr:spPr>
            <a:xfrm>
              <a:off x="0" y="1777511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ρ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780149FC-8A4A-4684-9832-2F21F7B35955}"/>
                </a:ext>
              </a:extLst>
            </xdr:cNvPr>
            <xdr:cNvSpPr txBox="1"/>
          </xdr:nvSpPr>
          <xdr:spPr>
            <a:xfrm>
              <a:off x="0" y="1777511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ρ</a:t>
              </a:r>
              <a:r>
                <a:rPr lang="en-US" sz="1400" i="0">
                  <a:latin typeface="Cambria Math" panose="02040503050406030204" pitchFamily="18" charset="0"/>
                </a:rPr>
                <a:t>_(</a:t>
              </a:r>
              <a:r>
                <a:rPr lang="en-US" sz="1400" b="0" i="0">
                  <a:latin typeface="Cambria Math" panose="02040503050406030204" pitchFamily="18" charset="0"/>
                </a:rPr>
                <a:t>𝐴,𝐵)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131886</xdr:colOff>
      <xdr:row>0</xdr:row>
      <xdr:rowOff>29308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3B10C2-5AEB-4287-B179-ECDC468E72C6}"/>
                </a:ext>
              </a:extLst>
            </xdr:cNvPr>
            <xdr:cNvSpPr txBox="1"/>
          </xdr:nvSpPr>
          <xdr:spPr>
            <a:xfrm>
              <a:off x="131886" y="101038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933B10C2-5AEB-4287-B179-ECDC468E72C6}"/>
                </a:ext>
              </a:extLst>
            </xdr:cNvPr>
            <xdr:cNvSpPr txBox="1"/>
          </xdr:nvSpPr>
          <xdr:spPr>
            <a:xfrm>
              <a:off x="131886" y="101038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735</xdr:colOff>
      <xdr:row>0</xdr:row>
      <xdr:rowOff>191233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4846A42-5F52-4A33-9EF7-DE44FE61ECCC}"/>
                </a:ext>
              </a:extLst>
            </xdr:cNvPr>
            <xdr:cNvSpPr txBox="1"/>
          </xdr:nvSpPr>
          <xdr:spPr>
            <a:xfrm>
              <a:off x="608870" y="19123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C4846A42-5F52-4A33-9EF7-DE44FE61ECCC}"/>
                </a:ext>
              </a:extLst>
            </xdr:cNvPr>
            <xdr:cNvSpPr txBox="1"/>
          </xdr:nvSpPr>
          <xdr:spPr>
            <a:xfrm>
              <a:off x="608870" y="19123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43960</xdr:colOff>
      <xdr:row>1</xdr:row>
      <xdr:rowOff>195629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775D6E4-6B60-488F-9BB3-1846D068B8A9}"/>
                </a:ext>
              </a:extLst>
            </xdr:cNvPr>
            <xdr:cNvSpPr txBox="1"/>
          </xdr:nvSpPr>
          <xdr:spPr>
            <a:xfrm>
              <a:off x="652095" y="393456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9775D6E4-6B60-488F-9BB3-1846D068B8A9}"/>
                </a:ext>
              </a:extLst>
            </xdr:cNvPr>
            <xdr:cNvSpPr txBox="1"/>
          </xdr:nvSpPr>
          <xdr:spPr>
            <a:xfrm>
              <a:off x="652095" y="393456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131886</xdr:colOff>
      <xdr:row>0</xdr:row>
      <xdr:rowOff>29308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D473111-280D-4F68-AE60-E2DBCAB69AC3}"/>
                </a:ext>
              </a:extLst>
            </xdr:cNvPr>
            <xdr:cNvSpPr txBox="1"/>
          </xdr:nvSpPr>
          <xdr:spPr>
            <a:xfrm>
              <a:off x="312861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3D473111-280D-4F68-AE60-E2DBCAB69AC3}"/>
                </a:ext>
              </a:extLst>
            </xdr:cNvPr>
            <xdr:cNvSpPr txBox="1"/>
          </xdr:nvSpPr>
          <xdr:spPr>
            <a:xfrm>
              <a:off x="312861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735</xdr:colOff>
      <xdr:row>1</xdr:row>
      <xdr:rowOff>733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83C3655-BEBC-420E-AFD7-729FA214895E}"/>
                </a:ext>
              </a:extLst>
            </xdr:cNvPr>
            <xdr:cNvSpPr txBox="1"/>
          </xdr:nvSpPr>
          <xdr:spPr>
            <a:xfrm>
              <a:off x="169254" y="198560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83C3655-BEBC-420E-AFD7-729FA214895E}"/>
                </a:ext>
              </a:extLst>
            </xdr:cNvPr>
            <xdr:cNvSpPr txBox="1"/>
          </xdr:nvSpPr>
          <xdr:spPr>
            <a:xfrm>
              <a:off x="169254" y="198560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36633</xdr:colOff>
      <xdr:row>2</xdr:row>
      <xdr:rowOff>41764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B24327A-0BD4-4000-86E1-F587D7E8CB0A}"/>
                </a:ext>
              </a:extLst>
            </xdr:cNvPr>
            <xdr:cNvSpPr txBox="1"/>
          </xdr:nvSpPr>
          <xdr:spPr>
            <a:xfrm>
              <a:off x="205152" y="437418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5B24327A-0BD4-4000-86E1-F587D7E8CB0A}"/>
                </a:ext>
              </a:extLst>
            </xdr:cNvPr>
            <xdr:cNvSpPr txBox="1"/>
          </xdr:nvSpPr>
          <xdr:spPr>
            <a:xfrm>
              <a:off x="205152" y="437418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65941</xdr:colOff>
      <xdr:row>4</xdr:row>
      <xdr:rowOff>19783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85DCE3C-0D7C-446E-A142-F875CD876A7D}"/>
                </a:ext>
              </a:extLst>
            </xdr:cNvPr>
            <xdr:cNvSpPr txBox="1"/>
          </xdr:nvSpPr>
          <xdr:spPr>
            <a:xfrm>
              <a:off x="234460" y="972283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C85DCE3C-0D7C-446E-A142-F875CD876A7D}"/>
                </a:ext>
              </a:extLst>
            </xdr:cNvPr>
            <xdr:cNvSpPr txBox="1"/>
          </xdr:nvSpPr>
          <xdr:spPr>
            <a:xfrm>
              <a:off x="234460" y="972283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</xdr:col>
      <xdr:colOff>43962</xdr:colOff>
      <xdr:row>3</xdr:row>
      <xdr:rowOff>58616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133E5CA-AAF6-42E1-B3FE-AB843AB1923D}"/>
                </a:ext>
              </a:extLst>
            </xdr:cNvPr>
            <xdr:cNvSpPr txBox="1"/>
          </xdr:nvSpPr>
          <xdr:spPr>
            <a:xfrm>
              <a:off x="212481" y="73269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6133E5CA-AAF6-42E1-B3FE-AB843AB1923D}"/>
                </a:ext>
              </a:extLst>
            </xdr:cNvPr>
            <xdr:cNvSpPr txBox="1"/>
          </xdr:nvSpPr>
          <xdr:spPr>
            <a:xfrm>
              <a:off x="212481" y="73269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1</xdr:row>
      <xdr:rowOff>29308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8C6B79-03A5-45E9-9F39-4AA10810FE8A}"/>
                </a:ext>
              </a:extLst>
            </xdr:cNvPr>
            <xdr:cNvSpPr txBox="1"/>
          </xdr:nvSpPr>
          <xdr:spPr>
            <a:xfrm>
              <a:off x="30333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B8C6B79-03A5-45E9-9F39-4AA10810FE8A}"/>
                </a:ext>
              </a:extLst>
            </xdr:cNvPr>
            <xdr:cNvSpPr txBox="1"/>
          </xdr:nvSpPr>
          <xdr:spPr>
            <a:xfrm>
              <a:off x="303336" y="293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131886</xdr:colOff>
      <xdr:row>2</xdr:row>
      <xdr:rowOff>29308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520D796-57C7-49B0-8836-A9617485CB82}"/>
                </a:ext>
              </a:extLst>
            </xdr:cNvPr>
            <xdr:cNvSpPr txBox="1"/>
          </xdr:nvSpPr>
          <xdr:spPr>
            <a:xfrm>
              <a:off x="131886" y="2198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520D796-57C7-49B0-8836-A9617485CB82}"/>
                </a:ext>
              </a:extLst>
            </xdr:cNvPr>
            <xdr:cNvSpPr txBox="1"/>
          </xdr:nvSpPr>
          <xdr:spPr>
            <a:xfrm>
              <a:off x="131886" y="21980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184249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4C9FEF4-CE42-44B7-AB17-8F973CB6BE36}"/>
                </a:ext>
              </a:extLst>
            </xdr:cNvPr>
            <xdr:cNvSpPr txBox="1"/>
          </xdr:nvSpPr>
          <xdr:spPr>
            <a:xfrm>
              <a:off x="1997849" y="184249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4C9FEF4-CE42-44B7-AB17-8F973CB6BE36}"/>
                </a:ext>
              </a:extLst>
            </xdr:cNvPr>
            <xdr:cNvSpPr txBox="1"/>
          </xdr:nvSpPr>
          <xdr:spPr>
            <a:xfrm>
              <a:off x="1997849" y="184249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5</xdr:col>
      <xdr:colOff>120893</xdr:colOff>
      <xdr:row>0</xdr:row>
      <xdr:rowOff>87921</xdr:rowOff>
    </xdr:from>
    <xdr:to>
      <xdr:col>12</xdr:col>
      <xdr:colOff>315058</xdr:colOff>
      <xdr:row>13</xdr:row>
      <xdr:rowOff>124558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379191B-4FFF-4B1E-86BE-DCE4DF462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234463</xdr:colOff>
      <xdr:row>1</xdr:row>
      <xdr:rowOff>36635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DA40B14-C1F3-4D9C-9901-870C8AB27632}"/>
                </a:ext>
              </a:extLst>
            </xdr:cNvPr>
            <xdr:cNvSpPr txBox="1"/>
          </xdr:nvSpPr>
          <xdr:spPr>
            <a:xfrm>
              <a:off x="8272098" y="234462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4DA40B14-C1F3-4D9C-9901-870C8AB27632}"/>
                </a:ext>
              </a:extLst>
            </xdr:cNvPr>
            <xdr:cNvSpPr txBox="1"/>
          </xdr:nvSpPr>
          <xdr:spPr>
            <a:xfrm>
              <a:off x="8272098" y="234462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161192</xdr:colOff>
      <xdr:row>0</xdr:row>
      <xdr:rowOff>168519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ED19AA5-8C3D-4E23-AED6-DEA4EC2FF3B4}"/>
                </a:ext>
              </a:extLst>
            </xdr:cNvPr>
            <xdr:cNvSpPr txBox="1"/>
          </xdr:nvSpPr>
          <xdr:spPr>
            <a:xfrm>
              <a:off x="8806961" y="168519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1ED19AA5-8C3D-4E23-AED6-DEA4EC2FF3B4}"/>
                </a:ext>
              </a:extLst>
            </xdr:cNvPr>
            <xdr:cNvSpPr txBox="1"/>
          </xdr:nvSpPr>
          <xdr:spPr>
            <a:xfrm>
              <a:off x="8806961" y="168519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83368</xdr:colOff>
      <xdr:row>1</xdr:row>
      <xdr:rowOff>43471</xdr:rowOff>
    </xdr:from>
    <xdr:ext cx="388326" cy="2271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72584A-2331-4342-A4C7-FB2748BD51E0}"/>
                </a:ext>
              </a:extLst>
            </xdr:cNvPr>
            <xdr:cNvSpPr txBox="1"/>
          </xdr:nvSpPr>
          <xdr:spPr>
            <a:xfrm>
              <a:off x="83368" y="245177"/>
              <a:ext cx="388326" cy="227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D972584A-2331-4342-A4C7-FB2748BD51E0}"/>
                </a:ext>
              </a:extLst>
            </xdr:cNvPr>
            <xdr:cNvSpPr txBox="1"/>
          </xdr:nvSpPr>
          <xdr:spPr>
            <a:xfrm>
              <a:off x="83368" y="245177"/>
              <a:ext cx="388326" cy="227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𝑅_𝑀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3</xdr:col>
      <xdr:colOff>0</xdr:colOff>
      <xdr:row>0</xdr:row>
      <xdr:rowOff>184249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D37D065-14C8-407E-B276-6E2DFCEEB37C}"/>
                </a:ext>
              </a:extLst>
            </xdr:cNvPr>
            <xdr:cNvSpPr txBox="1"/>
          </xdr:nvSpPr>
          <xdr:spPr>
            <a:xfrm>
              <a:off x="2012256" y="184249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D37D065-14C8-407E-B276-6E2DFCEEB37C}"/>
                </a:ext>
              </a:extLst>
            </xdr:cNvPr>
            <xdr:cNvSpPr txBox="1"/>
          </xdr:nvSpPr>
          <xdr:spPr>
            <a:xfrm>
              <a:off x="2012256" y="184249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𝑀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21981</xdr:colOff>
      <xdr:row>2</xdr:row>
      <xdr:rowOff>14654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B91758-9FA1-4992-915A-D367AAC9947D}"/>
                </a:ext>
              </a:extLst>
            </xdr:cNvPr>
            <xdr:cNvSpPr txBox="1"/>
          </xdr:nvSpPr>
          <xdr:spPr>
            <a:xfrm>
              <a:off x="202956" y="690929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6B91758-9FA1-4992-915A-D367AAC9947D}"/>
                </a:ext>
              </a:extLst>
            </xdr:cNvPr>
            <xdr:cNvSpPr txBox="1"/>
          </xdr:nvSpPr>
          <xdr:spPr>
            <a:xfrm>
              <a:off x="202956" y="690929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102578</xdr:colOff>
      <xdr:row>3</xdr:row>
      <xdr:rowOff>14655</xdr:rowOff>
    </xdr:from>
    <xdr:ext cx="388326" cy="2271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6972624-D059-494F-9C3B-E5E17EBE6464}"/>
                </a:ext>
              </a:extLst>
            </xdr:cNvPr>
            <xdr:cNvSpPr txBox="1"/>
          </xdr:nvSpPr>
          <xdr:spPr>
            <a:xfrm>
              <a:off x="102578" y="212482"/>
              <a:ext cx="388326" cy="227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6972624-D059-494F-9C3B-E5E17EBE6464}"/>
                </a:ext>
              </a:extLst>
            </xdr:cNvPr>
            <xdr:cNvSpPr txBox="1"/>
          </xdr:nvSpPr>
          <xdr:spPr>
            <a:xfrm>
              <a:off x="102578" y="212482"/>
              <a:ext cx="388326" cy="227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𝑅_𝐼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8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3EB379-B934-4B3F-A50F-D9654547433C}"/>
                </a:ext>
              </a:extLst>
            </xdr:cNvPr>
            <xdr:cNvSpPr txBox="1"/>
          </xdr:nvSpPr>
          <xdr:spPr>
            <a:xfrm>
              <a:off x="0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𝐼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13EB379-B934-4B3F-A50F-D9654547433C}"/>
                </a:ext>
              </a:extLst>
            </xdr:cNvPr>
            <xdr:cNvSpPr txBox="1"/>
          </xdr:nvSpPr>
          <xdr:spPr>
            <a:xfrm>
              <a:off x="0" y="0"/>
              <a:ext cx="38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𝐼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102578</xdr:colOff>
      <xdr:row>1</xdr:row>
      <xdr:rowOff>14655</xdr:rowOff>
    </xdr:from>
    <xdr:ext cx="388326" cy="22713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5684CAB-AC5D-420C-9F60-5F1C048095BE}"/>
                </a:ext>
              </a:extLst>
            </xdr:cNvPr>
            <xdr:cNvSpPr txBox="1"/>
          </xdr:nvSpPr>
          <xdr:spPr>
            <a:xfrm>
              <a:off x="102578" y="662355"/>
              <a:ext cx="388326" cy="227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𝑍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A5684CAB-AC5D-420C-9F60-5F1C048095BE}"/>
                </a:ext>
              </a:extLst>
            </xdr:cNvPr>
            <xdr:cNvSpPr txBox="1"/>
          </xdr:nvSpPr>
          <xdr:spPr>
            <a:xfrm>
              <a:off x="102578" y="662355"/>
              <a:ext cx="388326" cy="22713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𝑅_𝑍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4</xdr:row>
      <xdr:rowOff>49090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88D968-CA6B-48A6-B550-5A1972D05B92}"/>
                </a:ext>
              </a:extLst>
            </xdr:cNvPr>
            <xdr:cNvSpPr txBox="1"/>
          </xdr:nvSpPr>
          <xdr:spPr>
            <a:xfrm>
              <a:off x="131886" y="124337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A88D968-CA6B-48A6-B550-5A1972D05B92}"/>
                </a:ext>
              </a:extLst>
            </xdr:cNvPr>
            <xdr:cNvSpPr txBox="1"/>
          </xdr:nvSpPr>
          <xdr:spPr>
            <a:xfrm>
              <a:off x="131886" y="1243378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8058</xdr:rowOff>
    </xdr:from>
    <xdr:ext cx="380268" cy="237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CEC0ECD-B048-4E59-BD93-2EA3A6833ECC}"/>
                </a:ext>
              </a:extLst>
            </xdr:cNvPr>
            <xdr:cNvSpPr txBox="1"/>
          </xdr:nvSpPr>
          <xdr:spPr>
            <a:xfrm>
              <a:off x="0" y="1400173"/>
              <a:ext cx="380268" cy="237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1CEC0ECD-B048-4E59-BD93-2EA3A6833ECC}"/>
                </a:ext>
              </a:extLst>
            </xdr:cNvPr>
            <xdr:cNvSpPr txBox="1"/>
          </xdr:nvSpPr>
          <xdr:spPr>
            <a:xfrm>
              <a:off x="0" y="1400173"/>
              <a:ext cx="380268" cy="237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21980</xdr:colOff>
      <xdr:row>7</xdr:row>
      <xdr:rowOff>210284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4EDD21F-D1E5-462E-90A2-AE976863FE72}"/>
                </a:ext>
              </a:extLst>
            </xdr:cNvPr>
            <xdr:cNvSpPr txBox="1"/>
          </xdr:nvSpPr>
          <xdr:spPr>
            <a:xfrm>
              <a:off x="21980" y="1410434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C4EDD21F-D1E5-462E-90A2-AE976863FE72}"/>
                </a:ext>
              </a:extLst>
            </xdr:cNvPr>
            <xdr:cNvSpPr txBox="1"/>
          </xdr:nvSpPr>
          <xdr:spPr>
            <a:xfrm>
              <a:off x="21980" y="1410434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0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62CFC-45CD-4AA7-B086-B6BBE42EA029}"/>
                </a:ext>
              </a:extLst>
            </xdr:cNvPr>
            <xdr:cNvSpPr txBox="1"/>
          </xdr:nvSpPr>
          <xdr:spPr>
            <a:xfrm>
              <a:off x="0" y="1421423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6AA62CFC-45CD-4AA7-B086-B6BBE42EA029}"/>
                </a:ext>
              </a:extLst>
            </xdr:cNvPr>
            <xdr:cNvSpPr txBox="1"/>
          </xdr:nvSpPr>
          <xdr:spPr>
            <a:xfrm>
              <a:off x="0" y="1421423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173933</xdr:colOff>
      <xdr:row>0</xdr:row>
      <xdr:rowOff>154059</xdr:rowOff>
    </xdr:from>
    <xdr:to>
      <xdr:col>10</xdr:col>
      <xdr:colOff>104359</xdr:colOff>
      <xdr:row>14</xdr:row>
      <xdr:rowOff>59637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DD8A99A-C7EC-4DA0-823D-507437E04B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131886</xdr:colOff>
      <xdr:row>5</xdr:row>
      <xdr:rowOff>19783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F792AA-1A7B-4308-A696-B2B3A6585EEF}"/>
                </a:ext>
              </a:extLst>
            </xdr:cNvPr>
            <xdr:cNvSpPr txBox="1"/>
          </xdr:nvSpPr>
          <xdr:spPr>
            <a:xfrm>
              <a:off x="131886" y="121993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C9F792AA-1A7B-4308-A696-B2B3A6585EEF}"/>
                </a:ext>
              </a:extLst>
            </xdr:cNvPr>
            <xdr:cNvSpPr txBox="1"/>
          </xdr:nvSpPr>
          <xdr:spPr>
            <a:xfrm>
              <a:off x="131886" y="121993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191231</xdr:rowOff>
    </xdr:from>
    <xdr:ext cx="380268" cy="23737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14CAE7-933C-4E9D-B5FE-6211FD112E7C}"/>
                </a:ext>
              </a:extLst>
            </xdr:cNvPr>
            <xdr:cNvSpPr txBox="1"/>
          </xdr:nvSpPr>
          <xdr:spPr>
            <a:xfrm>
              <a:off x="0" y="1385519"/>
              <a:ext cx="380268" cy="237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6114CAE7-933C-4E9D-B5FE-6211FD112E7C}"/>
                </a:ext>
              </a:extLst>
            </xdr:cNvPr>
            <xdr:cNvSpPr txBox="1"/>
          </xdr:nvSpPr>
          <xdr:spPr>
            <a:xfrm>
              <a:off x="0" y="1385519"/>
              <a:ext cx="380268" cy="23737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14653</xdr:colOff>
      <xdr:row>6</xdr:row>
      <xdr:rowOff>202957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96CA21B-AB72-4F3E-ACF3-E1F9170206E0}"/>
                </a:ext>
              </a:extLst>
            </xdr:cNvPr>
            <xdr:cNvSpPr txBox="1"/>
          </xdr:nvSpPr>
          <xdr:spPr>
            <a:xfrm>
              <a:off x="14653" y="1603132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96CA21B-AB72-4F3E-ACF3-E1F9170206E0}"/>
                </a:ext>
              </a:extLst>
            </xdr:cNvPr>
            <xdr:cNvSpPr txBox="1"/>
          </xdr:nvSpPr>
          <xdr:spPr>
            <a:xfrm>
              <a:off x="14653" y="1603132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𝑖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139211</xdr:rowOff>
    </xdr:from>
    <xdr:ext cx="454268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7A48CCE-CBF7-4AB2-8A50-21814B6B3E86}"/>
                </a:ext>
              </a:extLst>
            </xdr:cNvPr>
            <xdr:cNvSpPr txBox="1"/>
          </xdr:nvSpPr>
          <xdr:spPr>
            <a:xfrm>
              <a:off x="0" y="1977536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ρ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1,2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37A48CCE-CBF7-4AB2-8A50-21814B6B3E86}"/>
                </a:ext>
              </a:extLst>
            </xdr:cNvPr>
            <xdr:cNvSpPr txBox="1"/>
          </xdr:nvSpPr>
          <xdr:spPr>
            <a:xfrm>
              <a:off x="0" y="1977536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ρ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1,2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10</xdr:row>
      <xdr:rowOff>139211</xdr:rowOff>
    </xdr:from>
    <xdr:ext cx="454268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E0FE5B-C672-4127-9EC6-FC1FDDE5518D}"/>
                </a:ext>
              </a:extLst>
            </xdr:cNvPr>
            <xdr:cNvSpPr txBox="1"/>
          </xdr:nvSpPr>
          <xdr:spPr>
            <a:xfrm>
              <a:off x="0" y="1985596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ρ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1,3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15E0FE5B-C672-4127-9EC6-FC1FDDE5518D}"/>
                </a:ext>
              </a:extLst>
            </xdr:cNvPr>
            <xdr:cNvSpPr txBox="1"/>
          </xdr:nvSpPr>
          <xdr:spPr>
            <a:xfrm>
              <a:off x="0" y="1985596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ρ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1,3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12</xdr:row>
      <xdr:rowOff>139211</xdr:rowOff>
    </xdr:from>
    <xdr:ext cx="454268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BB57CC-1937-490A-B5D6-18814E3C9528}"/>
                </a:ext>
              </a:extLst>
            </xdr:cNvPr>
            <xdr:cNvSpPr txBox="1"/>
          </xdr:nvSpPr>
          <xdr:spPr>
            <a:xfrm>
              <a:off x="0" y="2381249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ρ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2,3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CBBB57CC-1937-490A-B5D6-18814E3C9528}"/>
                </a:ext>
              </a:extLst>
            </xdr:cNvPr>
            <xdr:cNvSpPr txBox="1"/>
          </xdr:nvSpPr>
          <xdr:spPr>
            <a:xfrm>
              <a:off x="0" y="2381249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ρ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2,3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131885</xdr:colOff>
      <xdr:row>0</xdr:row>
      <xdr:rowOff>93053</xdr:rowOff>
    </xdr:from>
    <xdr:ext cx="321652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C26F31-92FB-4981-BDEF-435832F0626E}"/>
                </a:ext>
              </a:extLst>
            </xdr:cNvPr>
            <xdr:cNvSpPr txBox="1"/>
          </xdr:nvSpPr>
          <xdr:spPr>
            <a:xfrm>
              <a:off x="4462097" y="93053"/>
              <a:ext cx="321652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1,2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31C26F31-92FB-4981-BDEF-435832F0626E}"/>
                </a:ext>
              </a:extLst>
            </xdr:cNvPr>
            <xdr:cNvSpPr txBox="1"/>
          </xdr:nvSpPr>
          <xdr:spPr>
            <a:xfrm>
              <a:off x="4462097" y="93053"/>
              <a:ext cx="321652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𝑅_1,2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183173</xdr:colOff>
      <xdr:row>0</xdr:row>
      <xdr:rowOff>139211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BBDBDA1-4868-420E-905C-DEDFE93BD2B4}"/>
                </a:ext>
              </a:extLst>
            </xdr:cNvPr>
            <xdr:cNvSpPr txBox="1"/>
          </xdr:nvSpPr>
          <xdr:spPr>
            <a:xfrm>
              <a:off x="5121519" y="139211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4BBDBDA1-4868-420E-905C-DEDFE93BD2B4}"/>
                </a:ext>
              </a:extLst>
            </xdr:cNvPr>
            <xdr:cNvSpPr txBox="1"/>
          </xdr:nvSpPr>
          <xdr:spPr>
            <a:xfrm>
              <a:off x="5121519" y="139211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88657</xdr:colOff>
      <xdr:row>0</xdr:row>
      <xdr:rowOff>103309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B01A625-2235-4DEC-9CE5-A70989169D98}"/>
                </a:ext>
              </a:extLst>
            </xdr:cNvPr>
            <xdr:cNvSpPr txBox="1"/>
          </xdr:nvSpPr>
          <xdr:spPr>
            <a:xfrm>
              <a:off x="5635138" y="10330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DB01A625-2235-4DEC-9CE5-A70989169D98}"/>
                </a:ext>
              </a:extLst>
            </xdr:cNvPr>
            <xdr:cNvSpPr txBox="1"/>
          </xdr:nvSpPr>
          <xdr:spPr>
            <a:xfrm>
              <a:off x="5635138" y="10330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146538</xdr:colOff>
      <xdr:row>0</xdr:row>
      <xdr:rowOff>100380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1AFFB5B-81EC-4E48-8C6D-A8886770B201}"/>
                </a:ext>
              </a:extLst>
            </xdr:cNvPr>
            <xdr:cNvSpPr txBox="1"/>
          </xdr:nvSpPr>
          <xdr:spPr>
            <a:xfrm>
              <a:off x="6301153" y="10038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E1AFFB5B-81EC-4E48-8C6D-A8886770B201}"/>
                </a:ext>
              </a:extLst>
            </xdr:cNvPr>
            <xdr:cNvSpPr txBox="1"/>
          </xdr:nvSpPr>
          <xdr:spPr>
            <a:xfrm>
              <a:off x="6301153" y="10038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131885</xdr:colOff>
      <xdr:row>0</xdr:row>
      <xdr:rowOff>93053</xdr:rowOff>
    </xdr:from>
    <xdr:ext cx="321652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7859762-4696-40BA-B8A2-8EC182F972E0}"/>
                </a:ext>
              </a:extLst>
            </xdr:cNvPr>
            <xdr:cNvSpPr txBox="1"/>
          </xdr:nvSpPr>
          <xdr:spPr>
            <a:xfrm>
              <a:off x="4462097" y="93053"/>
              <a:ext cx="321652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1,3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E7859762-4696-40BA-B8A2-8EC182F972E0}"/>
                </a:ext>
              </a:extLst>
            </xdr:cNvPr>
            <xdr:cNvSpPr txBox="1"/>
          </xdr:nvSpPr>
          <xdr:spPr>
            <a:xfrm>
              <a:off x="4462097" y="93053"/>
              <a:ext cx="321652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𝑅_1,3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10</xdr:col>
      <xdr:colOff>183173</xdr:colOff>
      <xdr:row>0</xdr:row>
      <xdr:rowOff>139211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AEB0860-973A-48B3-90F1-DB89949BDD18}"/>
                </a:ext>
              </a:extLst>
            </xdr:cNvPr>
            <xdr:cNvSpPr txBox="1"/>
          </xdr:nvSpPr>
          <xdr:spPr>
            <a:xfrm>
              <a:off x="5121519" y="139211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3" name="TextBox 12">
              <a:extLst>
                <a:ext uri="{FF2B5EF4-FFF2-40B4-BE49-F238E27FC236}">
                  <a16:creationId xmlns:a16="http://schemas.microsoft.com/office/drawing/2014/main" id="{2AEB0860-973A-48B3-90F1-DB89949BDD18}"/>
                </a:ext>
              </a:extLst>
            </xdr:cNvPr>
            <xdr:cNvSpPr txBox="1"/>
          </xdr:nvSpPr>
          <xdr:spPr>
            <a:xfrm>
              <a:off x="5121519" y="139211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88657</xdr:colOff>
      <xdr:row>0</xdr:row>
      <xdr:rowOff>103309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50D8B88-C8C6-49EB-B437-B77ABAD53094}"/>
                </a:ext>
              </a:extLst>
            </xdr:cNvPr>
            <xdr:cNvSpPr txBox="1"/>
          </xdr:nvSpPr>
          <xdr:spPr>
            <a:xfrm>
              <a:off x="5635138" y="10330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4" name="TextBox 13">
              <a:extLst>
                <a:ext uri="{FF2B5EF4-FFF2-40B4-BE49-F238E27FC236}">
                  <a16:creationId xmlns:a16="http://schemas.microsoft.com/office/drawing/2014/main" id="{650D8B88-C8C6-49EB-B437-B77ABAD53094}"/>
                </a:ext>
              </a:extLst>
            </xdr:cNvPr>
            <xdr:cNvSpPr txBox="1"/>
          </xdr:nvSpPr>
          <xdr:spPr>
            <a:xfrm>
              <a:off x="5635138" y="10330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146538</xdr:colOff>
      <xdr:row>0</xdr:row>
      <xdr:rowOff>100380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73BD97C-A76D-42F3-8B0F-BEED22A9CEA1}"/>
                </a:ext>
              </a:extLst>
            </xdr:cNvPr>
            <xdr:cNvSpPr txBox="1"/>
          </xdr:nvSpPr>
          <xdr:spPr>
            <a:xfrm>
              <a:off x="6301153" y="10038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573BD97C-A76D-42F3-8B0F-BEED22A9CEA1}"/>
                </a:ext>
              </a:extLst>
            </xdr:cNvPr>
            <xdr:cNvSpPr txBox="1"/>
          </xdr:nvSpPr>
          <xdr:spPr>
            <a:xfrm>
              <a:off x="6301153" y="10038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13</xdr:col>
      <xdr:colOff>131885</xdr:colOff>
      <xdr:row>0</xdr:row>
      <xdr:rowOff>93053</xdr:rowOff>
    </xdr:from>
    <xdr:ext cx="321652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43EE8E4-FEC7-462A-AF9E-AF1BF40C3B2E}"/>
                </a:ext>
              </a:extLst>
            </xdr:cNvPr>
            <xdr:cNvSpPr txBox="1"/>
          </xdr:nvSpPr>
          <xdr:spPr>
            <a:xfrm>
              <a:off x="6894635" y="93053"/>
              <a:ext cx="321652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2,3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D43EE8E4-FEC7-462A-AF9E-AF1BF40C3B2E}"/>
                </a:ext>
              </a:extLst>
            </xdr:cNvPr>
            <xdr:cNvSpPr txBox="1"/>
          </xdr:nvSpPr>
          <xdr:spPr>
            <a:xfrm>
              <a:off x="6894635" y="93053"/>
              <a:ext cx="321652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400" b="0" i="0">
                  <a:latin typeface="Cambria Math" panose="02040503050406030204" pitchFamily="18" charset="0"/>
                </a:rPr>
                <a:t>𝑅_2,3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14</xdr:col>
      <xdr:colOff>183173</xdr:colOff>
      <xdr:row>0</xdr:row>
      <xdr:rowOff>139211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EB1194D-1B69-463B-9822-8B7874CD9DAD}"/>
                </a:ext>
              </a:extLst>
            </xdr:cNvPr>
            <xdr:cNvSpPr txBox="1"/>
          </xdr:nvSpPr>
          <xdr:spPr>
            <a:xfrm>
              <a:off x="7554058" y="139211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EB1194D-1B69-463B-9822-8B7874CD9DAD}"/>
                </a:ext>
              </a:extLst>
            </xdr:cNvPr>
            <xdr:cNvSpPr txBox="1"/>
          </xdr:nvSpPr>
          <xdr:spPr>
            <a:xfrm>
              <a:off x="7554058" y="139211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15</xdr:col>
      <xdr:colOff>88657</xdr:colOff>
      <xdr:row>0</xdr:row>
      <xdr:rowOff>103309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C6F8B67-A919-4362-821F-7B068192935C}"/>
                </a:ext>
              </a:extLst>
            </xdr:cNvPr>
            <xdr:cNvSpPr txBox="1"/>
          </xdr:nvSpPr>
          <xdr:spPr>
            <a:xfrm>
              <a:off x="8067676" y="10330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DC6F8B67-A919-4362-821F-7B068192935C}"/>
                </a:ext>
              </a:extLst>
            </xdr:cNvPr>
            <xdr:cNvSpPr txBox="1"/>
          </xdr:nvSpPr>
          <xdr:spPr>
            <a:xfrm>
              <a:off x="8067676" y="103309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16</xdr:col>
      <xdr:colOff>146538</xdr:colOff>
      <xdr:row>0</xdr:row>
      <xdr:rowOff>100380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04B9F13-CCA6-47C9-AEE8-92D2286C4CBB}"/>
                </a:ext>
              </a:extLst>
            </xdr:cNvPr>
            <xdr:cNvSpPr txBox="1"/>
          </xdr:nvSpPr>
          <xdr:spPr>
            <a:xfrm>
              <a:off x="8733692" y="10038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904B9F13-CCA6-47C9-AEE8-92D2286C4CBB}"/>
                </a:ext>
              </a:extLst>
            </xdr:cNvPr>
            <xdr:cNvSpPr txBox="1"/>
          </xdr:nvSpPr>
          <xdr:spPr>
            <a:xfrm>
              <a:off x="8733692" y="10038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131886</xdr:colOff>
      <xdr:row>5</xdr:row>
      <xdr:rowOff>19783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D729F1D-5F60-497E-80B7-99658B3DAB23}"/>
                </a:ext>
              </a:extLst>
            </xdr:cNvPr>
            <xdr:cNvSpPr txBox="1"/>
          </xdr:nvSpPr>
          <xdr:spPr>
            <a:xfrm>
              <a:off x="131886" y="121993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4D729F1D-5F60-497E-80B7-99658B3DAB23}"/>
                </a:ext>
              </a:extLst>
            </xdr:cNvPr>
            <xdr:cNvSpPr txBox="1"/>
          </xdr:nvSpPr>
          <xdr:spPr>
            <a:xfrm>
              <a:off x="131886" y="121993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𝑅_𝑖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139213</xdr:colOff>
      <xdr:row>5</xdr:row>
      <xdr:rowOff>19783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B293CA-5EEE-4063-BE46-0084B7574331}"/>
                </a:ext>
              </a:extLst>
            </xdr:cNvPr>
            <xdr:cNvSpPr txBox="1"/>
          </xdr:nvSpPr>
          <xdr:spPr>
            <a:xfrm>
              <a:off x="139213" y="1214071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7B293CA-5EEE-4063-BE46-0084B7574331}"/>
                </a:ext>
              </a:extLst>
            </xdr:cNvPr>
            <xdr:cNvSpPr txBox="1"/>
          </xdr:nvSpPr>
          <xdr:spPr>
            <a:xfrm>
              <a:off x="139213" y="1214071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5</xdr:row>
      <xdr:rowOff>191231</xdr:rowOff>
    </xdr:from>
    <xdr:ext cx="380268" cy="22705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46029A6-A211-4ED5-818B-068A1CF6E8CB}"/>
                </a:ext>
              </a:extLst>
            </xdr:cNvPr>
            <xdr:cNvSpPr txBox="1"/>
          </xdr:nvSpPr>
          <xdr:spPr>
            <a:xfrm>
              <a:off x="0" y="1385519"/>
              <a:ext cx="380268" cy="227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346029A6-A211-4ED5-818B-068A1CF6E8CB}"/>
                </a:ext>
              </a:extLst>
            </xdr:cNvPr>
            <xdr:cNvSpPr txBox="1"/>
          </xdr:nvSpPr>
          <xdr:spPr>
            <a:xfrm>
              <a:off x="0" y="1385519"/>
              <a:ext cx="380268" cy="22705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𝐴^2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14653</xdr:colOff>
      <xdr:row>7</xdr:row>
      <xdr:rowOff>12456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F165425-2B0B-47F9-9CA8-760D60E7D78C}"/>
                </a:ext>
              </a:extLst>
            </xdr:cNvPr>
            <xdr:cNvSpPr txBox="1"/>
          </xdr:nvSpPr>
          <xdr:spPr>
            <a:xfrm>
              <a:off x="14653" y="1653687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5F165425-2B0B-47F9-9CA8-760D60E7D78C}"/>
                </a:ext>
              </a:extLst>
            </xdr:cNvPr>
            <xdr:cNvSpPr txBox="1"/>
          </xdr:nvSpPr>
          <xdr:spPr>
            <a:xfrm>
              <a:off x="14653" y="1653687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8</xdr:row>
      <xdr:rowOff>0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E484660-548A-40C0-83E2-ECF3C16FB958}"/>
                </a:ext>
              </a:extLst>
            </xdr:cNvPr>
            <xdr:cNvSpPr txBox="1"/>
          </xdr:nvSpPr>
          <xdr:spPr>
            <a:xfrm>
              <a:off x="0" y="165735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CE484660-548A-40C0-83E2-ECF3C16FB958}"/>
                </a:ext>
              </a:extLst>
            </xdr:cNvPr>
            <xdr:cNvSpPr txBox="1"/>
          </xdr:nvSpPr>
          <xdr:spPr>
            <a:xfrm>
              <a:off x="0" y="165735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𝐴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0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0A7EC37-41B8-472E-9903-C0208C9701A0}"/>
                </a:ext>
              </a:extLst>
            </xdr:cNvPr>
            <xdr:cNvSpPr txBox="1"/>
          </xdr:nvSpPr>
          <xdr:spPr>
            <a:xfrm>
              <a:off x="0" y="1897673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E0A7EC37-41B8-472E-9903-C0208C9701A0}"/>
                </a:ext>
              </a:extLst>
            </xdr:cNvPr>
            <xdr:cNvSpPr txBox="1"/>
          </xdr:nvSpPr>
          <xdr:spPr>
            <a:xfrm>
              <a:off x="0" y="1897673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𝐵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4</xdr:col>
      <xdr:colOff>133311</xdr:colOff>
      <xdr:row>1</xdr:row>
      <xdr:rowOff>38859</xdr:rowOff>
    </xdr:from>
    <xdr:ext cx="373672" cy="16851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0608681-EA1E-49D5-90C6-C27666026198}"/>
                </a:ext>
              </a:extLst>
            </xdr:cNvPr>
            <xdr:cNvSpPr txBox="1"/>
          </xdr:nvSpPr>
          <xdr:spPr>
            <a:xfrm>
              <a:off x="3587159" y="237642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A0608681-EA1E-49D5-90C6-C27666026198}"/>
                </a:ext>
              </a:extLst>
            </xdr:cNvPr>
            <xdr:cNvSpPr txBox="1"/>
          </xdr:nvSpPr>
          <xdr:spPr>
            <a:xfrm>
              <a:off x="3587159" y="237642"/>
              <a:ext cx="373672" cy="16851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5</xdr:col>
      <xdr:colOff>127077</xdr:colOff>
      <xdr:row>0</xdr:row>
      <xdr:rowOff>189755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28555CB-FCB3-40E4-9A52-C8D919EAA44E}"/>
                </a:ext>
              </a:extLst>
            </xdr:cNvPr>
            <xdr:cNvSpPr txBox="1"/>
          </xdr:nvSpPr>
          <xdr:spPr>
            <a:xfrm>
              <a:off x="4900783" y="189755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A28555CB-FCB3-40E4-9A52-C8D919EAA44E}"/>
                </a:ext>
              </a:extLst>
            </xdr:cNvPr>
            <xdr:cNvSpPr txBox="1"/>
          </xdr:nvSpPr>
          <xdr:spPr>
            <a:xfrm>
              <a:off x="4900783" y="189755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6</xdr:col>
      <xdr:colOff>151340</xdr:colOff>
      <xdr:row>0</xdr:row>
      <xdr:rowOff>186825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EE83940-DBA9-4929-8119-B2400F390385}"/>
                </a:ext>
              </a:extLst>
            </xdr:cNvPr>
            <xdr:cNvSpPr txBox="1"/>
          </xdr:nvSpPr>
          <xdr:spPr>
            <a:xfrm>
              <a:off x="5539769" y="186825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1" name="TextBox 10">
              <a:extLst>
                <a:ext uri="{FF2B5EF4-FFF2-40B4-BE49-F238E27FC236}">
                  <a16:creationId xmlns:a16="http://schemas.microsoft.com/office/drawing/2014/main" id="{FEE83940-DBA9-4929-8119-B2400F390385}"/>
                </a:ext>
              </a:extLst>
            </xdr:cNvPr>
            <xdr:cNvSpPr txBox="1"/>
          </xdr:nvSpPr>
          <xdr:spPr>
            <a:xfrm>
              <a:off x="5539769" y="186825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7</xdr:col>
      <xdr:colOff>74099</xdr:colOff>
      <xdr:row>0</xdr:row>
      <xdr:rowOff>181538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42998F1-E010-4D01-8E68-2549769B9B26}"/>
                </a:ext>
              </a:extLst>
            </xdr:cNvPr>
            <xdr:cNvSpPr txBox="1"/>
          </xdr:nvSpPr>
          <xdr:spPr>
            <a:xfrm>
              <a:off x="5033725" y="181538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β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42998F1-E010-4D01-8E68-2549769B9B26}"/>
                </a:ext>
              </a:extLst>
            </xdr:cNvPr>
            <xdr:cNvSpPr txBox="1"/>
          </xdr:nvSpPr>
          <xdr:spPr>
            <a:xfrm>
              <a:off x="5033725" y="181538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β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</xdr:row>
      <xdr:rowOff>8058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0B79BDF-71B4-4167-AB9B-E14C87B4B8B8}"/>
                </a:ext>
              </a:extLst>
            </xdr:cNvPr>
            <xdr:cNvSpPr txBox="1"/>
          </xdr:nvSpPr>
          <xdr:spPr>
            <a:xfrm>
              <a:off x="0" y="80669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F0B79BDF-71B4-4167-AB9B-E14C87B4B8B8}"/>
                </a:ext>
              </a:extLst>
            </xdr:cNvPr>
            <xdr:cNvSpPr txBox="1"/>
          </xdr:nvSpPr>
          <xdr:spPr>
            <a:xfrm>
              <a:off x="0" y="80669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3</xdr:row>
      <xdr:rowOff>205153</xdr:rowOff>
    </xdr:from>
    <xdr:ext cx="454268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441D33-FEC9-4E2D-BB21-F10A396FEE77}"/>
                </a:ext>
              </a:extLst>
            </xdr:cNvPr>
            <xdr:cNvSpPr txBox="1"/>
          </xdr:nvSpPr>
          <xdr:spPr>
            <a:xfrm>
              <a:off x="0" y="1003788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ρ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D1441D33-FEC9-4E2D-BB21-F10A396FEE77}"/>
                </a:ext>
              </a:extLst>
            </xdr:cNvPr>
            <xdr:cNvSpPr txBox="1"/>
          </xdr:nvSpPr>
          <xdr:spPr>
            <a:xfrm>
              <a:off x="0" y="1003788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ρ</a:t>
              </a:r>
              <a:r>
                <a:rPr lang="en-US" sz="1400" i="0">
                  <a:latin typeface="Cambria Math" panose="02040503050406030204" pitchFamily="18" charset="0"/>
                </a:rPr>
                <a:t>_(</a:t>
              </a:r>
              <a:r>
                <a:rPr lang="en-US" sz="1400" b="0" i="0">
                  <a:latin typeface="Cambria Math" panose="02040503050406030204" pitchFamily="18" charset="0"/>
                </a:rPr>
                <a:t>𝐴,𝐵)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139213</xdr:colOff>
      <xdr:row>5</xdr:row>
      <xdr:rowOff>19783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2BC89EC-0B7A-485F-8B57-8AC6BA0FE73B}"/>
                </a:ext>
              </a:extLst>
            </xdr:cNvPr>
            <xdr:cNvSpPr txBox="1"/>
          </xdr:nvSpPr>
          <xdr:spPr>
            <a:xfrm>
              <a:off x="139213" y="121993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F2BC89EC-0B7A-485F-8B57-8AC6BA0FE73B}"/>
                </a:ext>
              </a:extLst>
            </xdr:cNvPr>
            <xdr:cNvSpPr txBox="1"/>
          </xdr:nvSpPr>
          <xdr:spPr>
            <a:xfrm>
              <a:off x="139213" y="1219933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6</xdr:row>
      <xdr:rowOff>8058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C0A2E4C-FEF0-4488-8AE7-23224A068FD0}"/>
                </a:ext>
              </a:extLst>
            </xdr:cNvPr>
            <xdr:cNvSpPr txBox="1"/>
          </xdr:nvSpPr>
          <xdr:spPr>
            <a:xfrm>
              <a:off x="0" y="80669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9" name="TextBox 8">
              <a:extLst>
                <a:ext uri="{FF2B5EF4-FFF2-40B4-BE49-F238E27FC236}">
                  <a16:creationId xmlns:a16="http://schemas.microsoft.com/office/drawing/2014/main" id="{0C0A2E4C-FEF0-4488-8AE7-23224A068FD0}"/>
                </a:ext>
              </a:extLst>
            </xdr:cNvPr>
            <xdr:cNvSpPr txBox="1"/>
          </xdr:nvSpPr>
          <xdr:spPr>
            <a:xfrm>
              <a:off x="0" y="80669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7</xdr:row>
      <xdr:rowOff>241789</xdr:rowOff>
    </xdr:from>
    <xdr:ext cx="454268" cy="22519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8E6E341-CB55-4E3E-B05B-78A34B471961}"/>
                </a:ext>
              </a:extLst>
            </xdr:cNvPr>
            <xdr:cNvSpPr txBox="1"/>
          </xdr:nvSpPr>
          <xdr:spPr>
            <a:xfrm>
              <a:off x="0" y="1956289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ρ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𝐴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0" name="TextBox 9">
              <a:extLst>
                <a:ext uri="{FF2B5EF4-FFF2-40B4-BE49-F238E27FC236}">
                  <a16:creationId xmlns:a16="http://schemas.microsoft.com/office/drawing/2014/main" id="{88E6E341-CB55-4E3E-B05B-78A34B471961}"/>
                </a:ext>
              </a:extLst>
            </xdr:cNvPr>
            <xdr:cNvSpPr txBox="1"/>
          </xdr:nvSpPr>
          <xdr:spPr>
            <a:xfrm>
              <a:off x="0" y="1956289"/>
              <a:ext cx="454268" cy="22519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ρ</a:t>
              </a:r>
              <a:r>
                <a:rPr lang="en-US" sz="1400" i="0">
                  <a:latin typeface="Cambria Math" panose="02040503050406030204" pitchFamily="18" charset="0"/>
                </a:rPr>
                <a:t>_(</a:t>
              </a:r>
              <a:r>
                <a:rPr lang="en-US" sz="1400" b="0" i="0">
                  <a:latin typeface="Cambria Math" panose="02040503050406030204" pitchFamily="18" charset="0"/>
                </a:rPr>
                <a:t>𝐴,𝐵)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14653</xdr:colOff>
      <xdr:row>7</xdr:row>
      <xdr:rowOff>12456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7855C1B-47B0-4172-8923-32B734EE3CE7}"/>
                </a:ext>
              </a:extLst>
            </xdr:cNvPr>
            <xdr:cNvSpPr txBox="1"/>
          </xdr:nvSpPr>
          <xdr:spPr>
            <a:xfrm>
              <a:off x="14653" y="1660281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2" name="TextBox 11">
              <a:extLst>
                <a:ext uri="{FF2B5EF4-FFF2-40B4-BE49-F238E27FC236}">
                  <a16:creationId xmlns:a16="http://schemas.microsoft.com/office/drawing/2014/main" id="{07855C1B-47B0-4172-8923-32B734EE3CE7}"/>
                </a:ext>
              </a:extLst>
            </xdr:cNvPr>
            <xdr:cNvSpPr txBox="1"/>
          </xdr:nvSpPr>
          <xdr:spPr>
            <a:xfrm>
              <a:off x="14653" y="1660281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11</xdr:col>
      <xdr:colOff>718038</xdr:colOff>
      <xdr:row>0</xdr:row>
      <xdr:rowOff>364881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9E9DD3B-3017-4E98-ADC3-8D300CA54DEA}"/>
                </a:ext>
              </a:extLst>
            </xdr:cNvPr>
            <xdr:cNvSpPr txBox="1"/>
          </xdr:nvSpPr>
          <xdr:spPr>
            <a:xfrm>
              <a:off x="11774365" y="364881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8" name="TextBox 7">
              <a:extLst>
                <a:ext uri="{FF2B5EF4-FFF2-40B4-BE49-F238E27FC236}">
                  <a16:creationId xmlns:a16="http://schemas.microsoft.com/office/drawing/2014/main" id="{29E9DD3B-3017-4E98-ADC3-8D300CA54DEA}"/>
                </a:ext>
              </a:extLst>
            </xdr:cNvPr>
            <xdr:cNvSpPr txBox="1"/>
          </xdr:nvSpPr>
          <xdr:spPr>
            <a:xfrm>
              <a:off x="11774365" y="364881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176548</xdr:colOff>
      <xdr:row>1</xdr:row>
      <xdr:rowOff>9844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893C0262-8E81-420F-B360-76E6546EDC62}"/>
                </a:ext>
              </a:extLst>
            </xdr:cNvPr>
            <xdr:cNvSpPr txBox="1"/>
          </xdr:nvSpPr>
          <xdr:spPr>
            <a:xfrm>
              <a:off x="12863848" y="392500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65" name="TextBox 64">
              <a:extLst>
                <a:ext uri="{FF2B5EF4-FFF2-40B4-BE49-F238E27FC236}">
                  <a16:creationId xmlns:a16="http://schemas.microsoft.com/office/drawing/2014/main" id="{893C0262-8E81-420F-B360-76E6546EDC62}"/>
                </a:ext>
              </a:extLst>
            </xdr:cNvPr>
            <xdr:cNvSpPr txBox="1"/>
          </xdr:nvSpPr>
          <xdr:spPr>
            <a:xfrm>
              <a:off x="12863848" y="392500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𝑅_𝑃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15</xdr:col>
      <xdr:colOff>194163</xdr:colOff>
      <xdr:row>1</xdr:row>
      <xdr:rowOff>112100</xdr:rowOff>
    </xdr:from>
    <xdr:to>
      <xdr:col>22</xdr:col>
      <xdr:colOff>509220</xdr:colOff>
      <xdr:row>13</xdr:row>
      <xdr:rowOff>151666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488680-4D90-4DD9-BB52-6FFF7A1B52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153867</xdr:colOff>
      <xdr:row>11</xdr:row>
      <xdr:rowOff>5129</xdr:rowOff>
    </xdr:from>
    <xdr:ext cx="270364" cy="22713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EFBEA05-3826-4324-B1AB-C3EF4FD549E5}"/>
                </a:ext>
              </a:extLst>
            </xdr:cNvPr>
            <xdr:cNvSpPr txBox="1"/>
          </xdr:nvSpPr>
          <xdr:spPr>
            <a:xfrm>
              <a:off x="153867" y="2635494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𝑀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BEFBEA05-3826-4324-B1AB-C3EF4FD549E5}"/>
                </a:ext>
              </a:extLst>
            </xdr:cNvPr>
            <xdr:cNvSpPr txBox="1"/>
          </xdr:nvSpPr>
          <xdr:spPr>
            <a:xfrm>
              <a:off x="153867" y="2635494"/>
              <a:ext cx="270364" cy="2271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no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𝑅_𝑀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14652</xdr:colOff>
      <xdr:row>12</xdr:row>
      <xdr:rowOff>12456</xdr:rowOff>
    </xdr:from>
    <xdr:ext cx="542193" cy="23647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E1352DE-B76B-4E86-86C0-35F0FDD98400}"/>
                </a:ext>
              </a:extLst>
            </xdr:cNvPr>
            <xdr:cNvSpPr txBox="1"/>
          </xdr:nvSpPr>
          <xdr:spPr>
            <a:xfrm>
              <a:off x="14652" y="2840648"/>
              <a:ext cx="542193" cy="236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(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𝑀</m:t>
                        </m:r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)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4E1352DE-B76B-4E86-86C0-35F0FDD98400}"/>
                </a:ext>
              </a:extLst>
            </xdr:cNvPr>
            <xdr:cNvSpPr txBox="1"/>
          </xdr:nvSpPr>
          <xdr:spPr>
            <a:xfrm>
              <a:off x="14652" y="2840648"/>
              <a:ext cx="542193" cy="23647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_(</a:t>
              </a:r>
              <a:r>
                <a:rPr lang="en-US" sz="1400" b="0" i="0">
                  <a:latin typeface="Cambria Math" panose="02040503050406030204" pitchFamily="18" charset="0"/>
                </a:rPr>
                <a:t>𝑃(𝑀))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9</xdr:row>
      <xdr:rowOff>197826</xdr:rowOff>
    </xdr:from>
    <xdr:ext cx="321652" cy="1831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78EC5BE-4F8A-4B99-94C0-A5B74888B4BB}"/>
                </a:ext>
              </a:extLst>
            </xdr:cNvPr>
            <xdr:cNvSpPr txBox="1"/>
          </xdr:nvSpPr>
          <xdr:spPr>
            <a:xfrm>
              <a:off x="0" y="2432538"/>
              <a:ext cx="321652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𝑅</m:t>
                        </m:r>
                      </m:e>
                      <m: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𝑓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A78EC5BE-4F8A-4B99-94C0-A5B74888B4BB}"/>
                </a:ext>
              </a:extLst>
            </xdr:cNvPr>
            <xdr:cNvSpPr txBox="1"/>
          </xdr:nvSpPr>
          <xdr:spPr>
            <a:xfrm>
              <a:off x="0" y="2432538"/>
              <a:ext cx="321652" cy="1831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𝑅_𝑓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12</xdr:col>
      <xdr:colOff>143276</xdr:colOff>
      <xdr:row>14</xdr:row>
      <xdr:rowOff>165271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3D7E04-8DD6-4EE5-9B36-5D2C1052B889}"/>
                </a:ext>
              </a:extLst>
            </xdr:cNvPr>
            <xdr:cNvSpPr txBox="1"/>
          </xdr:nvSpPr>
          <xdr:spPr>
            <a:xfrm>
              <a:off x="11777028" y="3440215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983D7E04-8DD6-4EE5-9B36-5D2C1052B889}"/>
                </a:ext>
              </a:extLst>
            </xdr:cNvPr>
            <xdr:cNvSpPr txBox="1"/>
          </xdr:nvSpPr>
          <xdr:spPr>
            <a:xfrm>
              <a:off x="11777028" y="3440215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0</xdr:col>
      <xdr:colOff>0</xdr:colOff>
      <xdr:row>27</xdr:row>
      <xdr:rowOff>146539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C70B1F8-78B7-42C9-91A2-9F96CF5AB754}"/>
                </a:ext>
              </a:extLst>
            </xdr:cNvPr>
            <xdr:cNvSpPr txBox="1"/>
          </xdr:nvSpPr>
          <xdr:spPr>
            <a:xfrm>
              <a:off x="0" y="5634404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6C70B1F8-78B7-42C9-91A2-9F96CF5AB754}"/>
                </a:ext>
              </a:extLst>
            </xdr:cNvPr>
            <xdr:cNvSpPr txBox="1"/>
          </xdr:nvSpPr>
          <xdr:spPr>
            <a:xfrm>
              <a:off x="0" y="5634404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twoCellAnchor>
    <xdr:from>
      <xdr:col>15</xdr:col>
      <xdr:colOff>194163</xdr:colOff>
      <xdr:row>16</xdr:row>
      <xdr:rowOff>24179</xdr:rowOff>
    </xdr:from>
    <xdr:to>
      <xdr:col>22</xdr:col>
      <xdr:colOff>509221</xdr:colOff>
      <xdr:row>29</xdr:row>
      <xdr:rowOff>195629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3AB2796-4765-4EB8-89D1-E15B579370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188844</xdr:colOff>
      <xdr:row>9</xdr:row>
      <xdr:rowOff>34789</xdr:rowOff>
    </xdr:from>
    <xdr:to>
      <xdr:col>11</xdr:col>
      <xdr:colOff>9939</xdr:colOff>
      <xdr:row>24</xdr:row>
      <xdr:rowOff>114303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C9691-CA17-4605-9A11-A96A29225B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8</xdr:col>
      <xdr:colOff>636104</xdr:colOff>
      <xdr:row>1</xdr:row>
      <xdr:rowOff>0</xdr:rowOff>
    </xdr:from>
    <xdr:ext cx="380268" cy="22653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686BDC3-AC7F-45C7-B5A0-D0E3D0EFF315}"/>
                </a:ext>
              </a:extLst>
            </xdr:cNvPr>
            <xdr:cNvSpPr txBox="1"/>
          </xdr:nvSpPr>
          <xdr:spPr>
            <a:xfrm>
              <a:off x="8408504" y="19878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  <m:sup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b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9686BDC3-AC7F-45C7-B5A0-D0E3D0EFF315}"/>
                </a:ext>
              </a:extLst>
            </xdr:cNvPr>
            <xdr:cNvSpPr txBox="1"/>
          </xdr:nvSpPr>
          <xdr:spPr>
            <a:xfrm>
              <a:off x="8408504" y="198783"/>
              <a:ext cx="380268" cy="22653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𝑃^2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9</xdr:col>
      <xdr:colOff>4547</xdr:colOff>
      <xdr:row>2</xdr:row>
      <xdr:rowOff>132491</xdr:rowOff>
    </xdr:from>
    <xdr:ext cx="321652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B312C4B-1BA5-4725-AFA2-0FC97FBBE359}"/>
                </a:ext>
              </a:extLst>
            </xdr:cNvPr>
            <xdr:cNvSpPr txBox="1"/>
          </xdr:nvSpPr>
          <xdr:spPr>
            <a:xfrm>
              <a:off x="8550090" y="95200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FB312C4B-1BA5-4725-AFA2-0FC97FBBE359}"/>
                </a:ext>
              </a:extLst>
            </xdr:cNvPr>
            <xdr:cNvSpPr txBox="1"/>
          </xdr:nvSpPr>
          <xdr:spPr>
            <a:xfrm>
              <a:off x="8550090" y="952000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  <xdr:oneCellAnchor>
    <xdr:from>
      <xdr:col>8</xdr:col>
      <xdr:colOff>626165</xdr:colOff>
      <xdr:row>5</xdr:row>
      <xdr:rowOff>159027</xdr:rowOff>
    </xdr:from>
    <xdr:ext cx="321652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6D44F7C-4A12-4C7E-A8F6-488FC2081382}"/>
                </a:ext>
              </a:extLst>
            </xdr:cNvPr>
            <xdr:cNvSpPr txBox="1"/>
          </xdr:nvSpPr>
          <xdr:spPr>
            <a:xfrm>
              <a:off x="9993796" y="1356692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400" i="1">
                            <a:latin typeface="Cambria Math" panose="02040503050406030204" pitchFamily="18" charset="0"/>
                          </a:rPr>
                          <m:t>σ</m:t>
                        </m:r>
                      </m:e>
                      <m:sub>
                        <m:r>
                          <a:rPr lang="en-US" sz="1400" b="0" i="1">
                            <a:latin typeface="Cambria Math" panose="02040503050406030204" pitchFamily="18" charset="0"/>
                          </a:rPr>
                          <m:t>𝑃</m:t>
                        </m:r>
                      </m:sub>
                    </m:sSub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D6D44F7C-4A12-4C7E-A8F6-488FC2081382}"/>
                </a:ext>
              </a:extLst>
            </xdr:cNvPr>
            <xdr:cNvSpPr txBox="1"/>
          </xdr:nvSpPr>
          <xdr:spPr>
            <a:xfrm>
              <a:off x="9993796" y="1356692"/>
              <a:ext cx="321652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l-GR" sz="1400" i="0">
                  <a:latin typeface="Cambria Math" panose="02040503050406030204" pitchFamily="18" charset="0"/>
                </a:rPr>
                <a:t>σ</a:t>
              </a:r>
              <a:r>
                <a:rPr lang="en-US" sz="1400" i="0">
                  <a:latin typeface="Cambria Math" panose="02040503050406030204" pitchFamily="18" charset="0"/>
                </a:rPr>
                <a:t>_</a:t>
              </a:r>
              <a:r>
                <a:rPr lang="en-US" sz="1400" b="0" i="0">
                  <a:latin typeface="Cambria Math" panose="02040503050406030204" pitchFamily="18" charset="0"/>
                </a:rPr>
                <a:t>𝑃</a:t>
              </a:r>
              <a:endParaRPr lang="en-US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82629-713E-4411-978D-BD70BFDA66BA}">
  <dimension ref="A1:C3"/>
  <sheetViews>
    <sheetView showGridLines="0" zoomScale="160" zoomScaleNormal="160" workbookViewId="0">
      <selection activeCell="C7" sqref="C7"/>
    </sheetView>
  </sheetViews>
  <sheetFormatPr defaultRowHeight="14.3" x14ac:dyDescent="0.25"/>
  <cols>
    <col min="1" max="1" width="7.5" bestFit="1" customWidth="1"/>
    <col min="2" max="2" width="11.5" bestFit="1" customWidth="1"/>
  </cols>
  <sheetData>
    <row r="1" spans="1:3" ht="15.65" x14ac:dyDescent="0.25">
      <c r="A1" s="28" t="s">
        <v>0</v>
      </c>
      <c r="B1" s="109">
        <f>145*47</f>
        <v>6815</v>
      </c>
      <c r="C1" s="13">
        <f>B1/B3</f>
        <v>0.37871631008613504</v>
      </c>
    </row>
    <row r="2" spans="1:3" ht="15.65" x14ac:dyDescent="0.25">
      <c r="A2" s="28" t="s">
        <v>1</v>
      </c>
      <c r="B2" s="109">
        <f>130*86</f>
        <v>11180</v>
      </c>
      <c r="C2" s="13">
        <f>B2/B3</f>
        <v>0.62128368991386496</v>
      </c>
    </row>
    <row r="3" spans="1:3" ht="15.65" x14ac:dyDescent="0.25">
      <c r="A3" s="72" t="s">
        <v>2</v>
      </c>
      <c r="B3" s="109">
        <f>SUM(B1:B2)</f>
        <v>17995</v>
      </c>
      <c r="C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574BB-D627-43B0-824E-1E77FFB6DC7D}">
  <dimension ref="A1:B1"/>
  <sheetViews>
    <sheetView showGridLines="0" zoomScale="160" zoomScaleNormal="160" workbookViewId="0">
      <selection activeCell="C7" sqref="C7"/>
    </sheetView>
  </sheetViews>
  <sheetFormatPr defaultRowHeight="14.3" x14ac:dyDescent="0.25"/>
  <sheetData>
    <row r="1" spans="1:2" ht="15.65" x14ac:dyDescent="0.25">
      <c r="A1" s="28" t="s">
        <v>3</v>
      </c>
      <c r="B1" s="13">
        <f>(3100/(3100+4600))*0.098+(4600/(3100+4600))*0.127</f>
        <v>0.11532467532467533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789A-7951-4CC5-9786-868E00ABDC0A}">
  <dimension ref="A1:B1"/>
  <sheetViews>
    <sheetView showGridLines="0" zoomScale="160" zoomScaleNormal="160" workbookViewId="0">
      <selection activeCell="C7" sqref="C7"/>
    </sheetView>
  </sheetViews>
  <sheetFormatPr defaultRowHeight="14.3" x14ac:dyDescent="0.25"/>
  <sheetData>
    <row r="1" spans="1:2" ht="15.65" x14ac:dyDescent="0.25">
      <c r="A1" s="28" t="s">
        <v>3</v>
      </c>
      <c r="B1" s="13">
        <f>0.2*0.105+0.45*0.161+0.35*0.124</f>
        <v>0.13685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45754-3CF9-4CF2-872F-4D179E5CB6FD}">
  <dimension ref="A1:E3"/>
  <sheetViews>
    <sheetView showGridLines="0" zoomScale="160" zoomScaleNormal="160" workbookViewId="0">
      <selection activeCell="C7" sqref="C7"/>
    </sheetView>
  </sheetViews>
  <sheetFormatPr defaultRowHeight="14.3" x14ac:dyDescent="0.25"/>
  <cols>
    <col min="1" max="1" width="9.5" customWidth="1"/>
    <col min="2" max="2" width="8" bestFit="1" customWidth="1"/>
    <col min="3" max="4" width="20.125" bestFit="1" customWidth="1"/>
    <col min="5" max="5" width="10.5" bestFit="1" customWidth="1"/>
  </cols>
  <sheetData>
    <row r="1" spans="1:5" ht="15.65" x14ac:dyDescent="0.25">
      <c r="A1" s="28" t="s">
        <v>3</v>
      </c>
      <c r="B1" s="13">
        <f>E1*0.127+(1-E1)*0.091</f>
        <v>0.11199999999999999</v>
      </c>
      <c r="D1" s="28" t="s">
        <v>4</v>
      </c>
      <c r="E1" s="110">
        <v>0.58333333333333293</v>
      </c>
    </row>
    <row r="2" spans="1:5" ht="15.65" x14ac:dyDescent="0.25">
      <c r="D2" s="28" t="s">
        <v>5</v>
      </c>
      <c r="E2" s="111">
        <f>10000*E1</f>
        <v>5833.3333333333294</v>
      </c>
    </row>
    <row r="3" spans="1:5" ht="15.65" x14ac:dyDescent="0.25">
      <c r="D3" s="28" t="s">
        <v>6</v>
      </c>
      <c r="E3" s="111">
        <f>(1-E1)*10000</f>
        <v>4166.6666666666706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DC96D-514B-443B-9A1C-AF400E2A152B}">
  <dimension ref="A1:E9"/>
  <sheetViews>
    <sheetView showGridLines="0" zoomScale="160" zoomScaleNormal="160" workbookViewId="0">
      <selection activeCell="E8" sqref="E8"/>
    </sheetView>
  </sheetViews>
  <sheetFormatPr defaultRowHeight="14.3" x14ac:dyDescent="0.25"/>
  <cols>
    <col min="1" max="1" width="10.5" bestFit="1" customWidth="1"/>
    <col min="2" max="2" width="12.625" bestFit="1" customWidth="1"/>
    <col min="3" max="4" width="7.5" bestFit="1" customWidth="1"/>
  </cols>
  <sheetData>
    <row r="1" spans="1:5" ht="15.8" customHeight="1" x14ac:dyDescent="0.25">
      <c r="A1" s="3" t="s">
        <v>12</v>
      </c>
      <c r="B1" s="3"/>
      <c r="C1" s="135" t="s">
        <v>13</v>
      </c>
      <c r="D1" s="135"/>
    </row>
    <row r="2" spans="1:5" ht="31.25" x14ac:dyDescent="0.25">
      <c r="A2" s="4" t="s">
        <v>10</v>
      </c>
      <c r="B2" s="5" t="s">
        <v>11</v>
      </c>
      <c r="C2" s="11" t="s">
        <v>0</v>
      </c>
      <c r="D2" s="11" t="s">
        <v>1</v>
      </c>
    </row>
    <row r="3" spans="1:5" ht="31.25" x14ac:dyDescent="0.25">
      <c r="A3" s="6" t="s">
        <v>7</v>
      </c>
      <c r="B3" s="7">
        <v>0.25</v>
      </c>
      <c r="C3" s="7">
        <v>0.06</v>
      </c>
      <c r="D3" s="8">
        <v>-0.2</v>
      </c>
    </row>
    <row r="4" spans="1:5" ht="15.65" x14ac:dyDescent="0.25">
      <c r="A4" s="6" t="s">
        <v>8</v>
      </c>
      <c r="B4" s="7">
        <v>0.55000000000000004</v>
      </c>
      <c r="C4" s="7">
        <v>7.0000000000000007E-2</v>
      </c>
      <c r="D4" s="9">
        <v>0.13</v>
      </c>
    </row>
    <row r="5" spans="1:5" ht="15.65" x14ac:dyDescent="0.25">
      <c r="A5" s="6" t="s">
        <v>9</v>
      </c>
      <c r="B5" s="7">
        <v>0.2</v>
      </c>
      <c r="C5" s="7">
        <v>0.11</v>
      </c>
      <c r="D5" s="9">
        <v>0.33</v>
      </c>
    </row>
    <row r="6" spans="1:5" ht="15.65" x14ac:dyDescent="0.25">
      <c r="A6" s="28" t="s">
        <v>3</v>
      </c>
      <c r="B6" s="13">
        <f>SUMPRODUCT(B3:B5,C3:C5)</f>
        <v>7.5500000000000012E-2</v>
      </c>
      <c r="C6" s="1"/>
      <c r="D6" s="1"/>
    </row>
    <row r="7" spans="1:5" ht="15.65" x14ac:dyDescent="0.25">
      <c r="A7" s="28" t="s">
        <v>3</v>
      </c>
      <c r="B7" s="13">
        <f>SUMPRODUCT(B3:B5,D3:D5)</f>
        <v>8.7500000000000008E-2</v>
      </c>
      <c r="C7" s="1"/>
      <c r="D7" s="1"/>
    </row>
    <row r="8" spans="1:5" ht="15.65" x14ac:dyDescent="0.25">
      <c r="A8" s="112"/>
      <c r="B8" s="51">
        <f>$B$3*(C$3-B6)^2+$B$4*(C$4-B6)^2+$B$5*(C$5-B6)^2</f>
        <v>3.1474999999999998E-4</v>
      </c>
      <c r="C8" s="51">
        <f>$B$3*(D$3-B7)^2+$B$4*(D$4-B7)^2+$B$5*(D$5-B7)^2</f>
        <v>3.3418750000000004E-2</v>
      </c>
      <c r="D8" s="1"/>
      <c r="E8" s="15"/>
    </row>
    <row r="9" spans="1:5" ht="15.65" x14ac:dyDescent="0.25">
      <c r="A9" s="112"/>
      <c r="B9" s="13">
        <f>SQRT(B$8)</f>
        <v>1.7741194999210171E-2</v>
      </c>
      <c r="C9" s="13">
        <f>SQRT(C$8)</f>
        <v>0.18280795934531954</v>
      </c>
      <c r="D9" s="1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C7D1-3E18-4D88-BE69-A336506A0B29}">
  <dimension ref="A1:D8"/>
  <sheetViews>
    <sheetView showGridLines="0" zoomScale="160" zoomScaleNormal="160" workbookViewId="0">
      <selection activeCell="C7" sqref="C7"/>
    </sheetView>
  </sheetViews>
  <sheetFormatPr defaultRowHeight="14.3" x14ac:dyDescent="0.25"/>
  <cols>
    <col min="1" max="1" width="15.875" bestFit="1" customWidth="1"/>
    <col min="2" max="2" width="10" bestFit="1" customWidth="1"/>
    <col min="3" max="3" width="28.875" bestFit="1" customWidth="1"/>
    <col min="4" max="4" width="9.375" bestFit="1" customWidth="1"/>
  </cols>
  <sheetData>
    <row r="1" spans="1:4" ht="16.5" customHeight="1" x14ac:dyDescent="0.3">
      <c r="A1" s="31" t="s">
        <v>10</v>
      </c>
      <c r="B1" s="5" t="s">
        <v>97</v>
      </c>
      <c r="C1" s="3" t="s">
        <v>13</v>
      </c>
      <c r="D1" s="16"/>
    </row>
    <row r="2" spans="1:4" ht="15.65" x14ac:dyDescent="0.25">
      <c r="A2" s="18" t="s">
        <v>14</v>
      </c>
      <c r="B2" s="10">
        <v>0.15</v>
      </c>
      <c r="C2" s="22">
        <v>-0.14799999999999999</v>
      </c>
      <c r="D2" s="21">
        <f>$B2*($C2-$B$6)^2</f>
        <v>8.8427760000000001E-3</v>
      </c>
    </row>
    <row r="3" spans="1:4" ht="15.65" x14ac:dyDescent="0.25">
      <c r="A3" s="18" t="s">
        <v>7</v>
      </c>
      <c r="B3" s="10">
        <v>0.3</v>
      </c>
      <c r="C3" s="22">
        <v>3.1E-2</v>
      </c>
      <c r="D3" s="21">
        <f>$B3*($C3-$B$6)^2</f>
        <v>1.2211320000000004E-3</v>
      </c>
    </row>
    <row r="4" spans="1:4" ht="15.65" x14ac:dyDescent="0.25">
      <c r="A4" s="18" t="s">
        <v>8</v>
      </c>
      <c r="B4" s="10">
        <v>0.45</v>
      </c>
      <c r="C4" s="22">
        <v>0.16200000000000001</v>
      </c>
      <c r="D4" s="21">
        <f>$B4*($C4-$B$6)^2</f>
        <v>2.0321279999999998E-3</v>
      </c>
    </row>
    <row r="5" spans="1:4" ht="15.65" x14ac:dyDescent="0.25">
      <c r="A5" s="18" t="s">
        <v>9</v>
      </c>
      <c r="B5" s="10">
        <v>0.1</v>
      </c>
      <c r="C5" s="22">
        <v>0.34799999999999998</v>
      </c>
      <c r="D5" s="21">
        <f>$B5*($C5-$B$6)^2</f>
        <v>6.4110239999999987E-3</v>
      </c>
    </row>
    <row r="6" spans="1:4" ht="15.65" x14ac:dyDescent="0.25">
      <c r="A6" s="28" t="s">
        <v>3</v>
      </c>
      <c r="B6" s="13">
        <f>SUMPRODUCT(B2:B5,C2:C5)</f>
        <v>9.4800000000000009E-2</v>
      </c>
      <c r="D6" s="19"/>
    </row>
    <row r="7" spans="1:4" ht="15.65" x14ac:dyDescent="0.25">
      <c r="A7" s="112"/>
      <c r="B7" s="51">
        <f>B2*(C2-B6)^2+B3*(C3-B6)^2+B4*(C4-B6)^2+B5*(C5-B6)^2</f>
        <v>1.8507059999999999E-2</v>
      </c>
    </row>
    <row r="8" spans="1:4" ht="15.65" x14ac:dyDescent="0.25">
      <c r="A8" s="112"/>
      <c r="B8" s="13">
        <f>SQRT(B7)</f>
        <v>0.13604065568792292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01DA7-7BAF-4FB4-8FFD-E096C5B71625}">
  <dimension ref="A1:B1"/>
  <sheetViews>
    <sheetView showGridLines="0" zoomScale="160" zoomScaleNormal="160" workbookViewId="0">
      <selection activeCell="C2" sqref="C2"/>
    </sheetView>
  </sheetViews>
  <sheetFormatPr defaultRowHeight="14.3" x14ac:dyDescent="0.25"/>
  <cols>
    <col min="1" max="1" width="5.5" bestFit="1" customWidth="1"/>
    <col min="2" max="2" width="6.75" bestFit="1" customWidth="1"/>
  </cols>
  <sheetData>
    <row r="1" spans="1:2" ht="15.65" x14ac:dyDescent="0.25">
      <c r="A1" s="28" t="s">
        <v>3</v>
      </c>
      <c r="B1" s="13">
        <f>0.15*0.09+0.6*0.11+0.25*0.14</f>
        <v>0.1145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FF13B-DAFA-4276-BDAD-0A9EC2988CF0}">
  <dimension ref="A1:J4"/>
  <sheetViews>
    <sheetView showGridLines="0" zoomScale="160" zoomScaleNormal="160" workbookViewId="0">
      <selection activeCell="C1" sqref="C1"/>
    </sheetView>
  </sheetViews>
  <sheetFormatPr defaultRowHeight="14.3" x14ac:dyDescent="0.25"/>
  <cols>
    <col min="1" max="1" width="10.375" bestFit="1" customWidth="1"/>
    <col min="2" max="2" width="12.625" bestFit="1" customWidth="1"/>
    <col min="3" max="5" width="7.5" bestFit="1" customWidth="1"/>
    <col min="6" max="9" width="6.75" bestFit="1" customWidth="1"/>
    <col min="10" max="10" width="8.5" bestFit="1" customWidth="1"/>
  </cols>
  <sheetData>
    <row r="1" spans="1:10" ht="15.8" customHeight="1" x14ac:dyDescent="0.25">
      <c r="A1" s="3" t="s">
        <v>12</v>
      </c>
      <c r="B1" s="3"/>
      <c r="C1" s="135" t="s">
        <v>13</v>
      </c>
      <c r="D1" s="135"/>
      <c r="E1" s="135"/>
      <c r="F1" s="191" t="s">
        <v>18</v>
      </c>
      <c r="G1" s="191"/>
      <c r="H1" s="191" t="s">
        <v>19</v>
      </c>
      <c r="I1" s="191"/>
      <c r="J1" s="191"/>
    </row>
    <row r="2" spans="1:10" ht="31.25" x14ac:dyDescent="0.25">
      <c r="A2" s="40" t="s">
        <v>10</v>
      </c>
      <c r="B2" s="11" t="s">
        <v>11</v>
      </c>
      <c r="C2" s="11" t="s">
        <v>0</v>
      </c>
      <c r="D2" s="11" t="s">
        <v>1</v>
      </c>
      <c r="E2" s="11" t="s">
        <v>16</v>
      </c>
      <c r="F2" s="23"/>
      <c r="G2" s="24" t="s">
        <v>3</v>
      </c>
      <c r="H2" s="23"/>
      <c r="I2" s="24" t="s">
        <v>3</v>
      </c>
      <c r="J2" s="20"/>
    </row>
    <row r="3" spans="1:10" ht="15.65" x14ac:dyDescent="0.25">
      <c r="A3" s="6" t="s">
        <v>9</v>
      </c>
      <c r="B3" s="7">
        <v>0.75</v>
      </c>
      <c r="C3" s="7">
        <v>0.06</v>
      </c>
      <c r="D3" s="9">
        <v>0.16</v>
      </c>
      <c r="E3" s="9">
        <v>0.33</v>
      </c>
      <c r="F3" s="136">
        <f>SUM($C3:$E3)/3</f>
        <v>0.18333333333333335</v>
      </c>
      <c r="G3" s="137">
        <f>SUMPRODUCT($B$3:$B$4,$F$3:$F$4)</f>
        <v>0.14583333333333334</v>
      </c>
      <c r="H3" s="136">
        <f>0.2*$C3+0.2*$D3+0.6*$E3</f>
        <v>0.24199999999999999</v>
      </c>
      <c r="I3" s="137">
        <f>SUMPRODUCT($B$3:$B$4,$H$3:$H$4)</f>
        <v>0.18049999999999999</v>
      </c>
      <c r="J3" s="138">
        <f>B3*(H3-I3)^2+B4*(H4-I3)^2</f>
        <v>1.1346749999999999E-2</v>
      </c>
    </row>
    <row r="4" spans="1:10" ht="15.65" x14ac:dyDescent="0.25">
      <c r="A4" s="6" t="s">
        <v>17</v>
      </c>
      <c r="B4" s="7">
        <v>0.25</v>
      </c>
      <c r="C4" s="7">
        <v>0.14000000000000001</v>
      </c>
      <c r="D4" s="9">
        <v>0.02</v>
      </c>
      <c r="E4" s="9">
        <v>-0.06</v>
      </c>
      <c r="F4" s="139">
        <f>SUM($C4:$E4)/3</f>
        <v>3.3333333333333333E-2</v>
      </c>
      <c r="G4" s="140"/>
      <c r="H4" s="139">
        <f>0.2*$C4+0.2*$D4+0.6*$E4</f>
        <v>-3.9999999999999966E-3</v>
      </c>
      <c r="I4" s="140"/>
      <c r="J4" s="141"/>
    </row>
  </sheetData>
  <mergeCells count="2">
    <mergeCell ref="F1:G1"/>
    <mergeCell ref="H1:J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8FF5D-B526-4DD3-B00E-D8281BC179F3}">
  <dimension ref="A1:I6"/>
  <sheetViews>
    <sheetView showGridLines="0" zoomScale="160" zoomScaleNormal="160" workbookViewId="0">
      <selection activeCell="D8" sqref="D8"/>
    </sheetView>
  </sheetViews>
  <sheetFormatPr defaultRowHeight="14.3" x14ac:dyDescent="0.25"/>
  <cols>
    <col min="1" max="1" width="9" bestFit="1" customWidth="1"/>
    <col min="2" max="2" width="12.125" bestFit="1" customWidth="1"/>
    <col min="3" max="4" width="7.5" bestFit="1" customWidth="1"/>
    <col min="5" max="5" width="14" customWidth="1"/>
    <col min="6" max="6" width="6.375" bestFit="1" customWidth="1"/>
    <col min="7" max="7" width="5.75" bestFit="1" customWidth="1"/>
    <col min="8" max="8" width="11" bestFit="1" customWidth="1"/>
    <col min="9" max="9" width="6.75" bestFit="1" customWidth="1"/>
  </cols>
  <sheetData>
    <row r="1" spans="1:9" ht="30.75" customHeight="1" x14ac:dyDescent="0.25">
      <c r="A1" s="27" t="s">
        <v>20</v>
      </c>
      <c r="B1" s="11" t="s">
        <v>15</v>
      </c>
      <c r="C1" s="142" t="s">
        <v>13</v>
      </c>
      <c r="D1" s="142"/>
      <c r="E1" s="142"/>
      <c r="F1" s="191" t="s">
        <v>18</v>
      </c>
      <c r="G1" s="191"/>
      <c r="H1" s="191" t="s">
        <v>19</v>
      </c>
      <c r="I1" s="191"/>
    </row>
    <row r="2" spans="1:9" ht="18" customHeight="1" x14ac:dyDescent="0.25">
      <c r="A2" s="17"/>
      <c r="B2" s="5"/>
      <c r="C2" s="5" t="s">
        <v>24</v>
      </c>
      <c r="D2" s="5" t="s">
        <v>23</v>
      </c>
      <c r="E2" s="5" t="s">
        <v>16</v>
      </c>
      <c r="F2" s="28"/>
      <c r="G2" s="24" t="s">
        <v>3</v>
      </c>
      <c r="H2" s="28"/>
      <c r="I2" s="28"/>
    </row>
    <row r="3" spans="1:9" ht="15.65" x14ac:dyDescent="0.25">
      <c r="A3" s="25" t="s">
        <v>9</v>
      </c>
      <c r="B3" s="7">
        <v>0.2</v>
      </c>
      <c r="C3" s="26">
        <v>0.24</v>
      </c>
      <c r="D3" s="26">
        <v>0.45</v>
      </c>
      <c r="E3" s="26">
        <v>0.33</v>
      </c>
      <c r="F3" s="29">
        <f>0.3*C3+0.4*D3+0.3*E3</f>
        <v>0.35099999999999998</v>
      </c>
      <c r="G3" s="30">
        <f>SUMPRODUCT(B3:B6,F3:F6)</f>
        <v>8.3900000000000002E-2</v>
      </c>
      <c r="H3" s="28">
        <f>B3*(F3-G3)^2+B4*(F4-G3)^2+B5*(F5-G3)^2+B6*(F6-G3)^2</f>
        <v>2.3845990000000008E-2</v>
      </c>
      <c r="I3" s="13">
        <f>SQRT(H3)</f>
        <v>0.1544214687146836</v>
      </c>
    </row>
    <row r="4" spans="1:9" ht="15.65" x14ac:dyDescent="0.25">
      <c r="A4" s="25" t="s">
        <v>21</v>
      </c>
      <c r="B4" s="7">
        <v>0.35</v>
      </c>
      <c r="C4" s="8">
        <v>0.09</v>
      </c>
      <c r="D4" s="8">
        <v>0.1</v>
      </c>
      <c r="E4" s="8">
        <v>0.15</v>
      </c>
      <c r="F4" s="29">
        <f t="shared" ref="F4:F6" si="0">0.3*C4+0.4*D4+0.3*E4</f>
        <v>0.112</v>
      </c>
      <c r="G4" s="1"/>
      <c r="H4" s="1"/>
      <c r="I4" s="1"/>
    </row>
    <row r="5" spans="1:9" ht="15.65" x14ac:dyDescent="0.25">
      <c r="A5" s="25" t="s">
        <v>22</v>
      </c>
      <c r="B5" s="7">
        <v>0.4</v>
      </c>
      <c r="C5" s="8">
        <v>0.03</v>
      </c>
      <c r="D5" s="8">
        <v>-0.1</v>
      </c>
      <c r="E5" s="8">
        <v>-0.05</v>
      </c>
      <c r="F5" s="29">
        <f t="shared" si="0"/>
        <v>-4.6000000000000006E-2</v>
      </c>
      <c r="G5" s="1"/>
      <c r="H5" s="1"/>
      <c r="I5" s="1"/>
    </row>
    <row r="6" spans="1:9" ht="15.65" x14ac:dyDescent="0.25">
      <c r="A6" s="25" t="s">
        <v>17</v>
      </c>
      <c r="B6" s="7">
        <v>0.05</v>
      </c>
      <c r="C6" s="8">
        <v>-0.05</v>
      </c>
      <c r="D6" s="8">
        <v>-0.25</v>
      </c>
      <c r="E6" s="8">
        <v>-0.09</v>
      </c>
      <c r="F6" s="29">
        <f t="shared" si="0"/>
        <v>-0.14200000000000002</v>
      </c>
      <c r="G6" s="1"/>
      <c r="H6" s="1"/>
      <c r="I6" s="1"/>
    </row>
  </sheetData>
  <mergeCells count="2">
    <mergeCell ref="F1:G1"/>
    <mergeCell ref="H1:I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315D-8778-4648-910B-48C3D26354B4}">
  <dimension ref="A1:B1"/>
  <sheetViews>
    <sheetView showGridLines="0" zoomScale="160" zoomScaleNormal="160" workbookViewId="0">
      <selection activeCell="C7" sqref="C7"/>
    </sheetView>
  </sheetViews>
  <sheetFormatPr defaultRowHeight="14.3" x14ac:dyDescent="0.25"/>
  <cols>
    <col min="2" max="2" width="4.875" bestFit="1" customWidth="1"/>
  </cols>
  <sheetData>
    <row r="1" spans="1:2" ht="18.850000000000001" customHeight="1" x14ac:dyDescent="0.25">
      <c r="A1" s="28"/>
      <c r="B1" s="113">
        <f>0.2*0.75+0.3*1.9+0.15*1.38+0.35*1.16</f>
        <v>1.333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9D85F-1B63-431D-884D-7AEAEA8FA8BE}">
  <dimension ref="A1:F1"/>
  <sheetViews>
    <sheetView showGridLines="0" zoomScale="160" zoomScaleNormal="160" workbookViewId="0">
      <selection activeCell="B1" sqref="B1"/>
    </sheetView>
  </sheetViews>
  <sheetFormatPr defaultRowHeight="14.3" x14ac:dyDescent="0.25"/>
  <cols>
    <col min="2" max="2" width="5.625" customWidth="1"/>
    <col min="6" max="6" width="4.875" bestFit="1" customWidth="1"/>
  </cols>
  <sheetData>
    <row r="1" spans="1:6" ht="20.05" customHeight="1" x14ac:dyDescent="0.25">
      <c r="A1" s="28"/>
      <c r="B1" s="113">
        <f>(1/3)*0+(1/3)*1.34+(1/3)*F1</f>
        <v>1</v>
      </c>
      <c r="E1" s="20"/>
      <c r="F1" s="113">
        <v>1.6600000000000001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DCCA6-4F02-42B2-9FD5-41F8FCBCF8D8}">
  <dimension ref="A1:B1"/>
  <sheetViews>
    <sheetView showGridLines="0" zoomScale="160" zoomScaleNormal="160" workbookViewId="0">
      <selection sqref="A1:B1048576"/>
    </sheetView>
  </sheetViews>
  <sheetFormatPr defaultRowHeight="14.3" x14ac:dyDescent="0.25"/>
  <sheetData>
    <row r="1" spans="1:2" ht="15.65" x14ac:dyDescent="0.25">
      <c r="A1" s="28" t="s">
        <v>25</v>
      </c>
      <c r="B1" s="29">
        <f>0.038+1.15*(0.111-0.038)</f>
        <v>0.12195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D43B-FA24-48F7-A53E-7910CC6B49C8}">
  <dimension ref="A1:E1"/>
  <sheetViews>
    <sheetView showGridLines="0" zoomScale="160" zoomScaleNormal="160" workbookViewId="0">
      <selection activeCell="C7" sqref="C7"/>
    </sheetView>
  </sheetViews>
  <sheetFormatPr defaultRowHeight="14.3" x14ac:dyDescent="0.25"/>
  <cols>
    <col min="5" max="5" width="4.875" bestFit="1" customWidth="1"/>
  </cols>
  <sheetData>
    <row r="1" spans="1:5" ht="20.05" customHeight="1" x14ac:dyDescent="0.25">
      <c r="A1" s="28" t="s">
        <v>25</v>
      </c>
      <c r="B1" s="29">
        <f>0.038+E1*(0.07)</f>
        <v>0.10400000000000001</v>
      </c>
      <c r="D1" s="20"/>
      <c r="E1" s="113">
        <v>0.94285714285714284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2933-F13E-410F-9595-4F4804FE6392}">
  <dimension ref="A1:E1"/>
  <sheetViews>
    <sheetView showGridLines="0" zoomScale="160" zoomScaleNormal="160" workbookViewId="0">
      <selection activeCell="C7" sqref="C7"/>
    </sheetView>
  </sheetViews>
  <sheetFormatPr defaultRowHeight="14.3" x14ac:dyDescent="0.25"/>
  <cols>
    <col min="2" max="2" width="7" bestFit="1" customWidth="1"/>
  </cols>
  <sheetData>
    <row r="1" spans="1:5" ht="15.65" x14ac:dyDescent="0.25">
      <c r="A1" s="28" t="s">
        <v>25</v>
      </c>
      <c r="B1" s="29">
        <f>0.042+1.2*(E1-0.042)</f>
        <v>0.127</v>
      </c>
      <c r="D1" s="28" t="s">
        <v>25</v>
      </c>
      <c r="E1" s="13">
        <v>0.11283333333333333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4AA72-5952-4705-8CF8-CE5B2623FE80}">
  <dimension ref="A1:E1"/>
  <sheetViews>
    <sheetView showGridLines="0" zoomScale="160" zoomScaleNormal="160" workbookViewId="0">
      <selection activeCell="B1" sqref="B1"/>
    </sheetView>
  </sheetViews>
  <sheetFormatPr defaultRowHeight="14.3" x14ac:dyDescent="0.25"/>
  <cols>
    <col min="2" max="2" width="7" bestFit="1" customWidth="1"/>
    <col min="5" max="5" width="5.875" bestFit="1" customWidth="1"/>
  </cols>
  <sheetData>
    <row r="1" spans="1:5" ht="20.75" customHeight="1" x14ac:dyDescent="0.25">
      <c r="A1" s="28" t="s">
        <v>25</v>
      </c>
      <c r="B1" s="13">
        <f>E1+0.9*(0.118-E1)</f>
        <v>0.10900000000000003</v>
      </c>
      <c r="D1" s="20"/>
      <c r="E1" s="29">
        <v>2.800000000000033E-2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7A4E2-D34E-4255-99EE-9C0625DFD88B}">
  <dimension ref="A1:F6"/>
  <sheetViews>
    <sheetView showGridLines="0" zoomScale="160" zoomScaleNormal="160" workbookViewId="0">
      <selection activeCell="C7" sqref="C7"/>
    </sheetView>
  </sheetViews>
  <sheetFormatPr defaultRowHeight="14.3" x14ac:dyDescent="0.25"/>
  <cols>
    <col min="1" max="1" width="2.625" bestFit="1" customWidth="1"/>
    <col min="3" max="3" width="7" bestFit="1" customWidth="1"/>
    <col min="6" max="6" width="7" bestFit="1" customWidth="1"/>
  </cols>
  <sheetData>
    <row r="1" spans="1:6" ht="15.65" x14ac:dyDescent="0.25">
      <c r="A1" s="2" t="s">
        <v>18</v>
      </c>
      <c r="B1" s="112" t="s">
        <v>3</v>
      </c>
      <c r="C1" s="29">
        <f>(0.116+0.036)/2</f>
        <v>7.5999999999999998E-2</v>
      </c>
      <c r="D1" s="1"/>
      <c r="E1" s="28"/>
      <c r="F1" s="53">
        <v>0.46296296296296291</v>
      </c>
    </row>
    <row r="2" spans="1:6" ht="20.399999999999999" customHeight="1" x14ac:dyDescent="0.25">
      <c r="A2" s="2" t="s">
        <v>19</v>
      </c>
      <c r="B2" s="28"/>
      <c r="C2" s="113">
        <f>F1*1.08+(1-F1)*0</f>
        <v>0.5</v>
      </c>
      <c r="D2" s="1"/>
      <c r="E2" s="28"/>
      <c r="F2" s="53">
        <f>1-F1</f>
        <v>0.53703703703703709</v>
      </c>
    </row>
    <row r="3" spans="1:6" ht="17.350000000000001" customHeight="1" x14ac:dyDescent="0.25">
      <c r="A3" s="2" t="s">
        <v>26</v>
      </c>
      <c r="B3" s="112" t="s">
        <v>3</v>
      </c>
      <c r="C3" s="29">
        <f>F3*0.116+(1-F3)*0.036</f>
        <v>0.10499999999999998</v>
      </c>
      <c r="D3" s="1"/>
      <c r="E3" s="28"/>
      <c r="F3" s="53">
        <v>0.86249999999999971</v>
      </c>
    </row>
    <row r="4" spans="1:6" ht="15.65" x14ac:dyDescent="0.25">
      <c r="A4" s="2"/>
      <c r="B4" s="28"/>
      <c r="C4" s="115">
        <f>F3*1.08+(1-F3)*0</f>
        <v>0.93149999999999977</v>
      </c>
      <c r="D4" s="1"/>
      <c r="E4" s="28"/>
      <c r="F4" s="28">
        <v>2</v>
      </c>
    </row>
    <row r="5" spans="1:6" ht="21.1" customHeight="1" x14ac:dyDescent="0.25">
      <c r="A5" s="2" t="s">
        <v>27</v>
      </c>
      <c r="B5" s="28"/>
      <c r="C5" s="113">
        <f>F4*1.08+(1-F4)*0</f>
        <v>2.16</v>
      </c>
      <c r="D5" s="1"/>
      <c r="E5" s="28"/>
      <c r="F5" s="114">
        <f>1-F4</f>
        <v>-1</v>
      </c>
    </row>
    <row r="6" spans="1:6" ht="15.65" x14ac:dyDescent="0.25">
      <c r="B6" s="1"/>
      <c r="C6" s="1"/>
      <c r="D6" s="1"/>
      <c r="E6" s="1"/>
      <c r="F6" s="1"/>
    </row>
  </sheetData>
  <pageMargins left="0.7" right="0.7" top="0.75" bottom="0.75" header="0.3" footer="0.3"/>
  <ignoredErrors>
    <ignoredError sqref="C3" formula="1"/>
  </ignoredError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86BEA-C7C4-44DD-9032-93B3D6E836AB}">
  <dimension ref="A1:D11"/>
  <sheetViews>
    <sheetView showGridLines="0" topLeftCell="C1" zoomScale="160" zoomScaleNormal="160" workbookViewId="0">
      <selection activeCell="K10" sqref="K10"/>
    </sheetView>
  </sheetViews>
  <sheetFormatPr defaultRowHeight="14.3" x14ac:dyDescent="0.25"/>
  <cols>
    <col min="1" max="1" width="20" customWidth="1"/>
    <col min="2" max="2" width="11.5" customWidth="1"/>
  </cols>
  <sheetData>
    <row r="1" spans="1:4" ht="46.9" x14ac:dyDescent="0.25">
      <c r="A1" s="118" t="s">
        <v>29</v>
      </c>
      <c r="B1" s="119" t="s">
        <v>30</v>
      </c>
      <c r="C1" s="118" t="s">
        <v>28</v>
      </c>
      <c r="D1" s="33"/>
    </row>
    <row r="2" spans="1:4" ht="15.65" x14ac:dyDescent="0.25">
      <c r="A2" s="120">
        <v>0</v>
      </c>
      <c r="B2" s="116">
        <f>$A2*0.123+(1-$A2)*0.04</f>
        <v>0.04</v>
      </c>
      <c r="C2" s="121">
        <f>$A2*1.2+(1-$A2)*0</f>
        <v>0</v>
      </c>
      <c r="D2" s="32"/>
    </row>
    <row r="3" spans="1:4" ht="15.65" x14ac:dyDescent="0.25">
      <c r="A3" s="120">
        <v>0.25</v>
      </c>
      <c r="B3" s="117">
        <f t="shared" ref="B3:B8" si="0">$A3*0.123+(1-$A3)*0.04</f>
        <v>6.0749999999999998E-2</v>
      </c>
      <c r="C3" s="122">
        <f t="shared" ref="C3:C8" si="1">$A3*1.2+(1-$A3)*0</f>
        <v>0.3</v>
      </c>
    </row>
    <row r="4" spans="1:4" ht="15.65" x14ac:dyDescent="0.25">
      <c r="A4" s="120">
        <v>0.5</v>
      </c>
      <c r="B4" s="117">
        <f t="shared" si="0"/>
        <v>8.1500000000000003E-2</v>
      </c>
      <c r="C4" s="122">
        <f t="shared" si="1"/>
        <v>0.6</v>
      </c>
    </row>
    <row r="5" spans="1:4" ht="15.65" x14ac:dyDescent="0.25">
      <c r="A5" s="120">
        <v>0.75</v>
      </c>
      <c r="B5" s="117">
        <f t="shared" si="0"/>
        <v>0.10224999999999999</v>
      </c>
      <c r="C5" s="122">
        <f t="shared" si="1"/>
        <v>0.89999999999999991</v>
      </c>
    </row>
    <row r="6" spans="1:4" ht="15.65" x14ac:dyDescent="0.25">
      <c r="A6" s="120">
        <v>1</v>
      </c>
      <c r="B6" s="117">
        <f t="shared" si="0"/>
        <v>0.123</v>
      </c>
      <c r="C6" s="122">
        <f t="shared" si="1"/>
        <v>1.2</v>
      </c>
    </row>
    <row r="7" spans="1:4" ht="15.65" x14ac:dyDescent="0.25">
      <c r="A7" s="120">
        <v>1.25</v>
      </c>
      <c r="B7" s="117">
        <f t="shared" si="0"/>
        <v>0.14374999999999999</v>
      </c>
      <c r="C7" s="122">
        <f t="shared" si="1"/>
        <v>1.5</v>
      </c>
    </row>
    <row r="8" spans="1:4" ht="15.65" x14ac:dyDescent="0.25">
      <c r="A8" s="120">
        <v>1.5</v>
      </c>
      <c r="B8" s="117">
        <f t="shared" si="0"/>
        <v>0.16450000000000001</v>
      </c>
      <c r="C8" s="122">
        <f t="shared" si="1"/>
        <v>1.7999999999999998</v>
      </c>
    </row>
    <row r="10" spans="1:4" ht="15.65" x14ac:dyDescent="0.25">
      <c r="A10" s="112" t="s">
        <v>25</v>
      </c>
      <c r="B10" s="29">
        <f>0.04+1.2*(B11)</f>
        <v>0.12299999999999997</v>
      </c>
    </row>
    <row r="11" spans="1:4" ht="15.65" x14ac:dyDescent="0.25">
      <c r="A11" s="72" t="s">
        <v>31</v>
      </c>
      <c r="B11" s="13">
        <v>6.916666666666664E-2</v>
      </c>
    </row>
  </sheetData>
  <conditionalFormatting sqref="B2:B8">
    <cfRule type="colorScale" priority="2">
      <colorScale>
        <cfvo type="min"/>
        <cfvo type="max"/>
        <color rgb="FFFFEF9C"/>
        <color rgb="FF63BE7B"/>
      </colorScale>
    </cfRule>
  </conditionalFormatting>
  <conditionalFormatting sqref="C2:C8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20729-61AA-4529-8AB9-737FF4318C91}">
  <dimension ref="A1:H8"/>
  <sheetViews>
    <sheetView showGridLines="0" zoomScale="160" zoomScaleNormal="160" workbookViewId="0">
      <selection activeCell="D2" sqref="D2"/>
    </sheetView>
  </sheetViews>
  <sheetFormatPr defaultRowHeight="14.3" x14ac:dyDescent="0.25"/>
  <sheetData>
    <row r="1" spans="1:8" ht="15.65" x14ac:dyDescent="0.25">
      <c r="A1" s="145"/>
      <c r="B1" s="147" t="s">
        <v>28</v>
      </c>
      <c r="C1" s="147" t="s">
        <v>99</v>
      </c>
      <c r="D1" s="147" t="s">
        <v>62</v>
      </c>
      <c r="E1" s="145"/>
      <c r="F1" s="148" t="s">
        <v>101</v>
      </c>
      <c r="G1" s="149">
        <v>4.4999999999999998E-2</v>
      </c>
      <c r="H1" s="145"/>
    </row>
    <row r="2" spans="1:8" ht="15.65" x14ac:dyDescent="0.25">
      <c r="A2" s="148" t="s">
        <v>98</v>
      </c>
      <c r="B2" s="148">
        <v>1.1499999999999999</v>
      </c>
      <c r="C2" s="149">
        <v>0.11799999999999999</v>
      </c>
      <c r="D2" s="149">
        <f>$G$1+$B2*($G$2)</f>
        <v>0.12664999999999998</v>
      </c>
      <c r="E2" s="145"/>
      <c r="F2" s="148" t="s">
        <v>31</v>
      </c>
      <c r="G2" s="149">
        <v>7.0999999999999994E-2</v>
      </c>
      <c r="H2" s="145"/>
    </row>
    <row r="3" spans="1:8" ht="15.65" x14ac:dyDescent="0.25">
      <c r="A3" s="148" t="s">
        <v>100</v>
      </c>
      <c r="B3" s="148">
        <v>0.85</v>
      </c>
      <c r="C3" s="149">
        <v>0.107</v>
      </c>
      <c r="D3" s="149">
        <f>$G$1+$B3*($G$2)</f>
        <v>0.10535</v>
      </c>
      <c r="E3" s="145"/>
      <c r="F3" s="145"/>
      <c r="G3" s="146"/>
      <c r="H3" s="145"/>
    </row>
    <row r="6" spans="1:8" x14ac:dyDescent="0.25">
      <c r="A6" s="144"/>
    </row>
    <row r="7" spans="1:8" x14ac:dyDescent="0.25">
      <c r="A7" s="144"/>
    </row>
    <row r="8" spans="1:8" x14ac:dyDescent="0.25">
      <c r="A8" s="14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352CC-60DB-4733-80C8-2461F679EAAF}">
  <dimension ref="A1:P5"/>
  <sheetViews>
    <sheetView showGridLines="0" zoomScale="160" zoomScaleNormal="160" workbookViewId="0">
      <selection activeCell="D5" sqref="D5"/>
    </sheetView>
  </sheetViews>
  <sheetFormatPr defaultRowHeight="14.3" x14ac:dyDescent="0.25"/>
  <cols>
    <col min="1" max="1" width="12.125" customWidth="1"/>
    <col min="2" max="2" width="19" customWidth="1"/>
    <col min="3" max="3" width="8.875" customWidth="1"/>
    <col min="4" max="4" width="11.375" customWidth="1"/>
    <col min="5" max="5" width="12.125" customWidth="1"/>
    <col min="10" max="10" width="7" bestFit="1" customWidth="1"/>
    <col min="11" max="11" width="11.875" bestFit="1" customWidth="1"/>
    <col min="12" max="12" width="11.875" customWidth="1"/>
    <col min="13" max="13" width="15.5" bestFit="1" customWidth="1"/>
    <col min="14" max="14" width="12.5" customWidth="1"/>
    <col min="15" max="15" width="12.625" customWidth="1"/>
    <col min="16" max="16" width="14.375" customWidth="1"/>
  </cols>
  <sheetData>
    <row r="1" spans="1:16" ht="15.65" customHeight="1" x14ac:dyDescent="0.25">
      <c r="A1" s="151"/>
      <c r="B1" s="151" t="s">
        <v>102</v>
      </c>
      <c r="C1" s="152"/>
      <c r="D1" s="152"/>
      <c r="E1" s="152"/>
      <c r="F1" s="191" t="s">
        <v>18</v>
      </c>
      <c r="G1" s="191"/>
      <c r="H1" s="191"/>
      <c r="I1" s="191"/>
      <c r="J1" s="39" t="s">
        <v>19</v>
      </c>
      <c r="K1" s="192" t="s">
        <v>26</v>
      </c>
      <c r="L1" s="191"/>
      <c r="M1" s="191"/>
      <c r="N1" s="191"/>
      <c r="O1" s="191"/>
      <c r="P1" s="191"/>
    </row>
    <row r="2" spans="1:16" ht="49.6" customHeight="1" x14ac:dyDescent="0.25">
      <c r="A2" s="40" t="s">
        <v>20</v>
      </c>
      <c r="B2" s="11" t="s">
        <v>11</v>
      </c>
      <c r="C2" s="41" t="s">
        <v>0</v>
      </c>
      <c r="D2" s="41" t="s">
        <v>1</v>
      </c>
      <c r="E2" s="41" t="s">
        <v>16</v>
      </c>
      <c r="F2" s="28"/>
      <c r="G2" s="24" t="s">
        <v>3</v>
      </c>
      <c r="H2" s="28"/>
      <c r="I2" s="28"/>
      <c r="J2" s="20"/>
      <c r="K2" s="38" t="s">
        <v>32</v>
      </c>
      <c r="L2" s="38" t="s">
        <v>33</v>
      </c>
      <c r="M2" s="38" t="s">
        <v>37</v>
      </c>
      <c r="N2" s="38" t="s">
        <v>34</v>
      </c>
      <c r="O2" s="38" t="s">
        <v>35</v>
      </c>
      <c r="P2" s="38" t="s">
        <v>36</v>
      </c>
    </row>
    <row r="3" spans="1:16" ht="15.65" x14ac:dyDescent="0.25">
      <c r="A3" s="6" t="s">
        <v>9</v>
      </c>
      <c r="B3" s="9">
        <v>0.25</v>
      </c>
      <c r="C3" s="10">
        <v>0.25</v>
      </c>
      <c r="D3" s="10">
        <v>0.35</v>
      </c>
      <c r="E3" s="10">
        <v>0.4</v>
      </c>
      <c r="F3" s="37">
        <f>0.4*$C3+0.4*$D3+0.2*$E3</f>
        <v>0.32</v>
      </c>
      <c r="G3" s="30">
        <f>SUMPRODUCT(B3:B5,F3:F5)</f>
        <v>0.12150000000000002</v>
      </c>
      <c r="H3" s="28">
        <f>B3*(F3-G3)^2+B4*(F4-G3)^2+B5*(F5-G3)^2</f>
        <v>2.4632750000000005E-2</v>
      </c>
      <c r="I3" s="13">
        <f>SQRT(H3)</f>
        <v>0.15694823987544429</v>
      </c>
      <c r="J3" s="30">
        <f>G3-0.038</f>
        <v>8.3500000000000019E-2</v>
      </c>
      <c r="K3" s="30">
        <f>G3-0.035</f>
        <v>8.6500000000000021E-2</v>
      </c>
      <c r="L3" s="30">
        <f>(1+G3)/(1+0.035)-1</f>
        <v>8.35748792270532E-2</v>
      </c>
      <c r="M3" s="30">
        <f>0.038-0.035</f>
        <v>2.9999999999999957E-3</v>
      </c>
      <c r="N3" s="30">
        <f>(1+0.038)/(1+0.035)-1</f>
        <v>2.8985507246377384E-3</v>
      </c>
      <c r="O3" s="30">
        <f>K3-M3</f>
        <v>8.3500000000000019E-2</v>
      </c>
      <c r="P3" s="30">
        <f>L3-N3</f>
        <v>8.0676328502415462E-2</v>
      </c>
    </row>
    <row r="4" spans="1:16" ht="15.65" x14ac:dyDescent="0.25">
      <c r="A4" s="6" t="s">
        <v>8</v>
      </c>
      <c r="B4" s="9">
        <v>0.55000000000000004</v>
      </c>
      <c r="C4" s="10">
        <v>0.18</v>
      </c>
      <c r="D4" s="10">
        <v>0.13</v>
      </c>
      <c r="E4" s="10">
        <v>0.03</v>
      </c>
      <c r="F4" s="37">
        <f t="shared" ref="F4:F5" si="0">0.4*$C4+0.4*$D4+0.2*$E4</f>
        <v>0.13</v>
      </c>
      <c r="G4" s="1"/>
      <c r="H4" s="1"/>
      <c r="I4" s="1"/>
    </row>
    <row r="5" spans="1:16" ht="15.65" x14ac:dyDescent="0.25">
      <c r="A5" s="6" t="s">
        <v>17</v>
      </c>
      <c r="B5" s="9">
        <v>0.2</v>
      </c>
      <c r="C5" s="10">
        <v>0.03</v>
      </c>
      <c r="D5" s="36">
        <v>-0.18</v>
      </c>
      <c r="E5" s="36">
        <v>-0.45</v>
      </c>
      <c r="F5" s="37">
        <f t="shared" si="0"/>
        <v>-0.15000000000000002</v>
      </c>
      <c r="G5" s="1"/>
      <c r="H5" s="1"/>
      <c r="I5" s="1"/>
    </row>
  </sheetData>
  <mergeCells count="2">
    <mergeCell ref="K1:P1"/>
    <mergeCell ref="F1:I1"/>
  </mergeCells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C504B-F7AC-4233-9DFB-B5054B4767CA}">
  <dimension ref="A1:D8"/>
  <sheetViews>
    <sheetView showGridLines="0" zoomScale="160" zoomScaleNormal="160" workbookViewId="0">
      <selection activeCell="A3" sqref="A3"/>
    </sheetView>
  </sheetViews>
  <sheetFormatPr defaultRowHeight="14.3" x14ac:dyDescent="0.25"/>
  <cols>
    <col min="1" max="1" width="13.125" bestFit="1" customWidth="1"/>
    <col min="2" max="2" width="12.5" bestFit="1" customWidth="1"/>
  </cols>
  <sheetData>
    <row r="1" spans="1:4" ht="15.8" customHeight="1" x14ac:dyDescent="0.25">
      <c r="A1" s="11" t="s">
        <v>39</v>
      </c>
      <c r="B1" s="11" t="s">
        <v>38</v>
      </c>
      <c r="C1" s="11" t="s">
        <v>28</v>
      </c>
      <c r="D1" s="35"/>
    </row>
    <row r="2" spans="1:4" ht="15.65" x14ac:dyDescent="0.25">
      <c r="A2" s="25" t="s">
        <v>0</v>
      </c>
      <c r="B2" s="42">
        <v>190000</v>
      </c>
      <c r="C2" s="10">
        <v>0.83</v>
      </c>
      <c r="D2" s="35"/>
    </row>
    <row r="3" spans="1:4" ht="15.65" x14ac:dyDescent="0.25">
      <c r="A3" s="25" t="s">
        <v>1</v>
      </c>
      <c r="B3" s="42">
        <v>325000</v>
      </c>
      <c r="C3" s="10">
        <v>1.19</v>
      </c>
      <c r="D3" s="35"/>
    </row>
    <row r="4" spans="1:4" ht="17.350000000000001" customHeight="1" x14ac:dyDescent="0.25">
      <c r="A4" s="25" t="s">
        <v>40</v>
      </c>
      <c r="B4" s="43">
        <v>314172.41379310359</v>
      </c>
      <c r="C4" s="10">
        <v>1.45</v>
      </c>
      <c r="D4" s="35"/>
    </row>
    <row r="5" spans="1:4" ht="15.65" x14ac:dyDescent="0.25">
      <c r="A5" s="25" t="s">
        <v>41</v>
      </c>
      <c r="B5" s="43">
        <f>1000000-SUM(B2:B4)</f>
        <v>170827.58620689646</v>
      </c>
      <c r="C5" s="44">
        <v>0</v>
      </c>
    </row>
    <row r="6" spans="1:4" x14ac:dyDescent="0.25">
      <c r="B6" s="45"/>
    </row>
    <row r="7" spans="1:4" ht="15.65" x14ac:dyDescent="0.25">
      <c r="A7" s="28"/>
      <c r="B7" s="63">
        <f>(B2/1000000)*C2+(B3/1000000)*C3+(B4/1000000)*C4</f>
        <v>1.0000000000000002</v>
      </c>
    </row>
    <row r="8" spans="1:4" ht="21.75" customHeight="1" x14ac:dyDescent="0.25">
      <c r="A8" s="28"/>
      <c r="B8" s="13">
        <f>B5/1000000</f>
        <v>0.17082758620689648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E574A-9949-4FD0-8413-57DD7F03048E}">
  <dimension ref="A1:D6"/>
  <sheetViews>
    <sheetView showGridLines="0" zoomScale="160" zoomScaleNormal="160" workbookViewId="0">
      <selection activeCell="C7" sqref="C7"/>
    </sheetView>
  </sheetViews>
  <sheetFormatPr defaultRowHeight="14.3" x14ac:dyDescent="0.25"/>
  <cols>
    <col min="1" max="1" width="7.375" bestFit="1" customWidth="1"/>
    <col min="2" max="2" width="12.375" bestFit="1" customWidth="1"/>
    <col min="3" max="3" width="13.5" customWidth="1"/>
  </cols>
  <sheetData>
    <row r="1" spans="1:4" ht="30.75" customHeight="1" x14ac:dyDescent="0.25">
      <c r="A1" s="40" t="s">
        <v>39</v>
      </c>
      <c r="B1" s="11" t="s">
        <v>38</v>
      </c>
      <c r="C1" s="11" t="s">
        <v>44</v>
      </c>
      <c r="D1" s="11" t="s">
        <v>28</v>
      </c>
    </row>
    <row r="2" spans="1:4" ht="15.65" x14ac:dyDescent="0.25">
      <c r="A2" s="25" t="s">
        <v>42</v>
      </c>
      <c r="B2" s="49">
        <f>B6*100000</f>
        <v>-47794.117647058876</v>
      </c>
      <c r="C2" s="47">
        <v>8.6800000000000002E-2</v>
      </c>
      <c r="D2" s="10">
        <v>0.85</v>
      </c>
    </row>
    <row r="3" spans="1:4" ht="15.65" x14ac:dyDescent="0.25">
      <c r="A3" s="25" t="s">
        <v>43</v>
      </c>
      <c r="B3" s="25"/>
      <c r="C3" s="46">
        <v>0.114</v>
      </c>
      <c r="D3" s="10">
        <v>1.25</v>
      </c>
    </row>
    <row r="5" spans="1:4" ht="15.65" x14ac:dyDescent="0.25">
      <c r="A5" s="28" t="s">
        <v>3</v>
      </c>
      <c r="B5" s="29">
        <f>B6*C2+(1-B6)*C3</f>
        <v>0.127</v>
      </c>
      <c r="C5" s="12"/>
    </row>
    <row r="6" spans="1:4" ht="19.55" customHeight="1" x14ac:dyDescent="0.25">
      <c r="A6" s="28"/>
      <c r="B6" s="51">
        <v>-0.47794117647058876</v>
      </c>
      <c r="C6" s="48"/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36CF-B322-475D-AB8C-1631DD088A38}">
  <dimension ref="A1:D9"/>
  <sheetViews>
    <sheetView showGridLines="0" zoomScale="160" zoomScaleNormal="160" workbookViewId="0">
      <selection sqref="A1:C1048576"/>
    </sheetView>
  </sheetViews>
  <sheetFormatPr defaultRowHeight="14.3" x14ac:dyDescent="0.25"/>
  <cols>
    <col min="1" max="1" width="9" bestFit="1" customWidth="1"/>
    <col min="2" max="2" width="9.5" bestFit="1" customWidth="1"/>
    <col min="3" max="3" width="9.375" bestFit="1" customWidth="1"/>
  </cols>
  <sheetData>
    <row r="1" spans="1:4" ht="46.9" x14ac:dyDescent="0.25">
      <c r="A1" s="143" t="s">
        <v>20</v>
      </c>
      <c r="B1" s="143" t="s">
        <v>45</v>
      </c>
      <c r="C1" s="143" t="s">
        <v>46</v>
      </c>
    </row>
    <row r="2" spans="1:4" ht="15.65" x14ac:dyDescent="0.25">
      <c r="A2" s="25" t="s">
        <v>47</v>
      </c>
      <c r="B2" s="153">
        <v>9.9000000000000005E-2</v>
      </c>
      <c r="C2" s="153">
        <f>-0.073</f>
        <v>-7.2999999999999995E-2</v>
      </c>
      <c r="D2" s="35"/>
    </row>
    <row r="3" spans="1:4" ht="15.65" x14ac:dyDescent="0.25">
      <c r="A3" s="25" t="s">
        <v>8</v>
      </c>
      <c r="B3" s="153">
        <v>0.113</v>
      </c>
      <c r="C3" s="153">
        <v>0.128</v>
      </c>
      <c r="D3" s="35"/>
    </row>
    <row r="4" spans="1:4" ht="15.65" x14ac:dyDescent="0.25">
      <c r="A4" s="25" t="s">
        <v>48</v>
      </c>
      <c r="B4" s="153">
        <v>5.8999999999999997E-2</v>
      </c>
      <c r="C4" s="153">
        <v>0.29299999999999998</v>
      </c>
      <c r="D4" s="35"/>
    </row>
    <row r="5" spans="1:4" ht="15.65" x14ac:dyDescent="0.25">
      <c r="A5" s="28" t="s">
        <v>3</v>
      </c>
      <c r="B5" s="13">
        <f>(1/3)*B$2+(1/3)*B$3+(1/3)*B$4</f>
        <v>9.0333333333333335E-2</v>
      </c>
      <c r="C5" s="13">
        <f>(1/3)*C$2+(1/3)*C$3+(1/3)*C$4</f>
        <v>0.11599999999999999</v>
      </c>
    </row>
    <row r="6" spans="1:4" ht="18.850000000000001" customHeight="1" x14ac:dyDescent="0.25">
      <c r="A6" s="28"/>
      <c r="B6" s="51">
        <f>(1/3)*(B$2-B$5)^2+(1/3)*(B$3-B$5)^2+(1/3)*(B$4-B$5)^2</f>
        <v>5.2355555555555564E-4</v>
      </c>
      <c r="C6" s="51">
        <f>(1/3)*(C$2-C$5)^2+(1/3)*(C$3-C$5)^2+(1/3)*(C$4-C$5)^2</f>
        <v>2.2397999999999998E-2</v>
      </c>
    </row>
    <row r="7" spans="1:4" ht="15.65" x14ac:dyDescent="0.25">
      <c r="A7" s="28"/>
      <c r="B7" s="13">
        <f>SQRT(B$6)</f>
        <v>2.2881336402307353E-2</v>
      </c>
      <c r="C7" s="13">
        <f>SQRT(C$6)</f>
        <v>0.14965961379076187</v>
      </c>
    </row>
    <row r="8" spans="1:4" ht="15.65" x14ac:dyDescent="0.25">
      <c r="A8" s="52" t="s">
        <v>49</v>
      </c>
      <c r="B8" s="28">
        <f>(1/3)*(B2-B5)*(C2-C5)+(1/3)*(B3-B5)*(C3-C5)+(1/3)*(B4-B5)*(C4-C5)</f>
        <v>-2.3040000000000001E-3</v>
      </c>
      <c r="C8" s="1"/>
    </row>
    <row r="9" spans="1:4" ht="15.65" x14ac:dyDescent="0.25">
      <c r="A9" s="28"/>
      <c r="B9" s="53">
        <f>B8/(B7*C7)</f>
        <v>-0.67281624432657194</v>
      </c>
      <c r="C9" s="1"/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FACC0-8182-4786-9AED-FDE0601EC70F}">
  <dimension ref="A1:D9"/>
  <sheetViews>
    <sheetView showGridLines="0" zoomScale="160" zoomScaleNormal="160" workbookViewId="0">
      <selection activeCell="B4" sqref="B4"/>
    </sheetView>
  </sheetViews>
  <sheetFormatPr defaultRowHeight="14.3" x14ac:dyDescent="0.25"/>
  <cols>
    <col min="1" max="1" width="9" bestFit="1" customWidth="1"/>
    <col min="2" max="2" width="11.375" bestFit="1" customWidth="1"/>
    <col min="3" max="4" width="10.625" bestFit="1" customWidth="1"/>
  </cols>
  <sheetData>
    <row r="1" spans="1:4" ht="62.5" x14ac:dyDescent="0.25">
      <c r="A1" s="40" t="s">
        <v>20</v>
      </c>
      <c r="B1" s="54" t="s">
        <v>50</v>
      </c>
      <c r="C1" s="54" t="s">
        <v>51</v>
      </c>
      <c r="D1" s="54" t="s">
        <v>52</v>
      </c>
    </row>
    <row r="2" spans="1:4" ht="15.65" x14ac:dyDescent="0.25">
      <c r="A2" s="25" t="s">
        <v>47</v>
      </c>
      <c r="B2" s="7">
        <v>0.3</v>
      </c>
      <c r="C2" s="153">
        <f>-0.05</f>
        <v>-0.05</v>
      </c>
      <c r="D2" s="153">
        <v>2.9000000000000001E-2</v>
      </c>
    </row>
    <row r="3" spans="1:4" ht="15.65" x14ac:dyDescent="0.25">
      <c r="A3" s="25" t="s">
        <v>8</v>
      </c>
      <c r="B3" s="7">
        <v>0.55000000000000004</v>
      </c>
      <c r="C3" s="153">
        <v>0.11799999999999999</v>
      </c>
      <c r="D3" s="153">
        <v>7.3999999999999996E-2</v>
      </c>
    </row>
    <row r="4" spans="1:4" ht="15.65" x14ac:dyDescent="0.25">
      <c r="A4" s="25" t="s">
        <v>48</v>
      </c>
      <c r="B4" s="7">
        <v>0.15</v>
      </c>
      <c r="C4" s="153">
        <v>0.27400000000000002</v>
      </c>
      <c r="D4" s="153">
        <v>9.8000000000000004E-2</v>
      </c>
    </row>
    <row r="5" spans="1:4" ht="15.65" x14ac:dyDescent="0.25">
      <c r="A5" s="28" t="s">
        <v>3</v>
      </c>
      <c r="B5" s="13">
        <f>SUMPRODUCT($B$2:$B$4,C$2:C$4)</f>
        <v>9.0999999999999998E-2</v>
      </c>
      <c r="C5" s="13">
        <f>SUMPRODUCT($B$2:$B$4,D$2:D$4)</f>
        <v>6.4100000000000004E-2</v>
      </c>
    </row>
    <row r="6" spans="1:4" ht="18.850000000000001" customHeight="1" x14ac:dyDescent="0.25">
      <c r="A6" s="28"/>
      <c r="B6" s="51">
        <f>$B$2*(C$2-B$5)^2+$B$3*(C$3-B$5)^2+$B$4*(C$4-B$5)^2</f>
        <v>1.1388600000000002E-2</v>
      </c>
      <c r="C6" s="51">
        <f>$B$2*(D$2-C$5)^2+$B$3*(D$3-C$5)^2+$B$4*(D$4-C$5)^2</f>
        <v>5.9588999999999996E-4</v>
      </c>
    </row>
    <row r="7" spans="1:4" ht="15.65" x14ac:dyDescent="0.25">
      <c r="A7" s="28"/>
      <c r="B7" s="13">
        <f>SQRT(B$6)</f>
        <v>0.1067173837760278</v>
      </c>
      <c r="C7" s="13">
        <f>SQRT(C$6)</f>
        <v>2.4410858239726024E-2</v>
      </c>
    </row>
    <row r="8" spans="1:4" ht="15.65" x14ac:dyDescent="0.25">
      <c r="A8" s="52" t="s">
        <v>49</v>
      </c>
      <c r="B8" s="55">
        <f>B2*(C2-B5)*(D2-C5)+B3*(C3-B5)*(D3-C5)+B4*(C4-B5)*(D4-C5)</f>
        <v>2.5623000000000004E-3</v>
      </c>
      <c r="C8" s="1"/>
    </row>
    <row r="9" spans="1:4" ht="15.65" x14ac:dyDescent="0.25">
      <c r="A9" s="28"/>
      <c r="B9" s="53">
        <f>B8/(B7*C7)</f>
        <v>0.98358468556491585</v>
      </c>
      <c r="C9" s="1"/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73285-0130-4CC4-B6FA-54A3FE73ADC5}">
  <dimension ref="A1:C3"/>
  <sheetViews>
    <sheetView showGridLines="0" zoomScale="160" zoomScaleNormal="160" workbookViewId="0">
      <selection activeCell="C7" sqref="C7"/>
    </sheetView>
  </sheetViews>
  <sheetFormatPr defaultRowHeight="14.3" x14ac:dyDescent="0.25"/>
  <cols>
    <col min="1" max="1" width="2.625" bestFit="1" customWidth="1"/>
  </cols>
  <sheetData>
    <row r="1" spans="1:3" ht="15.65" x14ac:dyDescent="0.25">
      <c r="A1" s="2" t="s">
        <v>18</v>
      </c>
      <c r="B1" s="28" t="s">
        <v>3</v>
      </c>
      <c r="C1" s="29">
        <f>0.4*0.1+0.6*0.13</f>
        <v>0.11800000000000001</v>
      </c>
    </row>
    <row r="2" spans="1:3" ht="19.55" customHeight="1" x14ac:dyDescent="0.25">
      <c r="A2" s="2" t="s">
        <v>19</v>
      </c>
      <c r="B2" s="28"/>
      <c r="C2" s="28">
        <f>0.4^2*(0.53)^2+0.6^2*(0.79)^2+2*0.4*0.6*0.53*0.79*0.35</f>
        <v>0.33996160000000003</v>
      </c>
    </row>
    <row r="3" spans="1:3" ht="15.65" x14ac:dyDescent="0.25">
      <c r="A3" s="1"/>
      <c r="B3" s="28"/>
      <c r="C3" s="13">
        <f>SQRT(C2)</f>
        <v>0.58306226082640611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637B0-06D0-41BF-86D1-B04B03116B9F}">
  <dimension ref="A1:C5"/>
  <sheetViews>
    <sheetView showGridLines="0" zoomScale="160" zoomScaleNormal="160" workbookViewId="0">
      <selection activeCell="D5" sqref="D5"/>
    </sheetView>
  </sheetViews>
  <sheetFormatPr defaultRowHeight="14.3" x14ac:dyDescent="0.25"/>
  <cols>
    <col min="1" max="1" width="2.5" bestFit="1" customWidth="1"/>
    <col min="2" max="2" width="6.125" bestFit="1" customWidth="1"/>
  </cols>
  <sheetData>
    <row r="1" spans="1:3" ht="15.65" x14ac:dyDescent="0.25">
      <c r="A1" s="2" t="s">
        <v>18</v>
      </c>
      <c r="B1" s="28" t="s">
        <v>3</v>
      </c>
      <c r="C1" s="29">
        <f>0.4*0.11+0.6*0.13</f>
        <v>0.122</v>
      </c>
    </row>
    <row r="2" spans="1:3" ht="15.65" x14ac:dyDescent="0.25">
      <c r="A2" s="1"/>
      <c r="B2" s="28"/>
      <c r="C2" s="28">
        <f>0.4^2*(0.47)^2+0.6^2*(0.81)^2+2*0.4*0.6*0.47*0.81*0.5</f>
        <v>0.36290800000000006</v>
      </c>
    </row>
    <row r="3" spans="1:3" ht="21.75" customHeight="1" x14ac:dyDescent="0.25">
      <c r="A3" s="48"/>
      <c r="B3" s="28"/>
      <c r="C3" s="13">
        <f>SQRT(C2)</f>
        <v>0.60241845921253112</v>
      </c>
    </row>
    <row r="4" spans="1:3" ht="21.75" customHeight="1" x14ac:dyDescent="0.25">
      <c r="A4" s="2" t="s">
        <v>19</v>
      </c>
      <c r="B4" s="28"/>
      <c r="C4" s="28">
        <f>0.4^2*(0.47)^2+0.6^2*(0.81)^2+2*0.4*0.6*0.47*0.81*-0.5</f>
        <v>0.18017200000000005</v>
      </c>
    </row>
    <row r="5" spans="1:3" ht="20.399999999999999" customHeight="1" x14ac:dyDescent="0.25">
      <c r="A5" s="48"/>
      <c r="B5" s="28"/>
      <c r="C5" s="13">
        <f>SQRT(C4)</f>
        <v>0.42446672425527077</v>
      </c>
    </row>
  </sheetData>
  <pageMargins left="0.7" right="0.7" top="0.75" bottom="0.75" header="0.3" footer="0.3"/>
  <ignoredErrors>
    <ignoredError sqref="C4" formula="1"/>
  </ignoredError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B68AD-AF1B-4534-A6D9-29FFDE15BFD5}">
  <dimension ref="A1:F6"/>
  <sheetViews>
    <sheetView showGridLines="0" zoomScale="160" zoomScaleNormal="160" workbookViewId="0">
      <selection activeCell="E3" sqref="E3"/>
    </sheetView>
  </sheetViews>
  <sheetFormatPr defaultRowHeight="14.3" x14ac:dyDescent="0.25"/>
  <cols>
    <col min="1" max="1" width="18.5" bestFit="1" customWidth="1"/>
    <col min="2" max="2" width="9.625" bestFit="1" customWidth="1"/>
    <col min="3" max="3" width="9.875" bestFit="1" customWidth="1"/>
    <col min="4" max="4" width="12.375" bestFit="1" customWidth="1"/>
    <col min="5" max="5" width="7.375" customWidth="1"/>
    <col min="6" max="6" width="8" bestFit="1" customWidth="1"/>
  </cols>
  <sheetData>
    <row r="1" spans="1:6" ht="31.25" x14ac:dyDescent="0.25">
      <c r="A1" s="40" t="s">
        <v>53</v>
      </c>
      <c r="B1" s="11" t="s">
        <v>54</v>
      </c>
      <c r="C1" s="11" t="s">
        <v>55</v>
      </c>
      <c r="D1" s="11" t="s">
        <v>56</v>
      </c>
      <c r="E1" s="11" t="s">
        <v>28</v>
      </c>
      <c r="F1" s="11" t="s">
        <v>62</v>
      </c>
    </row>
    <row r="2" spans="1:6" ht="15.65" x14ac:dyDescent="0.25">
      <c r="A2" s="25" t="s">
        <v>57</v>
      </c>
      <c r="B2" s="7">
        <v>0.1</v>
      </c>
      <c r="C2" s="7">
        <v>0.31</v>
      </c>
      <c r="D2" s="57">
        <v>0.54838709677419362</v>
      </c>
      <c r="E2" s="7">
        <f>D2*(C2/C5)</f>
        <v>0.85</v>
      </c>
      <c r="F2" s="59">
        <f>$B$6+$E2*($B$5-$B$6)</f>
        <v>0.10949999999999999</v>
      </c>
    </row>
    <row r="3" spans="1:6" ht="15.65" x14ac:dyDescent="0.25">
      <c r="A3" s="25" t="s">
        <v>58</v>
      </c>
      <c r="B3" s="7">
        <v>0.14000000000000001</v>
      </c>
      <c r="C3" s="56">
        <v>0.55999999999999994</v>
      </c>
      <c r="D3" s="7">
        <v>0.5</v>
      </c>
      <c r="E3" s="7">
        <f>D3*(C3/C5)</f>
        <v>1.3999999999999997</v>
      </c>
      <c r="F3" s="59">
        <f t="shared" ref="F3:F4" si="0">$B$6+$E3*($B$5-$B$6)</f>
        <v>0.14799999999999996</v>
      </c>
    </row>
    <row r="4" spans="1:6" ht="15.65" x14ac:dyDescent="0.25">
      <c r="A4" s="25" t="s">
        <v>59</v>
      </c>
      <c r="B4" s="7">
        <v>0.16</v>
      </c>
      <c r="C4" s="7">
        <v>0.65</v>
      </c>
      <c r="D4" s="7">
        <v>0.35</v>
      </c>
      <c r="E4" s="57">
        <f>D4*(C4/C5)</f>
        <v>1.1375</v>
      </c>
      <c r="F4" s="59">
        <f t="shared" si="0"/>
        <v>0.12962499999999999</v>
      </c>
    </row>
    <row r="5" spans="1:6" ht="15.65" x14ac:dyDescent="0.25">
      <c r="A5" s="25" t="s">
        <v>60</v>
      </c>
      <c r="B5" s="7">
        <v>0.12</v>
      </c>
      <c r="C5" s="7">
        <v>0.2</v>
      </c>
      <c r="D5" s="58">
        <v>1</v>
      </c>
      <c r="E5" s="58">
        <v>1</v>
      </c>
    </row>
    <row r="6" spans="1:6" ht="15.65" x14ac:dyDescent="0.25">
      <c r="A6" s="25" t="s">
        <v>61</v>
      </c>
      <c r="B6" s="7">
        <v>0.05</v>
      </c>
      <c r="C6" s="56">
        <v>0</v>
      </c>
      <c r="D6" s="56">
        <v>0</v>
      </c>
      <c r="E6" s="5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EF2D2-CA9E-4BCB-B569-781598B5B8E3}">
  <dimension ref="A1:O6"/>
  <sheetViews>
    <sheetView showGridLines="0" tabSelected="1" topLeftCell="G1" zoomScale="160" zoomScaleNormal="160" workbookViewId="0">
      <selection activeCell="N3" sqref="N3"/>
    </sheetView>
  </sheetViews>
  <sheetFormatPr defaultRowHeight="14.3" x14ac:dyDescent="0.25"/>
  <cols>
    <col min="1" max="1" width="11.125" bestFit="1" customWidth="1"/>
    <col min="4" max="4" width="5.75" customWidth="1"/>
  </cols>
  <sheetData>
    <row r="1" spans="1:15" ht="15.65" x14ac:dyDescent="0.25">
      <c r="A1" s="28" t="s">
        <v>63</v>
      </c>
      <c r="B1" s="110">
        <f>(0.115-0.041)/0.19</f>
        <v>0.38947368421052636</v>
      </c>
      <c r="C1" s="1"/>
      <c r="D1" s="1"/>
      <c r="E1" s="1"/>
    </row>
    <row r="2" spans="1:15" ht="15.65" x14ac:dyDescent="0.25">
      <c r="A2" s="28" t="s">
        <v>3</v>
      </c>
      <c r="B2" s="13">
        <f>0.041+B1*(0.09)</f>
        <v>7.6052631578947372E-2</v>
      </c>
      <c r="C2" s="1"/>
      <c r="D2" s="28"/>
      <c r="E2" s="13">
        <v>0.40824324324324324</v>
      </c>
      <c r="N2" s="60" t="s">
        <v>3</v>
      </c>
      <c r="O2" s="28"/>
    </row>
    <row r="3" spans="1:15" ht="15.65" x14ac:dyDescent="0.25">
      <c r="A3" s="28" t="s">
        <v>3</v>
      </c>
      <c r="B3" s="13">
        <f>0.041+B1*(E2)</f>
        <v>0.2</v>
      </c>
      <c r="C3" s="1"/>
      <c r="D3" s="1"/>
      <c r="E3" s="1"/>
      <c r="N3" s="29">
        <v>0.115</v>
      </c>
      <c r="O3" s="37">
        <v>0.19</v>
      </c>
    </row>
    <row r="4" spans="1:15" ht="15.65" x14ac:dyDescent="0.25">
      <c r="N4" s="13">
        <f>B2</f>
        <v>7.6052631578947372E-2</v>
      </c>
      <c r="O4" s="37">
        <v>0.09</v>
      </c>
    </row>
    <row r="5" spans="1:15" ht="15.65" x14ac:dyDescent="0.25">
      <c r="N5" s="37">
        <f>B3</f>
        <v>0.2</v>
      </c>
      <c r="O5" s="14">
        <f>E2</f>
        <v>0.40824324324324324</v>
      </c>
    </row>
    <row r="6" spans="1:15" ht="15.65" x14ac:dyDescent="0.25">
      <c r="N6" s="61">
        <v>4.1000000000000002E-2</v>
      </c>
      <c r="O6" s="62">
        <v>0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9A8F-BD9C-43E4-84EE-DD7294F1D42F}">
  <dimension ref="A1:E4"/>
  <sheetViews>
    <sheetView showGridLines="0" zoomScale="160" zoomScaleNormal="160" workbookViewId="0">
      <selection activeCell="C6" sqref="C6"/>
    </sheetView>
  </sheetViews>
  <sheetFormatPr defaultRowHeight="14.3" x14ac:dyDescent="0.25"/>
  <cols>
    <col min="1" max="1" width="11.375" bestFit="1" customWidth="1"/>
  </cols>
  <sheetData>
    <row r="1" spans="1:5" ht="15.65" x14ac:dyDescent="0.25">
      <c r="A1" s="28" t="s">
        <v>63</v>
      </c>
      <c r="B1" s="110">
        <f>(0.09-0.041)/(0.16-0)</f>
        <v>0.30624999999999997</v>
      </c>
    </row>
    <row r="2" spans="1:5" ht="18.2" customHeight="1" x14ac:dyDescent="0.25">
      <c r="A2" s="28" t="s">
        <v>25</v>
      </c>
      <c r="B2" s="37">
        <f>0.041+B1*E2</f>
        <v>0.11000000000000001</v>
      </c>
      <c r="D2" s="20"/>
      <c r="E2" s="13">
        <v>0.22530612244897968</v>
      </c>
    </row>
    <row r="3" spans="1:5" ht="19.55" customHeight="1" x14ac:dyDescent="0.25">
      <c r="A3" s="28"/>
      <c r="B3" s="63">
        <f>0.38*(0.6/E2)</f>
        <v>1.01195652173913</v>
      </c>
    </row>
    <row r="4" spans="1:5" ht="15.65" x14ac:dyDescent="0.25">
      <c r="A4" s="28" t="s">
        <v>25</v>
      </c>
      <c r="B4" s="13">
        <f>0.041+B3*(0.11-0.041)</f>
        <v>0.11082499999999998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16526-9166-4479-8DD1-349514804FFA}">
  <dimension ref="A1:B2"/>
  <sheetViews>
    <sheetView showGridLines="0" zoomScale="160" zoomScaleNormal="160" workbookViewId="0">
      <selection activeCell="B4" sqref="B4"/>
    </sheetView>
  </sheetViews>
  <sheetFormatPr defaultRowHeight="14.3" x14ac:dyDescent="0.25"/>
  <sheetData>
    <row r="1" spans="1:2" ht="21.1" customHeight="1" x14ac:dyDescent="0.25">
      <c r="A1" s="28"/>
      <c r="B1" s="63">
        <f>0.31*(SQRT(0.3407)/SQRT(0.0391))</f>
        <v>0.91508067090890943</v>
      </c>
    </row>
    <row r="2" spans="1:2" ht="15.65" x14ac:dyDescent="0.25">
      <c r="A2" s="28" t="s">
        <v>25</v>
      </c>
      <c r="B2" s="13">
        <f>0.044+B1*(0.109-0.044)</f>
        <v>0.10348024360907912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5945-6FC3-4310-9ED3-D981BA019890}">
  <dimension ref="A1:D9"/>
  <sheetViews>
    <sheetView showGridLines="0" zoomScale="160" zoomScaleNormal="160" workbookViewId="0">
      <selection activeCell="C7" sqref="C7"/>
    </sheetView>
  </sheetViews>
  <sheetFormatPr defaultRowHeight="14.3" x14ac:dyDescent="0.25"/>
  <cols>
    <col min="1" max="1" width="19.5" bestFit="1" customWidth="1"/>
    <col min="2" max="2" width="13.5" bestFit="1" customWidth="1"/>
    <col min="3" max="3" width="12.375" customWidth="1"/>
  </cols>
  <sheetData>
    <row r="1" spans="1:4" ht="46.9" x14ac:dyDescent="0.25">
      <c r="A1" s="11" t="s">
        <v>20</v>
      </c>
      <c r="B1" s="11" t="s">
        <v>67</v>
      </c>
      <c r="C1" s="11" t="s">
        <v>64</v>
      </c>
      <c r="D1" s="11" t="s">
        <v>65</v>
      </c>
    </row>
    <row r="2" spans="1:4" ht="15.65" x14ac:dyDescent="0.25">
      <c r="A2" s="25" t="s">
        <v>7</v>
      </c>
      <c r="B2" s="7">
        <v>0.15</v>
      </c>
      <c r="C2" s="7">
        <v>0.12</v>
      </c>
      <c r="D2" s="56">
        <f>-0.35</f>
        <v>-0.35</v>
      </c>
    </row>
    <row r="3" spans="1:4" ht="15.65" x14ac:dyDescent="0.25">
      <c r="A3" s="25" t="s">
        <v>8</v>
      </c>
      <c r="B3" s="7">
        <v>0.55000000000000004</v>
      </c>
      <c r="C3" s="7">
        <v>0.17</v>
      </c>
      <c r="D3" s="7">
        <v>0.12</v>
      </c>
    </row>
    <row r="4" spans="1:4" ht="15.65" x14ac:dyDescent="0.25">
      <c r="A4" s="25" t="s">
        <v>66</v>
      </c>
      <c r="B4" s="7">
        <v>0.3</v>
      </c>
      <c r="C4" s="7">
        <v>0.06</v>
      </c>
      <c r="D4" s="7">
        <v>0.33</v>
      </c>
    </row>
    <row r="5" spans="1:4" ht="18" customHeight="1" x14ac:dyDescent="0.25">
      <c r="A5" s="28" t="s">
        <v>3</v>
      </c>
      <c r="B5" s="125">
        <f>SUMPRODUCT($B$2:$B$4,C$2:C$4)</f>
        <v>0.1295</v>
      </c>
      <c r="C5" s="13">
        <f>SUMPRODUCT($B$2:$B$4,D$2:D$4)</f>
        <v>0.11250000000000002</v>
      </c>
    </row>
    <row r="6" spans="1:4" ht="18" customHeight="1" x14ac:dyDescent="0.25">
      <c r="A6" s="48"/>
      <c r="B6" s="13">
        <f>0.04+B$7*(0.075)</f>
        <v>0.12950000000000003</v>
      </c>
      <c r="C6" s="13">
        <f>0.04+C$7*(0.075)</f>
        <v>0.11249999999999999</v>
      </c>
    </row>
    <row r="7" spans="1:4" ht="18" customHeight="1" x14ac:dyDescent="0.25">
      <c r="A7" s="28"/>
      <c r="B7" s="123">
        <v>1.1933333333333338</v>
      </c>
      <c r="C7" s="63">
        <v>0.96666666666666667</v>
      </c>
    </row>
    <row r="8" spans="1:4" ht="21.1" customHeight="1" x14ac:dyDescent="0.25">
      <c r="A8" s="28"/>
      <c r="B8" s="51">
        <f>$B$2*(C$2-B$5)^2+$B$3*(C$3-B$5)^2+$B$4*(C$4-B$5)^2</f>
        <v>2.364750000000001E-3</v>
      </c>
      <c r="C8" s="51">
        <f>$B$2*(D$2-C$5)^2+$B$3*(D$3-C$5)^2+$B$4*(D$4-C$5)^2</f>
        <v>4.6308750000000003E-2</v>
      </c>
    </row>
    <row r="9" spans="1:4" ht="15.65" x14ac:dyDescent="0.25">
      <c r="A9" s="28"/>
      <c r="B9" s="13">
        <f>SQRT(B$8)</f>
        <v>4.8628695232341992E-2</v>
      </c>
      <c r="C9" s="124">
        <f>SQRT(C$8)</f>
        <v>0.21519467930225414</v>
      </c>
    </row>
  </sheetData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A02B-453B-4E67-85DB-81B980B88E56}">
  <dimension ref="A1:C7"/>
  <sheetViews>
    <sheetView showGridLines="0" zoomScale="160" zoomScaleNormal="160" workbookViewId="0">
      <selection activeCell="A7" sqref="A7"/>
    </sheetView>
  </sheetViews>
  <sheetFormatPr defaultRowHeight="14.3" x14ac:dyDescent="0.25"/>
  <cols>
    <col min="1" max="1" width="11.5" bestFit="1" customWidth="1"/>
    <col min="2" max="2" width="8.625" bestFit="1" customWidth="1"/>
    <col min="10" max="10" width="11.5" bestFit="1" customWidth="1"/>
  </cols>
  <sheetData>
    <row r="1" spans="1:3" ht="31.25" x14ac:dyDescent="0.25">
      <c r="A1" s="31" t="s">
        <v>53</v>
      </c>
      <c r="B1" s="150" t="s">
        <v>28</v>
      </c>
      <c r="C1" s="150" t="s">
        <v>54</v>
      </c>
    </row>
    <row r="2" spans="1:3" ht="15.65" x14ac:dyDescent="0.25">
      <c r="A2" s="154" t="s">
        <v>103</v>
      </c>
      <c r="B2" s="155">
        <v>1.25</v>
      </c>
      <c r="C2" s="156">
        <v>0.1328</v>
      </c>
    </row>
    <row r="3" spans="1:3" ht="15.65" x14ac:dyDescent="0.25">
      <c r="A3" s="154" t="s">
        <v>104</v>
      </c>
      <c r="B3" s="155">
        <v>0.85</v>
      </c>
      <c r="C3" s="156">
        <v>0.1012</v>
      </c>
    </row>
    <row r="4" spans="1:3" ht="15.65" x14ac:dyDescent="0.25">
      <c r="A4" s="157" t="s">
        <v>62</v>
      </c>
      <c r="B4" s="158">
        <f>$C$6+B2*(B5-C6)</f>
        <v>0.1328</v>
      </c>
      <c r="C4" s="158">
        <f>$C$6+B3*(C5-C6)</f>
        <v>0.1012</v>
      </c>
    </row>
    <row r="5" spans="1:3" ht="15.65" x14ac:dyDescent="0.25">
      <c r="A5" s="157" t="s">
        <v>105</v>
      </c>
      <c r="B5" s="158">
        <v>0.11304</v>
      </c>
      <c r="C5" s="158">
        <v>0.11305882352941177</v>
      </c>
    </row>
    <row r="6" spans="1:3" ht="15.65" x14ac:dyDescent="0.25">
      <c r="A6" s="157" t="s">
        <v>106</v>
      </c>
      <c r="B6" s="157">
        <v>0</v>
      </c>
      <c r="C6" s="159">
        <v>3.4000000000000002E-2</v>
      </c>
    </row>
    <row r="7" spans="1:3" ht="15.65" x14ac:dyDescent="0.25">
      <c r="A7" s="157" t="s">
        <v>107</v>
      </c>
      <c r="B7" s="157">
        <v>1</v>
      </c>
      <c r="C7" s="158">
        <f>C5</f>
        <v>0.11305882352941177</v>
      </c>
    </row>
  </sheetData>
  <pageMargins left="0.7" right="0.7" top="0.75" bottom="0.75" header="0.3" footer="0.3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068D3-6809-4836-83F5-1B419597A90D}">
  <dimension ref="A1:Q14"/>
  <sheetViews>
    <sheetView showGridLines="0" topLeftCell="D1" zoomScale="160" zoomScaleNormal="160" workbookViewId="0">
      <selection activeCell="H2" sqref="H2"/>
    </sheetView>
  </sheetViews>
  <sheetFormatPr defaultRowHeight="14.3" x14ac:dyDescent="0.25"/>
  <cols>
    <col min="1" max="1" width="11.5" customWidth="1"/>
    <col min="2" max="2" width="14.5" bestFit="1" customWidth="1"/>
    <col min="3" max="5" width="13" bestFit="1" customWidth="1"/>
  </cols>
  <sheetData>
    <row r="1" spans="1:17" ht="31.25" x14ac:dyDescent="0.25">
      <c r="A1" s="11" t="s">
        <v>68</v>
      </c>
      <c r="B1" s="66" t="s">
        <v>69</v>
      </c>
      <c r="C1" s="66" t="s">
        <v>70</v>
      </c>
      <c r="D1" s="66" t="s">
        <v>71</v>
      </c>
      <c r="E1" s="66" t="s">
        <v>72</v>
      </c>
      <c r="F1" s="28"/>
      <c r="G1" s="24" t="s">
        <v>3</v>
      </c>
      <c r="H1" s="28"/>
      <c r="I1" s="28"/>
      <c r="J1" s="28"/>
      <c r="K1" s="24" t="s">
        <v>3</v>
      </c>
      <c r="L1" s="28"/>
      <c r="M1" s="28"/>
      <c r="N1" s="28"/>
      <c r="O1" s="24" t="s">
        <v>3</v>
      </c>
      <c r="P1" s="28"/>
      <c r="Q1" s="28"/>
    </row>
    <row r="2" spans="1:17" ht="15.65" x14ac:dyDescent="0.25">
      <c r="A2" s="64">
        <v>1</v>
      </c>
      <c r="B2" s="7">
        <v>0.15</v>
      </c>
      <c r="C2" s="7">
        <v>0.2</v>
      </c>
      <c r="D2" s="7">
        <v>0.2</v>
      </c>
      <c r="E2" s="65">
        <v>0.05</v>
      </c>
      <c r="F2" s="29">
        <f>0.5*C2+0.5*D2</f>
        <v>0.2</v>
      </c>
      <c r="G2" s="68">
        <f>SUMPRODUCT(B2:B5,F2:F5)</f>
        <v>0.125</v>
      </c>
      <c r="H2" s="55">
        <f>0.5^2*(B8)^2+0.5^2*(C8)^2+2*0.5*0.5*B8*C8*B10</f>
        <v>1.6875000000000002E-3</v>
      </c>
      <c r="I2" s="13">
        <f>SQRT(H2)</f>
        <v>4.107919181288746E-2</v>
      </c>
      <c r="J2" s="29">
        <f>0.5*C2+0.5*E2</f>
        <v>0.125</v>
      </c>
      <c r="K2" s="68">
        <f>SUMPRODUCT(B2:B5,J2:J5)</f>
        <v>0.125</v>
      </c>
      <c r="L2" s="55">
        <f>0.5^2*(B8)^2+0.5^2*(D8)^2+2*0.5*0.5*B8*D8*B12</f>
        <v>0</v>
      </c>
      <c r="M2" s="13">
        <f>SQRT(L2)</f>
        <v>0</v>
      </c>
      <c r="N2" s="29">
        <f>0.5*D2+0.5*E2</f>
        <v>0.125</v>
      </c>
      <c r="O2" s="68">
        <f>SUMPRODUCT(B2:B5,N2:N5)</f>
        <v>0.12499999999999999</v>
      </c>
      <c r="P2" s="55">
        <f>0.5^2*(C8)^2+0.5^2*(D8)^2+2*0.5*0.5*C8*D8*B14</f>
        <v>4.3749999999999985E-4</v>
      </c>
      <c r="Q2" s="13">
        <f>SQRT(P2)</f>
        <v>2.0916500663351885E-2</v>
      </c>
    </row>
    <row r="3" spans="1:17" ht="15.65" x14ac:dyDescent="0.25">
      <c r="A3" s="64">
        <v>2</v>
      </c>
      <c r="B3" s="7">
        <v>0.35</v>
      </c>
      <c r="C3" s="7">
        <v>0.15</v>
      </c>
      <c r="D3" s="7">
        <v>0.1</v>
      </c>
      <c r="E3" s="65">
        <v>0.1</v>
      </c>
      <c r="F3" s="29">
        <f t="shared" ref="F3:F5" si="0">0.5*C3+0.5*D3</f>
        <v>0.125</v>
      </c>
      <c r="J3" s="29">
        <f t="shared" ref="J3:J5" si="1">0.5*C3+0.5*E3</f>
        <v>0.125</v>
      </c>
      <c r="N3" s="29">
        <f t="shared" ref="N3:N5" si="2">0.5*D3+0.5*E3</f>
        <v>0.1</v>
      </c>
    </row>
    <row r="4" spans="1:17" ht="15.65" x14ac:dyDescent="0.25">
      <c r="A4" s="64">
        <v>3</v>
      </c>
      <c r="B4" s="7">
        <v>0.35</v>
      </c>
      <c r="C4" s="7">
        <v>0.1</v>
      </c>
      <c r="D4" s="7">
        <v>0.15</v>
      </c>
      <c r="E4" s="65">
        <v>0.15</v>
      </c>
      <c r="F4" s="29">
        <f t="shared" si="0"/>
        <v>0.125</v>
      </c>
      <c r="J4" s="29">
        <f t="shared" si="1"/>
        <v>0.125</v>
      </c>
      <c r="N4" s="29">
        <f t="shared" si="2"/>
        <v>0.15</v>
      </c>
    </row>
    <row r="5" spans="1:17" ht="15.65" x14ac:dyDescent="0.25">
      <c r="A5" s="64">
        <v>4</v>
      </c>
      <c r="B5" s="7">
        <v>0.15</v>
      </c>
      <c r="C5" s="7">
        <v>0.05</v>
      </c>
      <c r="D5" s="7">
        <v>0.05</v>
      </c>
      <c r="E5" s="65">
        <v>0.2</v>
      </c>
      <c r="F5" s="29">
        <f t="shared" si="0"/>
        <v>0.05</v>
      </c>
      <c r="J5" s="29">
        <f t="shared" si="1"/>
        <v>0.125</v>
      </c>
      <c r="N5" s="29">
        <f t="shared" si="2"/>
        <v>0.125</v>
      </c>
    </row>
    <row r="6" spans="1:17" ht="15.65" x14ac:dyDescent="0.25">
      <c r="A6" s="28" t="s">
        <v>3</v>
      </c>
      <c r="B6" s="29">
        <f>SUMPRODUCT($B$2:$B$5,C$2:C$5)</f>
        <v>0.125</v>
      </c>
      <c r="C6" s="29">
        <f t="shared" ref="C6:D6" si="3">SUMPRODUCT($B$2:$B$5,D$2:D$5)</f>
        <v>0.125</v>
      </c>
      <c r="D6" s="29">
        <f t="shared" si="3"/>
        <v>0.125</v>
      </c>
    </row>
    <row r="7" spans="1:17" ht="20.399999999999999" customHeight="1" x14ac:dyDescent="0.25">
      <c r="A7" s="28"/>
      <c r="B7" s="51">
        <f>$B$2*(C$2-B$6)^2+$B$3*(C$3-B$6)^2+$B$4*(C$4-B$6)^2+$B$5*(C$5-B$6)^2</f>
        <v>2.1249999999999997E-3</v>
      </c>
      <c r="C7" s="51">
        <f t="shared" ref="C7:D7" si="4">$B$2*(D$2-C$6)^2+$B$3*(D$3-C$6)^2+$B$4*(D$4-C$6)^2+$B$5*(D$5-C$6)^2</f>
        <v>2.1249999999999997E-3</v>
      </c>
      <c r="D7" s="51">
        <f t="shared" si="4"/>
        <v>2.1250000000000002E-3</v>
      </c>
    </row>
    <row r="8" spans="1:17" ht="15.65" x14ac:dyDescent="0.25">
      <c r="A8" s="28"/>
      <c r="B8" s="13">
        <f>SQRT(B$7)</f>
        <v>4.6097722286464436E-2</v>
      </c>
      <c r="C8" s="13">
        <f t="shared" ref="C8:D8" si="5">SQRT(C$7)</f>
        <v>4.6097722286464436E-2</v>
      </c>
      <c r="D8" s="13">
        <f t="shared" si="5"/>
        <v>4.6097722286464436E-2</v>
      </c>
    </row>
    <row r="9" spans="1:17" ht="15.65" x14ac:dyDescent="0.25">
      <c r="A9" s="52" t="s">
        <v>73</v>
      </c>
      <c r="B9" s="51">
        <f>$B$2*(C$2-B$6)*(D$2-C$6)+$B$3*(C$3-B$6)*(D$3-C$6)+$B$4*(C$4-B$6)*(D$4-C$6)+$B$5*(C$5-B$6)*(D$5-C$6)</f>
        <v>1.2500000000000005E-3</v>
      </c>
      <c r="C9" s="126"/>
    </row>
    <row r="10" spans="1:17" ht="15.65" x14ac:dyDescent="0.25">
      <c r="A10" s="28"/>
      <c r="B10" s="53">
        <f>B9/(B8*C8)</f>
        <v>0.58823529411764719</v>
      </c>
    </row>
    <row r="11" spans="1:17" ht="15.65" x14ac:dyDescent="0.25">
      <c r="A11" s="52" t="s">
        <v>74</v>
      </c>
      <c r="B11" s="55">
        <f>B2*(C2-B6)*(E2-D6)+B3*(C3-B6)*(E3-D6)+B4*(C4-B6)*(E4-D6)+B5*(C5-B6)*(E5-D6)</f>
        <v>-2.1250000000000002E-3</v>
      </c>
    </row>
    <row r="12" spans="1:17" ht="15.65" x14ac:dyDescent="0.25">
      <c r="A12" s="28"/>
      <c r="B12" s="67">
        <f>B11/(B8*D8)</f>
        <v>-1</v>
      </c>
    </row>
    <row r="13" spans="1:17" ht="15.65" x14ac:dyDescent="0.25">
      <c r="A13" s="52" t="s">
        <v>75</v>
      </c>
      <c r="B13" s="51">
        <f>B2*(D2-C6)*(E2-D6)+B3*(D3-C6)*(E3-D6)+B4*(D4-C6)*(E4-D6)+B5*(D5-C6)*(E5-D6)</f>
        <v>-1.2500000000000005E-3</v>
      </c>
    </row>
    <row r="14" spans="1:17" ht="15.65" x14ac:dyDescent="0.25">
      <c r="A14" s="28"/>
      <c r="B14" s="53">
        <f>B13/(C8*D8)</f>
        <v>-0.58823529411764719</v>
      </c>
    </row>
  </sheetData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2478A-73A2-4C45-B5C0-B9D683F7332D}">
  <dimension ref="A1:F8"/>
  <sheetViews>
    <sheetView showGridLines="0" zoomScale="160" zoomScaleNormal="160" workbookViewId="0">
      <selection activeCell="B8" sqref="B8"/>
    </sheetView>
  </sheetViews>
  <sheetFormatPr defaultRowHeight="14.3" x14ac:dyDescent="0.25"/>
  <cols>
    <col min="1" max="4" width="11.75" customWidth="1"/>
  </cols>
  <sheetData>
    <row r="1" spans="1:6" ht="15.65" x14ac:dyDescent="0.25">
      <c r="A1" s="1"/>
      <c r="B1" s="1"/>
      <c r="C1" s="152" t="s">
        <v>77</v>
      </c>
      <c r="D1" s="152"/>
    </row>
    <row r="2" spans="1:6" ht="31.25" x14ac:dyDescent="0.25">
      <c r="A2" s="31" t="s">
        <v>20</v>
      </c>
      <c r="B2" s="41" t="s">
        <v>76</v>
      </c>
      <c r="C2" s="41" t="s">
        <v>0</v>
      </c>
      <c r="D2" s="41" t="s">
        <v>1</v>
      </c>
      <c r="F2" s="35"/>
    </row>
    <row r="3" spans="1:6" ht="15.65" x14ac:dyDescent="0.25">
      <c r="A3" s="25" t="s">
        <v>17</v>
      </c>
      <c r="B3" s="69">
        <v>0.15</v>
      </c>
      <c r="C3" s="70">
        <v>-0.13</v>
      </c>
      <c r="D3" s="70">
        <v>-0.11</v>
      </c>
      <c r="F3" s="35"/>
    </row>
    <row r="4" spans="1:6" ht="15.65" x14ac:dyDescent="0.25">
      <c r="A4" s="25" t="s">
        <v>8</v>
      </c>
      <c r="B4" s="69">
        <v>0.6</v>
      </c>
      <c r="C4" s="70">
        <v>0.12</v>
      </c>
      <c r="D4" s="71">
        <v>0.1</v>
      </c>
      <c r="F4" s="35"/>
    </row>
    <row r="5" spans="1:6" ht="15.65" x14ac:dyDescent="0.25">
      <c r="A5" s="25" t="s">
        <v>9</v>
      </c>
      <c r="B5" s="69">
        <v>0.25</v>
      </c>
      <c r="C5" s="70">
        <v>0.34</v>
      </c>
      <c r="D5" s="70">
        <v>0.31</v>
      </c>
      <c r="F5" s="35"/>
    </row>
    <row r="6" spans="1:6" ht="15.65" x14ac:dyDescent="0.25">
      <c r="B6" s="28" t="s">
        <v>3</v>
      </c>
      <c r="C6" s="13">
        <f>SUMPRODUCT($B$3:$B$5,C$3:C$5)</f>
        <v>0.13750000000000001</v>
      </c>
      <c r="D6" s="29">
        <f>SUMPRODUCT($B$3:$B$5,D$3:D$5)</f>
        <v>0.121</v>
      </c>
    </row>
    <row r="7" spans="1:6" ht="15.65" x14ac:dyDescent="0.25">
      <c r="B7" s="28" t="s">
        <v>78</v>
      </c>
      <c r="C7" s="29">
        <f>(C6-D6)/0.35</f>
        <v>4.7142857142857188E-2</v>
      </c>
    </row>
    <row r="8" spans="1:6" ht="15.65" x14ac:dyDescent="0.25">
      <c r="B8" s="72" t="s">
        <v>31</v>
      </c>
      <c r="C8" s="29">
        <f>C7</f>
        <v>4.7142857142857188E-2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1CDCC-491C-43A7-8C7E-12D14076624F}">
  <dimension ref="A1:H10"/>
  <sheetViews>
    <sheetView showGridLines="0" zoomScale="160" zoomScaleNormal="160" workbookViewId="0">
      <selection activeCell="F7" sqref="F7"/>
    </sheetView>
  </sheetViews>
  <sheetFormatPr defaultRowHeight="14.3" x14ac:dyDescent="0.25"/>
  <cols>
    <col min="1" max="1" width="15.875" bestFit="1" customWidth="1"/>
    <col min="2" max="2" width="17" bestFit="1" customWidth="1"/>
    <col min="3" max="3" width="7.5" bestFit="1" customWidth="1"/>
    <col min="4" max="4" width="12" customWidth="1"/>
    <col min="5" max="5" width="6.75" bestFit="1" customWidth="1"/>
    <col min="6" max="6" width="7.5" bestFit="1" customWidth="1"/>
    <col min="7" max="7" width="6.75" bestFit="1" customWidth="1"/>
    <col min="8" max="8" width="5.5" bestFit="1" customWidth="1"/>
  </cols>
  <sheetData>
    <row r="1" spans="1:8" ht="15.65" x14ac:dyDescent="0.25">
      <c r="A1" s="1"/>
      <c r="B1" s="1"/>
      <c r="C1" s="152" t="s">
        <v>79</v>
      </c>
      <c r="D1" s="152"/>
    </row>
    <row r="2" spans="1:8" ht="18.850000000000001" customHeight="1" x14ac:dyDescent="0.25">
      <c r="A2" s="31" t="s">
        <v>20</v>
      </c>
      <c r="B2" s="41" t="s">
        <v>76</v>
      </c>
      <c r="C2" s="41" t="s">
        <v>0</v>
      </c>
      <c r="D2" s="41" t="s">
        <v>96</v>
      </c>
      <c r="E2" s="24" t="s">
        <v>3</v>
      </c>
      <c r="F2" s="28"/>
      <c r="G2" s="28"/>
      <c r="H2" s="20"/>
    </row>
    <row r="3" spans="1:8" ht="15.65" x14ac:dyDescent="0.25">
      <c r="A3" s="25" t="s">
        <v>7</v>
      </c>
      <c r="B3" s="69">
        <v>0.2</v>
      </c>
      <c r="C3" s="74">
        <v>64</v>
      </c>
      <c r="D3" s="76">
        <f>C3/75-1</f>
        <v>-0.14666666666666661</v>
      </c>
      <c r="E3" s="13">
        <f>0.7*B6+0.3*0.14</f>
        <v>0.12973333333333328</v>
      </c>
      <c r="F3" s="51">
        <f>0.7^2*(B8)^2+0.3^2*(0.34)^2+2*0.7*0.3*B8*0.34*0.36</f>
        <v>2.8252230876572249E-2</v>
      </c>
      <c r="G3" s="13">
        <f>SQRT(F3)</f>
        <v>0.16808399946625571</v>
      </c>
      <c r="H3" s="77">
        <f>0.7*B9+0.3*B10</f>
        <v>0.53201238705321874</v>
      </c>
    </row>
    <row r="4" spans="1:8" ht="15.65" x14ac:dyDescent="0.25">
      <c r="A4" s="25" t="s">
        <v>8</v>
      </c>
      <c r="B4" s="69">
        <v>0.6</v>
      </c>
      <c r="C4" s="74">
        <v>87</v>
      </c>
      <c r="D4" s="75">
        <f>C4/75-1</f>
        <v>0.15999999999999992</v>
      </c>
    </row>
    <row r="5" spans="1:8" ht="15.65" x14ac:dyDescent="0.25">
      <c r="A5" s="25" t="s">
        <v>80</v>
      </c>
      <c r="B5" s="69">
        <v>0.2</v>
      </c>
      <c r="C5" s="74">
        <v>97</v>
      </c>
      <c r="D5" s="76">
        <f>C5/75-1</f>
        <v>0.29333333333333322</v>
      </c>
    </row>
    <row r="6" spans="1:8" ht="15.65" x14ac:dyDescent="0.25">
      <c r="A6" s="28" t="s">
        <v>3</v>
      </c>
      <c r="B6" s="13">
        <f>SUMPRODUCT(B3:B5,D3:D5)</f>
        <v>0.12533333333333327</v>
      </c>
    </row>
    <row r="7" spans="1:8" ht="19.55" customHeight="1" x14ac:dyDescent="0.25">
      <c r="A7" s="28"/>
      <c r="B7" s="51">
        <f>B3*(D3-B6)^2+B4*(D4-B6)^2+B5*(D5-B6)^2</f>
        <v>2.1162666666666656E-2</v>
      </c>
    </row>
    <row r="8" spans="1:8" ht="20.399999999999999" customHeight="1" x14ac:dyDescent="0.25">
      <c r="A8" s="28"/>
      <c r="B8" s="13">
        <f>SQRT(B7)</f>
        <v>0.14547393810118242</v>
      </c>
    </row>
    <row r="9" spans="1:8" ht="21.1" customHeight="1" x14ac:dyDescent="0.25">
      <c r="A9" s="28"/>
      <c r="B9" s="77">
        <f>0.7*(B8/0.18)</f>
        <v>0.56573198150459825</v>
      </c>
    </row>
    <row r="10" spans="1:8" ht="19.55" customHeight="1" x14ac:dyDescent="0.25">
      <c r="A10" s="28"/>
      <c r="B10" s="77">
        <f>0.24*(0.34/0.18)</f>
        <v>0.45333333333333337</v>
      </c>
    </row>
  </sheetData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00A7C-E52D-42AB-A3B6-7F5DDA7F3EA6}">
  <dimension ref="A1:N48"/>
  <sheetViews>
    <sheetView showGridLines="0" zoomScale="160" zoomScaleNormal="160" workbookViewId="0"/>
  </sheetViews>
  <sheetFormatPr defaultRowHeight="14.3" x14ac:dyDescent="0.25"/>
  <cols>
    <col min="1" max="1" width="27.5" customWidth="1"/>
    <col min="2" max="2" width="15.125" bestFit="1" customWidth="1"/>
    <col min="3" max="3" width="17.25" bestFit="1" customWidth="1"/>
    <col min="5" max="5" width="13.375" bestFit="1" customWidth="1"/>
    <col min="6" max="6" width="7.25" bestFit="1" customWidth="1"/>
    <col min="8" max="8" width="13.375" bestFit="1" customWidth="1"/>
    <col min="9" max="9" width="7.25" bestFit="1" customWidth="1"/>
    <col min="11" max="11" width="19.875" bestFit="1" customWidth="1"/>
    <col min="12" max="12" width="16" style="98" bestFit="1" customWidth="1"/>
    <col min="13" max="13" width="7.25" bestFit="1" customWidth="1"/>
    <col min="14" max="14" width="21.875" bestFit="1" customWidth="1"/>
  </cols>
  <sheetData>
    <row r="1" spans="1:14" ht="31.25" x14ac:dyDescent="0.25">
      <c r="A1" s="73" t="s">
        <v>81</v>
      </c>
      <c r="B1" s="73" t="s">
        <v>54</v>
      </c>
      <c r="C1" s="73" t="s">
        <v>55</v>
      </c>
      <c r="D1" s="35"/>
      <c r="L1"/>
    </row>
    <row r="2" spans="1:14" ht="15.65" x14ac:dyDescent="0.25">
      <c r="A2" s="25" t="s">
        <v>82</v>
      </c>
      <c r="B2" s="78">
        <v>0.1</v>
      </c>
      <c r="C2" s="78">
        <v>0.41</v>
      </c>
      <c r="D2" s="35"/>
      <c r="E2" s="79" t="s">
        <v>84</v>
      </c>
      <c r="F2" s="80">
        <v>0.77984189723320174</v>
      </c>
      <c r="G2" s="1"/>
      <c r="H2" s="83" t="s">
        <v>84</v>
      </c>
      <c r="I2" s="84">
        <v>0.74668989547038334</v>
      </c>
      <c r="K2" s="99" t="s">
        <v>84</v>
      </c>
      <c r="L2" s="50"/>
      <c r="M2" s="89" t="s">
        <v>3</v>
      </c>
      <c r="N2" s="91" t="s">
        <v>86</v>
      </c>
    </row>
    <row r="3" spans="1:14" ht="15.65" x14ac:dyDescent="0.25">
      <c r="A3" s="25" t="s">
        <v>83</v>
      </c>
      <c r="B3" s="78">
        <v>0.16</v>
      </c>
      <c r="C3" s="78">
        <v>0.77</v>
      </c>
      <c r="D3" s="35"/>
      <c r="E3" s="81" t="s">
        <v>85</v>
      </c>
      <c r="F3" s="82">
        <f>1-F2</f>
        <v>0.22015810276679826</v>
      </c>
      <c r="G3" s="1"/>
      <c r="H3" s="85" t="s">
        <v>85</v>
      </c>
      <c r="I3" s="86">
        <f>1-I2</f>
        <v>0.25331010452961666</v>
      </c>
      <c r="K3" s="90">
        <v>0</v>
      </c>
      <c r="L3" s="87">
        <f>SQRT($K3^2*($C$2)^2+(1-$K3)^2*($C$3)^2+2*$K3*(1-$K3)*$C$2*$C$3*$B$5)</f>
        <v>0.77</v>
      </c>
      <c r="M3" s="87">
        <f>$K3*$B$2+(1-$K3)*$B$3</f>
        <v>0.16</v>
      </c>
      <c r="N3" s="92">
        <f t="shared" ref="N3:N9" si="0">M3</f>
        <v>0.16</v>
      </c>
    </row>
    <row r="4" spans="1:14" ht="21.1" customHeight="1" x14ac:dyDescent="0.25">
      <c r="A4" s="128"/>
      <c r="B4" s="160">
        <f>F2^2*(C2)^2+(1-F2)^2*(C3)^2+2*F2*(1-F2)*C2*C3*B5</f>
        <v>0.13131158102766796</v>
      </c>
      <c r="C4" s="127"/>
      <c r="K4" s="90">
        <v>0.1</v>
      </c>
      <c r="L4" s="87">
        <f t="shared" ref="L4:L13" si="1">SQRT($K4^2*($C$2)^2+(1-$K4)^2*($C$3)^2+2*$K4*(1-$K4)*$C$2*$C$3*$B$5)</f>
        <v>0.69434141457931198</v>
      </c>
      <c r="M4" s="87">
        <f t="shared" ref="M4:M13" si="2">$K4*$B$2+(1-$K4)*$B$3</f>
        <v>0.15400000000000003</v>
      </c>
      <c r="N4" s="92">
        <f>M4</f>
        <v>0.15400000000000003</v>
      </c>
    </row>
    <row r="5" spans="1:14" ht="15.65" x14ac:dyDescent="0.25">
      <c r="A5" s="128"/>
      <c r="B5" s="129">
        <f>0.001/(C2*C3)</f>
        <v>3.1675641431738997E-3</v>
      </c>
      <c r="D5" s="32"/>
      <c r="K5" s="90">
        <v>0.2</v>
      </c>
      <c r="L5" s="87">
        <f t="shared" si="1"/>
        <v>0.62169124169478218</v>
      </c>
      <c r="M5" s="87">
        <f t="shared" si="2"/>
        <v>0.14800000000000002</v>
      </c>
      <c r="N5" s="92">
        <f t="shared" si="0"/>
        <v>0.14800000000000002</v>
      </c>
    </row>
    <row r="6" spans="1:14" ht="15.65" x14ac:dyDescent="0.25">
      <c r="A6" s="128" t="s">
        <v>3</v>
      </c>
      <c r="B6" s="125">
        <f>F2*B2+(1-F2)*B3</f>
        <v>0.1132094861660079</v>
      </c>
      <c r="C6" s="32"/>
      <c r="K6" s="90">
        <v>0.30000000000000004</v>
      </c>
      <c r="L6" s="87">
        <f t="shared" si="1"/>
        <v>0.55323593520305603</v>
      </c>
      <c r="M6" s="87">
        <f t="shared" si="2"/>
        <v>0.14199999999999999</v>
      </c>
      <c r="N6" s="92">
        <f t="shared" si="0"/>
        <v>0.14199999999999999</v>
      </c>
    </row>
    <row r="7" spans="1:14" ht="20.399999999999999" customHeight="1" x14ac:dyDescent="0.25">
      <c r="A7" s="130"/>
      <c r="B7" s="131">
        <f>I2^2*(C2)^2+(1-I2)^2*(C3)^2+2*I2*(1-I2)*C2*C3*B9</f>
        <v>0.11285306620209057</v>
      </c>
      <c r="K7" s="90">
        <v>0.4</v>
      </c>
      <c r="L7" s="87">
        <f t="shared" si="1"/>
        <v>0.49073414391093678</v>
      </c>
      <c r="M7" s="87">
        <f t="shared" si="2"/>
        <v>0.13600000000000001</v>
      </c>
      <c r="N7" s="92">
        <f t="shared" si="0"/>
        <v>0.13600000000000001</v>
      </c>
    </row>
    <row r="8" spans="1:14" ht="20.399999999999999" customHeight="1" x14ac:dyDescent="0.25">
      <c r="A8" s="130"/>
      <c r="B8" s="124">
        <f>SQRT(B7)</f>
        <v>0.33593610434439847</v>
      </c>
      <c r="K8" s="90">
        <v>0.5</v>
      </c>
      <c r="L8" s="87">
        <f t="shared" si="1"/>
        <v>0.43674935603844911</v>
      </c>
      <c r="M8" s="87">
        <f t="shared" si="2"/>
        <v>0.13</v>
      </c>
      <c r="N8" s="92">
        <f t="shared" si="0"/>
        <v>0.13</v>
      </c>
    </row>
    <row r="9" spans="1:14" ht="21.1" customHeight="1" x14ac:dyDescent="0.25">
      <c r="A9" s="130"/>
      <c r="B9" s="131">
        <f>-0.05/(C2*C3)</f>
        <v>-0.15837820715869499</v>
      </c>
      <c r="K9" s="90">
        <v>0.60000000000000009</v>
      </c>
      <c r="L9" s="87">
        <f t="shared" si="1"/>
        <v>0.39479108399253393</v>
      </c>
      <c r="M9" s="87">
        <f t="shared" si="2"/>
        <v>0.124</v>
      </c>
      <c r="N9" s="92">
        <f t="shared" si="0"/>
        <v>0.124</v>
      </c>
    </row>
    <row r="10" spans="1:14" ht="15.65" x14ac:dyDescent="0.25">
      <c r="K10" s="134">
        <f>F2</f>
        <v>0.77984189723320174</v>
      </c>
      <c r="L10" s="87">
        <f t="shared" si="1"/>
        <v>0.36236939858060307</v>
      </c>
      <c r="M10" s="87">
        <f t="shared" si="2"/>
        <v>0.1132094861660079</v>
      </c>
      <c r="N10" s="92">
        <f>M10</f>
        <v>0.1132094861660079</v>
      </c>
    </row>
    <row r="11" spans="1:14" ht="15.65" x14ac:dyDescent="0.25">
      <c r="A11" s="20"/>
      <c r="B11" s="13">
        <v>0.02</v>
      </c>
      <c r="K11" s="90">
        <v>0.8</v>
      </c>
      <c r="L11" s="87">
        <f t="shared" si="1"/>
        <v>0.36279470778940526</v>
      </c>
      <c r="M11" s="87">
        <f t="shared" si="2"/>
        <v>0.11200000000000002</v>
      </c>
    </row>
    <row r="12" spans="1:14" ht="15.65" x14ac:dyDescent="0.25">
      <c r="A12" s="28" t="s">
        <v>25</v>
      </c>
      <c r="B12" s="164">
        <f>B16*B2+B17*B3</f>
        <v>0.11987839524963013</v>
      </c>
      <c r="K12" s="90">
        <v>0.9</v>
      </c>
      <c r="L12" s="87">
        <f t="shared" si="1"/>
        <v>0.37718695629621124</v>
      </c>
      <c r="M12" s="87">
        <f t="shared" si="2"/>
        <v>0.10600000000000001</v>
      </c>
    </row>
    <row r="13" spans="1:14" ht="21.75" customHeight="1" x14ac:dyDescent="0.25">
      <c r="A13" s="28"/>
      <c r="B13" s="13">
        <f>SQRT(B16^2*(C2)^2+B17^2*C3^2+2*B16*B17*B5)</f>
        <v>0.37636242033580225</v>
      </c>
      <c r="C13" s="32"/>
      <c r="K13" s="90">
        <v>1</v>
      </c>
      <c r="L13" s="87">
        <f t="shared" si="1"/>
        <v>0.41</v>
      </c>
      <c r="M13" s="87">
        <f t="shared" si="2"/>
        <v>0.1</v>
      </c>
    </row>
    <row r="14" spans="1:14" ht="15.65" x14ac:dyDescent="0.25">
      <c r="A14" s="72" t="s">
        <v>31</v>
      </c>
      <c r="B14" s="13">
        <f>B12-B11</f>
        <v>9.9878395249630131E-2</v>
      </c>
      <c r="L14" s="32"/>
      <c r="M14" s="32"/>
    </row>
    <row r="15" spans="1:14" ht="16.5" customHeight="1" x14ac:dyDescent="0.25">
      <c r="A15" s="171" t="s">
        <v>87</v>
      </c>
      <c r="B15" s="108">
        <f>B14/B13</f>
        <v>0.26537823611750483</v>
      </c>
      <c r="C15" s="163" t="s">
        <v>110</v>
      </c>
      <c r="L15"/>
    </row>
    <row r="16" spans="1:14" ht="15.65" x14ac:dyDescent="0.25">
      <c r="A16" s="94" t="s">
        <v>84</v>
      </c>
      <c r="B16" s="95">
        <v>0.66869341250616454</v>
      </c>
      <c r="E16" s="102"/>
      <c r="K16" s="88" t="s">
        <v>88</v>
      </c>
      <c r="L16" s="88" t="s">
        <v>90</v>
      </c>
      <c r="M16" s="93"/>
      <c r="N16" s="93" t="s">
        <v>95</v>
      </c>
    </row>
    <row r="17" spans="1:14" ht="15.65" x14ac:dyDescent="0.25">
      <c r="A17" s="96" t="s">
        <v>85</v>
      </c>
      <c r="B17" s="132">
        <f>1-B16</f>
        <v>0.33130658749383546</v>
      </c>
      <c r="E17" s="102"/>
      <c r="K17" s="103">
        <v>-1</v>
      </c>
      <c r="L17" s="34">
        <v>2</v>
      </c>
      <c r="M17" s="87">
        <f>$L17*$B$13</f>
        <v>0.7527248406716045</v>
      </c>
      <c r="N17" s="87">
        <f>$B$11+$B$18*($M17)</f>
        <v>0.21975679049926025</v>
      </c>
    </row>
    <row r="18" spans="1:14" ht="15.65" x14ac:dyDescent="0.25">
      <c r="A18" s="107" t="s">
        <v>63</v>
      </c>
      <c r="B18" s="108">
        <f>(B12-B11)/B13</f>
        <v>0.26537823611750483</v>
      </c>
      <c r="C18" s="106"/>
      <c r="K18" s="103">
        <v>-0.9</v>
      </c>
      <c r="L18" s="34">
        <v>1.9</v>
      </c>
      <c r="M18" s="87">
        <f t="shared" ref="M18:M26" si="3">$L18*$B$13</f>
        <v>0.71508859863802421</v>
      </c>
      <c r="N18" s="87">
        <f t="shared" ref="N18:N37" si="4">$B$11+$B$18*($M18)</f>
        <v>0.20976895097429721</v>
      </c>
    </row>
    <row r="19" spans="1:14" ht="15.65" x14ac:dyDescent="0.25">
      <c r="A19" s="161" t="s">
        <v>108</v>
      </c>
      <c r="B19" s="165">
        <f>B11+B20*(B12-B11)</f>
        <v>0.11988049287617496</v>
      </c>
      <c r="C19" s="162" t="s">
        <v>62</v>
      </c>
      <c r="K19" s="103">
        <v>-0.8</v>
      </c>
      <c r="L19" s="34">
        <v>1.8</v>
      </c>
      <c r="M19" s="87">
        <f t="shared" si="3"/>
        <v>0.67745235660444403</v>
      </c>
      <c r="N19" s="87">
        <f t="shared" si="4"/>
        <v>0.19978111144933422</v>
      </c>
    </row>
    <row r="20" spans="1:14" ht="15.65" x14ac:dyDescent="0.25">
      <c r="A20" s="161" t="s">
        <v>28</v>
      </c>
      <c r="B20" s="166">
        <v>1.0000210018046403</v>
      </c>
      <c r="C20" s="162"/>
      <c r="K20" s="103">
        <v>-0.7</v>
      </c>
      <c r="L20" s="34">
        <v>1.7</v>
      </c>
      <c r="M20" s="87">
        <f t="shared" si="3"/>
        <v>0.63981611457086385</v>
      </c>
      <c r="N20" s="87">
        <f t="shared" si="4"/>
        <v>0.1897932719243712</v>
      </c>
    </row>
    <row r="21" spans="1:14" ht="15.65" x14ac:dyDescent="0.25">
      <c r="A21" s="141"/>
      <c r="B21" s="141"/>
      <c r="C21" s="141"/>
      <c r="K21" s="103">
        <v>-0.6</v>
      </c>
      <c r="L21" s="34">
        <v>1.6</v>
      </c>
      <c r="M21" s="87">
        <f t="shared" si="3"/>
        <v>0.60217987253728367</v>
      </c>
      <c r="N21" s="87">
        <f t="shared" si="4"/>
        <v>0.17980543239940822</v>
      </c>
    </row>
    <row r="22" spans="1:14" ht="15.65" x14ac:dyDescent="0.25">
      <c r="A22" s="162" t="s">
        <v>109</v>
      </c>
      <c r="B22" s="141"/>
      <c r="C22" s="141"/>
      <c r="K22" s="103">
        <v>-0.5</v>
      </c>
      <c r="L22" s="34">
        <v>1.5</v>
      </c>
      <c r="M22" s="87">
        <f t="shared" si="3"/>
        <v>0.56454363050370338</v>
      </c>
      <c r="N22" s="87">
        <f t="shared" si="4"/>
        <v>0.16981759287444517</v>
      </c>
    </row>
    <row r="23" spans="1:14" ht="15.65" x14ac:dyDescent="0.25">
      <c r="A23" s="101" t="s">
        <v>89</v>
      </c>
      <c r="B23" s="45"/>
      <c r="K23" s="103">
        <v>-0.39999999999999991</v>
      </c>
      <c r="L23" s="34">
        <v>1.4</v>
      </c>
      <c r="M23" s="87">
        <f t="shared" si="3"/>
        <v>0.52690738847012308</v>
      </c>
      <c r="N23" s="87">
        <f t="shared" si="4"/>
        <v>0.15982975334948216</v>
      </c>
    </row>
    <row r="24" spans="1:14" ht="15.65" x14ac:dyDescent="0.25">
      <c r="A24" s="104" t="s">
        <v>91</v>
      </c>
      <c r="B24" s="95">
        <v>0.5</v>
      </c>
      <c r="K24" s="103">
        <v>-0.29999999999999993</v>
      </c>
      <c r="L24" s="34">
        <v>1.2999999999999998</v>
      </c>
      <c r="M24" s="87">
        <f t="shared" si="3"/>
        <v>0.48927114643654285</v>
      </c>
      <c r="N24" s="87">
        <f>$B$11+$B$18*($M24)</f>
        <v>0.14984191382451914</v>
      </c>
    </row>
    <row r="25" spans="1:14" ht="15.65" x14ac:dyDescent="0.25">
      <c r="A25" s="105" t="s">
        <v>92</v>
      </c>
      <c r="B25" s="97">
        <f>1-B24</f>
        <v>0.5</v>
      </c>
      <c r="K25" s="103">
        <v>-0.19999999999999996</v>
      </c>
      <c r="L25" s="34">
        <v>1.2</v>
      </c>
      <c r="M25" s="87">
        <f t="shared" si="3"/>
        <v>0.45163490440296267</v>
      </c>
      <c r="N25" s="87">
        <f t="shared" si="4"/>
        <v>0.13985407429955615</v>
      </c>
    </row>
    <row r="26" spans="1:14" ht="15.65" x14ac:dyDescent="0.25">
      <c r="C26" s="133"/>
      <c r="K26" s="103">
        <v>-9.9999999999999978E-2</v>
      </c>
      <c r="L26" s="34">
        <v>1.1000000000000001</v>
      </c>
      <c r="M26" s="87">
        <f t="shared" si="3"/>
        <v>0.41399866236938249</v>
      </c>
      <c r="N26" s="87">
        <f t="shared" si="4"/>
        <v>0.12986623477459314</v>
      </c>
    </row>
    <row r="27" spans="1:14" ht="15.65" x14ac:dyDescent="0.25">
      <c r="A27" s="101" t="s">
        <v>94</v>
      </c>
      <c r="K27" s="103">
        <v>0</v>
      </c>
      <c r="L27" s="34">
        <v>1</v>
      </c>
      <c r="M27" s="87">
        <f>$L27*$B$13</f>
        <v>0.37636242033580225</v>
      </c>
      <c r="N27" s="87">
        <f t="shared" si="4"/>
        <v>0.11987839524963013</v>
      </c>
    </row>
    <row r="28" spans="1:14" ht="15.65" x14ac:dyDescent="0.25">
      <c r="A28" s="94" t="s">
        <v>93</v>
      </c>
      <c r="B28" s="95">
        <f>B24*B11+B25*B12</f>
        <v>6.9939197624815069E-2</v>
      </c>
      <c r="K28" s="103">
        <v>0.10000000000000009</v>
      </c>
      <c r="L28" s="34">
        <v>0.89999999999999991</v>
      </c>
      <c r="M28" s="87">
        <f>$L28*$B$13</f>
        <v>0.33872617830222201</v>
      </c>
      <c r="N28" s="87">
        <f t="shared" si="4"/>
        <v>0.10989055572466712</v>
      </c>
    </row>
    <row r="29" spans="1:14" ht="15.65" x14ac:dyDescent="0.25">
      <c r="A29" s="96"/>
      <c r="B29" s="97">
        <f>B25*B13</f>
        <v>0.18818121016790113</v>
      </c>
      <c r="K29" s="103">
        <v>0.20000000000000018</v>
      </c>
      <c r="L29" s="34">
        <v>0.79999999999999982</v>
      </c>
      <c r="M29" s="87">
        <f>$L29*$B$13</f>
        <v>0.30108993626864172</v>
      </c>
      <c r="N29" s="87">
        <f t="shared" si="4"/>
        <v>9.9902716199704089E-2</v>
      </c>
    </row>
    <row r="30" spans="1:14" ht="15.65" x14ac:dyDescent="0.25">
      <c r="K30" s="103">
        <v>0.30000000000000004</v>
      </c>
      <c r="L30" s="34">
        <v>0.7</v>
      </c>
      <c r="M30" s="87">
        <f t="shared" ref="M30:M35" si="5">$L30*$B$13</f>
        <v>0.26345369423506154</v>
      </c>
      <c r="N30" s="87">
        <f t="shared" si="4"/>
        <v>8.9914876674741087E-2</v>
      </c>
    </row>
    <row r="31" spans="1:14" ht="15.65" x14ac:dyDescent="0.25">
      <c r="K31" s="103">
        <v>0.40000000000000013</v>
      </c>
      <c r="L31" s="34">
        <v>0.59999999999999987</v>
      </c>
      <c r="M31" s="87">
        <f t="shared" si="5"/>
        <v>0.22581745220148131</v>
      </c>
      <c r="N31" s="87">
        <f t="shared" si="4"/>
        <v>7.9927037149778071E-2</v>
      </c>
    </row>
    <row r="32" spans="1:14" ht="15.65" x14ac:dyDescent="0.25">
      <c r="K32" s="103">
        <v>0.5</v>
      </c>
      <c r="L32" s="34">
        <v>0.5</v>
      </c>
      <c r="M32" s="87">
        <f t="shared" si="5"/>
        <v>0.18818121016790113</v>
      </c>
      <c r="N32" s="87">
        <f t="shared" si="4"/>
        <v>6.9939197624815069E-2</v>
      </c>
    </row>
    <row r="33" spans="11:14" ht="15.65" x14ac:dyDescent="0.25">
      <c r="K33" s="103">
        <v>0.60000000000000009</v>
      </c>
      <c r="L33" s="34">
        <v>0.39999999999999991</v>
      </c>
      <c r="M33" s="87">
        <f t="shared" si="5"/>
        <v>0.15054496813432086</v>
      </c>
      <c r="N33" s="87">
        <f t="shared" si="4"/>
        <v>5.995135809985204E-2</v>
      </c>
    </row>
    <row r="34" spans="11:14" ht="15.65" x14ac:dyDescent="0.25">
      <c r="K34" s="103">
        <v>0.70000000000000018</v>
      </c>
      <c r="L34" s="34">
        <v>0.29999999999999982</v>
      </c>
      <c r="M34" s="87">
        <f t="shared" si="5"/>
        <v>0.11290872610074061</v>
      </c>
      <c r="N34" s="87">
        <f t="shared" si="4"/>
        <v>4.9963518574889024E-2</v>
      </c>
    </row>
    <row r="35" spans="11:14" ht="15.65" x14ac:dyDescent="0.25">
      <c r="K35" s="103">
        <v>0.8</v>
      </c>
      <c r="L35" s="34">
        <v>0.19999999999999996</v>
      </c>
      <c r="M35" s="87">
        <f t="shared" si="5"/>
        <v>7.5272484067160431E-2</v>
      </c>
      <c r="N35" s="87">
        <f t="shared" si="4"/>
        <v>3.9975679049926022E-2</v>
      </c>
    </row>
    <row r="36" spans="11:14" ht="15.65" x14ac:dyDescent="0.25">
      <c r="K36" s="103">
        <v>0.90000000000000013</v>
      </c>
      <c r="L36" s="34">
        <v>9.9999999999999867E-2</v>
      </c>
      <c r="M36" s="87">
        <f>$L36*$B$13</f>
        <v>3.7636242033580174E-2</v>
      </c>
      <c r="N36" s="87">
        <f t="shared" si="4"/>
        <v>2.9987839524962999E-2</v>
      </c>
    </row>
    <row r="37" spans="11:14" ht="15.65" x14ac:dyDescent="0.25">
      <c r="K37" s="103">
        <v>1</v>
      </c>
      <c r="L37" s="34">
        <v>0</v>
      </c>
      <c r="M37" s="87">
        <f>$L37*$B$13</f>
        <v>0</v>
      </c>
      <c r="N37" s="87">
        <f t="shared" si="4"/>
        <v>0.02</v>
      </c>
    </row>
    <row r="38" spans="11:14" ht="15.65" x14ac:dyDescent="0.25">
      <c r="K38" s="103">
        <v>1.1000000000000001</v>
      </c>
      <c r="L38" s="34">
        <v>-0.10000000000000009</v>
      </c>
      <c r="M38" s="87">
        <f>M37</f>
        <v>0</v>
      </c>
      <c r="N38" s="87">
        <f>$K38*$B$11+($K38-$K38)*$B$12</f>
        <v>2.2000000000000002E-2</v>
      </c>
    </row>
    <row r="39" spans="11:14" ht="15.65" x14ac:dyDescent="0.25">
      <c r="K39" s="103">
        <v>1.2000000000000002</v>
      </c>
      <c r="L39" s="34">
        <v>-0.20000000000000018</v>
      </c>
      <c r="M39" s="87">
        <f t="shared" ref="M39:M47" si="6">M38</f>
        <v>0</v>
      </c>
      <c r="N39" s="87">
        <f t="shared" ref="N39:N47" si="7">$K39*$B$11+($K39-$K39)*$B$12</f>
        <v>2.4000000000000004E-2</v>
      </c>
    </row>
    <row r="40" spans="11:14" ht="15.65" x14ac:dyDescent="0.25">
      <c r="K40" s="103">
        <v>1.3000000000000003</v>
      </c>
      <c r="L40" s="34">
        <v>-0.30000000000000027</v>
      </c>
      <c r="M40" s="87">
        <f t="shared" si="6"/>
        <v>0</v>
      </c>
      <c r="N40" s="87">
        <f t="shared" si="7"/>
        <v>2.6000000000000006E-2</v>
      </c>
    </row>
    <row r="41" spans="11:14" ht="15.65" x14ac:dyDescent="0.25">
      <c r="K41" s="103">
        <v>1.4000000000000004</v>
      </c>
      <c r="L41" s="34">
        <v>-0.40000000000000036</v>
      </c>
      <c r="M41" s="87">
        <f t="shared" si="6"/>
        <v>0</v>
      </c>
      <c r="N41" s="87">
        <f t="shared" si="7"/>
        <v>2.8000000000000008E-2</v>
      </c>
    </row>
    <row r="42" spans="11:14" ht="15.65" x14ac:dyDescent="0.25">
      <c r="K42" s="103">
        <v>1.5</v>
      </c>
      <c r="L42" s="34">
        <v>-0.5</v>
      </c>
      <c r="M42" s="87">
        <f t="shared" si="6"/>
        <v>0</v>
      </c>
      <c r="N42" s="87">
        <f t="shared" si="7"/>
        <v>0.03</v>
      </c>
    </row>
    <row r="43" spans="11:14" ht="15.65" x14ac:dyDescent="0.25">
      <c r="K43" s="103">
        <v>1.6</v>
      </c>
      <c r="L43" s="34">
        <v>-0.60000000000000009</v>
      </c>
      <c r="M43" s="87">
        <f t="shared" si="6"/>
        <v>0</v>
      </c>
      <c r="N43" s="87">
        <f t="shared" si="7"/>
        <v>3.2000000000000001E-2</v>
      </c>
    </row>
    <row r="44" spans="11:14" ht="15.65" x14ac:dyDescent="0.25">
      <c r="K44" s="103">
        <v>1.7000000000000002</v>
      </c>
      <c r="L44" s="34">
        <v>-0.70000000000000018</v>
      </c>
      <c r="M44" s="87">
        <f t="shared" si="6"/>
        <v>0</v>
      </c>
      <c r="N44" s="87">
        <f t="shared" si="7"/>
        <v>3.4000000000000002E-2</v>
      </c>
    </row>
    <row r="45" spans="11:14" ht="15.65" x14ac:dyDescent="0.25">
      <c r="K45" s="103">
        <v>1.8000000000000003</v>
      </c>
      <c r="L45" s="34">
        <v>-0.80000000000000027</v>
      </c>
      <c r="M45" s="87">
        <f>M44</f>
        <v>0</v>
      </c>
      <c r="N45" s="87">
        <f t="shared" si="7"/>
        <v>3.6000000000000004E-2</v>
      </c>
    </row>
    <row r="46" spans="11:14" ht="15.65" x14ac:dyDescent="0.25">
      <c r="K46" s="103">
        <v>1.9000000000000004</v>
      </c>
      <c r="L46" s="34">
        <v>-0.90000000000000036</v>
      </c>
      <c r="M46" s="87">
        <f t="shared" si="6"/>
        <v>0</v>
      </c>
      <c r="N46" s="87">
        <f t="shared" si="7"/>
        <v>3.8000000000000006E-2</v>
      </c>
    </row>
    <row r="47" spans="11:14" ht="15.65" x14ac:dyDescent="0.25">
      <c r="K47" s="103">
        <v>2</v>
      </c>
      <c r="L47" s="34">
        <v>-1</v>
      </c>
      <c r="M47" s="87">
        <f t="shared" si="6"/>
        <v>0</v>
      </c>
      <c r="N47" s="87">
        <f t="shared" si="7"/>
        <v>0.04</v>
      </c>
    </row>
    <row r="48" spans="11:14" x14ac:dyDescent="0.25">
      <c r="K48" s="100"/>
      <c r="M48" s="32"/>
    </row>
  </sheetData>
  <conditionalFormatting sqref="L3:L13">
    <cfRule type="colorScale" priority="6">
      <colorScale>
        <cfvo type="min"/>
        <cfvo type="max"/>
        <color rgb="FFFCFCFF"/>
        <color rgb="FF63BE7B"/>
      </colorScale>
    </cfRule>
  </conditionalFormatting>
  <conditionalFormatting sqref="M3:M13">
    <cfRule type="colorScale" priority="5">
      <colorScale>
        <cfvo type="min"/>
        <cfvo type="max"/>
        <color rgb="FFFCFCFF"/>
        <color rgb="FF63BE7B"/>
      </colorScale>
    </cfRule>
  </conditionalFormatting>
  <conditionalFormatting sqref="M17:M47">
    <cfRule type="colorScale" priority="4">
      <colorScale>
        <cfvo type="min"/>
        <cfvo type="max"/>
        <color rgb="FFFCFCFF"/>
        <color rgb="FF63BE7B"/>
      </colorScale>
    </cfRule>
  </conditionalFormatting>
  <conditionalFormatting sqref="N17:N47">
    <cfRule type="colorScale" priority="3">
      <colorScale>
        <cfvo type="min"/>
        <cfvo type="max"/>
        <color rgb="FFFFEF9C"/>
        <color rgb="FF63BE7B"/>
      </colorScale>
    </cfRule>
  </conditionalFormatting>
  <conditionalFormatting sqref="N17:N37">
    <cfRule type="colorScale" priority="2">
      <colorScale>
        <cfvo type="min"/>
        <cfvo type="max"/>
        <color rgb="FFFCFCFF"/>
        <color rgb="FF63BE7B"/>
      </colorScale>
    </cfRule>
  </conditionalFormatting>
  <conditionalFormatting sqref="N38:N4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8AE5C-B10B-4A90-BE0E-54D9871DA712}">
  <dimension ref="A1:L21"/>
  <sheetViews>
    <sheetView showGridLines="0" zoomScale="160" zoomScaleNormal="160" workbookViewId="0"/>
  </sheetViews>
  <sheetFormatPr defaultRowHeight="14.3" x14ac:dyDescent="0.25"/>
  <cols>
    <col min="1" max="1" width="31.125" bestFit="1" customWidth="1"/>
    <col min="2" max="2" width="14.375" bestFit="1" customWidth="1"/>
    <col min="3" max="3" width="14.75" bestFit="1" customWidth="1"/>
    <col min="4" max="4" width="13" bestFit="1" customWidth="1"/>
    <col min="5" max="5" width="8" bestFit="1" customWidth="1"/>
    <col min="6" max="6" width="10.75" bestFit="1" customWidth="1"/>
    <col min="7" max="7" width="13.875" bestFit="1" customWidth="1"/>
    <col min="10" max="10" width="11.375" bestFit="1" customWidth="1"/>
    <col min="11" max="11" width="10" bestFit="1" customWidth="1"/>
  </cols>
  <sheetData>
    <row r="1" spans="1:12" ht="46.9" x14ac:dyDescent="0.25">
      <c r="A1" s="170"/>
      <c r="B1" s="11" t="s">
        <v>111</v>
      </c>
      <c r="C1" s="11" t="s">
        <v>112</v>
      </c>
      <c r="D1" s="11" t="s">
        <v>113</v>
      </c>
      <c r="E1" s="11" t="s">
        <v>123</v>
      </c>
      <c r="F1" s="11" t="s">
        <v>122</v>
      </c>
      <c r="G1" s="11" t="s">
        <v>124</v>
      </c>
      <c r="J1" s="173" t="s">
        <v>101</v>
      </c>
      <c r="K1" s="174">
        <v>3.2000000000000001E-2</v>
      </c>
    </row>
    <row r="2" spans="1:12" ht="18.2" customHeight="1" x14ac:dyDescent="0.25">
      <c r="A2" s="167" t="s">
        <v>114</v>
      </c>
      <c r="B2" s="168">
        <v>11.04</v>
      </c>
      <c r="C2" s="168">
        <v>18.45</v>
      </c>
      <c r="D2" s="169">
        <f>(($B2/100)-$K$1)/($C2/100)</f>
        <v>0.42493224932249324</v>
      </c>
      <c r="J2" s="175"/>
      <c r="K2" s="182">
        <f>(F4)^2*(C4/100)^2+(1-F4)^2*(C5/100)^2+2*F4*(1-F4)*(C4/100)*(C5/100)*0.15</f>
        <v>9.2891003515536627E-3</v>
      </c>
    </row>
    <row r="3" spans="1:12" ht="15.65" x14ac:dyDescent="0.25">
      <c r="A3" s="167" t="s">
        <v>115</v>
      </c>
      <c r="B3" s="168">
        <v>16.14</v>
      </c>
      <c r="C3" s="168">
        <v>29.18</v>
      </c>
      <c r="D3" s="169">
        <f>(($B3/100)-$K$1)/($C3/100)</f>
        <v>0.44345442083618919</v>
      </c>
      <c r="J3" s="175" t="s">
        <v>99</v>
      </c>
      <c r="K3" s="176" cm="1">
        <f t="array" ref="K3">SUMPRODUCT($F$4:$F$5,($B$4:$B$5)/100)</f>
        <v>7.4553531532094458E-2</v>
      </c>
    </row>
    <row r="4" spans="1:12" ht="15.65" x14ac:dyDescent="0.25">
      <c r="A4" s="167" t="s">
        <v>116</v>
      </c>
      <c r="B4" s="168">
        <v>12.15</v>
      </c>
      <c r="C4" s="168">
        <v>24.43</v>
      </c>
      <c r="D4" s="169">
        <f>(($B4/100)-$K$1)/($C4/100)</f>
        <v>0.36635284486287351</v>
      </c>
      <c r="E4" s="179">
        <f>A13</f>
        <v>0.20128444090565512</v>
      </c>
      <c r="F4" s="180">
        <v>0.10064236651521936</v>
      </c>
      <c r="G4" s="181">
        <v>0.28353651972101751</v>
      </c>
      <c r="J4" s="175"/>
      <c r="K4" s="176">
        <f>SQRT(K2)</f>
        <v>9.6379978997474691E-2</v>
      </c>
    </row>
    <row r="5" spans="1:12" ht="15.65" x14ac:dyDescent="0.25">
      <c r="A5" s="167" t="s">
        <v>117</v>
      </c>
      <c r="B5" s="168">
        <v>6.93</v>
      </c>
      <c r="C5" s="168">
        <v>9.9600000000000009</v>
      </c>
      <c r="D5" s="169">
        <f>(($B5/100)-$K$1)/($C5/100)</f>
        <v>0.37449799196787148</v>
      </c>
      <c r="E5" s="179">
        <f>1-E4</f>
        <v>0.79871555909434488</v>
      </c>
      <c r="F5" s="180">
        <f>1-F4</f>
        <v>0.89935763348478059</v>
      </c>
      <c r="G5" s="181">
        <f>1-G4</f>
        <v>0.71646348027898243</v>
      </c>
      <c r="J5" s="175" t="s">
        <v>31</v>
      </c>
      <c r="K5" s="177">
        <f>$K$6-K1</f>
        <v>5.210060632943711E-2</v>
      </c>
    </row>
    <row r="6" spans="1:12" ht="15.65" x14ac:dyDescent="0.25">
      <c r="A6" s="167" t="s">
        <v>118</v>
      </c>
      <c r="B6" s="168">
        <v>16</v>
      </c>
      <c r="C6" s="168">
        <v>58</v>
      </c>
      <c r="D6" s="169">
        <f>(($B6/100)-$K$1)/($C6/100)</f>
        <v>0.22068965517241382</v>
      </c>
      <c r="J6" s="172" t="s">
        <v>99</v>
      </c>
      <c r="K6" s="177">
        <f>G4*(B4/100)+(1-G4)*(B5/100)</f>
        <v>8.4100606329437111E-2</v>
      </c>
    </row>
    <row r="7" spans="1:12" ht="15.65" x14ac:dyDescent="0.25">
      <c r="J7" s="175"/>
      <c r="K7" s="177">
        <f>SQRT((G4)^2*(C4/100)^2+(1-G4)^2*(C5/100)^2+2*G4*(C4/100)*(1-G4)*(C5/100)*(0.15))</f>
        <v>0.10664497851915698</v>
      </c>
    </row>
    <row r="8" spans="1:12" ht="15.65" x14ac:dyDescent="0.25">
      <c r="J8" s="175" t="s">
        <v>125</v>
      </c>
      <c r="K8" s="178">
        <f>K5/K7</f>
        <v>0.48854251792153636</v>
      </c>
      <c r="L8" s="163" t="s">
        <v>110</v>
      </c>
    </row>
    <row r="9" spans="1:12" ht="31.25" x14ac:dyDescent="0.25">
      <c r="A9" s="183" t="s">
        <v>119</v>
      </c>
      <c r="B9" s="183" t="s">
        <v>120</v>
      </c>
      <c r="C9" s="184" t="s">
        <v>121</v>
      </c>
      <c r="D9" s="183" t="s">
        <v>86</v>
      </c>
    </row>
    <row r="10" spans="1:12" ht="15.65" x14ac:dyDescent="0.25">
      <c r="A10" s="185">
        <v>0</v>
      </c>
      <c r="B10" s="186">
        <f>$A10*($B$4/100)+(1-$A10)*($B$5/100)</f>
        <v>6.93E-2</v>
      </c>
      <c r="C10" s="187">
        <f>SQRT(($A10)^2*($C$4/100)^2+(1-$A10)^2*($C$5/100)^2+2*$A10*(1-$A10)*($C$4/100)*($C$5/100)*0.15)</f>
        <v>9.9600000000000008E-2</v>
      </c>
      <c r="D10" s="186">
        <f>$B10</f>
        <v>6.93E-2</v>
      </c>
    </row>
    <row r="11" spans="1:12" ht="15.65" x14ac:dyDescent="0.25">
      <c r="A11" s="185">
        <v>0.1</v>
      </c>
      <c r="B11" s="186">
        <f t="shared" ref="B11:B21" si="0">$A11*($B$4/100)+(1-$A11)*($B$5/100)</f>
        <v>7.4520000000000003E-2</v>
      </c>
      <c r="C11" s="187">
        <f t="shared" ref="C11:C21" si="1">SQRT(($A11)^2*($C$4/100)^2+(1-$A11)^2*($C$5/100)^2+2*$A11*(1-$A11)*($C$4/100)*($C$5/100)*0.15)</f>
        <v>9.6380112367645654E-2</v>
      </c>
      <c r="D11" s="186">
        <f t="shared" ref="D11:D13" si="2">$B11</f>
        <v>7.4520000000000003E-2</v>
      </c>
    </row>
    <row r="12" spans="1:12" ht="15.65" x14ac:dyDescent="0.25">
      <c r="A12" s="185">
        <v>0.2</v>
      </c>
      <c r="B12" s="186">
        <f t="shared" si="0"/>
        <v>7.9740000000000005E-2</v>
      </c>
      <c r="C12" s="187">
        <f t="shared" si="1"/>
        <v>9.9519603295029277E-2</v>
      </c>
      <c r="D12" s="186">
        <f t="shared" si="2"/>
        <v>7.9740000000000005E-2</v>
      </c>
    </row>
    <row r="13" spans="1:12" ht="15.65" x14ac:dyDescent="0.25">
      <c r="A13" s="188">
        <v>0.20128444090565512</v>
      </c>
      <c r="B13" s="188">
        <f t="shared" si="0"/>
        <v>7.9807047815275201E-2</v>
      </c>
      <c r="C13" s="189">
        <f t="shared" si="1"/>
        <v>9.9599981486350575E-2</v>
      </c>
      <c r="D13" s="188">
        <f t="shared" si="2"/>
        <v>7.9807047815275201E-2</v>
      </c>
    </row>
    <row r="14" spans="1:12" ht="15.65" x14ac:dyDescent="0.25">
      <c r="A14" s="185">
        <v>0.3</v>
      </c>
      <c r="B14" s="186">
        <f t="shared" si="0"/>
        <v>8.4959999999999994E-2</v>
      </c>
      <c r="C14" s="187">
        <f t="shared" si="1"/>
        <v>0.10846767324876107</v>
      </c>
      <c r="D14" s="190"/>
    </row>
    <row r="15" spans="1:12" ht="15.65" x14ac:dyDescent="0.25">
      <c r="A15" s="185">
        <v>0.4</v>
      </c>
      <c r="B15" s="186">
        <f t="shared" si="0"/>
        <v>9.018000000000001E-2</v>
      </c>
      <c r="C15" s="187">
        <f t="shared" si="1"/>
        <v>0.12195236840668575</v>
      </c>
      <c r="D15" s="190"/>
    </row>
    <row r="16" spans="1:12" ht="15.65" x14ac:dyDescent="0.25">
      <c r="A16" s="185">
        <v>0.5</v>
      </c>
      <c r="B16" s="186">
        <f t="shared" si="0"/>
        <v>9.5399999999999999E-2</v>
      </c>
      <c r="C16" s="187">
        <f t="shared" si="1"/>
        <v>0.13865635037747098</v>
      </c>
      <c r="D16" s="190"/>
    </row>
    <row r="17" spans="1:4" ht="15.65" x14ac:dyDescent="0.25">
      <c r="A17" s="185">
        <v>0.6</v>
      </c>
      <c r="B17" s="186">
        <f t="shared" si="0"/>
        <v>0.10061999999999999</v>
      </c>
      <c r="C17" s="187">
        <f t="shared" si="1"/>
        <v>0.1575590243686473</v>
      </c>
      <c r="D17" s="190"/>
    </row>
    <row r="18" spans="1:4" ht="15.65" x14ac:dyDescent="0.25">
      <c r="A18" s="185">
        <v>0.7</v>
      </c>
      <c r="B18" s="186">
        <f t="shared" si="0"/>
        <v>0.10583999999999999</v>
      </c>
      <c r="C18" s="187">
        <f t="shared" si="1"/>
        <v>0.17796114221930584</v>
      </c>
      <c r="D18" s="190"/>
    </row>
    <row r="19" spans="1:4" ht="15.65" x14ac:dyDescent="0.25">
      <c r="A19" s="185">
        <v>0.8</v>
      </c>
      <c r="B19" s="186">
        <f t="shared" si="0"/>
        <v>0.11106000000000001</v>
      </c>
      <c r="C19" s="187">
        <f t="shared" si="1"/>
        <v>0.19940298252533739</v>
      </c>
      <c r="D19" s="190"/>
    </row>
    <row r="20" spans="1:4" ht="15.65" x14ac:dyDescent="0.25">
      <c r="A20" s="185">
        <v>0.9</v>
      </c>
      <c r="B20" s="186">
        <f t="shared" si="0"/>
        <v>0.11627999999999999</v>
      </c>
      <c r="C20" s="187">
        <f t="shared" si="1"/>
        <v>0.22158291915217654</v>
      </c>
      <c r="D20" s="190"/>
    </row>
    <row r="21" spans="1:4" ht="15.65" x14ac:dyDescent="0.25">
      <c r="A21" s="185">
        <v>1</v>
      </c>
      <c r="B21" s="186">
        <f t="shared" si="0"/>
        <v>0.1215</v>
      </c>
      <c r="C21" s="187">
        <f t="shared" si="1"/>
        <v>0.24429999999999999</v>
      </c>
      <c r="D21" s="190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1.</vt:lpstr>
      <vt:lpstr>2.</vt:lpstr>
      <vt:lpstr>3.</vt:lpstr>
      <vt:lpstr>4.</vt:lpstr>
      <vt:lpstr>5.</vt:lpstr>
      <vt:lpstr>6.</vt:lpstr>
      <vt:lpstr>7.</vt:lpstr>
      <vt:lpstr>8.</vt:lpstr>
      <vt:lpstr>9.</vt:lpstr>
      <vt:lpstr>10.</vt:lpstr>
      <vt:lpstr>11.</vt:lpstr>
      <vt:lpstr>12.</vt:lpstr>
      <vt:lpstr>13.</vt:lpstr>
      <vt:lpstr>14.</vt:lpstr>
      <vt:lpstr>15.</vt:lpstr>
      <vt:lpstr>16.</vt:lpstr>
      <vt:lpstr>17.</vt:lpstr>
      <vt:lpstr>18.</vt:lpstr>
      <vt:lpstr>22.</vt:lpstr>
      <vt:lpstr>23.</vt:lpstr>
      <vt:lpstr>24.</vt:lpstr>
      <vt:lpstr>25.</vt:lpstr>
      <vt:lpstr>26.</vt:lpstr>
      <vt:lpstr>27.</vt:lpstr>
      <vt:lpstr>28.</vt:lpstr>
      <vt:lpstr>29.</vt:lpstr>
      <vt:lpstr>30.</vt:lpstr>
      <vt:lpstr>31.</vt:lpstr>
      <vt:lpstr>32.</vt:lpstr>
      <vt:lpstr>33.</vt:lpstr>
      <vt:lpstr>34.</vt:lpstr>
      <vt:lpstr>35.</vt:lpstr>
      <vt:lpstr>36.</vt:lpstr>
      <vt:lpstr>37.</vt:lpstr>
      <vt:lpstr>38.</vt:lpstr>
      <vt:lpstr>A JOB AT EAST COAST YACHTS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PC-5985614</dc:creator>
  <cp:lastModifiedBy>BusinessLearn365</cp:lastModifiedBy>
  <dcterms:created xsi:type="dcterms:W3CDTF">2022-02-06T07:06:00Z</dcterms:created>
  <dcterms:modified xsi:type="dcterms:W3CDTF">2023-03-08T06:54:18Z</dcterms:modified>
</cp:coreProperties>
</file>