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re\Corporate. Finance(As result)\Corporate Finance [12]\Excel\"/>
    </mc:Choice>
  </mc:AlternateContent>
  <xr:revisionPtr revIDLastSave="0" documentId="13_ncr:1_{91903CB9-78FB-4E26-AC96-C479427BCFCC}" xr6:coauthVersionLast="47" xr6:coauthVersionMax="47" xr10:uidLastSave="{00000000-0000-0000-0000-000000000000}"/>
  <bookViews>
    <workbookView xWindow="-109" yWindow="-109" windowWidth="18775" windowHeight="10651" firstSheet="15" activeTab="21" xr2:uid="{D62B1BAA-822A-489D-824C-ABFA819EBCF3}"/>
  </bookViews>
  <sheets>
    <sheet name="1." sheetId="1" r:id="rId1"/>
    <sheet name="2." sheetId="2" r:id="rId2"/>
    <sheet name="3. &amp; 4." sheetId="3" r:id="rId3"/>
    <sheet name="5." sheetId="5" r:id="rId4"/>
    <sheet name="6." sheetId="6" r:id="rId5"/>
    <sheet name="7." sheetId="21" r:id="rId6"/>
    <sheet name="8. &amp; 9." sheetId="8" r:id="rId7"/>
    <sheet name="10." sheetId="9" r:id="rId8"/>
    <sheet name="11." sheetId="10" r:id="rId9"/>
    <sheet name="12." sheetId="11" r:id="rId10"/>
    <sheet name="13." sheetId="12" r:id="rId11"/>
    <sheet name="14." sheetId="22" r:id="rId12"/>
    <sheet name="15." sheetId="23" r:id="rId13"/>
    <sheet name="16." sheetId="13" r:id="rId14"/>
    <sheet name="17." sheetId="14" r:id="rId15"/>
    <sheet name="18." sheetId="24" r:id="rId16"/>
    <sheet name="19." sheetId="15" r:id="rId17"/>
    <sheet name="20." sheetId="16" r:id="rId18"/>
    <sheet name="21." sheetId="17" r:id="rId19"/>
    <sheet name="22." sheetId="18" r:id="rId20"/>
    <sheet name="23." sheetId="19" r:id="rId21"/>
    <sheet name="24." sheetId="20" r:id="rId22"/>
  </sheets>
  <definedNames>
    <definedName name="solver_adj" localSheetId="19" hidden="1">'22.'!$E$1</definedName>
    <definedName name="solver_cvg" localSheetId="19" hidden="1">0.0001</definedName>
    <definedName name="solver_drv" localSheetId="19" hidden="1">1</definedName>
    <definedName name="solver_eng" localSheetId="19" hidden="1">2</definedName>
    <definedName name="solver_est" localSheetId="19" hidden="1">1</definedName>
    <definedName name="solver_itr" localSheetId="19" hidden="1">2147483647</definedName>
    <definedName name="solver_lhs1" localSheetId="19" hidden="1">'22.'!$B$3</definedName>
    <definedName name="solver_lhs2" localSheetId="19" hidden="1">'22.'!$E$1</definedName>
    <definedName name="solver_mip" localSheetId="19" hidden="1">2147483647</definedName>
    <definedName name="solver_mni" localSheetId="19" hidden="1">30</definedName>
    <definedName name="solver_mrt" localSheetId="19" hidden="1">0.075</definedName>
    <definedName name="solver_msl" localSheetId="19" hidden="1">2</definedName>
    <definedName name="solver_neg" localSheetId="19" hidden="1">2</definedName>
    <definedName name="solver_nod" localSheetId="19" hidden="1">2147483647</definedName>
    <definedName name="solver_num" localSheetId="19" hidden="1">1</definedName>
    <definedName name="solver_nwt" localSheetId="19" hidden="1">1</definedName>
    <definedName name="solver_opt" localSheetId="19" hidden="1">'22.'!$B$3</definedName>
    <definedName name="solver_pre" localSheetId="19" hidden="1">0.000001</definedName>
    <definedName name="solver_rbv" localSheetId="19" hidden="1">1</definedName>
    <definedName name="solver_rel1" localSheetId="19" hidden="1">2</definedName>
    <definedName name="solver_rel2" localSheetId="19" hidden="1">4</definedName>
    <definedName name="solver_rhs1" localSheetId="19" hidden="1">'22.'!$E$1</definedName>
    <definedName name="solver_rhs2" localSheetId="19" hidden="1">"integer"</definedName>
    <definedName name="solver_rlx" localSheetId="19" hidden="1">2</definedName>
    <definedName name="solver_rsd" localSheetId="19" hidden="1">0</definedName>
    <definedName name="solver_scl" localSheetId="19" hidden="1">1</definedName>
    <definedName name="solver_sho" localSheetId="19" hidden="1">2</definedName>
    <definedName name="solver_ssz" localSheetId="19" hidden="1">100</definedName>
    <definedName name="solver_tim" localSheetId="19" hidden="1">2147483647</definedName>
    <definedName name="solver_tol" localSheetId="19" hidden="1">0.01</definedName>
    <definedName name="solver_typ" localSheetId="19" hidden="1">1</definedName>
    <definedName name="solver_val" localSheetId="19" hidden="1">0</definedName>
    <definedName name="solver_ver" localSheetId="19" hidden="1">3</definedName>
  </definedName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20" l="1"/>
  <c r="C24" i="20"/>
  <c r="B3" i="18"/>
  <c r="B2" i="15" l="1"/>
  <c r="F1" i="15"/>
  <c r="F2" i="15"/>
  <c r="C1" i="15" s="1"/>
  <c r="B7" i="24"/>
  <c r="B5" i="24"/>
  <c r="B3" i="23"/>
  <c r="B2" i="23"/>
  <c r="B6" i="22"/>
  <c r="B5" i="22"/>
  <c r="G1" i="9" l="1"/>
  <c r="C1" i="9" s="1"/>
  <c r="B17" i="8"/>
  <c r="B9" i="16"/>
  <c r="B14" i="14"/>
  <c r="D2" i="12"/>
  <c r="E2" i="21"/>
  <c r="B6" i="21" s="1"/>
  <c r="B1" i="21"/>
  <c r="B5" i="21"/>
  <c r="B38" i="20"/>
  <c r="C36" i="20"/>
  <c r="D26" i="20"/>
  <c r="C26" i="20"/>
  <c r="C39" i="20"/>
  <c r="F36" i="20"/>
  <c r="C38" i="20" s="1"/>
  <c r="F31" i="20"/>
  <c r="F35" i="20"/>
  <c r="F34" i="20"/>
  <c r="F33" i="20"/>
  <c r="F32" i="20"/>
  <c r="B39" i="20"/>
  <c r="C33" i="20"/>
  <c r="C34" i="20"/>
  <c r="C35" i="20"/>
  <c r="C32" i="20"/>
  <c r="C31" i="20"/>
  <c r="B28" i="20"/>
  <c r="B26" i="20"/>
  <c r="B23" i="20"/>
  <c r="B24" i="20" s="1"/>
  <c r="B22" i="20"/>
  <c r="B13" i="20"/>
  <c r="B12" i="20"/>
  <c r="B11" i="20"/>
  <c r="B4" i="20"/>
  <c r="B3" i="20"/>
  <c r="B2" i="20"/>
  <c r="B9" i="19"/>
  <c r="B10" i="19"/>
  <c r="B7" i="19"/>
  <c r="B6" i="19"/>
  <c r="B3" i="19"/>
  <c r="B4" i="19" s="1"/>
  <c r="B2" i="19"/>
  <c r="B1" i="19"/>
  <c r="B6" i="18"/>
  <c r="B5" i="18"/>
  <c r="B7" i="18"/>
  <c r="B2" i="18"/>
  <c r="B1" i="18"/>
  <c r="B22" i="17"/>
  <c r="B23" i="17" s="1"/>
  <c r="B24" i="17" s="1"/>
  <c r="B16" i="17"/>
  <c r="B21" i="17"/>
  <c r="B20" i="17"/>
  <c r="B6" i="17"/>
  <c r="B11" i="17" s="1"/>
  <c r="B2" i="17"/>
  <c r="B3" i="17" s="1"/>
  <c r="B1" i="17"/>
  <c r="B2" i="16"/>
  <c r="B3" i="16"/>
  <c r="B4" i="16"/>
  <c r="B5" i="16"/>
  <c r="B6" i="16"/>
  <c r="B8" i="16" s="1"/>
  <c r="B1" i="16"/>
  <c r="B1" i="15"/>
  <c r="B3" i="14"/>
  <c r="B5" i="14" s="1"/>
  <c r="B11" i="14"/>
  <c r="B13" i="14"/>
  <c r="B9" i="14"/>
  <c r="B10" i="14" s="1"/>
  <c r="B8" i="14"/>
  <c r="B7" i="14"/>
  <c r="B4" i="14"/>
  <c r="B2" i="14"/>
  <c r="B1" i="14"/>
  <c r="B3" i="13"/>
  <c r="B2" i="13"/>
  <c r="B1" i="13"/>
  <c r="E3" i="12"/>
  <c r="E4" i="12"/>
  <c r="E5" i="12"/>
  <c r="E2" i="12"/>
  <c r="D3" i="12"/>
  <c r="D4" i="12"/>
  <c r="D5" i="12"/>
  <c r="B5" i="20" l="1"/>
  <c r="B9" i="20" s="1"/>
  <c r="B12" i="17"/>
  <c r="C6" i="17"/>
  <c r="B7" i="17"/>
  <c r="B10" i="17" s="1"/>
  <c r="B13" i="17" s="1"/>
  <c r="B9" i="17"/>
  <c r="B10" i="16"/>
  <c r="B11" i="16" s="1"/>
  <c r="B15" i="14"/>
  <c r="B10" i="11"/>
  <c r="B9" i="11"/>
  <c r="B8" i="11"/>
  <c r="B7" i="11"/>
  <c r="B5" i="11"/>
  <c r="B4" i="11"/>
  <c r="B3" i="11"/>
  <c r="B2" i="11"/>
  <c r="B1" i="11"/>
  <c r="B7" i="10"/>
  <c r="B6" i="10"/>
  <c r="B5" i="10"/>
  <c r="B4" i="10"/>
  <c r="B2" i="10"/>
  <c r="B3" i="10" s="1"/>
  <c r="B1" i="10"/>
  <c r="B2" i="9"/>
  <c r="B1" i="9"/>
  <c r="B16" i="8"/>
  <c r="B15" i="8"/>
  <c r="B14" i="8"/>
  <c r="B13" i="8"/>
  <c r="B12" i="8"/>
  <c r="B11" i="8"/>
  <c r="B9" i="8"/>
  <c r="B8" i="8"/>
  <c r="B7" i="8"/>
  <c r="B6" i="8"/>
  <c r="B5" i="8"/>
  <c r="B3" i="8"/>
  <c r="B2" i="8"/>
  <c r="B1" i="8"/>
  <c r="B8" i="20" l="1"/>
  <c r="B7" i="20"/>
  <c r="B8" i="17"/>
  <c r="C11" i="17"/>
  <c r="C9" i="17"/>
  <c r="C7" i="17"/>
  <c r="C8" i="17" s="1"/>
  <c r="C12" i="17"/>
  <c r="C10" i="17"/>
  <c r="C13" i="17" s="1"/>
  <c r="D6" i="17"/>
  <c r="B1" i="6"/>
  <c r="B1" i="5"/>
  <c r="B8" i="3"/>
  <c r="B6" i="3"/>
  <c r="B5" i="3"/>
  <c r="B4" i="3"/>
  <c r="B2" i="3"/>
  <c r="B1" i="3"/>
  <c r="B2" i="2"/>
  <c r="B1" i="2"/>
  <c r="B1" i="1"/>
  <c r="B15" i="20" l="1"/>
  <c r="B19" i="20"/>
  <c r="B20" i="20" s="1"/>
  <c r="B16" i="20"/>
  <c r="C16" i="20"/>
  <c r="D12" i="17"/>
  <c r="E6" i="17"/>
  <c r="D11" i="17"/>
  <c r="D9" i="17"/>
  <c r="D10" i="17" s="1"/>
  <c r="D13" i="17" s="1"/>
  <c r="D7" i="17"/>
  <c r="D8" i="17" s="1"/>
  <c r="C17" i="20" l="1"/>
  <c r="B17" i="20"/>
  <c r="E11" i="17"/>
  <c r="E9" i="17"/>
  <c r="E10" i="17" s="1"/>
  <c r="E13" i="17" s="1"/>
  <c r="E7" i="17"/>
  <c r="E12" i="17"/>
  <c r="E8" i="17"/>
  <c r="F6" i="17"/>
  <c r="F12" i="17" l="1"/>
  <c r="F11" i="17"/>
  <c r="F9" i="17"/>
  <c r="F7" i="17"/>
  <c r="F8" i="17" s="1"/>
  <c r="F10" i="17" l="1"/>
  <c r="F13" i="17" s="1"/>
  <c r="B15" i="17" l="1"/>
  <c r="B17" i="17"/>
  <c r="B18" i="17" s="1"/>
</calcChain>
</file>

<file path=xl/sharedStrings.xml><?xml version="1.0" encoding="utf-8"?>
<sst xmlns="http://schemas.openxmlformats.org/spreadsheetml/2006/main" count="162" uniqueCount="115">
  <si>
    <t>YTM</t>
  </si>
  <si>
    <t>B</t>
  </si>
  <si>
    <t>YTM_zero_Bonds</t>
  </si>
  <si>
    <t>R(B)_Total</t>
  </si>
  <si>
    <t>Total book value of the company is:</t>
  </si>
  <si>
    <t>Equity/Value</t>
  </si>
  <si>
    <t>Debt/Value</t>
  </si>
  <si>
    <t>S</t>
  </si>
  <si>
    <t>D</t>
  </si>
  <si>
    <t>V</t>
  </si>
  <si>
    <t>S/V</t>
  </si>
  <si>
    <t>D/V</t>
  </si>
  <si>
    <t>YTM_1</t>
  </si>
  <si>
    <t>YTM_2</t>
  </si>
  <si>
    <t>X_B1</t>
  </si>
  <si>
    <t>X_B2</t>
  </si>
  <si>
    <t>R(B) afterTax</t>
  </si>
  <si>
    <t>Total (S+B)</t>
  </si>
  <si>
    <t>X_S</t>
  </si>
  <si>
    <t>X_B</t>
  </si>
  <si>
    <t>Project</t>
  </si>
  <si>
    <t>Beta</t>
  </si>
  <si>
    <t>IRR</t>
  </si>
  <si>
    <t>W</t>
  </si>
  <si>
    <t>X</t>
  </si>
  <si>
    <t>Y</t>
  </si>
  <si>
    <t>Z</t>
  </si>
  <si>
    <t>CAPM</t>
  </si>
  <si>
    <t>Compare</t>
  </si>
  <si>
    <t>Project discount rate</t>
  </si>
  <si>
    <t>PV of future CF</t>
  </si>
  <si>
    <t>&gt;</t>
  </si>
  <si>
    <t>Accept</t>
  </si>
  <si>
    <t>B_coupon</t>
  </si>
  <si>
    <t>B_without_coupon</t>
  </si>
  <si>
    <t>B_preferredStock</t>
  </si>
  <si>
    <t>B_commonStock</t>
  </si>
  <si>
    <t>Total</t>
  </si>
  <si>
    <t>YTM_coupon</t>
  </si>
  <si>
    <t>YTM_coupon_afterTax</t>
  </si>
  <si>
    <t>YTM_without_coupon</t>
  </si>
  <si>
    <t>YTM_without_coupon_afterTax</t>
  </si>
  <si>
    <t>Yield_preferredStock</t>
  </si>
  <si>
    <t>Year 1:</t>
  </si>
  <si>
    <t>Year 2:</t>
  </si>
  <si>
    <t>Year 3:</t>
  </si>
  <si>
    <t>Year 4:</t>
  </si>
  <si>
    <t>Year 5:</t>
  </si>
  <si>
    <t>Year 6:</t>
  </si>
  <si>
    <t>The terminal value (Year 5)</t>
  </si>
  <si>
    <t>The value of the company today is:</t>
  </si>
  <si>
    <t>Share price</t>
  </si>
  <si>
    <t>Year 1</t>
  </si>
  <si>
    <t>Year 2</t>
  </si>
  <si>
    <t>Year 3</t>
  </si>
  <si>
    <t>Year 4</t>
  </si>
  <si>
    <t>Year 5</t>
  </si>
  <si>
    <t>EBIT</t>
  </si>
  <si>
    <t>Taxes*</t>
  </si>
  <si>
    <t>Net income</t>
  </si>
  <si>
    <t>Depreciation</t>
  </si>
  <si>
    <t>OCF</t>
  </si>
  <si>
    <t>– Capital spending</t>
  </si>
  <si>
    <t>– Change in NWC</t>
  </si>
  <si>
    <t>CFA*</t>
  </si>
  <si>
    <t>TV(5)</t>
  </si>
  <si>
    <t>TV(0)</t>
  </si>
  <si>
    <t>EBITDA (5)</t>
  </si>
  <si>
    <t>Accounts payable weight</t>
  </si>
  <si>
    <t>Long-term debt weight</t>
  </si>
  <si>
    <t>Weighted average flotation cost</t>
  </si>
  <si>
    <t>Amount raised cost</t>
  </si>
  <si>
    <t>NPV</t>
  </si>
  <si>
    <t>Weighted average flotation costs</t>
  </si>
  <si>
    <t>Amount raised</t>
  </si>
  <si>
    <t>P</t>
  </si>
  <si>
    <t>X_P</t>
  </si>
  <si>
    <t>CF_0</t>
  </si>
  <si>
    <t>a.</t>
  </si>
  <si>
    <t>b.</t>
  </si>
  <si>
    <t>Project required return</t>
  </si>
  <si>
    <t>c.</t>
  </si>
  <si>
    <t>The annual depreciation</t>
  </si>
  <si>
    <t>BV_5</t>
  </si>
  <si>
    <t>d.</t>
  </si>
  <si>
    <t>e.</t>
  </si>
  <si>
    <t>The accounting break-even sales</t>
  </si>
  <si>
    <t>units</t>
  </si>
  <si>
    <t>f.</t>
  </si>
  <si>
    <t>Year</t>
  </si>
  <si>
    <t>Flow Cash</t>
  </si>
  <si>
    <t>Aftertax salvage value_5</t>
  </si>
  <si>
    <t>R(WACC)</t>
  </si>
  <si>
    <t>Cost of equity</t>
  </si>
  <si>
    <t>Cost of debt</t>
  </si>
  <si>
    <t>Tax rate</t>
  </si>
  <si>
    <t>AfterTaxCost of debt</t>
  </si>
  <si>
    <t>Debt-equity ratio</t>
  </si>
  <si>
    <t>Weight_E</t>
  </si>
  <si>
    <t>Weight_C</t>
  </si>
  <si>
    <t xml:space="preserve">Cost of project </t>
  </si>
  <si>
    <t>D/E</t>
  </si>
  <si>
    <t>Equity FC</t>
  </si>
  <si>
    <t>Debt FC</t>
  </si>
  <si>
    <t>WAFC</t>
  </si>
  <si>
    <t>Funds</t>
  </si>
  <si>
    <t>Capital structure</t>
  </si>
  <si>
    <t>Common stock</t>
  </si>
  <si>
    <t>Preferred stock</t>
  </si>
  <si>
    <t>Debt</t>
  </si>
  <si>
    <t>Flotation costs</t>
  </si>
  <si>
    <t>The project cost</t>
  </si>
  <si>
    <t>Dividend yield</t>
  </si>
  <si>
    <t>Capital gains</t>
  </si>
  <si>
    <t>CAPM Takes Risk on 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</si>
</sst>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0.0%"/>
    <numFmt numFmtId="165" formatCode="&quot;$&quot;#,##0"/>
    <numFmt numFmtId="166" formatCode="0.0000%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sz val="12"/>
      <color theme="1"/>
      <name val="Arial Narrow"/>
      <family val="2"/>
      <charset val="204"/>
    </font>
    <font>
      <i/>
      <sz val="12"/>
      <color theme="1"/>
      <name val="Arial Narrow"/>
      <family val="2"/>
      <charset val="204"/>
    </font>
    <font>
      <sz val="12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2"/>
      <color indexed="9"/>
      <name val="Arial Narrow"/>
      <family val="2"/>
      <charset val="204"/>
    </font>
    <font>
      <sz val="12"/>
      <color indexed="63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sz val="12"/>
      <name val="Arial Narrow"/>
      <family val="2"/>
      <charset val="204"/>
    </font>
    <font>
      <i/>
      <sz val="12"/>
      <color indexed="8"/>
      <name val="Arial Narrow"/>
      <family val="2"/>
      <charset val="204"/>
    </font>
    <font>
      <b/>
      <sz val="12"/>
      <color indexed="8"/>
      <name val="Arial Narrow"/>
      <family val="2"/>
      <charset val="204"/>
    </font>
    <font>
      <sz val="12"/>
      <color indexed="8"/>
      <name val="Arial Narrow"/>
      <family val="2"/>
      <charset val="204"/>
    </font>
    <font>
      <b/>
      <i/>
      <sz val="12"/>
      <color theme="1"/>
      <name val="Arial Narrow"/>
      <family val="2"/>
      <charset val="204"/>
    </font>
    <font>
      <i/>
      <u/>
      <sz val="12"/>
      <color indexed="8"/>
      <name val="Arial Narrow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5622A"/>
        <bgColor indexed="64"/>
      </patternFill>
    </fill>
    <fill>
      <patternFill patternType="solid">
        <fgColor rgb="FFFFF0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9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5" fillId="0" borderId="0" xfId="0" applyFont="1"/>
    <xf numFmtId="6" fontId="5" fillId="0" borderId="0" xfId="0" applyNumberFormat="1" applyFont="1"/>
    <xf numFmtId="10" fontId="5" fillId="0" borderId="0" xfId="0" applyNumberFormat="1" applyFont="1"/>
    <xf numFmtId="0" fontId="6" fillId="0" borderId="0" xfId="0" applyFont="1"/>
    <xf numFmtId="164" fontId="5" fillId="0" borderId="0" xfId="0" applyNumberFormat="1" applyFont="1"/>
    <xf numFmtId="0" fontId="0" fillId="0" borderId="2" xfId="0" applyBorder="1"/>
    <xf numFmtId="0" fontId="5" fillId="0" borderId="2" xfId="0" applyFont="1" applyBorder="1"/>
    <xf numFmtId="0" fontId="7" fillId="0" borderId="0" xfId="0" applyFont="1"/>
    <xf numFmtId="0" fontId="8" fillId="0" borderId="0" xfId="0" applyFont="1" applyAlignment="1">
      <alignment vertical="top" wrapText="1"/>
    </xf>
    <xf numFmtId="0" fontId="9" fillId="2" borderId="0" xfId="0" applyFont="1" applyFill="1" applyAlignment="1">
      <alignment horizontal="center" vertical="top" wrapText="1"/>
    </xf>
    <xf numFmtId="0" fontId="10" fillId="3" borderId="0" xfId="0" applyFont="1" applyFill="1" applyAlignment="1">
      <alignment horizontal="center" vertical="top" wrapText="1"/>
    </xf>
    <xf numFmtId="2" fontId="10" fillId="3" borderId="0" xfId="0" applyNumberFormat="1" applyFont="1" applyFill="1" applyAlignment="1">
      <alignment horizontal="right" vertical="top" indent="2" shrinkToFit="1"/>
    </xf>
    <xf numFmtId="164" fontId="10" fillId="3" borderId="0" xfId="0" applyNumberFormat="1" applyFont="1" applyFill="1" applyAlignment="1">
      <alignment horizontal="left" vertical="top" indent="3" shrinkToFit="1"/>
    </xf>
    <xf numFmtId="164" fontId="10" fillId="3" borderId="0" xfId="0" applyNumberFormat="1" applyFont="1" applyFill="1" applyAlignment="1">
      <alignment horizontal="left" vertical="top" indent="2" shrinkToFit="1"/>
    </xf>
    <xf numFmtId="10" fontId="10" fillId="3" borderId="0" xfId="0" applyNumberFormat="1" applyFont="1" applyFill="1" applyAlignment="1">
      <alignment horizontal="left" vertical="top" indent="3" shrinkToFit="1"/>
    </xf>
    <xf numFmtId="6" fontId="5" fillId="4" borderId="0" xfId="0" applyNumberFormat="1" applyFont="1" applyFill="1"/>
    <xf numFmtId="0" fontId="0" fillId="0" borderId="0" xfId="0" applyAlignment="1">
      <alignment horizontal="center"/>
    </xf>
    <xf numFmtId="0" fontId="11" fillId="0" borderId="0" xfId="0" applyFont="1"/>
    <xf numFmtId="6" fontId="5" fillId="0" borderId="1" xfId="0" applyNumberFormat="1" applyFont="1" applyBorder="1"/>
    <xf numFmtId="0" fontId="0" fillId="0" borderId="0" xfId="0" applyBorder="1"/>
    <xf numFmtId="10" fontId="5" fillId="0" borderId="1" xfId="0" applyNumberFormat="1" applyFont="1" applyFill="1" applyBorder="1"/>
    <xf numFmtId="8" fontId="5" fillId="0" borderId="1" xfId="0" applyNumberFormat="1" applyFont="1" applyBorder="1"/>
    <xf numFmtId="0" fontId="12" fillId="0" borderId="0" xfId="0" applyFont="1" applyAlignment="1">
      <alignment horizontal="left" wrapText="1"/>
    </xf>
    <xf numFmtId="0" fontId="14" fillId="0" borderId="0" xfId="0" applyFont="1" applyAlignment="1">
      <alignment horizontal="left" vertical="top" wrapText="1" indent="1"/>
    </xf>
    <xf numFmtId="165" fontId="15" fillId="0" borderId="0" xfId="0" applyNumberFormat="1" applyFont="1" applyAlignment="1">
      <alignment horizontal="right" vertical="top" shrinkToFit="1"/>
    </xf>
    <xf numFmtId="0" fontId="15" fillId="0" borderId="0" xfId="0" applyFont="1" applyAlignment="1">
      <alignment horizontal="left" vertical="top" wrapText="1" indent="1"/>
    </xf>
    <xf numFmtId="3" fontId="15" fillId="0" borderId="0" xfId="0" applyNumberFormat="1" applyFont="1" applyBorder="1" applyAlignment="1">
      <alignment horizontal="right" vertical="top" shrinkToFit="1"/>
    </xf>
    <xf numFmtId="165" fontId="15" fillId="0" borderId="0" xfId="0" applyNumberFormat="1" applyFont="1" applyBorder="1" applyAlignment="1">
      <alignment horizontal="right" vertical="top" shrinkToFit="1"/>
    </xf>
    <xf numFmtId="0" fontId="13" fillId="0" borderId="0" xfId="0" applyFont="1" applyAlignment="1">
      <alignment horizontal="center" vertical="top" wrapText="1"/>
    </xf>
    <xf numFmtId="8" fontId="5" fillId="0" borderId="0" xfId="0" applyNumberFormat="1" applyFont="1"/>
    <xf numFmtId="165" fontId="5" fillId="0" borderId="0" xfId="0" applyNumberFormat="1" applyFont="1"/>
    <xf numFmtId="0" fontId="16" fillId="0" borderId="0" xfId="0" applyFont="1"/>
    <xf numFmtId="3" fontId="5" fillId="0" borderId="0" xfId="0" applyNumberFormat="1" applyFont="1"/>
    <xf numFmtId="0" fontId="0" fillId="0" borderId="0" xfId="0" applyAlignment="1">
      <alignment horizontal="right"/>
    </xf>
    <xf numFmtId="8" fontId="5" fillId="0" borderId="3" xfId="0" applyNumberFormat="1" applyFont="1" applyBorder="1" applyAlignment="1">
      <alignment horizontal="right"/>
    </xf>
    <xf numFmtId="10" fontId="5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center" vertical="top" wrapText="1"/>
    </xf>
    <xf numFmtId="0" fontId="17" fillId="0" borderId="6" xfId="0" applyFont="1" applyBorder="1" applyAlignment="1">
      <alignment horizontal="right" vertical="top" wrapText="1"/>
    </xf>
    <xf numFmtId="1" fontId="15" fillId="0" borderId="7" xfId="0" applyNumberFormat="1" applyFont="1" applyBorder="1" applyAlignment="1">
      <alignment horizontal="center" vertical="top" shrinkToFit="1"/>
    </xf>
    <xf numFmtId="6" fontId="15" fillId="0" borderId="8" xfId="0" applyNumberFormat="1" applyFont="1" applyBorder="1" applyAlignment="1">
      <alignment horizontal="right" vertical="top" wrapText="1"/>
    </xf>
    <xf numFmtId="3" fontId="15" fillId="0" borderId="8" xfId="0" applyNumberFormat="1" applyFont="1" applyBorder="1" applyAlignment="1">
      <alignment horizontal="right" vertical="top" shrinkToFit="1"/>
    </xf>
    <xf numFmtId="1" fontId="15" fillId="0" borderId="9" xfId="0" applyNumberFormat="1" applyFont="1" applyBorder="1" applyAlignment="1">
      <alignment horizontal="center" vertical="top" shrinkToFit="1"/>
    </xf>
    <xf numFmtId="3" fontId="15" fillId="0" borderId="10" xfId="0" applyNumberFormat="1" applyFont="1" applyBorder="1" applyAlignment="1">
      <alignment horizontal="right" vertical="top" shrinkToFit="1"/>
    </xf>
    <xf numFmtId="10" fontId="5" fillId="0" borderId="11" xfId="0" applyNumberFormat="1" applyFont="1" applyBorder="1"/>
    <xf numFmtId="6" fontId="5" fillId="5" borderId="0" xfId="0" applyNumberFormat="1" applyFont="1" applyFill="1"/>
    <xf numFmtId="6" fontId="5" fillId="6" borderId="0" xfId="0" applyNumberFormat="1" applyFont="1" applyFill="1"/>
    <xf numFmtId="10" fontId="5" fillId="0" borderId="12" xfId="0" applyNumberFormat="1" applyFont="1" applyBorder="1"/>
    <xf numFmtId="0" fontId="2" fillId="0" borderId="13" xfId="0" applyFont="1" applyBorder="1"/>
    <xf numFmtId="10" fontId="2" fillId="0" borderId="13" xfId="0" applyNumberFormat="1" applyFont="1" applyBorder="1"/>
    <xf numFmtId="0" fontId="3" fillId="0" borderId="13" xfId="0" applyFont="1" applyBorder="1"/>
    <xf numFmtId="0" fontId="4" fillId="0" borderId="13" xfId="0" applyFont="1" applyBorder="1"/>
    <xf numFmtId="6" fontId="2" fillId="0" borderId="13" xfId="0" applyNumberFormat="1" applyFont="1" applyBorder="1"/>
    <xf numFmtId="0" fontId="1" fillId="0" borderId="13" xfId="0" applyFont="1" applyBorder="1"/>
    <xf numFmtId="164" fontId="1" fillId="0" borderId="13" xfId="0" applyNumberFormat="1" applyFont="1" applyBorder="1"/>
    <xf numFmtId="9" fontId="1" fillId="0" borderId="13" xfId="0" applyNumberFormat="1" applyFont="1" applyBorder="1"/>
    <xf numFmtId="10" fontId="1" fillId="0" borderId="13" xfId="0" applyNumberFormat="1" applyFont="1" applyBorder="1"/>
    <xf numFmtId="0" fontId="5" fillId="0" borderId="13" xfId="0" applyFont="1" applyBorder="1"/>
    <xf numFmtId="10" fontId="5" fillId="0" borderId="13" xfId="0" applyNumberFormat="1" applyFont="1" applyBorder="1"/>
    <xf numFmtId="0" fontId="6" fillId="0" borderId="13" xfId="0" applyFont="1" applyBorder="1"/>
    <xf numFmtId="164" fontId="5" fillId="0" borderId="13" xfId="0" applyNumberFormat="1" applyFont="1" applyBorder="1"/>
    <xf numFmtId="6" fontId="5" fillId="0" borderId="13" xfId="0" applyNumberFormat="1" applyFont="1" applyBorder="1"/>
    <xf numFmtId="6" fontId="5" fillId="0" borderId="13" xfId="0" applyNumberFormat="1" applyFont="1" applyFill="1" applyBorder="1"/>
    <xf numFmtId="0" fontId="11" fillId="0" borderId="13" xfId="0" applyFont="1" applyBorder="1"/>
    <xf numFmtId="10" fontId="5" fillId="0" borderId="13" xfId="0" applyNumberFormat="1" applyFont="1" applyFill="1" applyBorder="1"/>
    <xf numFmtId="8" fontId="5" fillId="0" borderId="13" xfId="0" applyNumberFormat="1" applyFont="1" applyBorder="1"/>
    <xf numFmtId="0" fontId="1" fillId="0" borderId="0" xfId="0" applyFont="1"/>
    <xf numFmtId="10" fontId="1" fillId="0" borderId="0" xfId="0" applyNumberFormat="1" applyFont="1"/>
    <xf numFmtId="6" fontId="1" fillId="0" borderId="13" xfId="0" applyNumberFormat="1" applyFont="1" applyBorder="1"/>
    <xf numFmtId="8" fontId="1" fillId="0" borderId="13" xfId="0" applyNumberFormat="1" applyFont="1" applyBorder="1"/>
    <xf numFmtId="0" fontId="1" fillId="0" borderId="13" xfId="0" applyFont="1" applyBorder="1" applyAlignment="1">
      <alignment horizontal="centerContinuous"/>
    </xf>
    <xf numFmtId="0" fontId="1" fillId="0" borderId="5" xfId="0" applyFont="1" applyBorder="1" applyAlignment="1">
      <alignment horizontal="centerContinuous" wrapText="1"/>
    </xf>
    <xf numFmtId="0" fontId="1" fillId="0" borderId="9" xfId="0" applyFont="1" applyBorder="1"/>
    <xf numFmtId="0" fontId="1" fillId="0" borderId="14" xfId="0" applyFont="1" applyBorder="1"/>
    <xf numFmtId="166" fontId="1" fillId="0" borderId="1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Accept UP SML|Reject Down SML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'13.'!$B$2:$B$5</c:f>
              <c:numCache>
                <c:formatCode>0.00</c:formatCode>
                <c:ptCount val="4"/>
                <c:pt idx="0">
                  <c:v>0.75</c:v>
                </c:pt>
                <c:pt idx="1">
                  <c:v>0.9</c:v>
                </c:pt>
                <c:pt idx="2">
                  <c:v>1.1499999999999999</c:v>
                </c:pt>
                <c:pt idx="3">
                  <c:v>1.45</c:v>
                </c:pt>
              </c:numCache>
            </c:numRef>
          </c:xVal>
          <c:yVal>
            <c:numRef>
              <c:f>'13.'!$D$2:$D$5</c:f>
              <c:numCache>
                <c:formatCode>0.00%</c:formatCode>
                <c:ptCount val="4"/>
                <c:pt idx="0">
                  <c:v>9.8750000000000004E-2</c:v>
                </c:pt>
                <c:pt idx="1">
                  <c:v>0.1115</c:v>
                </c:pt>
                <c:pt idx="2">
                  <c:v>0.13274999999999998</c:v>
                </c:pt>
                <c:pt idx="3">
                  <c:v>0.15825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1C-4D08-8C2C-669EE96F1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94360"/>
        <c:axId val="609101904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'13.'!$B$2:$B$5</c:f>
              <c:numCache>
                <c:formatCode>0.00</c:formatCode>
                <c:ptCount val="4"/>
                <c:pt idx="0">
                  <c:v>0.75</c:v>
                </c:pt>
                <c:pt idx="1">
                  <c:v>0.9</c:v>
                </c:pt>
                <c:pt idx="2">
                  <c:v>1.1499999999999999</c:v>
                </c:pt>
                <c:pt idx="3">
                  <c:v>1.45</c:v>
                </c:pt>
              </c:numCache>
            </c:numRef>
          </c:xVal>
          <c:yVal>
            <c:numRef>
              <c:f>'13.'!$C$2:$C$5</c:f>
              <c:numCache>
                <c:formatCode>0.0%</c:formatCode>
                <c:ptCount val="4"/>
                <c:pt idx="0">
                  <c:v>9.4E-2</c:v>
                </c:pt>
                <c:pt idx="1">
                  <c:v>0.112</c:v>
                </c:pt>
                <c:pt idx="2">
                  <c:v>0.14099999999999999</c:v>
                </c:pt>
                <c:pt idx="3">
                  <c:v>0.155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1C-4D08-8C2C-669EE96F1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94360"/>
        <c:axId val="609101904"/>
      </c:scatterChart>
      <c:valAx>
        <c:axId val="609094360"/>
        <c:scaling>
          <c:orientation val="minMax"/>
          <c:max val="1.5"/>
          <c:min val="0.7500000000000001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01904"/>
        <c:crosses val="autoZero"/>
        <c:crossBetween val="midCat"/>
      </c:valAx>
      <c:valAx>
        <c:axId val="609101904"/>
        <c:scaling>
          <c:orientation val="minMax"/>
          <c:max val="0.16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9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4363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94975B5-6E3C-48E3-9C31-A9BF23B2A822}"/>
                </a:ext>
              </a:extLst>
            </xdr:cNvPr>
            <xdr:cNvSpPr txBox="1"/>
          </xdr:nvSpPr>
          <xdr:spPr>
            <a:xfrm>
              <a:off x="0" y="0"/>
              <a:ext cx="34363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94975B5-6E3C-48E3-9C31-A9BF23B2A822}"/>
                </a:ext>
              </a:extLst>
            </xdr:cNvPr>
            <xdr:cNvSpPr txBox="1"/>
          </xdr:nvSpPr>
          <xdr:spPr>
            <a:xfrm>
              <a:off x="0" y="0"/>
              <a:ext cx="34363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𝑅_𝑆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531201</xdr:colOff>
      <xdr:row>0</xdr:row>
      <xdr:rowOff>97449</xdr:rowOff>
    </xdr:from>
    <xdr:to>
      <xdr:col>13</xdr:col>
      <xdr:colOff>238124</xdr:colOff>
      <xdr:row>14</xdr:row>
      <xdr:rowOff>137014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FC95F-82AF-4E37-B78E-B0D732D8F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0.9383</cdr:x>
      <cdr:y>0.10604</cdr:y>
    </cdr:from>
    <cdr:to>
      <cdr:x>0.9383</cdr:x>
      <cdr:y>0.26095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AA38ACD6-309E-43F3-87A8-0A82EECE4819}"/>
            </a:ext>
          </a:extLst>
        </cdr:cNvPr>
        <cdr:cNvCxnSpPr/>
      </cdr:nvCxnSpPr>
      <cdr:spPr>
        <a:xfrm xmlns:a="http://schemas.openxmlformats.org/drawingml/2006/main">
          <a:off x="4289914" y="290878"/>
          <a:ext cx="0" cy="424962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2628</xdr:rowOff>
    </xdr:from>
    <xdr:ext cx="52753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EFFB9CB-B928-400B-8674-A1793ED70583}"/>
                </a:ext>
              </a:extLst>
            </xdr:cNvPr>
            <xdr:cNvSpPr txBox="1"/>
          </xdr:nvSpPr>
          <xdr:spPr>
            <a:xfrm>
              <a:off x="0" y="1802853"/>
              <a:ext cx="5275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𝑊𝐴𝐶𝐶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EFFB9CB-B928-400B-8674-A1793ED70583}"/>
                </a:ext>
              </a:extLst>
            </xdr:cNvPr>
            <xdr:cNvSpPr txBox="1"/>
          </xdr:nvSpPr>
          <xdr:spPr>
            <a:xfrm>
              <a:off x="0" y="1802853"/>
              <a:ext cx="5275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𝑅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𝑊𝐴𝐶𝐶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2628</xdr:rowOff>
    </xdr:from>
    <xdr:ext cx="32897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006C089-706E-4C63-9080-2255347121D3}"/>
                </a:ext>
              </a:extLst>
            </xdr:cNvPr>
            <xdr:cNvSpPr txBox="1"/>
          </xdr:nvSpPr>
          <xdr:spPr>
            <a:xfrm>
              <a:off x="0" y="1202778"/>
              <a:ext cx="3289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006C089-706E-4C63-9080-2255347121D3}"/>
                </a:ext>
              </a:extLst>
            </xdr:cNvPr>
            <xdr:cNvSpPr txBox="1"/>
          </xdr:nvSpPr>
          <xdr:spPr>
            <a:xfrm>
              <a:off x="0" y="1202778"/>
              <a:ext cx="3289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𝑅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𝑆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13</xdr:row>
      <xdr:rowOff>2628</xdr:rowOff>
    </xdr:from>
    <xdr:ext cx="32897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7ABE222-CA53-4C34-A809-C89A0A896E40}"/>
                </a:ext>
              </a:extLst>
            </xdr:cNvPr>
            <xdr:cNvSpPr txBox="1"/>
          </xdr:nvSpPr>
          <xdr:spPr>
            <a:xfrm>
              <a:off x="0" y="1402803"/>
              <a:ext cx="3289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7ABE222-CA53-4C34-A809-C89A0A896E40}"/>
                </a:ext>
              </a:extLst>
            </xdr:cNvPr>
            <xdr:cNvSpPr txBox="1"/>
          </xdr:nvSpPr>
          <xdr:spPr>
            <a:xfrm>
              <a:off x="0" y="1402803"/>
              <a:ext cx="3289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𝑅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𝐵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14</xdr:row>
      <xdr:rowOff>2628</xdr:rowOff>
    </xdr:from>
    <xdr:ext cx="52753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B0C75EB-9881-4C68-8615-10615A1B8849}"/>
                </a:ext>
              </a:extLst>
            </xdr:cNvPr>
            <xdr:cNvSpPr txBox="1"/>
          </xdr:nvSpPr>
          <xdr:spPr>
            <a:xfrm>
              <a:off x="0" y="2628"/>
              <a:ext cx="5275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𝑊𝐴𝐶𝐶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B0C75EB-9881-4C68-8615-10615A1B8849}"/>
                </a:ext>
              </a:extLst>
            </xdr:cNvPr>
            <xdr:cNvSpPr txBox="1"/>
          </xdr:nvSpPr>
          <xdr:spPr>
            <a:xfrm>
              <a:off x="0" y="2628"/>
              <a:ext cx="5275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𝑅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𝑊𝐴𝐶𝐶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2628</xdr:rowOff>
    </xdr:from>
    <xdr:ext cx="32897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F7FDF75-19E9-465D-9079-A33D472F586D}"/>
                </a:ext>
              </a:extLst>
            </xdr:cNvPr>
            <xdr:cNvSpPr txBox="1"/>
          </xdr:nvSpPr>
          <xdr:spPr>
            <a:xfrm>
              <a:off x="0" y="2402928"/>
              <a:ext cx="3289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F7FDF75-19E9-465D-9079-A33D472F586D}"/>
                </a:ext>
              </a:extLst>
            </xdr:cNvPr>
            <xdr:cNvSpPr txBox="1"/>
          </xdr:nvSpPr>
          <xdr:spPr>
            <a:xfrm>
              <a:off x="0" y="2402928"/>
              <a:ext cx="3289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𝑅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𝑆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</xdr:row>
      <xdr:rowOff>2628</xdr:rowOff>
    </xdr:from>
    <xdr:ext cx="32897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B08A4C7-BFBF-408C-A5AC-1804582950D9}"/>
                </a:ext>
              </a:extLst>
            </xdr:cNvPr>
            <xdr:cNvSpPr txBox="1"/>
          </xdr:nvSpPr>
          <xdr:spPr>
            <a:xfrm>
              <a:off x="0" y="2628"/>
              <a:ext cx="3289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B08A4C7-BFBF-408C-A5AC-1804582950D9}"/>
                </a:ext>
              </a:extLst>
            </xdr:cNvPr>
            <xdr:cNvSpPr txBox="1"/>
          </xdr:nvSpPr>
          <xdr:spPr>
            <a:xfrm>
              <a:off x="0" y="2628"/>
              <a:ext cx="3289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𝑅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𝑆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2628</xdr:rowOff>
    </xdr:from>
    <xdr:ext cx="52753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563F74C-5FA6-4D9F-8D4F-F82217EFB8D8}"/>
                </a:ext>
              </a:extLst>
            </xdr:cNvPr>
            <xdr:cNvSpPr txBox="1"/>
          </xdr:nvSpPr>
          <xdr:spPr>
            <a:xfrm>
              <a:off x="0" y="2802978"/>
              <a:ext cx="5275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𝑊𝐴𝐶𝐶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563F74C-5FA6-4D9F-8D4F-F82217EFB8D8}"/>
                </a:ext>
              </a:extLst>
            </xdr:cNvPr>
            <xdr:cNvSpPr txBox="1"/>
          </xdr:nvSpPr>
          <xdr:spPr>
            <a:xfrm>
              <a:off x="0" y="2802978"/>
              <a:ext cx="5275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𝑅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𝑊𝐴𝐶𝐶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2628</xdr:rowOff>
    </xdr:from>
    <xdr:ext cx="52753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30B2129-6F66-41FC-813B-3185FD15B959}"/>
                </a:ext>
              </a:extLst>
            </xdr:cNvPr>
            <xdr:cNvSpPr txBox="1"/>
          </xdr:nvSpPr>
          <xdr:spPr>
            <a:xfrm>
              <a:off x="0" y="402678"/>
              <a:ext cx="5275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𝑊𝐴𝐶𝐶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30B2129-6F66-41FC-813B-3185FD15B959}"/>
                </a:ext>
              </a:extLst>
            </xdr:cNvPr>
            <xdr:cNvSpPr txBox="1"/>
          </xdr:nvSpPr>
          <xdr:spPr>
            <a:xfrm>
              <a:off x="0" y="402678"/>
              <a:ext cx="5275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𝑅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𝑊𝐴𝐶𝐶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0</xdr:row>
      <xdr:rowOff>2628</xdr:rowOff>
    </xdr:from>
    <xdr:ext cx="52753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70F5496-6492-498B-B414-1961F3B4ED58}"/>
                </a:ext>
              </a:extLst>
            </xdr:cNvPr>
            <xdr:cNvSpPr txBox="1"/>
          </xdr:nvSpPr>
          <xdr:spPr>
            <a:xfrm>
              <a:off x="0" y="383628"/>
              <a:ext cx="5275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𝑊𝐴𝐶𝐶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70F5496-6492-498B-B414-1961F3B4ED58}"/>
                </a:ext>
              </a:extLst>
            </xdr:cNvPr>
            <xdr:cNvSpPr txBox="1"/>
          </xdr:nvSpPr>
          <xdr:spPr>
            <a:xfrm>
              <a:off x="0" y="383628"/>
              <a:ext cx="5275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𝑅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𝑊𝐴𝐶𝐶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2628</xdr:rowOff>
    </xdr:from>
    <xdr:ext cx="32897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3EF6A35-F501-41D4-84A2-8A3DACB1531B}"/>
                </a:ext>
              </a:extLst>
            </xdr:cNvPr>
            <xdr:cNvSpPr txBox="1"/>
          </xdr:nvSpPr>
          <xdr:spPr>
            <a:xfrm>
              <a:off x="0" y="2402928"/>
              <a:ext cx="3289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3EF6A35-F501-41D4-84A2-8A3DACB1531B}"/>
                </a:ext>
              </a:extLst>
            </xdr:cNvPr>
            <xdr:cNvSpPr txBox="1"/>
          </xdr:nvSpPr>
          <xdr:spPr>
            <a:xfrm>
              <a:off x="0" y="2402928"/>
              <a:ext cx="3289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𝑅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𝑆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11</xdr:row>
      <xdr:rowOff>2628</xdr:rowOff>
    </xdr:from>
    <xdr:ext cx="32897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6467C2D-6CC1-40F5-B708-7A42A842BF0E}"/>
                </a:ext>
              </a:extLst>
            </xdr:cNvPr>
            <xdr:cNvSpPr txBox="1"/>
          </xdr:nvSpPr>
          <xdr:spPr>
            <a:xfrm>
              <a:off x="0" y="2602953"/>
              <a:ext cx="3289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6467C2D-6CC1-40F5-B708-7A42A842BF0E}"/>
                </a:ext>
              </a:extLst>
            </xdr:cNvPr>
            <xdr:cNvSpPr txBox="1"/>
          </xdr:nvSpPr>
          <xdr:spPr>
            <a:xfrm>
              <a:off x="0" y="2602953"/>
              <a:ext cx="3289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𝑅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𝐵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18</xdr:row>
      <xdr:rowOff>2628</xdr:rowOff>
    </xdr:from>
    <xdr:ext cx="52753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84144F5-B925-455F-82E1-496F4E9B13C9}"/>
                </a:ext>
              </a:extLst>
            </xdr:cNvPr>
            <xdr:cNvSpPr txBox="1"/>
          </xdr:nvSpPr>
          <xdr:spPr>
            <a:xfrm>
              <a:off x="0" y="2802978"/>
              <a:ext cx="5275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𝑊𝐴𝐶𝐶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84144F5-B925-455F-82E1-496F4E9B13C9}"/>
                </a:ext>
              </a:extLst>
            </xdr:cNvPr>
            <xdr:cNvSpPr txBox="1"/>
          </xdr:nvSpPr>
          <xdr:spPr>
            <a:xfrm>
              <a:off x="0" y="2802978"/>
              <a:ext cx="5275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𝑅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𝑊𝐴𝐶𝐶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12</xdr:row>
      <xdr:rowOff>2628</xdr:rowOff>
    </xdr:from>
    <xdr:ext cx="32897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AD412F3-EFA3-45F3-B67C-E2E07F952EBD}"/>
                </a:ext>
              </a:extLst>
            </xdr:cNvPr>
            <xdr:cNvSpPr txBox="1"/>
          </xdr:nvSpPr>
          <xdr:spPr>
            <a:xfrm>
              <a:off x="0" y="1914955"/>
              <a:ext cx="3289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𝑃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AD412F3-EFA3-45F3-B67C-E2E07F952EBD}"/>
                </a:ext>
              </a:extLst>
            </xdr:cNvPr>
            <xdr:cNvSpPr txBox="1"/>
          </xdr:nvSpPr>
          <xdr:spPr>
            <a:xfrm>
              <a:off x="0" y="1914955"/>
              <a:ext cx="3289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𝑅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𝑃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34363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49AC7AC-25AD-4BE0-AEA5-72F1EF711B76}"/>
                </a:ext>
              </a:extLst>
            </xdr:cNvPr>
            <xdr:cNvSpPr txBox="1"/>
          </xdr:nvSpPr>
          <xdr:spPr>
            <a:xfrm>
              <a:off x="0" y="0"/>
              <a:ext cx="34363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49AC7AC-25AD-4BE0-AEA5-72F1EF711B76}"/>
                </a:ext>
              </a:extLst>
            </xdr:cNvPr>
            <xdr:cNvSpPr txBox="1"/>
          </xdr:nvSpPr>
          <xdr:spPr>
            <a:xfrm>
              <a:off x="0" y="0"/>
              <a:ext cx="34363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𝑅_𝐵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34363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E41BA53-A89A-4BDB-8670-C700A0BBFD43}"/>
                </a:ext>
              </a:extLst>
            </xdr:cNvPr>
            <xdr:cNvSpPr txBox="1"/>
          </xdr:nvSpPr>
          <xdr:spPr>
            <a:xfrm>
              <a:off x="0" y="200025"/>
              <a:ext cx="34363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E41BA53-A89A-4BDB-8670-C700A0BBFD43}"/>
                </a:ext>
              </a:extLst>
            </xdr:cNvPr>
            <xdr:cNvSpPr txBox="1"/>
          </xdr:nvSpPr>
          <xdr:spPr>
            <a:xfrm>
              <a:off x="0" y="200025"/>
              <a:ext cx="34363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𝑅_𝐵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5</xdr:row>
      <xdr:rowOff>0</xdr:rowOff>
    </xdr:from>
    <xdr:ext cx="34363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BF4FE72-5D08-454C-873B-61EFA3DEC15E}"/>
                </a:ext>
              </a:extLst>
            </xdr:cNvPr>
            <xdr:cNvSpPr txBox="1"/>
          </xdr:nvSpPr>
          <xdr:spPr>
            <a:xfrm>
              <a:off x="0" y="197827"/>
              <a:ext cx="34363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BF4FE72-5D08-454C-873B-61EFA3DEC15E}"/>
                </a:ext>
              </a:extLst>
            </xdr:cNvPr>
            <xdr:cNvSpPr txBox="1"/>
          </xdr:nvSpPr>
          <xdr:spPr>
            <a:xfrm>
              <a:off x="0" y="197827"/>
              <a:ext cx="34363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𝑅_𝐵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8615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0364B80-7639-4D3A-9969-DA42A664835F}"/>
                </a:ext>
              </a:extLst>
            </xdr:cNvPr>
            <xdr:cNvSpPr txBox="1"/>
          </xdr:nvSpPr>
          <xdr:spPr>
            <a:xfrm>
              <a:off x="0" y="0"/>
              <a:ext cx="58615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𝑊𝐴𝐶𝐶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0364B80-7639-4D3A-9969-DA42A664835F}"/>
                </a:ext>
              </a:extLst>
            </xdr:cNvPr>
            <xdr:cNvSpPr txBox="1"/>
          </xdr:nvSpPr>
          <xdr:spPr>
            <a:xfrm>
              <a:off x="0" y="0"/>
              <a:ext cx="58615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𝑅_𝑊𝐴𝐶𝐶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8615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5267E06-87D9-4136-BF61-0EEE22A09A38}"/>
                </a:ext>
              </a:extLst>
            </xdr:cNvPr>
            <xdr:cNvSpPr txBox="1"/>
          </xdr:nvSpPr>
          <xdr:spPr>
            <a:xfrm>
              <a:off x="0" y="0"/>
              <a:ext cx="58615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𝑊𝐴𝐶𝐶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5267E06-87D9-4136-BF61-0EEE22A09A38}"/>
                </a:ext>
              </a:extLst>
            </xdr:cNvPr>
            <xdr:cNvSpPr txBox="1"/>
          </xdr:nvSpPr>
          <xdr:spPr>
            <a:xfrm>
              <a:off x="0" y="0"/>
              <a:ext cx="58615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𝑅_𝑊𝐴𝐶𝐶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2628</xdr:rowOff>
    </xdr:from>
    <xdr:ext cx="32897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DA9B037-B6DE-4074-9DDF-5408E9807FAB}"/>
                </a:ext>
              </a:extLst>
            </xdr:cNvPr>
            <xdr:cNvSpPr txBox="1"/>
          </xdr:nvSpPr>
          <xdr:spPr>
            <a:xfrm>
              <a:off x="0" y="1973570"/>
              <a:ext cx="3289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DA9B037-B6DE-4074-9DDF-5408E9807FAB}"/>
                </a:ext>
              </a:extLst>
            </xdr:cNvPr>
            <xdr:cNvSpPr txBox="1"/>
          </xdr:nvSpPr>
          <xdr:spPr>
            <a:xfrm>
              <a:off x="0" y="1973570"/>
              <a:ext cx="3289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𝑅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𝑆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15</xdr:row>
      <xdr:rowOff>2628</xdr:rowOff>
    </xdr:from>
    <xdr:ext cx="32897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50A6104-14D2-4364-8888-F1583959E580}"/>
                </a:ext>
              </a:extLst>
            </xdr:cNvPr>
            <xdr:cNvSpPr txBox="1"/>
          </xdr:nvSpPr>
          <xdr:spPr>
            <a:xfrm>
              <a:off x="0" y="1973570"/>
              <a:ext cx="3289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50A6104-14D2-4364-8888-F1583959E580}"/>
                </a:ext>
              </a:extLst>
            </xdr:cNvPr>
            <xdr:cNvSpPr txBox="1"/>
          </xdr:nvSpPr>
          <xdr:spPr>
            <a:xfrm>
              <a:off x="0" y="1973570"/>
              <a:ext cx="3289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𝑅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𝐵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16</xdr:row>
      <xdr:rowOff>2628</xdr:rowOff>
    </xdr:from>
    <xdr:ext cx="52753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CA73A0E-842A-4C0E-94EB-7C14D04F0DD6}"/>
                </a:ext>
              </a:extLst>
            </xdr:cNvPr>
            <xdr:cNvSpPr txBox="1"/>
          </xdr:nvSpPr>
          <xdr:spPr>
            <a:xfrm>
              <a:off x="0" y="3116570"/>
              <a:ext cx="5275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𝑊𝐴𝐶𝐶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CA73A0E-842A-4C0E-94EB-7C14D04F0DD6}"/>
                </a:ext>
              </a:extLst>
            </xdr:cNvPr>
            <xdr:cNvSpPr txBox="1"/>
          </xdr:nvSpPr>
          <xdr:spPr>
            <a:xfrm>
              <a:off x="0" y="3116570"/>
              <a:ext cx="5275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𝑅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𝑊𝐴𝐶𝐶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2628</xdr:rowOff>
    </xdr:from>
    <xdr:ext cx="52753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AD8CFA6-3D56-4944-9EEC-9EECEEC48FCE}"/>
                </a:ext>
              </a:extLst>
            </xdr:cNvPr>
            <xdr:cNvSpPr txBox="1"/>
          </xdr:nvSpPr>
          <xdr:spPr>
            <a:xfrm>
              <a:off x="0" y="3193503"/>
              <a:ext cx="5275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𝑊𝐴𝐶𝐶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AD8CFA6-3D56-4944-9EEC-9EECEEC48FCE}"/>
                </a:ext>
              </a:extLst>
            </xdr:cNvPr>
            <xdr:cNvSpPr txBox="1"/>
          </xdr:nvSpPr>
          <xdr:spPr>
            <a:xfrm>
              <a:off x="0" y="3193503"/>
              <a:ext cx="5275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𝑅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𝑊𝐴𝐶𝐶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</xdr:row>
      <xdr:rowOff>2628</xdr:rowOff>
    </xdr:from>
    <xdr:ext cx="52753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E9D53F5-D3B9-4F6E-87D2-EEB2E5BC55CD}"/>
                </a:ext>
              </a:extLst>
            </xdr:cNvPr>
            <xdr:cNvSpPr txBox="1"/>
          </xdr:nvSpPr>
          <xdr:spPr>
            <a:xfrm>
              <a:off x="0" y="2628"/>
              <a:ext cx="5275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𝑊𝐴𝐶𝐶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E9D53F5-D3B9-4F6E-87D2-EEB2E5BC55CD}"/>
                </a:ext>
              </a:extLst>
            </xdr:cNvPr>
            <xdr:cNvSpPr txBox="1"/>
          </xdr:nvSpPr>
          <xdr:spPr>
            <a:xfrm>
              <a:off x="0" y="2628"/>
              <a:ext cx="5275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𝑅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𝑊𝐴𝐶𝐶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2628</xdr:rowOff>
    </xdr:from>
    <xdr:ext cx="32897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82D0A5E-AD18-4B62-8D2A-D045BA88F922}"/>
                </a:ext>
              </a:extLst>
            </xdr:cNvPr>
            <xdr:cNvSpPr txBox="1"/>
          </xdr:nvSpPr>
          <xdr:spPr>
            <a:xfrm>
              <a:off x="0" y="1993353"/>
              <a:ext cx="3289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82D0A5E-AD18-4B62-8D2A-D045BA88F922}"/>
                </a:ext>
              </a:extLst>
            </xdr:cNvPr>
            <xdr:cNvSpPr txBox="1"/>
          </xdr:nvSpPr>
          <xdr:spPr>
            <a:xfrm>
              <a:off x="0" y="1993353"/>
              <a:ext cx="3289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𝑅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𝑆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</xdr:row>
      <xdr:rowOff>2628</xdr:rowOff>
    </xdr:from>
    <xdr:ext cx="32897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B36C630-B5DE-43AD-9D83-45F5610791AF}"/>
                </a:ext>
              </a:extLst>
            </xdr:cNvPr>
            <xdr:cNvSpPr txBox="1"/>
          </xdr:nvSpPr>
          <xdr:spPr>
            <a:xfrm>
              <a:off x="0" y="2993478"/>
              <a:ext cx="3289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B36C630-B5DE-43AD-9D83-45F5610791AF}"/>
                </a:ext>
              </a:extLst>
            </xdr:cNvPr>
            <xdr:cNvSpPr txBox="1"/>
          </xdr:nvSpPr>
          <xdr:spPr>
            <a:xfrm>
              <a:off x="0" y="2993478"/>
              <a:ext cx="3289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𝑅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𝐵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2628</xdr:rowOff>
    </xdr:from>
    <xdr:ext cx="52753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3BBF464-9BF9-4037-9EC4-2F53AF7FC8E4}"/>
                </a:ext>
              </a:extLst>
            </xdr:cNvPr>
            <xdr:cNvSpPr txBox="1"/>
          </xdr:nvSpPr>
          <xdr:spPr>
            <a:xfrm>
              <a:off x="0" y="212178"/>
              <a:ext cx="5275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𝑊𝐴𝐶𝐶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3BBF464-9BF9-4037-9EC4-2F53AF7FC8E4}"/>
                </a:ext>
              </a:extLst>
            </xdr:cNvPr>
            <xdr:cNvSpPr txBox="1"/>
          </xdr:nvSpPr>
          <xdr:spPr>
            <a:xfrm>
              <a:off x="0" y="212178"/>
              <a:ext cx="5275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𝑅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𝑊𝐴𝐶𝐶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2628</xdr:rowOff>
    </xdr:from>
    <xdr:ext cx="32897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0D8C322-8D8C-4404-8F31-3B68E79FD66A}"/>
                </a:ext>
              </a:extLst>
            </xdr:cNvPr>
            <xdr:cNvSpPr txBox="1"/>
          </xdr:nvSpPr>
          <xdr:spPr>
            <a:xfrm>
              <a:off x="0" y="2628"/>
              <a:ext cx="3289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0D8C322-8D8C-4404-8F31-3B68E79FD66A}"/>
                </a:ext>
              </a:extLst>
            </xdr:cNvPr>
            <xdr:cNvSpPr txBox="1"/>
          </xdr:nvSpPr>
          <xdr:spPr>
            <a:xfrm>
              <a:off x="0" y="2628"/>
              <a:ext cx="3289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𝑅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𝑆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2628</xdr:rowOff>
    </xdr:from>
    <xdr:ext cx="32897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9A08CFF-1A46-44FB-8BF2-60B719F19D5F}"/>
                </a:ext>
              </a:extLst>
            </xdr:cNvPr>
            <xdr:cNvSpPr txBox="1"/>
          </xdr:nvSpPr>
          <xdr:spPr>
            <a:xfrm>
              <a:off x="0" y="202653"/>
              <a:ext cx="3289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9A08CFF-1A46-44FB-8BF2-60B719F19D5F}"/>
                </a:ext>
              </a:extLst>
            </xdr:cNvPr>
            <xdr:cNvSpPr txBox="1"/>
          </xdr:nvSpPr>
          <xdr:spPr>
            <a:xfrm>
              <a:off x="0" y="202653"/>
              <a:ext cx="3289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𝑅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𝐵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9</xdr:row>
      <xdr:rowOff>2628</xdr:rowOff>
    </xdr:from>
    <xdr:ext cx="52753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5664FF-7CDC-4E88-B076-AC1ECDC8E61F}"/>
                </a:ext>
              </a:extLst>
            </xdr:cNvPr>
            <xdr:cNvSpPr txBox="1"/>
          </xdr:nvSpPr>
          <xdr:spPr>
            <a:xfrm>
              <a:off x="0" y="1202778"/>
              <a:ext cx="5275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𝑊𝐴𝐶𝐶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5664FF-7CDC-4E88-B076-AC1ECDC8E61F}"/>
                </a:ext>
              </a:extLst>
            </xdr:cNvPr>
            <xdr:cNvSpPr txBox="1"/>
          </xdr:nvSpPr>
          <xdr:spPr>
            <a:xfrm>
              <a:off x="0" y="1202778"/>
              <a:ext cx="5275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𝑅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𝑊𝐴𝐶𝐶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A20A0-62C6-4909-BA70-9D00C6468E69}">
  <dimension ref="A1:B1"/>
  <sheetViews>
    <sheetView showGridLines="0" zoomScale="160" zoomScaleNormal="160" workbookViewId="0">
      <selection activeCell="A20" sqref="A20"/>
    </sheetView>
  </sheetViews>
  <sheetFormatPr defaultRowHeight="14.3" x14ac:dyDescent="0.25"/>
  <sheetData>
    <row r="1" spans="1:2" ht="16.5" customHeight="1" x14ac:dyDescent="0.25">
      <c r="A1" s="49"/>
      <c r="B1" s="50">
        <f>0.027+0.95*(0.1-0.027)</f>
        <v>9.6350000000000005E-2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BDEA-AD1E-4CCA-AE50-31141E00D487}">
  <dimension ref="A1:E10"/>
  <sheetViews>
    <sheetView showGridLines="0" zoomScale="160" zoomScaleNormal="160" workbookViewId="0"/>
  </sheetViews>
  <sheetFormatPr defaultRowHeight="14.3" x14ac:dyDescent="0.25"/>
  <cols>
    <col min="1" max="1" width="12.5" bestFit="1" customWidth="1"/>
    <col min="2" max="2" width="12.75" bestFit="1" customWidth="1"/>
  </cols>
  <sheetData>
    <row r="1" spans="1:5" ht="15.65" x14ac:dyDescent="0.25">
      <c r="A1" s="60" t="s">
        <v>7</v>
      </c>
      <c r="B1" s="62">
        <f>6400000*53</f>
        <v>339200000</v>
      </c>
    </row>
    <row r="2" spans="1:5" ht="15.65" x14ac:dyDescent="0.25">
      <c r="A2" s="60" t="s">
        <v>1</v>
      </c>
      <c r="B2" s="62">
        <f>(175000*1000)*1.06</f>
        <v>185500000</v>
      </c>
    </row>
    <row r="3" spans="1:5" ht="15.65" x14ac:dyDescent="0.25">
      <c r="A3" s="60" t="s">
        <v>17</v>
      </c>
      <c r="B3" s="62">
        <f>SUM(B1:B2)</f>
        <v>524700000</v>
      </c>
    </row>
    <row r="4" spans="1:5" ht="15.65" x14ac:dyDescent="0.25">
      <c r="A4" s="58" t="s">
        <v>18</v>
      </c>
      <c r="B4" s="59">
        <f>B1/B3</f>
        <v>0.64646464646464652</v>
      </c>
      <c r="E4" s="2"/>
    </row>
    <row r="5" spans="1:5" ht="15.65" x14ac:dyDescent="0.25">
      <c r="A5" s="58" t="s">
        <v>19</v>
      </c>
      <c r="B5" s="59">
        <f>1-B4</f>
        <v>0.35353535353535348</v>
      </c>
    </row>
    <row r="6" spans="1:5" ht="15.65" x14ac:dyDescent="0.25">
      <c r="A6" s="2"/>
      <c r="B6" s="2"/>
    </row>
    <row r="7" spans="1:5" ht="15.65" x14ac:dyDescent="0.25">
      <c r="A7" s="58"/>
      <c r="B7" s="59">
        <f>0.031+1.15*(0.068)</f>
        <v>0.10920000000000001</v>
      </c>
    </row>
    <row r="8" spans="1:5" ht="15.65" x14ac:dyDescent="0.25">
      <c r="A8" s="58"/>
      <c r="B8" s="59">
        <f>YIELD(DATE(2000,1,1),DATE(2025,1,1),0.062,100*1.06,100,2)</f>
        <v>5.7448485298247545E-2</v>
      </c>
    </row>
    <row r="9" spans="1:5" ht="16.3" x14ac:dyDescent="0.3">
      <c r="A9" s="58" t="s">
        <v>16</v>
      </c>
      <c r="B9" s="59">
        <f>B8*(1-0.22)</f>
        <v>4.4809818532633085E-2</v>
      </c>
      <c r="D9" s="9"/>
    </row>
    <row r="10" spans="1:5" ht="15.65" x14ac:dyDescent="0.25">
      <c r="A10" s="58"/>
      <c r="B10" s="59">
        <f>B4*B7+B5*B9</f>
        <v>8.6435794430728879E-2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5AA5-B8B4-4829-B0DB-0B169964E48C}">
  <dimension ref="A1:F5"/>
  <sheetViews>
    <sheetView showGridLines="0" zoomScale="160" zoomScaleNormal="160" workbookViewId="0">
      <selection activeCell="A11" sqref="A11"/>
    </sheetView>
  </sheetViews>
  <sheetFormatPr defaultRowHeight="14.3" x14ac:dyDescent="0.25"/>
  <cols>
    <col min="4" max="4" width="12" bestFit="1" customWidth="1"/>
    <col min="5" max="5" width="12" customWidth="1"/>
  </cols>
  <sheetData>
    <row r="1" spans="1:6" ht="15.65" x14ac:dyDescent="0.25">
      <c r="A1" s="11" t="s">
        <v>20</v>
      </c>
      <c r="B1" s="11" t="s">
        <v>21</v>
      </c>
      <c r="C1" s="11" t="s">
        <v>22</v>
      </c>
      <c r="D1" s="11" t="s">
        <v>27</v>
      </c>
      <c r="E1" s="11" t="s">
        <v>28</v>
      </c>
      <c r="F1" s="10"/>
    </row>
    <row r="2" spans="1:6" ht="15.65" x14ac:dyDescent="0.25">
      <c r="A2" s="12" t="s">
        <v>23</v>
      </c>
      <c r="B2" s="13">
        <v>0.75</v>
      </c>
      <c r="C2" s="14">
        <v>9.4E-2</v>
      </c>
      <c r="D2" s="16">
        <f>0.035+$B2*(0.12-0.035)</f>
        <v>9.8750000000000004E-2</v>
      </c>
      <c r="E2" s="16" t="str">
        <f>IF($C2&gt;=$D2,"Accept","Reject")</f>
        <v>Reject</v>
      </c>
      <c r="F2" s="10"/>
    </row>
    <row r="3" spans="1:6" ht="15.65" x14ac:dyDescent="0.25">
      <c r="A3" s="12" t="s">
        <v>24</v>
      </c>
      <c r="B3" s="13">
        <v>0.9</v>
      </c>
      <c r="C3" s="15">
        <v>0.112</v>
      </c>
      <c r="D3" s="16">
        <f t="shared" ref="D3:D5" si="0">0.035+$B3*(0.12-0.035)</f>
        <v>0.1115</v>
      </c>
      <c r="E3" s="16" t="str">
        <f t="shared" ref="E3:E5" si="1">IF($C3&gt;=$D3,"Accept","Reject")</f>
        <v>Accept</v>
      </c>
      <c r="F3" s="10"/>
    </row>
    <row r="4" spans="1:6" ht="15.65" x14ac:dyDescent="0.25">
      <c r="A4" s="12" t="s">
        <v>25</v>
      </c>
      <c r="B4" s="13">
        <v>1.1499999999999999</v>
      </c>
      <c r="C4" s="15">
        <v>0.14099999999999999</v>
      </c>
      <c r="D4" s="16">
        <f t="shared" si="0"/>
        <v>0.13274999999999998</v>
      </c>
      <c r="E4" s="16" t="str">
        <f t="shared" si="1"/>
        <v>Accept</v>
      </c>
      <c r="F4" s="10"/>
    </row>
    <row r="5" spans="1:6" ht="15.65" x14ac:dyDescent="0.25">
      <c r="A5" s="12" t="s">
        <v>26</v>
      </c>
      <c r="B5" s="13">
        <v>1.45</v>
      </c>
      <c r="C5" s="15">
        <v>0.155</v>
      </c>
      <c r="D5" s="16">
        <f t="shared" si="0"/>
        <v>0.15825</v>
      </c>
      <c r="E5" s="16" t="str">
        <f t="shared" si="1"/>
        <v>Reject</v>
      </c>
      <c r="F5" s="10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532D-6E39-4511-BC8A-CC8195E3073C}">
  <dimension ref="A1:B6"/>
  <sheetViews>
    <sheetView showGridLines="0" zoomScale="160" zoomScaleNormal="160" workbookViewId="0">
      <selection activeCell="A6" sqref="A1:B6"/>
    </sheetView>
  </sheetViews>
  <sheetFormatPr defaultRowHeight="14.3" x14ac:dyDescent="0.25"/>
  <cols>
    <col min="1" max="1" width="13.25" bestFit="1" customWidth="1"/>
    <col min="2" max="2" width="14.25" bestFit="1" customWidth="1"/>
  </cols>
  <sheetData>
    <row r="1" spans="1:2" ht="15.65" x14ac:dyDescent="0.25">
      <c r="A1" s="54" t="s">
        <v>105</v>
      </c>
      <c r="B1" s="69">
        <v>43000000</v>
      </c>
    </row>
    <row r="2" spans="1:2" ht="15.65" x14ac:dyDescent="0.25">
      <c r="A2" s="54" t="s">
        <v>101</v>
      </c>
      <c r="B2" s="56">
        <v>0.65</v>
      </c>
    </row>
    <row r="3" spans="1:2" ht="15.65" x14ac:dyDescent="0.25">
      <c r="A3" s="54" t="s">
        <v>102</v>
      </c>
      <c r="B3" s="56">
        <v>0.06</v>
      </c>
    </row>
    <row r="4" spans="1:2" ht="15.65" x14ac:dyDescent="0.25">
      <c r="A4" s="54" t="s">
        <v>103</v>
      </c>
      <c r="B4" s="56">
        <v>0.02</v>
      </c>
    </row>
    <row r="5" spans="1:2" ht="15.65" x14ac:dyDescent="0.25">
      <c r="A5" s="54" t="s">
        <v>104</v>
      </c>
      <c r="B5" s="57">
        <f>(B2/(1+B2))*B4+(1/(1+B2))*B3</f>
        <v>4.4242424242424243E-2</v>
      </c>
    </row>
    <row r="6" spans="1:2" ht="15.65" x14ac:dyDescent="0.25">
      <c r="A6" s="54" t="s">
        <v>74</v>
      </c>
      <c r="B6" s="70">
        <f>B1/(1-B5)</f>
        <v>44990488.26886493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D7435-4399-4F3E-A8DD-BEBD144FE86E}">
  <dimension ref="A1:G4"/>
  <sheetViews>
    <sheetView showGridLines="0" zoomScale="160" zoomScaleNormal="160" workbookViewId="0">
      <selection activeCell="A5" sqref="A5"/>
    </sheetView>
  </sheetViews>
  <sheetFormatPr defaultRowHeight="14.3" x14ac:dyDescent="0.25"/>
  <cols>
    <col min="1" max="1" width="12.5" customWidth="1"/>
    <col min="2" max="2" width="14.25" bestFit="1" customWidth="1"/>
    <col min="5" max="5" width="13.125" bestFit="1" customWidth="1"/>
    <col min="6" max="6" width="13.75" bestFit="1" customWidth="1"/>
    <col min="7" max="7" width="12.125" bestFit="1" customWidth="1"/>
  </cols>
  <sheetData>
    <row r="1" spans="1:7" ht="15.65" x14ac:dyDescent="0.25">
      <c r="A1" s="54" t="s">
        <v>105</v>
      </c>
      <c r="B1" s="69">
        <v>75000000</v>
      </c>
      <c r="F1" s="72" t="s">
        <v>106</v>
      </c>
      <c r="G1" s="71" t="s">
        <v>110</v>
      </c>
    </row>
    <row r="2" spans="1:7" ht="15.65" x14ac:dyDescent="0.25">
      <c r="A2" s="54" t="s">
        <v>104</v>
      </c>
      <c r="B2" s="55">
        <f>SUMPRODUCT($F$2:$F$4,$G$2:$G$4)</f>
        <v>5.8500000000000003E-2</v>
      </c>
      <c r="E2" s="74" t="s">
        <v>107</v>
      </c>
      <c r="F2" s="56">
        <v>0.7</v>
      </c>
      <c r="G2" s="56">
        <v>7.0000000000000007E-2</v>
      </c>
    </row>
    <row r="3" spans="1:7" ht="15.65" x14ac:dyDescent="0.25">
      <c r="A3" s="54" t="s">
        <v>74</v>
      </c>
      <c r="B3" s="69">
        <f>B1/(1-B2)</f>
        <v>79660116.834838018</v>
      </c>
      <c r="E3" s="74" t="s">
        <v>108</v>
      </c>
      <c r="F3" s="56">
        <v>0.05</v>
      </c>
      <c r="G3" s="56">
        <v>0.04</v>
      </c>
    </row>
    <row r="4" spans="1:7" ht="15.65" x14ac:dyDescent="0.25">
      <c r="E4" s="73" t="s">
        <v>109</v>
      </c>
      <c r="F4" s="56">
        <v>0.25</v>
      </c>
      <c r="G4" s="56">
        <v>0.03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F367-8C91-4C2E-A504-42F0CB98291A}">
  <dimension ref="A1:F3"/>
  <sheetViews>
    <sheetView showGridLines="0" zoomScale="160" zoomScaleNormal="160" workbookViewId="0">
      <selection activeCell="A20" sqref="A20"/>
    </sheetView>
  </sheetViews>
  <sheetFormatPr defaultRowHeight="14.3" x14ac:dyDescent="0.25"/>
  <cols>
    <col min="1" max="1" width="17.75" bestFit="1" customWidth="1"/>
    <col min="2" max="2" width="12.625" bestFit="1" customWidth="1"/>
    <col min="4" max="4" width="7.125" bestFit="1" customWidth="1"/>
  </cols>
  <sheetData>
    <row r="1" spans="1:6" ht="15.65" x14ac:dyDescent="0.25">
      <c r="A1" s="58"/>
      <c r="B1" s="59">
        <f>((1/1.65)*0.11)+((0.65/1.65)*0.043)</f>
        <v>8.36060606060606E-2</v>
      </c>
    </row>
    <row r="2" spans="1:6" ht="15.65" x14ac:dyDescent="0.25">
      <c r="A2" s="58" t="s">
        <v>29</v>
      </c>
      <c r="B2" s="59">
        <f>B1+0.02</f>
        <v>0.1036060606060606</v>
      </c>
    </row>
    <row r="3" spans="1:6" ht="15.65" x14ac:dyDescent="0.25">
      <c r="A3" s="58" t="s">
        <v>30</v>
      </c>
      <c r="B3" s="63">
        <f>1850000/(B2-0.03)</f>
        <v>25133799.917661589</v>
      </c>
      <c r="C3" s="18" t="s">
        <v>31</v>
      </c>
      <c r="D3" s="2" t="s">
        <v>100</v>
      </c>
      <c r="F3" s="2" t="s">
        <v>32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7BC8-F673-4653-AAA4-319C37B29001}">
  <dimension ref="A1:E15"/>
  <sheetViews>
    <sheetView showGridLines="0" zoomScale="160" zoomScaleNormal="160" workbookViewId="0"/>
  </sheetViews>
  <sheetFormatPr defaultRowHeight="14.3" x14ac:dyDescent="0.25"/>
  <cols>
    <col min="1" max="1" width="26.875" bestFit="1" customWidth="1"/>
    <col min="2" max="2" width="13.625" bestFit="1" customWidth="1"/>
  </cols>
  <sheetData>
    <row r="1" spans="1:5" ht="15.65" x14ac:dyDescent="0.25">
      <c r="A1" s="60" t="s">
        <v>33</v>
      </c>
      <c r="B1" s="62">
        <f>(40000*1000)*1.065</f>
        <v>42600000</v>
      </c>
    </row>
    <row r="2" spans="1:5" ht="15.65" x14ac:dyDescent="0.25">
      <c r="A2" s="60" t="s">
        <v>34</v>
      </c>
      <c r="B2" s="62">
        <f>(40000*10000)*0.218</f>
        <v>87200000</v>
      </c>
    </row>
    <row r="3" spans="1:5" ht="15.65" x14ac:dyDescent="0.25">
      <c r="A3" s="58" t="s">
        <v>35</v>
      </c>
      <c r="B3" s="62">
        <f>135000*87</f>
        <v>11745000</v>
      </c>
    </row>
    <row r="4" spans="1:5" ht="15.65" x14ac:dyDescent="0.25">
      <c r="A4" s="58" t="s">
        <v>36</v>
      </c>
      <c r="B4" s="62">
        <f>1900000*73</f>
        <v>138700000</v>
      </c>
    </row>
    <row r="5" spans="1:5" ht="15.65" x14ac:dyDescent="0.25">
      <c r="A5" s="64" t="s">
        <v>37</v>
      </c>
      <c r="B5" s="62">
        <f>SUM(B1:B4)</f>
        <v>280245000</v>
      </c>
    </row>
    <row r="6" spans="1:5" ht="15.65" x14ac:dyDescent="0.25">
      <c r="A6" s="2"/>
      <c r="B6" s="2"/>
    </row>
    <row r="7" spans="1:5" ht="15.65" x14ac:dyDescent="0.25">
      <c r="A7" s="58" t="s">
        <v>38</v>
      </c>
      <c r="B7" s="59">
        <f>YIELD(DATE(2000,1,1),DATE(2015,1,1),0.049,100*1.065,100,2)</f>
        <v>4.3072194430375042E-2</v>
      </c>
    </row>
    <row r="8" spans="1:5" ht="15.65" x14ac:dyDescent="0.25">
      <c r="A8" s="58" t="s">
        <v>39</v>
      </c>
      <c r="B8" s="59">
        <f>B7*(1-0.23)</f>
        <v>3.3165589711388783E-2</v>
      </c>
    </row>
    <row r="9" spans="1:5" ht="15.65" x14ac:dyDescent="0.25">
      <c r="A9" s="58" t="s">
        <v>40</v>
      </c>
      <c r="B9" s="59">
        <f>YIELD(DATE(2000,1,1),DATE(2030,1,1),0,10000*0.218,10000,2)</f>
        <v>5.142536354055513E-2</v>
      </c>
    </row>
    <row r="10" spans="1:5" ht="15.65" x14ac:dyDescent="0.25">
      <c r="A10" s="58" t="s">
        <v>41</v>
      </c>
      <c r="B10" s="59">
        <f>B9*(1-0.23)</f>
        <v>3.9597529926227448E-2</v>
      </c>
      <c r="E10" s="21"/>
    </row>
    <row r="11" spans="1:5" ht="15.65" x14ac:dyDescent="0.25">
      <c r="A11" s="58" t="s">
        <v>42</v>
      </c>
      <c r="B11" s="59">
        <f>3.5/87</f>
        <v>4.0229885057471264E-2</v>
      </c>
    </row>
    <row r="12" spans="1:5" ht="15.65" x14ac:dyDescent="0.25">
      <c r="A12" s="2"/>
      <c r="B12" s="2"/>
    </row>
    <row r="13" spans="1:5" ht="15.65" x14ac:dyDescent="0.25">
      <c r="A13" s="58"/>
      <c r="B13" s="59">
        <f>0.036+1.15*(0.07)</f>
        <v>0.11649999999999999</v>
      </c>
    </row>
    <row r="14" spans="1:5" ht="15.65" x14ac:dyDescent="0.25">
      <c r="A14" s="58"/>
      <c r="B14" s="59">
        <f>((B1/B5)*B8)+((B2/B5)*B10)+((B3/B5)*B11)</f>
        <v>1.9048542280048514E-2</v>
      </c>
    </row>
    <row r="15" spans="1:5" ht="15.65" x14ac:dyDescent="0.25">
      <c r="A15" s="58"/>
      <c r="B15" s="65">
        <f>((B4/B5)*B13)+B14</f>
        <v>7.6707198099064011E-2</v>
      </c>
    </row>
  </sheetData>
  <pageMargins left="0.7" right="0.7" top="0.75" bottom="0.75" header="0.3" footer="0.3"/>
  <ignoredErrors>
    <ignoredError sqref="B9" formula="1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8646-119F-48C1-8A7B-531643E7EB4E}">
  <dimension ref="A1:B8"/>
  <sheetViews>
    <sheetView showGridLines="0" zoomScale="160" zoomScaleNormal="160" workbookViewId="0">
      <selection activeCell="C8" sqref="C8"/>
    </sheetView>
  </sheetViews>
  <sheetFormatPr defaultRowHeight="14.3" x14ac:dyDescent="0.25"/>
  <cols>
    <col min="1" max="1" width="14.375" bestFit="1" customWidth="1"/>
    <col min="2" max="2" width="14.25" bestFit="1" customWidth="1"/>
  </cols>
  <sheetData>
    <row r="1" spans="1:2" ht="15.65" x14ac:dyDescent="0.25">
      <c r="A1" s="54" t="s">
        <v>111</v>
      </c>
      <c r="B1" s="69">
        <v>30000000</v>
      </c>
    </row>
    <row r="2" spans="1:2" ht="15.65" x14ac:dyDescent="0.25">
      <c r="A2" s="54" t="s">
        <v>110</v>
      </c>
      <c r="B2" s="69">
        <v>1900000</v>
      </c>
    </row>
    <row r="3" spans="1:2" ht="15.65" x14ac:dyDescent="0.25">
      <c r="A3" s="54" t="s">
        <v>102</v>
      </c>
      <c r="B3" s="56">
        <v>7.0000000000000007E-2</v>
      </c>
    </row>
    <row r="4" spans="1:2" ht="15.65" x14ac:dyDescent="0.25">
      <c r="A4" s="54" t="s">
        <v>103</v>
      </c>
      <c r="B4" s="56">
        <v>0.03</v>
      </c>
    </row>
    <row r="5" spans="1:2" ht="15.65" x14ac:dyDescent="0.25">
      <c r="A5" s="54" t="s">
        <v>74</v>
      </c>
      <c r="B5" s="69">
        <f>B1/(1-B6)</f>
        <v>31900000</v>
      </c>
    </row>
    <row r="6" spans="1:2" ht="15.65" x14ac:dyDescent="0.25">
      <c r="A6" s="54" t="s">
        <v>104</v>
      </c>
      <c r="B6" s="75">
        <v>5.9561128526645787E-2</v>
      </c>
    </row>
    <row r="7" spans="1:2" ht="15.65" x14ac:dyDescent="0.25">
      <c r="A7" s="54" t="s">
        <v>104</v>
      </c>
      <c r="B7" s="75">
        <f>(1/(1+B8))*B3+(B8/(1+B8))*B4</f>
        <v>5.9561000000000003E-2</v>
      </c>
    </row>
    <row r="8" spans="1:2" ht="15.65" x14ac:dyDescent="0.25">
      <c r="A8" s="54" t="s">
        <v>101</v>
      </c>
      <c r="B8" s="57">
        <v>0.35313419708399563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D13ED-3403-4BFA-9E61-5D6BECF7D363}">
  <dimension ref="A1:F4"/>
  <sheetViews>
    <sheetView showGridLines="0" zoomScale="160" zoomScaleNormal="160" workbookViewId="0">
      <selection activeCell="C4" sqref="C4"/>
    </sheetView>
  </sheetViews>
  <sheetFormatPr defaultRowHeight="14.3" x14ac:dyDescent="0.25"/>
  <cols>
    <col min="3" max="3" width="6.25" bestFit="1" customWidth="1"/>
    <col min="5" max="5" width="12.75" bestFit="1" customWidth="1"/>
  </cols>
  <sheetData>
    <row r="1" spans="1:6" ht="15.65" x14ac:dyDescent="0.25">
      <c r="A1" s="58"/>
      <c r="B1" s="59">
        <f>(0.75*(1.045)/84)+0.045</f>
        <v>5.4330357142857139E-2</v>
      </c>
      <c r="C1" s="59">
        <f>F2+F1</f>
        <v>5.4330357142857069E-2</v>
      </c>
      <c r="D1" s="68"/>
      <c r="E1" s="54" t="s">
        <v>112</v>
      </c>
      <c r="F1" s="57">
        <f>FV(0.045,1,,-0.75)/84</f>
        <v>9.330357142857142E-3</v>
      </c>
    </row>
    <row r="2" spans="1:6" ht="15.65" x14ac:dyDescent="0.25">
      <c r="A2" s="58"/>
      <c r="B2" s="59">
        <f>0.037+1.15*(0.11-0.037)</f>
        <v>0.12095</v>
      </c>
      <c r="C2" s="67"/>
      <c r="D2" s="67"/>
      <c r="E2" s="54" t="s">
        <v>113</v>
      </c>
      <c r="F2" s="57">
        <f>FV(0.045,1,,-84)/84-1</f>
        <v>4.4999999999999929E-2</v>
      </c>
    </row>
    <row r="4" spans="1:6" x14ac:dyDescent="0.25">
      <c r="B4" t="s">
        <v>114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5FFDC-D9E3-4EE1-98F9-82C33344E4CC}">
  <dimension ref="A1:B11"/>
  <sheetViews>
    <sheetView showGridLines="0" zoomScale="160" zoomScaleNormal="160" workbookViewId="0">
      <selection activeCell="B6" sqref="B6"/>
    </sheetView>
  </sheetViews>
  <sheetFormatPr defaultRowHeight="14.3" x14ac:dyDescent="0.25"/>
  <cols>
    <col min="1" max="1" width="30.375" bestFit="1" customWidth="1"/>
    <col min="2" max="2" width="15.5" bestFit="1" customWidth="1"/>
  </cols>
  <sheetData>
    <row r="1" spans="1:2" ht="15.65" x14ac:dyDescent="0.25">
      <c r="A1" s="58" t="s">
        <v>43</v>
      </c>
      <c r="B1" s="62">
        <f>FV(0.1,1,,-7100000)</f>
        <v>7810000.0000000009</v>
      </c>
    </row>
    <row r="2" spans="1:2" ht="15.65" x14ac:dyDescent="0.25">
      <c r="A2" s="58" t="s">
        <v>44</v>
      </c>
      <c r="B2" s="62">
        <f>FV(0.1,2,,-7100000)</f>
        <v>8591000.0000000019</v>
      </c>
    </row>
    <row r="3" spans="1:2" ht="15.65" x14ac:dyDescent="0.25">
      <c r="A3" s="58" t="s">
        <v>45</v>
      </c>
      <c r="B3" s="62">
        <f>FV(0.1,3,,-7100000)</f>
        <v>9450100.0000000037</v>
      </c>
    </row>
    <row r="4" spans="1:2" ht="15.65" x14ac:dyDescent="0.25">
      <c r="A4" s="58" t="s">
        <v>46</v>
      </c>
      <c r="B4" s="62">
        <f>FV(0.1,4,,-7100000)</f>
        <v>10395110.000000004</v>
      </c>
    </row>
    <row r="5" spans="1:2" ht="15.65" x14ac:dyDescent="0.25">
      <c r="A5" s="58" t="s">
        <v>47</v>
      </c>
      <c r="B5" s="62">
        <f>FV(0.1,5,,-7100000)</f>
        <v>11434621.000000004</v>
      </c>
    </row>
    <row r="6" spans="1:2" ht="15.65" x14ac:dyDescent="0.25">
      <c r="A6" s="58" t="s">
        <v>48</v>
      </c>
      <c r="B6" s="62">
        <f>B5*FV(0.04,1,,-1)</f>
        <v>11892005.840000004</v>
      </c>
    </row>
    <row r="7" spans="1:2" ht="15.65" x14ac:dyDescent="0.25">
      <c r="A7" s="2"/>
      <c r="B7" s="2"/>
    </row>
    <row r="8" spans="1:2" ht="15.65" x14ac:dyDescent="0.25">
      <c r="A8" s="58" t="s">
        <v>49</v>
      </c>
      <c r="B8" s="62">
        <f>B6/(0.09-0.04)</f>
        <v>237840116.8000001</v>
      </c>
    </row>
    <row r="9" spans="1:2" ht="15.65" x14ac:dyDescent="0.25">
      <c r="A9" s="58" t="s">
        <v>50</v>
      </c>
      <c r="B9" s="62">
        <f>NPV(0.09,B1,B2,B3,B4,(B5+B8))</f>
        <v>191068855.44506353</v>
      </c>
    </row>
    <row r="10" spans="1:2" ht="15.65" x14ac:dyDescent="0.25">
      <c r="A10" s="60" t="s">
        <v>7</v>
      </c>
      <c r="B10" s="62">
        <f>B9-22000000</f>
        <v>169068855.44506353</v>
      </c>
    </row>
    <row r="11" spans="1:2" ht="15.65" x14ac:dyDescent="0.25">
      <c r="A11" s="58" t="s">
        <v>51</v>
      </c>
      <c r="B11" s="66">
        <f>B10/2500000</f>
        <v>67.627542178025408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12CF-239F-4726-905E-3574E223E6C8}">
  <dimension ref="A1:F24"/>
  <sheetViews>
    <sheetView showGridLines="0" zoomScale="160" zoomScaleNormal="160" workbookViewId="0">
      <selection activeCell="B1" sqref="B1"/>
    </sheetView>
  </sheetViews>
  <sheetFormatPr defaultRowHeight="14.3" x14ac:dyDescent="0.25"/>
  <cols>
    <col min="1" max="1" width="19.875" customWidth="1"/>
    <col min="2" max="2" width="13.625" bestFit="1" customWidth="1"/>
    <col min="3" max="4" width="13" bestFit="1" customWidth="1"/>
    <col min="5" max="5" width="14.5" bestFit="1" customWidth="1"/>
    <col min="6" max="6" width="13" bestFit="1" customWidth="1"/>
  </cols>
  <sheetData>
    <row r="1" spans="1:6" ht="15.65" x14ac:dyDescent="0.25">
      <c r="A1" s="60" t="s">
        <v>19</v>
      </c>
      <c r="B1" s="59">
        <f>115000000/(115000000+360000000)</f>
        <v>0.24210526315789474</v>
      </c>
      <c r="C1" s="2"/>
      <c r="D1" s="2"/>
      <c r="E1" s="2"/>
      <c r="F1" s="2"/>
    </row>
    <row r="2" spans="1:6" ht="15.65" x14ac:dyDescent="0.25">
      <c r="A2" s="60" t="s">
        <v>18</v>
      </c>
      <c r="B2" s="59">
        <f>1-B1</f>
        <v>0.75789473684210529</v>
      </c>
      <c r="C2" s="2"/>
      <c r="D2" s="2"/>
      <c r="E2" s="2"/>
      <c r="F2" s="2"/>
    </row>
    <row r="3" spans="1:6" ht="15.65" x14ac:dyDescent="0.25">
      <c r="A3" s="58"/>
      <c r="B3" s="65">
        <f>(B2*0.11)+(1-0.21)*(B1*0.06)</f>
        <v>9.4844210526315795E-2</v>
      </c>
      <c r="C3" s="2"/>
      <c r="D3" s="2"/>
      <c r="E3" s="2"/>
      <c r="F3" s="2"/>
    </row>
    <row r="4" spans="1:6" ht="15.65" x14ac:dyDescent="0.25">
      <c r="A4" s="2"/>
      <c r="B4" s="2"/>
      <c r="C4" s="2"/>
      <c r="D4" s="2"/>
      <c r="E4" s="2"/>
      <c r="F4" s="2"/>
    </row>
    <row r="5" spans="1:6" ht="15.65" x14ac:dyDescent="0.25">
      <c r="A5" s="24"/>
      <c r="B5" s="30" t="s">
        <v>52</v>
      </c>
      <c r="C5" s="30" t="s">
        <v>53</v>
      </c>
      <c r="D5" s="30" t="s">
        <v>54</v>
      </c>
      <c r="E5" s="30" t="s">
        <v>55</v>
      </c>
      <c r="F5" s="30" t="s">
        <v>56</v>
      </c>
    </row>
    <row r="6" spans="1:6" ht="15.65" x14ac:dyDescent="0.25">
      <c r="A6" s="25" t="s">
        <v>57</v>
      </c>
      <c r="B6" s="26">
        <f>17300000</f>
        <v>17300000</v>
      </c>
      <c r="C6" s="26">
        <f>FV(0.1,1,,-B$6)</f>
        <v>19030000</v>
      </c>
      <c r="D6" s="26">
        <f>FV(0.1,1,,-C$6)</f>
        <v>20933000</v>
      </c>
      <c r="E6" s="26">
        <f>FV(0.1,1,,-D$6)</f>
        <v>23026300</v>
      </c>
      <c r="F6" s="26">
        <f>FV(0.1,1,,-E$6)</f>
        <v>25328930.000000004</v>
      </c>
    </row>
    <row r="7" spans="1:6" ht="15.65" x14ac:dyDescent="0.25">
      <c r="A7" s="27" t="s">
        <v>58</v>
      </c>
      <c r="B7" s="28">
        <f>B$6*0.21</f>
        <v>3633000</v>
      </c>
      <c r="C7" s="28">
        <f t="shared" ref="C7:F7" si="0">C$6*0.21</f>
        <v>3996300</v>
      </c>
      <c r="D7" s="28">
        <f t="shared" si="0"/>
        <v>4395930</v>
      </c>
      <c r="E7" s="28">
        <f t="shared" si="0"/>
        <v>4835523</v>
      </c>
      <c r="F7" s="28">
        <f t="shared" si="0"/>
        <v>5319075.3000000007</v>
      </c>
    </row>
    <row r="8" spans="1:6" ht="15.65" x14ac:dyDescent="0.25">
      <c r="A8" s="27" t="s">
        <v>59</v>
      </c>
      <c r="B8" s="28">
        <f>B$6-B$7</f>
        <v>13667000</v>
      </c>
      <c r="C8" s="28">
        <f t="shared" ref="C8:F8" si="1">C$6-C$7</f>
        <v>15033700</v>
      </c>
      <c r="D8" s="28">
        <f t="shared" si="1"/>
        <v>16537070</v>
      </c>
      <c r="E8" s="28">
        <f t="shared" si="1"/>
        <v>18190777</v>
      </c>
      <c r="F8" s="28">
        <f t="shared" si="1"/>
        <v>20009854.700000003</v>
      </c>
    </row>
    <row r="9" spans="1:6" ht="15.65" x14ac:dyDescent="0.25">
      <c r="A9" s="27" t="s">
        <v>60</v>
      </c>
      <c r="B9" s="28">
        <f>B$6*0.08</f>
        <v>1384000</v>
      </c>
      <c r="C9" s="28">
        <f t="shared" ref="C9:F9" si="2">C$6*0.08</f>
        <v>1522400</v>
      </c>
      <c r="D9" s="28">
        <f t="shared" si="2"/>
        <v>1674640</v>
      </c>
      <c r="E9" s="28">
        <f t="shared" si="2"/>
        <v>1842104</v>
      </c>
      <c r="F9" s="28">
        <f t="shared" si="2"/>
        <v>2026314.4000000004</v>
      </c>
    </row>
    <row r="10" spans="1:6" ht="15.65" x14ac:dyDescent="0.25">
      <c r="A10" s="25" t="s">
        <v>61</v>
      </c>
      <c r="B10" s="29">
        <f>(B$6-B$7)+B$9</f>
        <v>15051000</v>
      </c>
      <c r="C10" s="29">
        <f t="shared" ref="C10:F10" si="3">(C$6-C$7)+C$9</f>
        <v>16556100</v>
      </c>
      <c r="D10" s="29">
        <f t="shared" si="3"/>
        <v>18211710</v>
      </c>
      <c r="E10" s="29">
        <f t="shared" si="3"/>
        <v>20032881</v>
      </c>
      <c r="F10" s="29">
        <f t="shared" si="3"/>
        <v>22036169.100000001</v>
      </c>
    </row>
    <row r="11" spans="1:6" ht="15.65" x14ac:dyDescent="0.25">
      <c r="A11" s="27" t="s">
        <v>62</v>
      </c>
      <c r="B11" s="28">
        <f>B$6*0.15</f>
        <v>2595000</v>
      </c>
      <c r="C11" s="28">
        <f t="shared" ref="C11:F11" si="4">C$6*0.15</f>
        <v>2854500</v>
      </c>
      <c r="D11" s="28">
        <f t="shared" si="4"/>
        <v>3139950</v>
      </c>
      <c r="E11" s="28">
        <f t="shared" si="4"/>
        <v>3453945</v>
      </c>
      <c r="F11" s="28">
        <f t="shared" si="4"/>
        <v>3799339.5000000005</v>
      </c>
    </row>
    <row r="12" spans="1:6" ht="15.65" x14ac:dyDescent="0.25">
      <c r="A12" s="27" t="s">
        <v>63</v>
      </c>
      <c r="B12" s="28">
        <f>B$6*0.09</f>
        <v>1557000</v>
      </c>
      <c r="C12" s="28">
        <f t="shared" ref="C12:F12" si="5">C$6*0.09</f>
        <v>1712700</v>
      </c>
      <c r="D12" s="28">
        <f t="shared" si="5"/>
        <v>1883970</v>
      </c>
      <c r="E12" s="28">
        <f t="shared" si="5"/>
        <v>2072367</v>
      </c>
      <c r="F12" s="28">
        <f t="shared" si="5"/>
        <v>2279603.7000000002</v>
      </c>
    </row>
    <row r="13" spans="1:6" ht="15.65" x14ac:dyDescent="0.25">
      <c r="A13" s="25" t="s">
        <v>64</v>
      </c>
      <c r="B13" s="29">
        <f>B$10-B$11-B$12</f>
        <v>10899000</v>
      </c>
      <c r="C13" s="29">
        <f t="shared" ref="C13:F13" si="6">C$10-C$11-C$12</f>
        <v>11988900</v>
      </c>
      <c r="D13" s="29">
        <f t="shared" si="6"/>
        <v>13187790</v>
      </c>
      <c r="E13" s="29">
        <f t="shared" si="6"/>
        <v>14506569</v>
      </c>
      <c r="F13" s="29">
        <f t="shared" si="6"/>
        <v>15957225.900000002</v>
      </c>
    </row>
    <row r="14" spans="1:6" ht="15.65" x14ac:dyDescent="0.25">
      <c r="A14" s="2"/>
      <c r="B14" s="2"/>
      <c r="C14" s="2"/>
      <c r="D14" s="2"/>
      <c r="E14" s="2"/>
      <c r="F14" s="2"/>
    </row>
    <row r="15" spans="1:6" ht="15.65" x14ac:dyDescent="0.25">
      <c r="A15" s="2" t="s">
        <v>65</v>
      </c>
      <c r="B15" s="3">
        <f>FV(0.03,1,,-F13)/(B3-0.03)</f>
        <v>253468159.20181164</v>
      </c>
      <c r="C15" s="2"/>
      <c r="D15" s="2"/>
      <c r="E15" s="2"/>
      <c r="F15" s="2"/>
    </row>
    <row r="16" spans="1:6" ht="15.65" x14ac:dyDescent="0.25">
      <c r="A16" s="2" t="s">
        <v>66</v>
      </c>
      <c r="B16" s="3">
        <f>NPV(B3,B13,C13,D13,E13,(F13+B15))</f>
        <v>211369779.54457083</v>
      </c>
      <c r="C16" s="2"/>
      <c r="D16" s="2"/>
      <c r="E16" s="2"/>
      <c r="F16" s="2"/>
    </row>
    <row r="17" spans="1:6" ht="15.65" x14ac:dyDescent="0.25">
      <c r="A17" s="5" t="s">
        <v>7</v>
      </c>
      <c r="B17" s="3">
        <f>B16-45000000</f>
        <v>166369779.54457083</v>
      </c>
      <c r="C17" s="2"/>
      <c r="D17" s="2"/>
      <c r="E17" s="2"/>
      <c r="F17" s="2"/>
    </row>
    <row r="18" spans="1:6" ht="15.65" x14ac:dyDescent="0.25">
      <c r="A18" s="2" t="s">
        <v>51</v>
      </c>
      <c r="B18" s="23">
        <f>B17/1950000</f>
        <v>85.317835663882477</v>
      </c>
      <c r="C18" s="2"/>
      <c r="D18" s="2"/>
      <c r="E18" s="2"/>
      <c r="F18" s="2"/>
    </row>
    <row r="19" spans="1:6" ht="15.65" x14ac:dyDescent="0.25">
      <c r="A19" s="2"/>
      <c r="B19" s="31"/>
      <c r="C19" s="2"/>
      <c r="D19" s="2"/>
      <c r="E19" s="2"/>
      <c r="F19" s="2"/>
    </row>
    <row r="20" spans="1:6" ht="15.65" x14ac:dyDescent="0.25">
      <c r="A20" s="2" t="s">
        <v>67</v>
      </c>
      <c r="B20" s="32">
        <f>F6+F9</f>
        <v>27355244.400000006</v>
      </c>
      <c r="C20" s="2"/>
      <c r="D20" s="2"/>
      <c r="E20" s="2"/>
      <c r="F20" s="2"/>
    </row>
    <row r="21" spans="1:6" ht="15.65" x14ac:dyDescent="0.25">
      <c r="A21" s="2" t="s">
        <v>65</v>
      </c>
      <c r="B21" s="3">
        <f>B20*9</f>
        <v>246197199.60000005</v>
      </c>
      <c r="C21" s="2"/>
      <c r="D21" s="2"/>
      <c r="E21" s="2"/>
      <c r="F21" s="2"/>
    </row>
    <row r="22" spans="1:6" ht="15.65" x14ac:dyDescent="0.25">
      <c r="A22" s="2" t="s">
        <v>66</v>
      </c>
      <c r="B22" s="3">
        <f>NPV(B3,B13,C13,D13,E13,(F13+B21))</f>
        <v>206747777.84618703</v>
      </c>
      <c r="C22" s="2"/>
      <c r="D22" s="2"/>
      <c r="E22" s="2"/>
      <c r="F22" s="2"/>
    </row>
    <row r="23" spans="1:6" ht="15.65" x14ac:dyDescent="0.25">
      <c r="A23" s="5" t="s">
        <v>7</v>
      </c>
      <c r="B23" s="3">
        <f>B22-45000000</f>
        <v>161747777.84618703</v>
      </c>
      <c r="C23" s="2"/>
      <c r="D23" s="2"/>
      <c r="E23" s="2"/>
      <c r="F23" s="2"/>
    </row>
    <row r="24" spans="1:6" ht="15.65" x14ac:dyDescent="0.25">
      <c r="A24" s="2" t="s">
        <v>51</v>
      </c>
      <c r="B24" s="23">
        <f>B23/1950000</f>
        <v>82.947578382660012</v>
      </c>
      <c r="C24" s="2"/>
      <c r="D24" s="2"/>
      <c r="E24" s="2"/>
      <c r="F2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1748F-7013-4B78-B3B0-EF459CFADE1F}">
  <dimension ref="A1:B2"/>
  <sheetViews>
    <sheetView showGridLines="0" zoomScale="160" zoomScaleNormal="160" workbookViewId="0">
      <selection activeCell="A20" sqref="A20"/>
    </sheetView>
  </sheetViews>
  <sheetFormatPr defaultRowHeight="14.3" x14ac:dyDescent="0.25"/>
  <sheetData>
    <row r="1" spans="1:2" ht="15.65" x14ac:dyDescent="0.25">
      <c r="A1" s="51" t="s">
        <v>0</v>
      </c>
      <c r="B1" s="50">
        <f>YIELD(DATE(2000,1,1),DATE(2017,1,1),0.06,100*0.95,100,2)</f>
        <v>6.4899113044564208E-2</v>
      </c>
    </row>
    <row r="2" spans="1:2" ht="15.65" x14ac:dyDescent="0.25">
      <c r="A2" s="49"/>
      <c r="B2" s="50">
        <f>B1*(1-0.21)</f>
        <v>5.1270299305205727E-2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A6FC-931D-462C-9386-7C4EDAA80F8D}">
  <dimension ref="A1:E7"/>
  <sheetViews>
    <sheetView showGridLines="0" zoomScale="160" zoomScaleNormal="160" workbookViewId="0">
      <selection activeCell="B4" sqref="B4"/>
    </sheetView>
  </sheetViews>
  <sheetFormatPr defaultRowHeight="14.3" x14ac:dyDescent="0.25"/>
  <cols>
    <col min="1" max="1" width="30" bestFit="1" customWidth="1"/>
    <col min="2" max="2" width="12.625" bestFit="1" customWidth="1"/>
  </cols>
  <sheetData>
    <row r="1" spans="1:5" ht="15.65" x14ac:dyDescent="0.25">
      <c r="A1" s="2" t="s">
        <v>68</v>
      </c>
      <c r="B1" s="4">
        <f>0.2/1.2</f>
        <v>0.16666666666666669</v>
      </c>
      <c r="C1" s="2"/>
      <c r="D1" s="2"/>
      <c r="E1" s="4">
        <v>0.10935000000000002</v>
      </c>
    </row>
    <row r="2" spans="1:5" ht="15.65" x14ac:dyDescent="0.25">
      <c r="A2" s="2" t="s">
        <v>69</v>
      </c>
      <c r="B2" s="4">
        <f>1-B1</f>
        <v>0.83333333333333326</v>
      </c>
      <c r="C2" s="2"/>
      <c r="D2" s="2"/>
      <c r="E2" s="2"/>
    </row>
    <row r="3" spans="1:5" ht="15.65" x14ac:dyDescent="0.25">
      <c r="A3" s="2"/>
      <c r="B3" s="22">
        <f>(1/1.4)*(0.13)+(0.4/1.4)*((0.2/1.2)*(E1)+(1/1.2)*(0.06)*(1-0.21))</f>
        <v>0.10935</v>
      </c>
      <c r="C3" s="2"/>
      <c r="D3" s="2"/>
      <c r="E3" s="2"/>
    </row>
    <row r="4" spans="1:5" ht="15.65" x14ac:dyDescent="0.25">
      <c r="A4" s="2"/>
      <c r="B4" s="2"/>
      <c r="C4" s="2"/>
      <c r="D4" s="2"/>
      <c r="E4" s="2"/>
    </row>
    <row r="5" spans="1:5" ht="15.65" x14ac:dyDescent="0.25">
      <c r="A5" s="2" t="s">
        <v>70</v>
      </c>
      <c r="B5" s="4">
        <f>(1/1.4)*(0.07)+(0.4/1.4)*((0.2/1.2)*(0)+(1/1.2)*(0.02))</f>
        <v>5.4761904761904762E-2</v>
      </c>
      <c r="C5" s="2"/>
      <c r="D5" s="2"/>
      <c r="E5" s="2"/>
    </row>
    <row r="6" spans="1:5" ht="15.65" x14ac:dyDescent="0.25">
      <c r="A6" s="2" t="s">
        <v>71</v>
      </c>
      <c r="B6" s="3">
        <f>60000000/(1-B5)</f>
        <v>63476070.528967254</v>
      </c>
      <c r="C6" s="2"/>
      <c r="D6" s="2"/>
      <c r="E6" s="2"/>
    </row>
    <row r="7" spans="1:5" ht="15.65" x14ac:dyDescent="0.25">
      <c r="A7" s="2" t="s">
        <v>72</v>
      </c>
      <c r="B7" s="20">
        <f>-B6+9600000/B3</f>
        <v>24315424.669935353</v>
      </c>
      <c r="C7" s="2"/>
      <c r="D7" s="2"/>
      <c r="E7" s="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FEA3-2080-414F-B277-B178DDE3743F}">
  <dimension ref="A1:B10"/>
  <sheetViews>
    <sheetView showGridLines="0" topLeftCell="A6" zoomScale="160" zoomScaleNormal="160" workbookViewId="0">
      <selection activeCell="A20" sqref="A20"/>
    </sheetView>
  </sheetViews>
  <sheetFormatPr defaultRowHeight="14.3" x14ac:dyDescent="0.25"/>
  <cols>
    <col min="1" max="1" width="30.875" bestFit="1" customWidth="1"/>
    <col min="2" max="2" width="13.625" bestFit="1" customWidth="1"/>
  </cols>
  <sheetData>
    <row r="1" spans="1:2" ht="15.65" x14ac:dyDescent="0.25">
      <c r="A1" s="5" t="s">
        <v>19</v>
      </c>
      <c r="B1" s="4">
        <f>0.65/1.65</f>
        <v>0.39393939393939398</v>
      </c>
    </row>
    <row r="2" spans="1:2" ht="15.65" x14ac:dyDescent="0.25">
      <c r="A2" s="5" t="s">
        <v>18</v>
      </c>
      <c r="B2" s="4">
        <f>1-B1</f>
        <v>0.60606060606060597</v>
      </c>
    </row>
    <row r="3" spans="1:2" ht="15.65" x14ac:dyDescent="0.25">
      <c r="A3" s="2" t="s">
        <v>73</v>
      </c>
      <c r="B3" s="4">
        <f>B2*(0.08)*(1-0)+B1*(0.035)</f>
        <v>6.2272727272727271E-2</v>
      </c>
    </row>
    <row r="4" spans="1:2" ht="15.65" x14ac:dyDescent="0.25">
      <c r="A4" s="2" t="s">
        <v>74</v>
      </c>
      <c r="B4" s="20">
        <f>137000000/(1-B3)</f>
        <v>146097915.65681046</v>
      </c>
    </row>
    <row r="5" spans="1:2" ht="15.65" x14ac:dyDescent="0.25">
      <c r="A5" s="2"/>
      <c r="B5" s="2"/>
    </row>
    <row r="6" spans="1:2" ht="15.65" x14ac:dyDescent="0.25">
      <c r="A6" s="2" t="s">
        <v>73</v>
      </c>
      <c r="B6" s="4">
        <f>$B$2*(0.08)*(1-0.6)+$B$1*(0.035)</f>
        <v>3.3181818181818187E-2</v>
      </c>
    </row>
    <row r="7" spans="1:2" ht="15.65" x14ac:dyDescent="0.25">
      <c r="A7" s="2" t="s">
        <v>74</v>
      </c>
      <c r="B7" s="20">
        <f>137000000/(1-B6)</f>
        <v>141701927.59755525</v>
      </c>
    </row>
    <row r="8" spans="1:2" ht="15.65" x14ac:dyDescent="0.25">
      <c r="A8" s="2"/>
      <c r="B8" s="2"/>
    </row>
    <row r="9" spans="1:2" ht="15.65" x14ac:dyDescent="0.25">
      <c r="A9" s="2" t="s">
        <v>73</v>
      </c>
      <c r="B9" s="4">
        <f>$B$2*(0.08)*(1-1)+$B$1*(0.035)</f>
        <v>1.378787878787879E-2</v>
      </c>
    </row>
    <row r="10" spans="1:2" ht="15.65" x14ac:dyDescent="0.25">
      <c r="A10" s="2" t="s">
        <v>74</v>
      </c>
      <c r="B10" s="20">
        <f>137000000/(1-B9)</f>
        <v>138915347.97972038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0BFD-4FEE-4029-AD4D-BBE787E989EF}">
  <dimension ref="A1:F40"/>
  <sheetViews>
    <sheetView showGridLines="0" tabSelected="1" topLeftCell="A18" zoomScale="160" zoomScaleNormal="160" workbookViewId="0">
      <selection activeCell="B31" sqref="B31"/>
    </sheetView>
  </sheetViews>
  <sheetFormatPr defaultRowHeight="14.3" x14ac:dyDescent="0.25"/>
  <cols>
    <col min="1" max="1" width="27.625" bestFit="1" customWidth="1"/>
    <col min="2" max="3" width="14.25" bestFit="1" customWidth="1"/>
    <col min="4" max="4" width="11.625" bestFit="1" customWidth="1"/>
    <col min="5" max="5" width="5.5" bestFit="1" customWidth="1"/>
    <col min="6" max="6" width="13.375" bestFit="1" customWidth="1"/>
  </cols>
  <sheetData>
    <row r="1" spans="1:6" ht="15.65" x14ac:dyDescent="0.25">
      <c r="A1" s="19" t="s">
        <v>78</v>
      </c>
      <c r="B1" s="2"/>
      <c r="C1" s="2"/>
      <c r="D1" s="2"/>
      <c r="E1" s="2"/>
      <c r="F1" s="2"/>
    </row>
    <row r="2" spans="1:6" ht="15.65" x14ac:dyDescent="0.25">
      <c r="A2" s="5" t="s">
        <v>1</v>
      </c>
      <c r="B2" s="3">
        <f>130000*(2000)*1.04</f>
        <v>270400000</v>
      </c>
      <c r="C2" s="2"/>
      <c r="D2" s="2"/>
      <c r="E2" s="2"/>
      <c r="F2" s="2"/>
    </row>
    <row r="3" spans="1:6" ht="15.65" x14ac:dyDescent="0.25">
      <c r="A3" s="5" t="s">
        <v>7</v>
      </c>
      <c r="B3" s="3">
        <f>9900000*68</f>
        <v>673200000</v>
      </c>
      <c r="C3" s="2"/>
      <c r="D3" s="2"/>
      <c r="E3" s="2"/>
      <c r="F3" s="2"/>
    </row>
    <row r="4" spans="1:6" ht="15.65" x14ac:dyDescent="0.25">
      <c r="A4" s="5" t="s">
        <v>75</v>
      </c>
      <c r="B4" s="3">
        <f>400000*87</f>
        <v>34800000</v>
      </c>
      <c r="C4" s="2"/>
      <c r="D4" s="2"/>
      <c r="E4" s="2"/>
      <c r="F4" s="2"/>
    </row>
    <row r="5" spans="1:6" ht="15.65" x14ac:dyDescent="0.25">
      <c r="A5" s="33" t="s">
        <v>37</v>
      </c>
      <c r="B5" s="20">
        <f>SUM(B2:B4)</f>
        <v>978400000</v>
      </c>
      <c r="C5" s="2"/>
      <c r="D5" s="2"/>
      <c r="E5" s="2"/>
      <c r="F5" s="2"/>
    </row>
    <row r="6" spans="1:6" ht="15.65" x14ac:dyDescent="0.25">
      <c r="A6" s="2"/>
      <c r="B6" s="2"/>
      <c r="C6" s="2"/>
      <c r="D6" s="2"/>
      <c r="E6" s="2"/>
      <c r="F6" s="2"/>
    </row>
    <row r="7" spans="1:6" ht="15.65" x14ac:dyDescent="0.25">
      <c r="A7" s="5" t="s">
        <v>18</v>
      </c>
      <c r="B7" s="4">
        <f>$B3/$B$5</f>
        <v>0.68806214227309892</v>
      </c>
      <c r="C7" s="2"/>
      <c r="D7" s="2"/>
      <c r="E7" s="2"/>
      <c r="F7" s="2"/>
    </row>
    <row r="8" spans="1:6" ht="15.65" x14ac:dyDescent="0.25">
      <c r="A8" s="5" t="s">
        <v>19</v>
      </c>
      <c r="B8" s="4">
        <f>$B2/$B$5</f>
        <v>0.27636958299264103</v>
      </c>
      <c r="C8" s="2"/>
      <c r="D8" s="2"/>
      <c r="E8" s="2"/>
      <c r="F8" s="2"/>
    </row>
    <row r="9" spans="1:6" ht="15.65" x14ac:dyDescent="0.25">
      <c r="A9" s="5" t="s">
        <v>76</v>
      </c>
      <c r="B9" s="4">
        <f t="shared" ref="B9" si="0">$B4/$B$5</f>
        <v>3.5568274734260018E-2</v>
      </c>
      <c r="C9" s="2"/>
      <c r="D9" s="2"/>
      <c r="E9" s="2"/>
      <c r="F9" s="2"/>
    </row>
    <row r="10" spans="1:6" ht="15.65" x14ac:dyDescent="0.25">
      <c r="A10" s="2"/>
      <c r="B10" s="2"/>
      <c r="C10" s="2"/>
      <c r="D10" s="2"/>
      <c r="E10" s="2"/>
      <c r="F10" s="2"/>
    </row>
    <row r="11" spans="1:6" ht="15.65" x14ac:dyDescent="0.25">
      <c r="A11" s="2"/>
      <c r="B11" s="4">
        <f>0.031+1.2*(0.07)</f>
        <v>0.115</v>
      </c>
      <c r="C11" s="2"/>
      <c r="D11" s="2"/>
      <c r="E11" s="2"/>
      <c r="F11" s="2"/>
    </row>
    <row r="12" spans="1:6" ht="15.65" x14ac:dyDescent="0.25">
      <c r="A12" s="2"/>
      <c r="B12" s="4">
        <f>YIELD(DATE(2000,1,1),DATE(2025,1,1),0.061,100*1.04,100,2)*(1-0.25)</f>
        <v>4.3463230480599441E-2</v>
      </c>
      <c r="C12" s="2"/>
      <c r="D12" s="2"/>
      <c r="E12" s="2"/>
      <c r="F12" s="2"/>
    </row>
    <row r="13" spans="1:6" ht="15.65" x14ac:dyDescent="0.25">
      <c r="A13" s="2"/>
      <c r="B13" s="4">
        <f>4.2/87</f>
        <v>4.8275862068965517E-2</v>
      </c>
      <c r="C13" s="2"/>
      <c r="D13" s="2"/>
      <c r="E13" s="2"/>
      <c r="F13" s="2"/>
    </row>
    <row r="14" spans="1:6" ht="15.65" x14ac:dyDescent="0.25">
      <c r="A14" s="2"/>
      <c r="B14" s="4"/>
      <c r="C14" s="2"/>
      <c r="D14" s="2"/>
      <c r="E14" s="2"/>
      <c r="F14" s="2"/>
    </row>
    <row r="15" spans="1:6" ht="15.65" x14ac:dyDescent="0.25">
      <c r="A15" s="2" t="s">
        <v>70</v>
      </c>
      <c r="B15" s="4">
        <f>B7*(0.065)+B8*(0.03)+B9*(0.045)</f>
        <v>5.461569910057236E-2</v>
      </c>
      <c r="C15" s="2"/>
      <c r="D15" s="2"/>
      <c r="E15" s="2"/>
      <c r="F15" s="2"/>
    </row>
    <row r="16" spans="1:6" ht="15.65" x14ac:dyDescent="0.25">
      <c r="A16" s="2" t="s">
        <v>74</v>
      </c>
      <c r="B16" s="31">
        <f>55000000/(1-B15)</f>
        <v>58177399.336622834</v>
      </c>
      <c r="C16" s="3">
        <f>2500000/(1-B15)</f>
        <v>2644427.2425737651</v>
      </c>
      <c r="D16" s="2"/>
      <c r="E16" s="2"/>
      <c r="F16" s="2"/>
    </row>
    <row r="17" spans="1:6" ht="15.65" x14ac:dyDescent="0.25">
      <c r="A17" s="2" t="s">
        <v>77</v>
      </c>
      <c r="B17" s="3">
        <f>-7500000-B16-2500000</f>
        <v>-68177399.336622834</v>
      </c>
      <c r="C17" s="3">
        <f>-7500000-B16-C16</f>
        <v>-68321826.579196602</v>
      </c>
      <c r="D17" s="2"/>
      <c r="E17" s="2"/>
      <c r="F17" s="2"/>
    </row>
    <row r="18" spans="1:6" ht="15.65" x14ac:dyDescent="0.25">
      <c r="A18" s="19" t="s">
        <v>79</v>
      </c>
      <c r="B18" s="3"/>
      <c r="C18" s="3"/>
      <c r="D18" s="2"/>
      <c r="E18" s="2"/>
      <c r="F18" s="2"/>
    </row>
    <row r="19" spans="1:6" ht="15.65" x14ac:dyDescent="0.25">
      <c r="A19" s="2"/>
      <c r="B19" s="22">
        <f>SUMPRODUCT(B7:B9,B11:B13)</f>
        <v>9.2856150369944893E-2</v>
      </c>
      <c r="C19" s="2"/>
      <c r="D19" s="2"/>
      <c r="E19" s="2"/>
      <c r="F19" s="2"/>
    </row>
    <row r="20" spans="1:6" ht="16.3" thickBot="1" x14ac:dyDescent="0.3">
      <c r="A20" s="2" t="s">
        <v>80</v>
      </c>
      <c r="B20" s="45">
        <f>B19+0.02</f>
        <v>0.1128561503699449</v>
      </c>
      <c r="C20" s="2"/>
      <c r="D20" s="2"/>
      <c r="E20" s="2"/>
      <c r="F20" s="2"/>
    </row>
    <row r="21" spans="1:6" ht="16.3" thickTop="1" x14ac:dyDescent="0.25">
      <c r="A21" s="19" t="s">
        <v>81</v>
      </c>
      <c r="B21" s="2"/>
      <c r="C21" s="2"/>
      <c r="D21" s="2"/>
      <c r="E21" s="2"/>
      <c r="F21" s="2"/>
    </row>
    <row r="22" spans="1:6" ht="15.65" x14ac:dyDescent="0.25">
      <c r="A22" s="2" t="s">
        <v>82</v>
      </c>
      <c r="B22" s="3">
        <f>SLN(55000000,,8)</f>
        <v>6875000</v>
      </c>
      <c r="C22" s="2"/>
      <c r="D22" s="2"/>
      <c r="E22" s="2"/>
      <c r="F22" s="2"/>
    </row>
    <row r="23" spans="1:6" ht="15.65" x14ac:dyDescent="0.25">
      <c r="A23" s="2" t="s">
        <v>83</v>
      </c>
      <c r="B23" s="3">
        <f>55000000-(5*B22)</f>
        <v>20625000</v>
      </c>
      <c r="C23" s="2"/>
      <c r="D23" s="2"/>
      <c r="E23" s="2"/>
      <c r="F23" s="2"/>
    </row>
    <row r="24" spans="1:6" ht="15.65" x14ac:dyDescent="0.25">
      <c r="A24" s="2" t="s">
        <v>91</v>
      </c>
      <c r="B24" s="3">
        <f>8900000+0.25*(B23-8900000)</f>
        <v>11831250</v>
      </c>
      <c r="C24" s="3">
        <f>8900000+(B23-8900000)*(0.25)</f>
        <v>11831250</v>
      </c>
      <c r="D24" s="2"/>
      <c r="E24" s="2"/>
      <c r="F24" s="2"/>
    </row>
    <row r="25" spans="1:6" ht="15.65" x14ac:dyDescent="0.25">
      <c r="A25" s="19" t="s">
        <v>84</v>
      </c>
      <c r="B25" s="2"/>
      <c r="C25" s="2"/>
      <c r="D25" s="2"/>
      <c r="E25" s="2"/>
      <c r="F25" s="2"/>
    </row>
    <row r="26" spans="1:6" ht="15.65" x14ac:dyDescent="0.25">
      <c r="A26" s="2" t="s">
        <v>61</v>
      </c>
      <c r="B26" s="3">
        <f>((18500*(11600-9750))-8100000)*(1-0.25)+0.25*(B22)</f>
        <v>21312500</v>
      </c>
      <c r="C26" s="17">
        <f>((B28*(11600-9750))-8100000)*(1-0.25)+0.25*(B22)</f>
        <v>6875000</v>
      </c>
      <c r="D26" s="46">
        <f>PV(0,8,-C26)</f>
        <v>55000000</v>
      </c>
      <c r="E26" s="47">
        <f>-D26+PV(0,8,-C26)</f>
        <v>0</v>
      </c>
      <c r="F26" s="2"/>
    </row>
    <row r="27" spans="1:6" ht="15.65" x14ac:dyDescent="0.25">
      <c r="A27" s="19" t="s">
        <v>85</v>
      </c>
      <c r="B27" s="2"/>
      <c r="C27" s="2"/>
      <c r="D27" s="2"/>
      <c r="E27" s="2"/>
      <c r="F27" s="2"/>
    </row>
    <row r="28" spans="1:6" ht="15.65" x14ac:dyDescent="0.25">
      <c r="A28" s="2" t="s">
        <v>86</v>
      </c>
      <c r="B28" s="34">
        <f>(8100000+B22)/(11600-9750)</f>
        <v>8094.594594594595</v>
      </c>
      <c r="C28" s="2" t="s">
        <v>87</v>
      </c>
      <c r="D28" s="31"/>
      <c r="E28" s="2"/>
      <c r="F28" s="2"/>
    </row>
    <row r="29" spans="1:6" ht="15.65" x14ac:dyDescent="0.25">
      <c r="A29" s="2"/>
      <c r="B29" s="2"/>
      <c r="C29" s="2"/>
      <c r="D29" s="2"/>
      <c r="E29" s="2"/>
      <c r="F29" s="2"/>
    </row>
    <row r="30" spans="1:6" ht="15.65" x14ac:dyDescent="0.25">
      <c r="A30" s="19" t="s">
        <v>88</v>
      </c>
      <c r="B30" s="38" t="s">
        <v>89</v>
      </c>
      <c r="C30" s="39" t="s">
        <v>90</v>
      </c>
      <c r="D30" s="2"/>
      <c r="E30" s="38" t="s">
        <v>89</v>
      </c>
      <c r="F30" s="39" t="s">
        <v>90</v>
      </c>
    </row>
    <row r="31" spans="1:6" ht="15.65" x14ac:dyDescent="0.25">
      <c r="A31" s="2"/>
      <c r="B31" s="40">
        <v>0</v>
      </c>
      <c r="C31" s="41">
        <f>B17</f>
        <v>-68177399.336622834</v>
      </c>
      <c r="D31" s="2"/>
      <c r="E31" s="40">
        <v>0</v>
      </c>
      <c r="F31" s="41">
        <f>C17</f>
        <v>-68321826.579196602</v>
      </c>
    </row>
    <row r="32" spans="1:6" ht="15.65" x14ac:dyDescent="0.25">
      <c r="A32" s="2"/>
      <c r="B32" s="40">
        <v>1</v>
      </c>
      <c r="C32" s="42">
        <f>$B$26</f>
        <v>21312500</v>
      </c>
      <c r="D32" s="2"/>
      <c r="E32" s="40">
        <v>1</v>
      </c>
      <c r="F32" s="42">
        <f>$B$26</f>
        <v>21312500</v>
      </c>
    </row>
    <row r="33" spans="1:6" ht="15.65" x14ac:dyDescent="0.25">
      <c r="A33" s="2"/>
      <c r="B33" s="40">
        <v>2</v>
      </c>
      <c r="C33" s="42">
        <f t="shared" ref="C33:C35" si="1">$B$26</f>
        <v>21312500</v>
      </c>
      <c r="D33" s="2"/>
      <c r="E33" s="40">
        <v>2</v>
      </c>
      <c r="F33" s="42">
        <f t="shared" ref="F33:F35" si="2">$B$26</f>
        <v>21312500</v>
      </c>
    </row>
    <row r="34" spans="1:6" ht="15.65" x14ac:dyDescent="0.25">
      <c r="A34" s="2"/>
      <c r="B34" s="40">
        <v>3</v>
      </c>
      <c r="C34" s="42">
        <f t="shared" si="1"/>
        <v>21312500</v>
      </c>
      <c r="D34" s="2"/>
      <c r="E34" s="40">
        <v>3</v>
      </c>
      <c r="F34" s="42">
        <f t="shared" si="2"/>
        <v>21312500</v>
      </c>
    </row>
    <row r="35" spans="1:6" ht="15.65" x14ac:dyDescent="0.25">
      <c r="A35" s="2"/>
      <c r="B35" s="40">
        <v>4</v>
      </c>
      <c r="C35" s="42">
        <f t="shared" si="1"/>
        <v>21312500</v>
      </c>
      <c r="D35" s="2"/>
      <c r="E35" s="40">
        <v>4</v>
      </c>
      <c r="F35" s="42">
        <f t="shared" si="2"/>
        <v>21312500</v>
      </c>
    </row>
    <row r="36" spans="1:6" ht="15.65" x14ac:dyDescent="0.25">
      <c r="A36" s="2"/>
      <c r="B36" s="43">
        <v>5</v>
      </c>
      <c r="C36" s="44">
        <f>C35+B24+2500000</f>
        <v>35643750</v>
      </c>
      <c r="D36" s="2"/>
      <c r="E36" s="43">
        <v>5</v>
      </c>
      <c r="F36" s="44">
        <f>F35+B24+C16</f>
        <v>35788177.242573768</v>
      </c>
    </row>
    <row r="37" spans="1:6" ht="15.65" x14ac:dyDescent="0.25">
      <c r="A37" s="2"/>
      <c r="B37" s="2"/>
      <c r="C37" s="2"/>
      <c r="D37" s="2"/>
      <c r="E37" s="2"/>
      <c r="F37" s="2"/>
    </row>
    <row r="38" spans="1:6" ht="15.65" x14ac:dyDescent="0.25">
      <c r="A38" s="2" t="s">
        <v>72</v>
      </c>
      <c r="B38" s="36">
        <f>NPV(B20,C32:C36)+C31</f>
        <v>18425046.762911469</v>
      </c>
      <c r="C38" s="36">
        <f>NPV(B20,F32:F36)+F31</f>
        <v>18365235.808047175</v>
      </c>
      <c r="D38" s="2"/>
      <c r="E38" s="2"/>
      <c r="F38" s="2"/>
    </row>
    <row r="39" spans="1:6" ht="15.65" x14ac:dyDescent="0.25">
      <c r="A39" s="2" t="s">
        <v>22</v>
      </c>
      <c r="B39" s="37">
        <f>IRR(C31:C36)</f>
        <v>0.2081592352195083</v>
      </c>
      <c r="C39" s="37">
        <f>IRR(F31:F36)</f>
        <v>0.20760588495616195</v>
      </c>
      <c r="D39" s="2"/>
      <c r="E39" s="2"/>
      <c r="F39" s="2"/>
    </row>
    <row r="40" spans="1:6" x14ac:dyDescent="0.25">
      <c r="B40" s="35"/>
      <c r="C40" s="3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63EF-FF25-4494-AD04-C512AD1FC7CF}">
  <dimension ref="A1:B8"/>
  <sheetViews>
    <sheetView showGridLines="0" zoomScale="160" zoomScaleNormal="160" workbookViewId="0">
      <selection activeCell="A20" sqref="A20"/>
    </sheetView>
  </sheetViews>
  <sheetFormatPr defaultRowHeight="14.3" x14ac:dyDescent="0.25"/>
  <cols>
    <col min="1" max="1" width="19" customWidth="1"/>
    <col min="2" max="2" width="12.625" bestFit="1" customWidth="1"/>
  </cols>
  <sheetData>
    <row r="1" spans="1:2" ht="15.65" x14ac:dyDescent="0.25">
      <c r="A1" s="51" t="s">
        <v>0</v>
      </c>
      <c r="B1" s="50">
        <f>YIELD(DATE(2000,1,1),DATE(2027,1,1),0.059,100*1.06,100,2)</f>
        <v>5.4720537116593235E-2</v>
      </c>
    </row>
    <row r="2" spans="1:2" ht="15.65" x14ac:dyDescent="0.25">
      <c r="A2" s="49"/>
      <c r="B2" s="50">
        <f>B1*(1-0.22)</f>
        <v>4.2682018950942723E-2</v>
      </c>
    </row>
    <row r="3" spans="1:2" ht="15.65" x14ac:dyDescent="0.25">
      <c r="A3" s="1"/>
      <c r="B3" s="1"/>
    </row>
    <row r="4" spans="1:2" ht="15.65" x14ac:dyDescent="0.25">
      <c r="A4" s="52" t="s">
        <v>1</v>
      </c>
      <c r="B4" s="53">
        <f>1.06*(25000000)+0.68*(60000000)</f>
        <v>67300000</v>
      </c>
    </row>
    <row r="5" spans="1:2" ht="15.65" x14ac:dyDescent="0.25">
      <c r="A5" s="49" t="s">
        <v>2</v>
      </c>
      <c r="B5" s="50">
        <f>YIELD(DATE(2000,1,1),DATE(2009,1,1),0,1000*0.68,1000,2)</f>
        <v>4.3313743291181629E-2</v>
      </c>
    </row>
    <row r="6" spans="1:2" ht="15.65" x14ac:dyDescent="0.25">
      <c r="A6" s="49"/>
      <c r="B6" s="50">
        <f>B5*(1-0.22)</f>
        <v>3.378471976712167E-2</v>
      </c>
    </row>
    <row r="7" spans="1:2" ht="15.65" x14ac:dyDescent="0.25">
      <c r="A7" s="1"/>
      <c r="B7" s="1"/>
    </row>
    <row r="8" spans="1:2" ht="15.65" x14ac:dyDescent="0.25">
      <c r="A8" s="51" t="s">
        <v>3</v>
      </c>
      <c r="B8" s="50">
        <f>(B2*(1.06*25000000)/B4)+(B6*(0.68*60000000)/B4)</f>
        <v>3.7288113947972448E-2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C174C-DAC1-4304-A59B-AC51BAA8F053}">
  <dimension ref="A1:B1"/>
  <sheetViews>
    <sheetView showGridLines="0" zoomScale="160" zoomScaleNormal="160" workbookViewId="0">
      <selection activeCell="A20" sqref="A20"/>
    </sheetView>
  </sheetViews>
  <sheetFormatPr defaultRowHeight="14.3" x14ac:dyDescent="0.25"/>
  <sheetData>
    <row r="1" spans="1:2" ht="15.65" x14ac:dyDescent="0.25">
      <c r="A1" s="49"/>
      <c r="B1" s="50">
        <f>(0.7*0.109)+(0.3)*(0.057*(1-0.23))</f>
        <v>8.9466999999999991E-2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32766-6781-4638-9177-4A7128A5AFE1}">
  <dimension ref="A1:B1"/>
  <sheetViews>
    <sheetView showGridLines="0" zoomScale="160" zoomScaleNormal="160" workbookViewId="0">
      <selection activeCell="A20" sqref="A20"/>
    </sheetView>
  </sheetViews>
  <sheetFormatPr defaultRowHeight="14.3" x14ac:dyDescent="0.25"/>
  <sheetData>
    <row r="1" spans="1:2" ht="15.65" x14ac:dyDescent="0.25">
      <c r="A1" s="49"/>
      <c r="B1" s="50">
        <f>((1/1.4)*0.118)+(0.4/1.4)*(0.065*(1-0.21))</f>
        <v>9.8957142857142855E-2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9F55-326B-4C6F-AAD1-1664A01560C8}">
  <dimension ref="A1:E6"/>
  <sheetViews>
    <sheetView showGridLines="0" zoomScale="160" zoomScaleNormal="160" workbookViewId="0">
      <selection activeCell="A20" sqref="A20"/>
    </sheetView>
  </sheetViews>
  <sheetFormatPr defaultRowHeight="14.3" x14ac:dyDescent="0.25"/>
  <cols>
    <col min="1" max="1" width="18.25" bestFit="1" customWidth="1"/>
    <col min="2" max="2" width="7.25" bestFit="1" customWidth="1"/>
  </cols>
  <sheetData>
    <row r="1" spans="1:5" ht="15.65" x14ac:dyDescent="0.25">
      <c r="A1" s="54" t="s">
        <v>92</v>
      </c>
      <c r="B1" s="55">
        <f>E1*B2+(1-E1)*B5</f>
        <v>9.0999999999999998E-2</v>
      </c>
      <c r="D1" s="54" t="s">
        <v>98</v>
      </c>
      <c r="E1" s="57">
        <v>0.68034993270524879</v>
      </c>
    </row>
    <row r="2" spans="1:5" ht="15.65" x14ac:dyDescent="0.25">
      <c r="A2" s="54" t="s">
        <v>93</v>
      </c>
      <c r="B2" s="56">
        <v>0.11</v>
      </c>
      <c r="D2" s="54" t="s">
        <v>99</v>
      </c>
      <c r="E2" s="57">
        <f>1-E1</f>
        <v>0.31965006729475121</v>
      </c>
    </row>
    <row r="3" spans="1:5" ht="15.65" x14ac:dyDescent="0.25">
      <c r="A3" s="54" t="s">
        <v>94</v>
      </c>
      <c r="B3" s="55">
        <v>6.4000000000000001E-2</v>
      </c>
    </row>
    <row r="4" spans="1:5" ht="15.65" x14ac:dyDescent="0.25">
      <c r="A4" s="54" t="s">
        <v>95</v>
      </c>
      <c r="B4" s="56">
        <v>0.21</v>
      </c>
    </row>
    <row r="5" spans="1:5" ht="15.65" x14ac:dyDescent="0.25">
      <c r="A5" s="54" t="s">
        <v>96</v>
      </c>
      <c r="B5" s="57">
        <f>B3*(1-B4)</f>
        <v>5.0560000000000001E-2</v>
      </c>
    </row>
    <row r="6" spans="1:5" ht="15.65" x14ac:dyDescent="0.25">
      <c r="A6" s="54" t="s">
        <v>97</v>
      </c>
      <c r="B6" s="57">
        <f>E2/E1</f>
        <v>0.46983184965380853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B450D-17F2-437B-AE6F-378CDD82DDB8}">
  <dimension ref="A1:B18"/>
  <sheetViews>
    <sheetView showGridLines="0" topLeftCell="A6" zoomScale="160" zoomScaleNormal="160" workbookViewId="0">
      <selection activeCell="B17" sqref="B17"/>
    </sheetView>
  </sheetViews>
  <sheetFormatPr defaultRowHeight="14.3" x14ac:dyDescent="0.25"/>
  <cols>
    <col min="1" max="1" width="32.5" bestFit="1" customWidth="1"/>
    <col min="2" max="2" width="13.625" bestFit="1" customWidth="1"/>
  </cols>
  <sheetData>
    <row r="1" spans="1:2" ht="15.65" x14ac:dyDescent="0.25">
      <c r="A1" s="2" t="s">
        <v>4</v>
      </c>
      <c r="B1" s="3">
        <f>(7600000*4)+80000000+65000000</f>
        <v>175400000</v>
      </c>
    </row>
    <row r="2" spans="1:2" ht="15.65" x14ac:dyDescent="0.25">
      <c r="A2" s="2" t="s">
        <v>5</v>
      </c>
      <c r="B2" s="4">
        <f>(7600000*4)/B1</f>
        <v>0.1733181299885975</v>
      </c>
    </row>
    <row r="3" spans="1:2" ht="15.65" x14ac:dyDescent="0.25">
      <c r="A3" s="2" t="s">
        <v>6</v>
      </c>
      <c r="B3" s="4">
        <f>(1-B2)</f>
        <v>0.82668187001140248</v>
      </c>
    </row>
    <row r="4" spans="1:2" ht="15.65" x14ac:dyDescent="0.25">
      <c r="A4" s="8"/>
      <c r="B4" s="8"/>
    </row>
    <row r="5" spans="1:2" ht="15.65" x14ac:dyDescent="0.25">
      <c r="A5" s="2" t="s">
        <v>7</v>
      </c>
      <c r="B5" s="3">
        <f>7600000*67</f>
        <v>509200000</v>
      </c>
    </row>
    <row r="6" spans="1:2" ht="15.65" x14ac:dyDescent="0.25">
      <c r="A6" s="2" t="s">
        <v>8</v>
      </c>
      <c r="B6" s="3">
        <f>80000000*1.095+65000000*1.124</f>
        <v>160660000</v>
      </c>
    </row>
    <row r="7" spans="1:2" ht="15.65" x14ac:dyDescent="0.25">
      <c r="A7" s="2" t="s">
        <v>9</v>
      </c>
      <c r="B7" s="3">
        <f>SUM(B5:B6)</f>
        <v>669860000</v>
      </c>
    </row>
    <row r="8" spans="1:2" ht="15.65" x14ac:dyDescent="0.25">
      <c r="A8" s="5" t="s">
        <v>10</v>
      </c>
      <c r="B8" s="4">
        <f>B5/B7</f>
        <v>0.7601588391604216</v>
      </c>
    </row>
    <row r="9" spans="1:2" ht="15.65" x14ac:dyDescent="0.25">
      <c r="A9" s="5" t="s">
        <v>11</v>
      </c>
      <c r="B9" s="4">
        <f>1-B8</f>
        <v>0.2398411608395784</v>
      </c>
    </row>
    <row r="10" spans="1:2" x14ac:dyDescent="0.25">
      <c r="A10" s="7"/>
      <c r="B10" s="7"/>
    </row>
    <row r="11" spans="1:2" ht="15.65" x14ac:dyDescent="0.25">
      <c r="A11" s="2"/>
      <c r="B11" s="6">
        <f>0.029+1.1*(0.07)</f>
        <v>0.10600000000000001</v>
      </c>
    </row>
    <row r="12" spans="1:2" ht="15.65" x14ac:dyDescent="0.25">
      <c r="A12" s="2" t="s">
        <v>12</v>
      </c>
      <c r="B12" s="4">
        <f>YIELD(DATE(2000,1,1),DATE(2009,1,1),0.068,100*1.095,100,2)</f>
        <v>5.4504284629289967E-2</v>
      </c>
    </row>
    <row r="13" spans="1:2" ht="15.65" x14ac:dyDescent="0.25">
      <c r="A13" s="2" t="s">
        <v>13</v>
      </c>
      <c r="B13" s="4">
        <f>YIELD(DATE(2000,1,1),DATE(2025,1,1),0.071,100*1.124,100,2)</f>
        <v>6.1246942251261274E-2</v>
      </c>
    </row>
    <row r="14" spans="1:2" ht="15.65" x14ac:dyDescent="0.25">
      <c r="A14" s="2" t="s">
        <v>14</v>
      </c>
      <c r="B14" s="4">
        <f>(80000000*1.095)/B6</f>
        <v>0.5452508402838292</v>
      </c>
    </row>
    <row r="15" spans="1:2" ht="15.65" x14ac:dyDescent="0.25">
      <c r="A15" s="2" t="s">
        <v>15</v>
      </c>
      <c r="B15" s="4">
        <f>1-B14</f>
        <v>0.4547491597161708</v>
      </c>
    </row>
    <row r="16" spans="1:2" ht="15.65" x14ac:dyDescent="0.25">
      <c r="A16" s="2"/>
      <c r="B16" s="4">
        <f>(1-0.23)*((B14*B12)+(B15*B13))</f>
        <v>4.432928693819415E-2</v>
      </c>
    </row>
    <row r="17" spans="1:2" ht="16.3" thickBot="1" x14ac:dyDescent="0.3">
      <c r="A17" s="2"/>
      <c r="B17" s="48">
        <f>B8*B11+B9*B16</f>
        <v>9.1208824589451939E-2</v>
      </c>
    </row>
    <row r="18" spans="1:2" ht="14.95" thickTop="1" x14ac:dyDescent="0.25"/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11B7-F371-407E-BF8B-FFC175A7A3E7}">
  <dimension ref="A1:G2"/>
  <sheetViews>
    <sheetView showGridLines="0" zoomScale="160" zoomScaleNormal="160" workbookViewId="0">
      <selection activeCell="D1" sqref="D1"/>
    </sheetView>
  </sheetViews>
  <sheetFormatPr defaultRowHeight="14.3" x14ac:dyDescent="0.25"/>
  <cols>
    <col min="3" max="3" width="7.25" bestFit="1" customWidth="1"/>
    <col min="7" max="7" width="6" bestFit="1" customWidth="1"/>
  </cols>
  <sheetData>
    <row r="1" spans="1:7" ht="15.65" x14ac:dyDescent="0.25">
      <c r="A1" s="58"/>
      <c r="B1" s="59">
        <f>((1/1.38)*0.12)+(1-0.25)*((0.38/1.38)*F1)</f>
        <v>0.10100000000000003</v>
      </c>
      <c r="C1" s="59">
        <f>((1/1.38)*0.12)+(0.38/1.38)*G1</f>
        <v>0.10100000000000003</v>
      </c>
      <c r="D1" s="2"/>
      <c r="E1" s="60" t="s">
        <v>1</v>
      </c>
      <c r="F1" s="61">
        <v>6.8000000000000088E-2</v>
      </c>
      <c r="G1" s="61">
        <f>F1*(1-0.25)</f>
        <v>5.1000000000000066E-2</v>
      </c>
    </row>
    <row r="2" spans="1:7" ht="15.65" x14ac:dyDescent="0.25">
      <c r="A2" s="58"/>
      <c r="B2" s="59">
        <f>((1/1.38)*F2)+((0.38/1.38)*0.064)</f>
        <v>0.10100000000000001</v>
      </c>
      <c r="C2" s="2"/>
      <c r="D2" s="2"/>
      <c r="E2" s="60" t="s">
        <v>7</v>
      </c>
      <c r="F2" s="59">
        <v>0.11506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3AA8-3312-4EFD-BBE1-C7F5CC781003}">
  <dimension ref="A1:B7"/>
  <sheetViews>
    <sheetView showGridLines="0" zoomScale="160" zoomScaleNormal="160" workbookViewId="0">
      <selection activeCell="A20" sqref="A20"/>
    </sheetView>
  </sheetViews>
  <sheetFormatPr defaultRowHeight="14.3" x14ac:dyDescent="0.25"/>
  <cols>
    <col min="1" max="1" width="16" customWidth="1"/>
    <col min="2" max="2" width="12.625" bestFit="1" customWidth="1"/>
  </cols>
  <sheetData>
    <row r="1" spans="1:2" ht="15.65" x14ac:dyDescent="0.25">
      <c r="A1" s="58"/>
      <c r="B1" s="59">
        <f>0.035+0.88*(0.07)</f>
        <v>9.6600000000000019E-2</v>
      </c>
    </row>
    <row r="2" spans="1:2" ht="15.65" x14ac:dyDescent="0.25">
      <c r="A2" s="58"/>
      <c r="B2" s="59">
        <f>YIELD(DATE(2000,1,1),DATE(2020,1,1),0.049,100*1.05,100,2)</f>
        <v>4.5176470336010535E-2</v>
      </c>
    </row>
    <row r="3" spans="1:2" ht="15.65" x14ac:dyDescent="0.25">
      <c r="A3" s="58" t="s">
        <v>16</v>
      </c>
      <c r="B3" s="59">
        <f>B2*(1-0.21)</f>
        <v>3.5689411565448324E-2</v>
      </c>
    </row>
    <row r="4" spans="1:2" ht="15.65" x14ac:dyDescent="0.25">
      <c r="A4" s="60" t="s">
        <v>7</v>
      </c>
      <c r="B4" s="62">
        <f>425000*67</f>
        <v>28475000</v>
      </c>
    </row>
    <row r="5" spans="1:2" ht="15.65" x14ac:dyDescent="0.25">
      <c r="A5" s="60" t="s">
        <v>1</v>
      </c>
      <c r="B5" s="62">
        <f>((17000*2000))*1.05</f>
        <v>35700000</v>
      </c>
    </row>
    <row r="6" spans="1:2" ht="15.65" x14ac:dyDescent="0.25">
      <c r="A6" s="60" t="s">
        <v>17</v>
      </c>
      <c r="B6" s="62">
        <f>SUM(B4:B5)</f>
        <v>64175000</v>
      </c>
    </row>
    <row r="7" spans="1:2" ht="15.65" x14ac:dyDescent="0.25">
      <c r="A7" s="58"/>
      <c r="B7" s="59">
        <f>((B4/B6)*B1)+((B5/B6)*B3)</f>
        <v>6.2715964049653378E-2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1.</vt:lpstr>
      <vt:lpstr>2.</vt:lpstr>
      <vt:lpstr>3. &amp; 4.</vt:lpstr>
      <vt:lpstr>5.</vt:lpstr>
      <vt:lpstr>6.</vt:lpstr>
      <vt:lpstr>7.</vt:lpstr>
      <vt:lpstr>8. &amp; 9.</vt:lpstr>
      <vt:lpstr>10.</vt:lpstr>
      <vt:lpstr>11.</vt:lpstr>
      <vt:lpstr>12.</vt:lpstr>
      <vt:lpstr>13.</vt:lpstr>
      <vt:lpstr>14.</vt:lpstr>
      <vt:lpstr>15.</vt:lpstr>
      <vt:lpstr>16.</vt:lpstr>
      <vt:lpstr>17.</vt:lpstr>
      <vt:lpstr>18.</vt:lpstr>
      <vt:lpstr>19.</vt:lpstr>
      <vt:lpstr>20.</vt:lpstr>
      <vt:lpstr>21.</vt:lpstr>
      <vt:lpstr>22.</vt:lpstr>
      <vt:lpstr>23.</vt:lpstr>
      <vt:lpstr>24.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PC-5985614</dc:creator>
  <cp:lastModifiedBy>BusinessLearn365</cp:lastModifiedBy>
  <dcterms:created xsi:type="dcterms:W3CDTF">2022-02-15T12:24:48Z</dcterms:created>
  <dcterms:modified xsi:type="dcterms:W3CDTF">2023-03-13T09:29:23Z</dcterms:modified>
</cp:coreProperties>
</file>