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B77D9E8E-42CF-4AE2-80C8-374DC253A5EF}" xr6:coauthVersionLast="47" xr6:coauthVersionMax="47" xr10:uidLastSave="{00000000-0000-0000-0000-000000000000}"/>
  <bookViews>
    <workbookView xWindow="-109" yWindow="-109" windowWidth="18775" windowHeight="10651" firstSheet="10" activeTab="17" xr2:uid="{53D1A97A-15DD-4034-8F4F-0241B524749B}"/>
  </bookViews>
  <sheets>
    <sheet name="1." sheetId="1" r:id="rId1"/>
    <sheet name="2." sheetId="2" r:id="rId2"/>
    <sheet name="3." sheetId="3" r:id="rId3"/>
    <sheet name="4." sheetId="4" r:id="rId4"/>
    <sheet name="5." sheetId="5" r:id="rId5"/>
    <sheet name="6." sheetId="6" r:id="rId6"/>
    <sheet name="7." sheetId="7" r:id="rId7"/>
    <sheet name="8." sheetId="8" r:id="rId8"/>
    <sheet name="9." sheetId="9" r:id="rId9"/>
    <sheet name="10. &amp; 11." sheetId="10" r:id="rId10"/>
    <sheet name="12." sheetId="11" r:id="rId11"/>
    <sheet name="13." sheetId="12" r:id="rId12"/>
    <sheet name="14." sheetId="13" r:id="rId13"/>
    <sheet name="15." sheetId="14" r:id="rId14"/>
    <sheet name="16." sheetId="15" r:id="rId15"/>
    <sheet name="17." sheetId="16" r:id="rId16"/>
    <sheet name="18." sheetId="17" r:id="rId17"/>
    <sheet name="THE LEVERAGED BUYOUT OF CHEEK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8" l="1"/>
  <c r="B18" i="18"/>
  <c r="B17" i="18"/>
  <c r="B15" i="18"/>
  <c r="B14" i="18"/>
  <c r="B20" i="18" l="1"/>
  <c r="B21" i="18" s="1"/>
  <c r="B23" i="18" s="1"/>
  <c r="B16" i="18" a="1"/>
  <c r="B16" i="18" s="1"/>
  <c r="B22" i="18"/>
  <c r="B13" i="18"/>
  <c r="D12" i="18"/>
  <c r="E12" i="18"/>
  <c r="F12" i="18"/>
  <c r="C12" i="18"/>
  <c r="B12" i="18"/>
  <c r="C7" i="18"/>
  <c r="D7" i="18"/>
  <c r="E7" i="18"/>
  <c r="F7" i="18"/>
  <c r="B7" i="18"/>
  <c r="F6" i="18"/>
  <c r="E5" i="18"/>
  <c r="E6" i="18" s="1"/>
  <c r="F5" i="18"/>
  <c r="D5" i="18"/>
  <c r="D6" i="18" s="1"/>
  <c r="C5" i="18"/>
  <c r="C6" i="18" s="1"/>
  <c r="B5" i="18"/>
  <c r="B6" i="18" s="1"/>
  <c r="B10" i="17"/>
  <c r="B11" i="17" s="1"/>
  <c r="B12" i="17" s="1"/>
  <c r="B13" i="17" s="1"/>
  <c r="B9" i="17"/>
  <c r="B6" i="17"/>
  <c r="B7" i="17" s="1"/>
  <c r="B4" i="17"/>
  <c r="B1" i="17"/>
  <c r="B11" i="16"/>
  <c r="B10" i="16"/>
  <c r="B12" i="16" s="1"/>
  <c r="B8" i="16"/>
  <c r="B5" i="16"/>
  <c r="B6" i="16" s="1"/>
  <c r="B4" i="16"/>
  <c r="B2" i="16"/>
  <c r="B23" i="15"/>
  <c r="B20" i="15"/>
  <c r="B21" i="15" s="1"/>
  <c r="B14" i="15"/>
  <c r="B15" i="15" s="1"/>
  <c r="B11" i="15"/>
  <c r="B3" i="15"/>
  <c r="B2" i="15"/>
  <c r="B4" i="15" s="1"/>
  <c r="B20" i="14"/>
  <c r="B19" i="14"/>
  <c r="B21" i="14" s="1"/>
  <c r="B17" i="14"/>
  <c r="B11" i="14"/>
  <c r="B12" i="14" s="1"/>
  <c r="B13" i="14" s="1"/>
  <c r="B14" i="14" s="1"/>
  <c r="B7" i="14"/>
  <c r="B8" i="14" s="1"/>
  <c r="B6" i="14"/>
  <c r="B2" i="14"/>
  <c r="B3" i="14" s="1"/>
  <c r="B2" i="13"/>
  <c r="B1" i="13"/>
  <c r="B3" i="13" s="1"/>
  <c r="B4" i="13" s="1"/>
  <c r="B5" i="13" s="1"/>
  <c r="B6" i="13" s="1"/>
  <c r="B3" i="12"/>
  <c r="B4" i="12" s="1"/>
  <c r="B5" i="12" s="1"/>
  <c r="B6" i="12" s="1"/>
  <c r="B2" i="12"/>
  <c r="B1" i="12"/>
  <c r="B10" i="11"/>
  <c r="B9" i="11"/>
  <c r="B11" i="11" s="1"/>
  <c r="B8" i="11"/>
  <c r="B9" i="10"/>
  <c r="B5" i="10"/>
  <c r="B2" i="10"/>
  <c r="B1" i="8"/>
  <c r="B2" i="8" s="1"/>
  <c r="C1" i="7"/>
  <c r="B1" i="7"/>
  <c r="B24" i="18" l="1"/>
  <c r="B25" i="18" s="1"/>
  <c r="B14" i="17"/>
  <c r="B16" i="17" s="1"/>
  <c r="B13" i="16"/>
  <c r="B14" i="16"/>
  <c r="B16" i="16" s="1"/>
  <c r="B22" i="15"/>
  <c r="B24" i="15" s="1"/>
  <c r="B17" i="15"/>
  <c r="B16" i="15"/>
  <c r="B5" i="15"/>
  <c r="B6" i="15" s="1"/>
  <c r="B22" i="14"/>
  <c r="B23" i="14"/>
  <c r="B25" i="14" s="1"/>
  <c r="C2" i="6"/>
  <c r="D1" i="6"/>
  <c r="C1" i="6"/>
  <c r="C4" i="5"/>
  <c r="C5" i="5" s="1"/>
  <c r="B4" i="5"/>
  <c r="B5" i="5" s="1"/>
  <c r="B8" i="4"/>
  <c r="B5" i="4"/>
  <c r="B6" i="4" s="1"/>
  <c r="B2" i="4"/>
  <c r="B3" i="4" s="1"/>
  <c r="C5" i="3"/>
  <c r="C4" i="3"/>
  <c r="C3" i="3"/>
  <c r="C2" i="3"/>
  <c r="B5" i="2"/>
  <c r="B2" i="2"/>
  <c r="C9" i="1"/>
  <c r="B9" i="1"/>
  <c r="B10" i="1" s="1"/>
  <c r="B6" i="1"/>
  <c r="B2" i="1"/>
  <c r="B7" i="9"/>
  <c r="B6" i="9"/>
  <c r="B10" i="10"/>
  <c r="C6" i="9"/>
  <c r="B25" i="15" l="1"/>
  <c r="B26" i="15" s="1"/>
  <c r="B28" i="15" s="1"/>
  <c r="B8" i="15"/>
  <c r="B6" i="10"/>
  <c r="E10" i="10" s="1"/>
  <c r="D4" i="6"/>
  <c r="C3" i="6"/>
  <c r="C4" i="6" s="1"/>
  <c r="B6" i="2"/>
  <c r="C6" i="3"/>
  <c r="C7" i="3" s="1"/>
  <c r="C8" i="3" s="1"/>
  <c r="C10" i="3" s="1"/>
  <c r="B14" i="3" l="1"/>
  <c r="B13" i="3"/>
</calcChain>
</file>

<file path=xl/sharedStrings.xml><?xml version="1.0" encoding="utf-8"?>
<sst xmlns="http://schemas.openxmlformats.org/spreadsheetml/2006/main" count="315" uniqueCount="151">
  <si>
    <t>a.</t>
  </si>
  <si>
    <t>Discount Rate</t>
  </si>
  <si>
    <t>Tax Rate</t>
  </si>
  <si>
    <t>Risk-free Rate</t>
  </si>
  <si>
    <t>Price</t>
  </si>
  <si>
    <t>NPV</t>
  </si>
  <si>
    <t>NPV(All-Equity)</t>
  </si>
  <si>
    <t>b.</t>
  </si>
  <si>
    <t>NPV(Financing Side Effects)</t>
  </si>
  <si>
    <t>APV</t>
  </si>
  <si>
    <t>Cost of capital</t>
  </si>
  <si>
    <t>Loan Rate</t>
  </si>
  <si>
    <t>Sales</t>
  </si>
  <si>
    <t>COGS</t>
  </si>
  <si>
    <t>G &amp; A costs</t>
  </si>
  <si>
    <t>Interest</t>
  </si>
  <si>
    <t>EBT</t>
  </si>
  <si>
    <t>Taxes</t>
  </si>
  <si>
    <t>NI</t>
  </si>
  <si>
    <t>Cost of capital (Levered)</t>
  </si>
  <si>
    <t>PV(Flow-to-equity)</t>
  </si>
  <si>
    <t>D/E Ratio</t>
  </si>
  <si>
    <t>B</t>
  </si>
  <si>
    <t>V</t>
  </si>
  <si>
    <t>c.</t>
  </si>
  <si>
    <t>North Pole</t>
  </si>
  <si>
    <t>South Pole</t>
  </si>
  <si>
    <t>Debt</t>
  </si>
  <si>
    <t>Equity</t>
  </si>
  <si>
    <t>Flotation costs</t>
  </si>
  <si>
    <t>Annual flotation expense</t>
  </si>
  <si>
    <t>Type of Financing</t>
  </si>
  <si>
    <t>Book Value</t>
  </si>
  <si>
    <t>Market Value</t>
  </si>
  <si>
    <t>Cost</t>
  </si>
  <si>
    <t>Short-term debt</t>
  </si>
  <si>
    <t>Long-term debt</t>
  </si>
  <si>
    <t>Common stock</t>
  </si>
  <si>
    <t>Total</t>
  </si>
  <si>
    <t>Cost of debt pretax</t>
  </si>
  <si>
    <t>Gain from subsidized debt</t>
  </si>
  <si>
    <t>Year</t>
  </si>
  <si>
    <t>Cash Flow</t>
  </si>
  <si>
    <t>Debt/value</t>
  </si>
  <si>
    <t>Equity/value</t>
  </si>
  <si>
    <t>β</t>
  </si>
  <si>
    <t>D/E</t>
  </si>
  <si>
    <t>Price per share</t>
  </si>
  <si>
    <t>Shares repurchased</t>
  </si>
  <si>
    <t>New shares outstanding</t>
  </si>
  <si>
    <t>d.</t>
  </si>
  <si>
    <t>EBIT</t>
  </si>
  <si>
    <t>Net income</t>
  </si>
  <si>
    <t>S</t>
  </si>
  <si>
    <t>Variable costs</t>
  </si>
  <si>
    <t>Tax</t>
  </si>
  <si>
    <t>Year 1 cash flow</t>
  </si>
  <si>
    <t>Year 2 cash flow</t>
  </si>
  <si>
    <t>Year 3 cash flow</t>
  </si>
  <si>
    <t>Year 4 cash flow</t>
  </si>
  <si>
    <t>Year 5 cash flow</t>
  </si>
  <si>
    <t>Year 6 cash flow</t>
  </si>
  <si>
    <t>EBITA</t>
  </si>
  <si>
    <t>NPER</t>
  </si>
  <si>
    <t>Cost of project</t>
  </si>
  <si>
    <t>Flotation fees</t>
  </si>
  <si>
    <t>Costs</t>
  </si>
  <si>
    <t>Other costs</t>
  </si>
  <si>
    <t>Number</t>
  </si>
  <si>
    <t>Beta</t>
  </si>
  <si>
    <t>E(RM)</t>
  </si>
  <si>
    <t>R(f)</t>
  </si>
  <si>
    <t>Coupon rate</t>
  </si>
  <si>
    <t>semiannual payments</t>
  </si>
  <si>
    <t>R</t>
  </si>
  <si>
    <t>Gross proceeds</t>
  </si>
  <si>
    <t>TaxRate</t>
  </si>
  <si>
    <t>Cost of equity</t>
  </si>
  <si>
    <t>Risk-free rate</t>
  </si>
  <si>
    <t>Unlevered cash flows</t>
  </si>
  <si>
    <t>per year in perpetuity</t>
  </si>
  <si>
    <t>Cost of debt</t>
  </si>
  <si>
    <t>pretax</t>
  </si>
  <si>
    <t>D/Value</t>
  </si>
  <si>
    <t>EBITDA</t>
  </si>
  <si>
    <t>Subsidize the project</t>
  </si>
  <si>
    <t>Cost of levered equity</t>
  </si>
  <si>
    <t>Cost of Debt issue</t>
  </si>
  <si>
    <t xml:space="preserve">Principal payments </t>
  </si>
  <si>
    <t>Debt issue</t>
  </si>
  <si>
    <t>Amortization loan table is important here.</t>
  </si>
  <si>
    <t>Covariance</t>
  </si>
  <si>
    <t>with the market portfolio</t>
  </si>
  <si>
    <t>Sigma</t>
  </si>
  <si>
    <t>of market portfolio</t>
  </si>
  <si>
    <t>MRP</t>
  </si>
  <si>
    <t>Bonds_MV</t>
  </si>
  <si>
    <t>YTM</t>
  </si>
  <si>
    <t>Stock outstanding</t>
  </si>
  <si>
    <t>CFO_U</t>
  </si>
  <si>
    <t>D/V</t>
  </si>
  <si>
    <t>Beta_U</t>
  </si>
  <si>
    <t>in perpetuity</t>
  </si>
  <si>
    <t>Cost of equity_U</t>
  </si>
  <si>
    <t>of perpetual</t>
  </si>
  <si>
    <t>Levered</t>
  </si>
  <si>
    <t>Levered|WACC</t>
  </si>
  <si>
    <t>Cost of capital_U</t>
  </si>
  <si>
    <t>VC</t>
  </si>
  <si>
    <t>of sales</t>
  </si>
  <si>
    <t>currently has</t>
  </si>
  <si>
    <t>on the industry</t>
  </si>
  <si>
    <t>The industry average</t>
  </si>
  <si>
    <t>CFO</t>
  </si>
  <si>
    <t>Increase_CFO</t>
  </si>
  <si>
    <t>until the end of the fifth year and remain constant forever thereafter.</t>
  </si>
  <si>
    <t>Unlevered</t>
  </si>
  <si>
    <r>
      <rPr>
        <sz val="12"/>
        <color rgb="FF231F20"/>
        <rFont val="Arial Narrow"/>
        <family val="2"/>
      </rPr>
      <t>Sales</t>
    </r>
  </si>
  <si>
    <r>
      <rPr>
        <sz val="12"/>
        <color rgb="FF231F20"/>
        <rFont val="Arial Narrow"/>
        <family val="2"/>
      </rPr>
      <t>Costs</t>
    </r>
  </si>
  <si>
    <r>
      <rPr>
        <sz val="12"/>
        <color rgb="FF231F20"/>
        <rFont val="Arial Narrow"/>
        <family val="2"/>
      </rPr>
      <t>Depreciation</t>
    </r>
  </si>
  <si>
    <r>
      <rPr>
        <sz val="12"/>
        <color rgb="FF231F20"/>
        <rFont val="Arial Narrow"/>
        <family val="2"/>
      </rPr>
      <t>Capital expenditures</t>
    </r>
  </si>
  <si>
    <r>
      <rPr>
        <sz val="12"/>
        <color rgb="FF231F20"/>
        <rFont val="Arial Narrow"/>
        <family val="2"/>
      </rPr>
      <t>Change in NWC</t>
    </r>
  </si>
  <si>
    <r>
      <rPr>
        <sz val="12"/>
        <color rgb="FF231F20"/>
        <rFont val="Arial Narrow"/>
        <family val="2"/>
      </rPr>
      <t>Asset sales</t>
    </r>
  </si>
  <si>
    <t>GrowthRate</t>
  </si>
  <si>
    <t>At the end of five years in cash flows</t>
  </si>
  <si>
    <t>Interest payments</t>
  </si>
  <si>
    <t>ROA</t>
  </si>
  <si>
    <t>the debt is refinanced in five years</t>
  </si>
  <si>
    <t>New_YTM</t>
  </si>
  <si>
    <t>per share</t>
  </si>
  <si>
    <r>
      <rPr>
        <b/>
        <sz val="12"/>
        <color rgb="FF231F20"/>
        <rFont val="Arial Narrow"/>
        <family val="2"/>
      </rPr>
      <t>EBT</t>
    </r>
  </si>
  <si>
    <t>Value of Equity with (All-Equity)</t>
  </si>
  <si>
    <t>Unlevered CF value in Year 5</t>
  </si>
  <si>
    <t>Value of Equity with (All-Equity) beyond the first five years.</t>
  </si>
  <si>
    <t>PV_0</t>
  </si>
  <si>
    <t>PV of interest tax shield</t>
  </si>
  <si>
    <t>Cost of capital_Levered</t>
  </si>
  <si>
    <t>WACC</t>
  </si>
  <si>
    <t>Interest tax shield</t>
  </si>
  <si>
    <t>This is the value of the interest tax shield beyond Year 5.</t>
  </si>
  <si>
    <t>This is the value of the interest tax shield Year 0.</t>
  </si>
  <si>
    <t>Value of unlevered CF</t>
  </si>
  <si>
    <t>Value of interest tax shield</t>
  </si>
  <si>
    <t>Total Value of company today</t>
  </si>
  <si>
    <t>CFO from assets</t>
  </si>
  <si>
    <t xml:space="preserve"> = ROE</t>
  </si>
  <si>
    <t>Terminal value_Year 5 (All-Equity)</t>
  </si>
  <si>
    <t>Terminal value_Year 5 (Debt-Equity)</t>
  </si>
  <si>
    <t>Total Value of Equity with (All-Equity)</t>
  </si>
  <si>
    <t>Total Value of interest tax shield</t>
  </si>
  <si>
    <t xml:space="preserve"> MAX Offer per share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</si>
</sst>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0.0%"/>
    <numFmt numFmtId="165" formatCode="&quot;$&quot;#,##0.00"/>
    <numFmt numFmtId="166" formatCode="&quot;$&quot;#,##0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u/>
      <sz val="12"/>
      <color theme="1"/>
      <name val="Arial Narrow"/>
      <family val="2"/>
    </font>
    <font>
      <sz val="12"/>
      <color indexed="8"/>
      <name val="Arial Narrow"/>
      <family val="2"/>
    </font>
    <font>
      <sz val="12"/>
      <name val="Arial Narrow"/>
      <family val="2"/>
    </font>
    <font>
      <b/>
      <sz val="12"/>
      <color indexed="9"/>
      <name val="Arial Narrow"/>
      <family val="2"/>
    </font>
    <font>
      <sz val="12"/>
      <color indexed="63"/>
      <name val="Arial Narrow"/>
      <family val="2"/>
    </font>
    <font>
      <sz val="10"/>
      <name val="Times New Roman"/>
      <family val="1"/>
      <charset val="204"/>
    </font>
    <font>
      <i/>
      <sz val="12"/>
      <color indexed="8"/>
      <name val="Arial Narrow"/>
      <family val="2"/>
    </font>
    <font>
      <b/>
      <sz val="12"/>
      <color indexed="8"/>
      <name val="Arial Narrow"/>
      <family val="2"/>
    </font>
    <font>
      <b/>
      <sz val="12"/>
      <color rgb="FF000000"/>
      <name val="Arial Narrow"/>
      <family val="2"/>
    </font>
    <font>
      <b/>
      <sz val="12"/>
      <color rgb="FFFFFFFF"/>
      <name val="Arial Narrow"/>
      <family val="2"/>
    </font>
    <font>
      <sz val="12"/>
      <color rgb="FF231F20"/>
      <name val="Arial Narrow"/>
      <family val="2"/>
    </font>
    <font>
      <b/>
      <sz val="12"/>
      <name val="Arial Narrow"/>
      <family val="2"/>
    </font>
    <font>
      <b/>
      <sz val="12"/>
      <color rgb="FF231F2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622A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5622A"/>
      </patternFill>
    </fill>
    <fill>
      <patternFill patternType="solid">
        <fgColor rgb="FFFFF0D8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0" xfId="0" applyFont="1"/>
    <xf numFmtId="0" fontId="4" fillId="0" borderId="0" xfId="0" applyFont="1"/>
    <xf numFmtId="8" fontId="4" fillId="0" borderId="0" xfId="0" applyNumberFormat="1" applyFont="1"/>
    <xf numFmtId="4" fontId="4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left" vertical="top" wrapText="1" indent="1"/>
    </xf>
    <xf numFmtId="6" fontId="8" fillId="0" borderId="0" xfId="0" applyNumberFormat="1" applyFont="1" applyAlignment="1">
      <alignment vertical="top" shrinkToFit="1"/>
    </xf>
    <xf numFmtId="165" fontId="4" fillId="0" borderId="1" xfId="0" applyNumberFormat="1" applyFont="1" applyBorder="1"/>
    <xf numFmtId="10" fontId="4" fillId="0" borderId="0" xfId="0" applyNumberFormat="1" applyFont="1"/>
    <xf numFmtId="0" fontId="9" fillId="5" borderId="0" xfId="0" applyFont="1" applyFill="1" applyAlignment="1">
      <alignment horizontal="left" vertical="center" wrapText="1"/>
    </xf>
    <xf numFmtId="0" fontId="10" fillId="5" borderId="0" xfId="0" applyFont="1" applyFill="1" applyAlignment="1">
      <alignment horizontal="center" vertical="top" wrapText="1"/>
    </xf>
    <xf numFmtId="0" fontId="11" fillId="6" borderId="0" xfId="0" applyFont="1" applyFill="1" applyAlignment="1">
      <alignment horizontal="left" vertical="top" wrapText="1" indent="1"/>
    </xf>
    <xf numFmtId="166" fontId="11" fillId="6" borderId="0" xfId="0" applyNumberFormat="1" applyFont="1" applyFill="1" applyAlignment="1">
      <alignment horizontal="center" vertical="top" shrinkToFit="1"/>
    </xf>
    <xf numFmtId="0" fontId="7" fillId="0" borderId="0" xfId="0" applyFont="1"/>
    <xf numFmtId="4" fontId="11" fillId="6" borderId="0" xfId="0" applyNumberFormat="1" applyFont="1" applyFill="1" applyAlignment="1">
      <alignment horizontal="right" vertical="top" shrinkToFit="1"/>
    </xf>
    <xf numFmtId="10" fontId="11" fillId="6" borderId="0" xfId="0" applyNumberFormat="1" applyFont="1" applyFill="1" applyAlignment="1">
      <alignment horizontal="right" vertical="top" shrinkToFit="1"/>
    </xf>
    <xf numFmtId="0" fontId="12" fillId="0" borderId="0" xfId="0" applyFont="1" applyAlignment="1">
      <alignment vertical="top" wrapText="1"/>
    </xf>
    <xf numFmtId="0" fontId="10" fillId="5" borderId="0" xfId="0" applyFont="1" applyFill="1" applyAlignment="1">
      <alignment horizontal="left" vertical="top" wrapText="1" indent="1"/>
    </xf>
    <xf numFmtId="0" fontId="10" fillId="5" borderId="0" xfId="0" applyFont="1" applyFill="1" applyAlignment="1">
      <alignment horizontal="left" vertical="top" wrapText="1" indent="2"/>
    </xf>
    <xf numFmtId="6" fontId="11" fillId="6" borderId="0" xfId="0" applyNumberFormat="1" applyFont="1" applyFill="1" applyAlignment="1">
      <alignment horizontal="right" vertical="top" shrinkToFit="1"/>
    </xf>
    <xf numFmtId="10" fontId="11" fillId="6" borderId="0" xfId="0" applyNumberFormat="1" applyFont="1" applyFill="1" applyAlignment="1">
      <alignment horizontal="left" vertical="top" indent="2" shrinkToFit="1"/>
    </xf>
    <xf numFmtId="8" fontId="7" fillId="0" borderId="0" xfId="0" applyNumberFormat="1" applyFont="1" applyFill="1"/>
    <xf numFmtId="8" fontId="7" fillId="0" borderId="0" xfId="0" applyNumberFormat="1" applyFont="1" applyFill="1" applyBorder="1"/>
    <xf numFmtId="0" fontId="10" fillId="5" borderId="0" xfId="0" applyFont="1" applyFill="1" applyAlignment="1">
      <alignment horizontal="left" vertical="top" wrapText="1" indent="3"/>
    </xf>
    <xf numFmtId="1" fontId="11" fillId="6" borderId="0" xfId="0" applyNumberFormat="1" applyFont="1" applyFill="1" applyAlignment="1">
      <alignment horizontal="left" vertical="top" indent="1" shrinkToFit="1"/>
    </xf>
    <xf numFmtId="6" fontId="11" fillId="6" borderId="0" xfId="0" applyNumberFormat="1" applyFont="1" applyFill="1" applyAlignment="1">
      <alignment horizontal="right" vertical="top" wrapText="1"/>
    </xf>
    <xf numFmtId="6" fontId="8" fillId="0" borderId="0" xfId="0" applyNumberFormat="1" applyFont="1" applyAlignment="1">
      <alignment horizontal="right" vertical="top" shrinkToFit="1"/>
    </xf>
    <xf numFmtId="6" fontId="8" fillId="0" borderId="2" xfId="0" applyNumberFormat="1" applyFont="1" applyBorder="1" applyAlignment="1">
      <alignment horizontal="right" vertical="top" shrinkToFit="1"/>
    </xf>
    <xf numFmtId="0" fontId="13" fillId="0" borderId="0" xfId="0" applyFont="1" applyAlignment="1">
      <alignment horizontal="left" vertical="top" wrapText="1" indent="1"/>
    </xf>
    <xf numFmtId="0" fontId="8" fillId="0" borderId="0" xfId="0" applyFont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165" fontId="8" fillId="0" borderId="3" xfId="0" applyNumberFormat="1" applyFont="1" applyBorder="1" applyAlignment="1">
      <alignment horizontal="right" vertical="top" shrinkToFit="1"/>
    </xf>
    <xf numFmtId="165" fontId="8" fillId="0" borderId="4" xfId="0" applyNumberFormat="1" applyFont="1" applyBorder="1" applyAlignment="1">
      <alignment horizontal="right" vertical="top" shrinkToFit="1"/>
    </xf>
    <xf numFmtId="0" fontId="4" fillId="0" borderId="6" xfId="0" applyFont="1" applyBorder="1"/>
    <xf numFmtId="0" fontId="4" fillId="0" borderId="7" xfId="0" applyFont="1" applyBorder="1"/>
    <xf numFmtId="8" fontId="2" fillId="0" borderId="6" xfId="0" applyNumberFormat="1" applyFont="1" applyBorder="1"/>
    <xf numFmtId="9" fontId="4" fillId="0" borderId="6" xfId="0" applyNumberFormat="1" applyFont="1" applyBorder="1"/>
    <xf numFmtId="8" fontId="2" fillId="0" borderId="0" xfId="0" applyNumberFormat="1" applyFont="1" applyFill="1"/>
    <xf numFmtId="164" fontId="4" fillId="0" borderId="6" xfId="0" applyNumberFormat="1" applyFont="1" applyBorder="1"/>
    <xf numFmtId="0" fontId="4" fillId="0" borderId="6" xfId="0" applyFont="1" applyFill="1" applyBorder="1"/>
    <xf numFmtId="0" fontId="0" fillId="0" borderId="0" xfId="0" applyFont="1" applyFill="1"/>
    <xf numFmtId="0" fontId="8" fillId="0" borderId="6" xfId="0" applyFont="1" applyBorder="1" applyAlignment="1">
      <alignment horizontal="left" vertical="top" wrapText="1" indent="1"/>
    </xf>
    <xf numFmtId="6" fontId="8" fillId="0" borderId="6" xfId="0" applyNumberFormat="1" applyFont="1" applyBorder="1" applyAlignment="1">
      <alignment vertical="top" shrinkToFit="1"/>
    </xf>
    <xf numFmtId="165" fontId="2" fillId="0" borderId="1" xfId="0" applyNumberFormat="1" applyFont="1" applyBorder="1"/>
    <xf numFmtId="6" fontId="4" fillId="0" borderId="6" xfId="0" applyNumberFormat="1" applyFont="1" applyBorder="1"/>
    <xf numFmtId="10" fontId="4" fillId="0" borderId="6" xfId="0" applyNumberFormat="1" applyFont="1" applyBorder="1"/>
    <xf numFmtId="8" fontId="1" fillId="2" borderId="6" xfId="0" applyNumberFormat="1" applyFont="1" applyFill="1" applyBorder="1"/>
    <xf numFmtId="8" fontId="1" fillId="3" borderId="6" xfId="0" applyNumberFormat="1" applyFont="1" applyFill="1" applyBorder="1"/>
    <xf numFmtId="10" fontId="11" fillId="0" borderId="6" xfId="0" applyNumberFormat="1" applyFont="1" applyFill="1" applyBorder="1" applyAlignment="1">
      <alignment horizontal="left" vertical="top" indent="2" shrinkToFit="1"/>
    </xf>
    <xf numFmtId="0" fontId="5" fillId="0" borderId="6" xfId="0" applyFont="1" applyBorder="1"/>
    <xf numFmtId="0" fontId="1" fillId="0" borderId="6" xfId="0" applyFont="1" applyBorder="1"/>
    <xf numFmtId="9" fontId="1" fillId="0" borderId="6" xfId="0" applyNumberFormat="1" applyFont="1" applyBorder="1"/>
    <xf numFmtId="6" fontId="1" fillId="0" borderId="6" xfId="0" applyNumberFormat="1" applyFont="1" applyBorder="1"/>
    <xf numFmtId="8" fontId="1" fillId="0" borderId="6" xfId="0" applyNumberFormat="1" applyFont="1" applyBorder="1"/>
    <xf numFmtId="4" fontId="1" fillId="0" borderId="6" xfId="0" applyNumberFormat="1" applyFont="1" applyBorder="1"/>
    <xf numFmtId="4" fontId="1" fillId="4" borderId="0" xfId="0" applyNumberFormat="1" applyFont="1" applyFill="1"/>
    <xf numFmtId="0" fontId="1" fillId="0" borderId="0" xfId="0" applyFont="1"/>
    <xf numFmtId="164" fontId="1" fillId="0" borderId="6" xfId="0" applyNumberFormat="1" applyFont="1" applyBorder="1"/>
    <xf numFmtId="0" fontId="14" fillId="0" borderId="6" xfId="0" applyFont="1" applyBorder="1" applyAlignment="1">
      <alignment horizontal="left" vertical="top" wrapText="1" indent="1"/>
    </xf>
    <xf numFmtId="6" fontId="14" fillId="0" borderId="6" xfId="0" applyNumberFormat="1" applyFont="1" applyBorder="1" applyAlignment="1">
      <alignment vertical="top" shrinkToFit="1"/>
    </xf>
    <xf numFmtId="164" fontId="1" fillId="0" borderId="0" xfId="0" applyNumberFormat="1" applyFont="1"/>
    <xf numFmtId="10" fontId="1" fillId="0" borderId="0" xfId="0" applyNumberFormat="1" applyFont="1"/>
    <xf numFmtId="10" fontId="1" fillId="0" borderId="1" xfId="0" applyNumberFormat="1" applyFont="1" applyBorder="1"/>
    <xf numFmtId="10" fontId="1" fillId="0" borderId="6" xfId="0" applyNumberFormat="1" applyFont="1" applyBorder="1"/>
    <xf numFmtId="0" fontId="11" fillId="6" borderId="0" xfId="0" applyFont="1" applyFill="1" applyAlignment="1">
      <alignment vertical="top" wrapText="1"/>
    </xf>
    <xf numFmtId="6" fontId="11" fillId="6" borderId="0" xfId="0" applyNumberFormat="1" applyFont="1" applyFill="1" applyAlignment="1">
      <alignment vertical="top" shrinkToFit="1"/>
    </xf>
    <xf numFmtId="10" fontId="11" fillId="6" borderId="0" xfId="0" applyNumberFormat="1" applyFont="1" applyFill="1" applyAlignment="1">
      <alignment vertical="top" shrinkToFit="1"/>
    </xf>
    <xf numFmtId="6" fontId="11" fillId="6" borderId="2" xfId="0" applyNumberFormat="1" applyFont="1" applyFill="1" applyBorder="1" applyAlignment="1">
      <alignment vertical="top" shrinkToFit="1"/>
    </xf>
    <xf numFmtId="0" fontId="9" fillId="6" borderId="0" xfId="0" applyFont="1" applyFill="1" applyAlignment="1">
      <alignment wrapText="1"/>
    </xf>
    <xf numFmtId="0" fontId="1" fillId="0" borderId="6" xfId="0" applyFont="1" applyFill="1" applyBorder="1"/>
    <xf numFmtId="6" fontId="1" fillId="0" borderId="6" xfId="0" applyNumberFormat="1" applyFont="1" applyFill="1" applyBorder="1"/>
    <xf numFmtId="0" fontId="1" fillId="0" borderId="6" xfId="0" applyNumberFormat="1" applyFont="1" applyFill="1" applyBorder="1"/>
    <xf numFmtId="0" fontId="1" fillId="0" borderId="6" xfId="0" applyFont="1" applyBorder="1" applyAlignment="1">
      <alignment horizontal="center"/>
    </xf>
    <xf numFmtId="2" fontId="1" fillId="0" borderId="6" xfId="0" applyNumberFormat="1" applyFont="1" applyBorder="1"/>
    <xf numFmtId="8" fontId="1" fillId="7" borderId="6" xfId="0" applyNumberFormat="1" applyFont="1" applyFill="1" applyBorder="1"/>
    <xf numFmtId="3" fontId="1" fillId="0" borderId="6" xfId="0" applyNumberFormat="1" applyFont="1" applyBorder="1"/>
    <xf numFmtId="6" fontId="1" fillId="4" borderId="6" xfId="0" applyNumberFormat="1" applyFont="1" applyFill="1" applyBorder="1"/>
    <xf numFmtId="6" fontId="1" fillId="4" borderId="2" xfId="0" applyNumberFormat="1" applyFont="1" applyFill="1" applyBorder="1"/>
    <xf numFmtId="8" fontId="1" fillId="0" borderId="0" xfId="0" applyNumberFormat="1" applyFont="1"/>
    <xf numFmtId="8" fontId="1" fillId="4" borderId="6" xfId="0" applyNumberFormat="1" applyFont="1" applyFill="1" applyBorder="1"/>
    <xf numFmtId="8" fontId="1" fillId="4" borderId="2" xfId="0" applyNumberFormat="1" applyFont="1" applyFill="1" applyBorder="1"/>
    <xf numFmtId="8" fontId="1" fillId="0" borderId="2" xfId="0" applyNumberFormat="1" applyFont="1" applyBorder="1"/>
    <xf numFmtId="1" fontId="15" fillId="8" borderId="0" xfId="0" applyNumberFormat="1" applyFont="1" applyFill="1" applyAlignment="1">
      <alignment vertical="top" shrinkToFit="1"/>
    </xf>
    <xf numFmtId="1" fontId="16" fillId="8" borderId="0" xfId="0" applyNumberFormat="1" applyFont="1" applyFill="1" applyAlignment="1">
      <alignment horizontal="center" vertical="top" shrinkToFit="1"/>
    </xf>
    <xf numFmtId="0" fontId="9" fillId="9" borderId="0" xfId="0" applyFont="1" applyFill="1" applyAlignment="1">
      <alignment vertical="top" wrapText="1"/>
    </xf>
    <xf numFmtId="6" fontId="17" fillId="9" borderId="0" xfId="0" applyNumberFormat="1" applyFont="1" applyFill="1" applyAlignment="1">
      <alignment vertical="top" shrinkToFit="1"/>
    </xf>
    <xf numFmtId="6" fontId="1" fillId="9" borderId="0" xfId="0" applyNumberFormat="1" applyFont="1" applyFill="1" applyAlignment="1">
      <alignment vertical="top" wrapText="1"/>
    </xf>
    <xf numFmtId="6" fontId="1" fillId="9" borderId="0" xfId="0" applyNumberFormat="1" applyFont="1" applyFill="1" applyAlignment="1">
      <alignment wrapText="1"/>
    </xf>
    <xf numFmtId="8" fontId="17" fillId="9" borderId="0" xfId="0" applyNumberFormat="1" applyFont="1" applyFill="1" applyAlignment="1">
      <alignment vertical="top" shrinkToFit="1"/>
    </xf>
    <xf numFmtId="0" fontId="18" fillId="9" borderId="0" xfId="0" applyFont="1" applyFill="1" applyAlignment="1">
      <alignment vertical="top" wrapText="1"/>
    </xf>
    <xf numFmtId="8" fontId="19" fillId="9" borderId="0" xfId="0" applyNumberFormat="1" applyFont="1" applyFill="1" applyAlignment="1">
      <alignment vertical="top" shrinkToFit="1"/>
    </xf>
    <xf numFmtId="6" fontId="19" fillId="9" borderId="0" xfId="0" applyNumberFormat="1" applyFont="1" applyFill="1" applyAlignment="1">
      <alignment vertical="top" shrinkToFit="1"/>
    </xf>
    <xf numFmtId="0" fontId="9" fillId="9" borderId="6" xfId="0" applyFont="1" applyFill="1" applyBorder="1" applyAlignment="1">
      <alignment vertical="top" wrapText="1"/>
    </xf>
    <xf numFmtId="0" fontId="18" fillId="9" borderId="6" xfId="0" applyFont="1" applyFill="1" applyBorder="1" applyAlignment="1">
      <alignment vertical="top" wrapText="1"/>
    </xf>
    <xf numFmtId="8" fontId="3" fillId="0" borderId="6" xfId="0" applyNumberFormat="1" applyFont="1" applyBorder="1"/>
    <xf numFmtId="10" fontId="3" fillId="0" borderId="6" xfId="0" applyNumberFormat="1" applyFont="1" applyBorder="1"/>
    <xf numFmtId="164" fontId="9" fillId="0" borderId="6" xfId="0" applyNumberFormat="1" applyFont="1" applyFill="1" applyBorder="1" applyAlignment="1">
      <alignment vertical="top" shrinkToFit="1"/>
    </xf>
    <xf numFmtId="9" fontId="9" fillId="0" borderId="6" xfId="0" applyNumberFormat="1" applyFont="1" applyFill="1" applyBorder="1" applyAlignment="1">
      <alignment vertical="top" shrinkToFit="1"/>
    </xf>
    <xf numFmtId="0" fontId="9" fillId="0" borderId="6" xfId="0" applyNumberFormat="1" applyFont="1" applyFill="1" applyBorder="1" applyAlignment="1">
      <alignment vertical="top" shrinkToFit="1"/>
    </xf>
    <xf numFmtId="8" fontId="9" fillId="0" borderId="6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15386</xdr:colOff>
      <xdr:row>0</xdr:row>
      <xdr:rowOff>146538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C92EED-87AC-4DA8-A884-D4BBD7F47A3B}"/>
                </a:ext>
              </a:extLst>
            </xdr:cNvPr>
            <xdr:cNvSpPr txBox="1"/>
          </xdr:nvSpPr>
          <xdr:spPr>
            <a:xfrm>
              <a:off x="15386" y="146538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C92EED-87AC-4DA8-A884-D4BBD7F47A3B}"/>
                </a:ext>
              </a:extLst>
            </xdr:cNvPr>
            <xdr:cNvSpPr txBox="1"/>
          </xdr:nvSpPr>
          <xdr:spPr>
            <a:xfrm>
              <a:off x="15386" y="146538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𝑅_𝐵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15386</xdr:colOff>
      <xdr:row>3</xdr:row>
      <xdr:rowOff>146538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49676D4-37AA-44D0-8CC4-D46124967918}"/>
                </a:ext>
              </a:extLst>
            </xdr:cNvPr>
            <xdr:cNvSpPr txBox="1"/>
          </xdr:nvSpPr>
          <xdr:spPr>
            <a:xfrm>
              <a:off x="15386" y="146538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49676D4-37AA-44D0-8CC4-D46124967918}"/>
                </a:ext>
              </a:extLst>
            </xdr:cNvPr>
            <xdr:cNvSpPr txBox="1"/>
          </xdr:nvSpPr>
          <xdr:spPr>
            <a:xfrm>
              <a:off x="15386" y="146538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𝑅_0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15386</xdr:colOff>
      <xdr:row>4</xdr:row>
      <xdr:rowOff>146538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AF2A7F5-E65A-4D5C-B77A-8D486F35FFA4}"/>
                </a:ext>
              </a:extLst>
            </xdr:cNvPr>
            <xdr:cNvSpPr txBox="1"/>
          </xdr:nvSpPr>
          <xdr:spPr>
            <a:xfrm>
              <a:off x="15386" y="72536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AF2A7F5-E65A-4D5C-B77A-8D486F35FFA4}"/>
                </a:ext>
              </a:extLst>
            </xdr:cNvPr>
            <xdr:cNvSpPr txBox="1"/>
          </xdr:nvSpPr>
          <xdr:spPr>
            <a:xfrm>
              <a:off x="15386" y="72536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15386</xdr:colOff>
      <xdr:row>6</xdr:row>
      <xdr:rowOff>146538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6D383BE-E656-40E1-B4A1-7D6276C29750}"/>
                </a:ext>
              </a:extLst>
            </xdr:cNvPr>
            <xdr:cNvSpPr txBox="1"/>
          </xdr:nvSpPr>
          <xdr:spPr>
            <a:xfrm>
              <a:off x="15386" y="1135673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6D383BE-E656-40E1-B4A1-7D6276C29750}"/>
                </a:ext>
              </a:extLst>
            </xdr:cNvPr>
            <xdr:cNvSpPr txBox="1"/>
          </xdr:nvSpPr>
          <xdr:spPr>
            <a:xfrm>
              <a:off x="15386" y="1135673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𝑅_𝑊𝐴𝐶𝐶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196111</xdr:rowOff>
    </xdr:from>
    <xdr:ext cx="490584" cy="1995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31EDB49-AC62-4510-A385-15200EB2EF4A}"/>
                </a:ext>
              </a:extLst>
            </xdr:cNvPr>
            <xdr:cNvSpPr txBox="1"/>
          </xdr:nvSpPr>
          <xdr:spPr>
            <a:xfrm>
              <a:off x="0" y="1185246"/>
              <a:ext cx="490584" cy="1995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2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𝑒𝑞𝑢𝑖𝑡𝑦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31EDB49-AC62-4510-A385-15200EB2EF4A}"/>
                </a:ext>
              </a:extLst>
            </xdr:cNvPr>
            <xdr:cNvSpPr txBox="1"/>
          </xdr:nvSpPr>
          <xdr:spPr>
            <a:xfrm>
              <a:off x="0" y="1185246"/>
              <a:ext cx="490584" cy="1995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200" i="0">
                  <a:latin typeface="Cambria Math" panose="02040503050406030204" pitchFamily="18" charset="0"/>
                </a:rPr>
                <a:t>β</a:t>
              </a:r>
              <a:r>
                <a:rPr lang="en-US" sz="120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</a:rPr>
                <a:t>𝑒𝑞𝑢𝑖𝑡𝑦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196111</xdr:rowOff>
    </xdr:from>
    <xdr:ext cx="19652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4B6FB92-348D-432F-A04F-6FCAE82BFDFC}"/>
                </a:ext>
              </a:extLst>
            </xdr:cNvPr>
            <xdr:cNvSpPr txBox="1"/>
          </xdr:nvSpPr>
          <xdr:spPr>
            <a:xfrm>
              <a:off x="0" y="789592"/>
              <a:ext cx="19652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4B6FB92-348D-432F-A04F-6FCAE82BFDFC}"/>
                </a:ext>
              </a:extLst>
            </xdr:cNvPr>
            <xdr:cNvSpPr txBox="1"/>
          </xdr:nvSpPr>
          <xdr:spPr>
            <a:xfrm>
              <a:off x="0" y="789592"/>
              <a:ext cx="19652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F56C10-CEAD-41EB-8EAA-A6AAE6D52EEE}"/>
                </a:ext>
              </a:extLst>
            </xdr:cNvPr>
            <xdr:cNvSpPr txBox="1"/>
          </xdr:nvSpPr>
          <xdr:spPr>
            <a:xfrm>
              <a:off x="0" y="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F56C10-CEAD-41EB-8EAA-A6AAE6D52EEE}"/>
                </a:ext>
              </a:extLst>
            </xdr:cNvPr>
            <xdr:cNvSpPr txBox="1"/>
          </xdr:nvSpPr>
          <xdr:spPr>
            <a:xfrm>
              <a:off x="0" y="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𝑅_𝑊𝐴𝐶𝐶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B3F46A6-7447-49D8-9815-D3E8B305A9CA}"/>
                </a:ext>
              </a:extLst>
            </xdr:cNvPr>
            <xdr:cNvSpPr txBox="1"/>
          </xdr:nvSpPr>
          <xdr:spPr>
            <a:xfrm>
              <a:off x="0" y="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B3F46A6-7447-49D8-9815-D3E8B305A9CA}"/>
                </a:ext>
              </a:extLst>
            </xdr:cNvPr>
            <xdr:cNvSpPr txBox="1"/>
          </xdr:nvSpPr>
          <xdr:spPr>
            <a:xfrm>
              <a:off x="0" y="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𝑅_𝑊𝐴𝐶𝐶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4032BE3-3138-42AA-9D64-53271EA0F56D}"/>
                </a:ext>
              </a:extLst>
            </xdr:cNvPr>
            <xdr:cNvSpPr txBox="1"/>
          </xdr:nvSpPr>
          <xdr:spPr>
            <a:xfrm>
              <a:off x="0" y="98913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4032BE3-3138-42AA-9D64-53271EA0F56D}"/>
                </a:ext>
              </a:extLst>
            </xdr:cNvPr>
            <xdr:cNvSpPr txBox="1"/>
          </xdr:nvSpPr>
          <xdr:spPr>
            <a:xfrm>
              <a:off x="0" y="98913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𝑅_𝑊𝐴𝐶𝐶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F95FCF-041A-471D-871E-552F5D025748}"/>
                </a:ext>
              </a:extLst>
            </xdr:cNvPr>
            <xdr:cNvSpPr txBox="1"/>
          </xdr:nvSpPr>
          <xdr:spPr>
            <a:xfrm>
              <a:off x="0" y="119102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F95FCF-041A-471D-871E-552F5D025748}"/>
                </a:ext>
              </a:extLst>
            </xdr:cNvPr>
            <xdr:cNvSpPr txBox="1"/>
          </xdr:nvSpPr>
          <xdr:spPr>
            <a:xfrm>
              <a:off x="0" y="119102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3C19EE-11FD-46FD-84FA-7811AE81F6CA}"/>
                </a:ext>
              </a:extLst>
            </xdr:cNvPr>
            <xdr:cNvSpPr txBox="1"/>
          </xdr:nvSpPr>
          <xdr:spPr>
            <a:xfrm>
              <a:off x="0" y="1392731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3C19EE-11FD-46FD-84FA-7811AE81F6CA}"/>
                </a:ext>
              </a:extLst>
            </xdr:cNvPr>
            <xdr:cNvSpPr txBox="1"/>
          </xdr:nvSpPr>
          <xdr:spPr>
            <a:xfrm>
              <a:off x="0" y="1392731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4D4F125-096C-4A4D-A867-8C48E76F8099}"/>
                </a:ext>
              </a:extLst>
            </xdr:cNvPr>
            <xdr:cNvSpPr txBox="1"/>
          </xdr:nvSpPr>
          <xdr:spPr>
            <a:xfrm>
              <a:off x="0" y="57150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4D4F125-096C-4A4D-A867-8C48E76F8099}"/>
                </a:ext>
              </a:extLst>
            </xdr:cNvPr>
            <xdr:cNvSpPr txBox="1"/>
          </xdr:nvSpPr>
          <xdr:spPr>
            <a:xfrm>
              <a:off x="0" y="57150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D0E96A1-81AE-439F-B04A-802144330FF5}"/>
                </a:ext>
              </a:extLst>
            </xdr:cNvPr>
            <xdr:cNvSpPr txBox="1"/>
          </xdr:nvSpPr>
          <xdr:spPr>
            <a:xfrm>
              <a:off x="0" y="100012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D0E96A1-81AE-439F-B04A-802144330FF5}"/>
                </a:ext>
              </a:extLst>
            </xdr:cNvPr>
            <xdr:cNvSpPr txBox="1"/>
          </xdr:nvSpPr>
          <xdr:spPr>
            <a:xfrm>
              <a:off x="0" y="100012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𝑅_𝑊𝐴𝐶𝐶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53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20E753-8553-4DFD-A7DB-BC3F5C51D7E1}"/>
                </a:ext>
              </a:extLst>
            </xdr:cNvPr>
            <xdr:cNvSpPr txBox="1"/>
          </xdr:nvSpPr>
          <xdr:spPr>
            <a:xfrm>
              <a:off x="0" y="0"/>
              <a:ext cx="635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𝑢𝑛𝑙𝑒𝑣𝑒𝑟𝑒𝑑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20E753-8553-4DFD-A7DB-BC3F5C51D7E1}"/>
                </a:ext>
              </a:extLst>
            </xdr:cNvPr>
            <xdr:cNvSpPr txBox="1"/>
          </xdr:nvSpPr>
          <xdr:spPr>
            <a:xfrm>
              <a:off x="0" y="0"/>
              <a:ext cx="635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β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𝑢𝑛𝑙𝑒𝑣𝑒𝑟𝑒𝑑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501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DFF0C5E-FB87-45B6-A939-32671A4A2A61}"/>
                </a:ext>
              </a:extLst>
            </xdr:cNvPr>
            <xdr:cNvSpPr txBox="1"/>
          </xdr:nvSpPr>
          <xdr:spPr>
            <a:xfrm>
              <a:off x="0" y="381000"/>
              <a:ext cx="501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𝑙𝑒𝑣𝑒𝑟𝑒𝑑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DFF0C5E-FB87-45B6-A939-32671A4A2A61}"/>
                </a:ext>
              </a:extLst>
            </xdr:cNvPr>
            <xdr:cNvSpPr txBox="1"/>
          </xdr:nvSpPr>
          <xdr:spPr>
            <a:xfrm>
              <a:off x="0" y="381000"/>
              <a:ext cx="501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β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𝑙𝑒𝑣𝑒𝑟𝑒𝑑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E2C9D4-C2E1-4B8D-A5FD-4DED464849E9}"/>
                </a:ext>
              </a:extLst>
            </xdr:cNvPr>
            <xdr:cNvSpPr txBox="1"/>
          </xdr:nvSpPr>
          <xdr:spPr>
            <a:xfrm>
              <a:off x="0" y="60007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E2C9D4-C2E1-4B8D-A5FD-4DED464849E9}"/>
                </a:ext>
              </a:extLst>
            </xdr:cNvPr>
            <xdr:cNvSpPr txBox="1"/>
          </xdr:nvSpPr>
          <xdr:spPr>
            <a:xfrm>
              <a:off x="0" y="60007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4FD677C-CE68-4E3E-8368-7690398F1604}"/>
                </a:ext>
              </a:extLst>
            </xdr:cNvPr>
            <xdr:cNvSpPr txBox="1"/>
          </xdr:nvSpPr>
          <xdr:spPr>
            <a:xfrm>
              <a:off x="0" y="80010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4FD677C-CE68-4E3E-8368-7690398F1604}"/>
                </a:ext>
              </a:extLst>
            </xdr:cNvPr>
            <xdr:cNvSpPr txBox="1"/>
          </xdr:nvSpPr>
          <xdr:spPr>
            <a:xfrm>
              <a:off x="0" y="80010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𝑅_𝑊𝐴𝐶𝐶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E1B4EA3-CF91-40BB-BDB8-523B58179584}"/>
                </a:ext>
              </a:extLst>
            </xdr:cNvPr>
            <xdr:cNvSpPr txBox="1"/>
          </xdr:nvSpPr>
          <xdr:spPr>
            <a:xfrm>
              <a:off x="0" y="60007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E1B4EA3-CF91-40BB-BDB8-523B58179584}"/>
                </a:ext>
              </a:extLst>
            </xdr:cNvPr>
            <xdr:cNvSpPr txBox="1"/>
          </xdr:nvSpPr>
          <xdr:spPr>
            <a:xfrm>
              <a:off x="0" y="60007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16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975EA89-1D93-4CE3-A277-D1DE873CEE9B}"/>
                </a:ext>
              </a:extLst>
            </xdr:cNvPr>
            <xdr:cNvSpPr txBox="1"/>
          </xdr:nvSpPr>
          <xdr:spPr>
            <a:xfrm>
              <a:off x="0" y="3174521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975EA89-1D93-4CE3-A277-D1DE873CEE9B}"/>
                </a:ext>
              </a:extLst>
            </xdr:cNvPr>
            <xdr:cNvSpPr txBox="1"/>
          </xdr:nvSpPr>
          <xdr:spPr>
            <a:xfrm>
              <a:off x="0" y="3174521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69D7814-CAEB-4850-8B8E-888E92366F8A}"/>
                </a:ext>
              </a:extLst>
            </xdr:cNvPr>
            <xdr:cNvSpPr txBox="1"/>
          </xdr:nvSpPr>
          <xdr:spPr>
            <a:xfrm>
              <a:off x="0" y="320040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69D7814-CAEB-4850-8B8E-888E92366F8A}"/>
                </a:ext>
              </a:extLst>
            </xdr:cNvPr>
            <xdr:cNvSpPr txBox="1"/>
          </xdr:nvSpPr>
          <xdr:spPr>
            <a:xfrm>
              <a:off x="0" y="320040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D6883CE-AC70-4BD1-8814-D682E0F505A8}"/>
                </a:ext>
              </a:extLst>
            </xdr:cNvPr>
            <xdr:cNvSpPr txBox="1"/>
          </xdr:nvSpPr>
          <xdr:spPr>
            <a:xfrm>
              <a:off x="0" y="80010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D6883CE-AC70-4BD1-8814-D682E0F505A8}"/>
                </a:ext>
              </a:extLst>
            </xdr:cNvPr>
            <xdr:cNvSpPr txBox="1"/>
          </xdr:nvSpPr>
          <xdr:spPr>
            <a:xfrm>
              <a:off x="0" y="80010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𝑅_𝑊𝐴𝐶𝐶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8F55FCE-038E-4105-8011-049D7EFA840D}"/>
                </a:ext>
              </a:extLst>
            </xdr:cNvPr>
            <xdr:cNvSpPr txBox="1"/>
          </xdr:nvSpPr>
          <xdr:spPr>
            <a:xfrm>
              <a:off x="0" y="200025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8F55FCE-038E-4105-8011-049D7EFA840D}"/>
                </a:ext>
              </a:extLst>
            </xdr:cNvPr>
            <xdr:cNvSpPr txBox="1"/>
          </xdr:nvSpPr>
          <xdr:spPr>
            <a:xfrm>
              <a:off x="0" y="2000250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26B79F5-D68A-4BCA-B659-C6179749093D}"/>
                </a:ext>
              </a:extLst>
            </xdr:cNvPr>
            <xdr:cNvSpPr txBox="1"/>
          </xdr:nvSpPr>
          <xdr:spPr>
            <a:xfrm>
              <a:off x="0" y="140017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26B79F5-D68A-4BCA-B659-C6179749093D}"/>
                </a:ext>
              </a:extLst>
            </xdr:cNvPr>
            <xdr:cNvSpPr txBox="1"/>
          </xdr:nvSpPr>
          <xdr:spPr>
            <a:xfrm>
              <a:off x="0" y="140017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007991D-D3C1-493F-B7C3-2076B28C23E8}"/>
                </a:ext>
              </a:extLst>
            </xdr:cNvPr>
            <xdr:cNvSpPr txBox="1"/>
          </xdr:nvSpPr>
          <xdr:spPr>
            <a:xfrm>
              <a:off x="0" y="398972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007991D-D3C1-493F-B7C3-2076B28C23E8}"/>
                </a:ext>
              </a:extLst>
            </xdr:cNvPr>
            <xdr:cNvSpPr txBox="1"/>
          </xdr:nvSpPr>
          <xdr:spPr>
            <a:xfrm>
              <a:off x="0" y="398972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F57B4A-1D98-41E6-8686-FEDD6099A217}"/>
                </a:ext>
              </a:extLst>
            </xdr:cNvPr>
            <xdr:cNvSpPr txBox="1"/>
          </xdr:nvSpPr>
          <xdr:spPr>
            <a:xfrm>
              <a:off x="0" y="598458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F57B4A-1D98-41E6-8686-FEDD6099A217}"/>
                </a:ext>
              </a:extLst>
            </xdr:cNvPr>
            <xdr:cNvSpPr txBox="1"/>
          </xdr:nvSpPr>
          <xdr:spPr>
            <a:xfrm>
              <a:off x="0" y="598458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199486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CDA6F71-0CC5-4CFB-AEC2-401F0A23A1AD}"/>
                </a:ext>
              </a:extLst>
            </xdr:cNvPr>
            <xdr:cNvSpPr txBox="1"/>
          </xdr:nvSpPr>
          <xdr:spPr>
            <a:xfrm>
              <a:off x="0" y="997429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CDA6F71-0CC5-4CFB-AEC2-401F0A23A1AD}"/>
                </a:ext>
              </a:extLst>
            </xdr:cNvPr>
            <xdr:cNvSpPr txBox="1"/>
          </xdr:nvSpPr>
          <xdr:spPr>
            <a:xfrm>
              <a:off x="0" y="997429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43888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6681D88-BE70-48EC-8670-EA83278D2BE6}"/>
                </a:ext>
              </a:extLst>
            </xdr:cNvPr>
            <xdr:cNvSpPr txBox="1"/>
          </xdr:nvSpPr>
          <xdr:spPr>
            <a:xfrm>
              <a:off x="0" y="260032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𝑊𝐴𝐶𝐶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6681D88-BE70-48EC-8670-EA83278D2BE6}"/>
                </a:ext>
              </a:extLst>
            </xdr:cNvPr>
            <xdr:cNvSpPr txBox="1"/>
          </xdr:nvSpPr>
          <xdr:spPr>
            <a:xfrm>
              <a:off x="0" y="2600325"/>
              <a:ext cx="43888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𝑅_𝑊𝐴𝐶𝐶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15A3-DBBE-4B21-9276-6B444163EAE0}">
  <dimension ref="A1:H10"/>
  <sheetViews>
    <sheetView showGridLines="0" zoomScale="160" zoomScaleNormal="160" workbookViewId="0">
      <selection activeCell="B9" sqref="B9"/>
    </sheetView>
  </sheetViews>
  <sheetFormatPr defaultRowHeight="14.3" x14ac:dyDescent="0.25"/>
  <cols>
    <col min="2" max="2" width="12.625" bestFit="1" customWidth="1"/>
    <col min="3" max="3" width="11.5" bestFit="1" customWidth="1"/>
    <col min="5" max="5" width="12.625" bestFit="1" customWidth="1"/>
    <col min="7" max="7" width="13.5" bestFit="1" customWidth="1"/>
  </cols>
  <sheetData>
    <row r="1" spans="1:8" ht="15.65" x14ac:dyDescent="0.25">
      <c r="A1" s="1" t="s">
        <v>0</v>
      </c>
      <c r="B1" s="2"/>
      <c r="C1" s="2"/>
      <c r="D1" s="38" t="s">
        <v>4</v>
      </c>
      <c r="E1" s="39">
        <v>817920.28979686392</v>
      </c>
      <c r="F1" s="2"/>
      <c r="G1" s="54" t="s">
        <v>1</v>
      </c>
      <c r="H1" s="55">
        <v>0.13</v>
      </c>
    </row>
    <row r="2" spans="1:8" ht="15.65" x14ac:dyDescent="0.25">
      <c r="A2" s="37" t="s">
        <v>5</v>
      </c>
      <c r="B2" s="57">
        <f>-E1+PV($H$1,$H$6,-((1-$H$2)*$H$5))+$H$2*PV($H$3,$H$6,-(E1/$H$6))</f>
        <v>0</v>
      </c>
      <c r="C2" s="2"/>
      <c r="D2" s="2"/>
      <c r="E2" s="2"/>
      <c r="F2" s="2"/>
      <c r="G2" s="54" t="s">
        <v>2</v>
      </c>
      <c r="H2" s="55">
        <v>0.21</v>
      </c>
    </row>
    <row r="3" spans="1:8" ht="15.65" x14ac:dyDescent="0.25">
      <c r="A3" s="2"/>
      <c r="B3" s="2"/>
      <c r="C3" s="2"/>
      <c r="D3" s="2"/>
      <c r="E3" s="2"/>
      <c r="F3" s="2"/>
      <c r="G3" s="54" t="s">
        <v>3</v>
      </c>
      <c r="H3" s="55">
        <v>0.08</v>
      </c>
    </row>
    <row r="4" spans="1:8" ht="15.65" x14ac:dyDescent="0.25">
      <c r="A4" s="1" t="s">
        <v>7</v>
      </c>
      <c r="B4" s="2"/>
      <c r="C4" s="2"/>
      <c r="D4" s="2"/>
      <c r="E4" s="2"/>
      <c r="F4" s="2"/>
      <c r="G4" s="54" t="s">
        <v>4</v>
      </c>
      <c r="H4" s="56">
        <v>675000</v>
      </c>
    </row>
    <row r="5" spans="1:8" ht="15.65" x14ac:dyDescent="0.25">
      <c r="A5" s="1" t="s">
        <v>6</v>
      </c>
      <c r="B5" s="2"/>
      <c r="C5" s="2"/>
      <c r="D5" s="2"/>
      <c r="E5" s="2"/>
      <c r="F5" s="2"/>
      <c r="G5" s="54" t="s">
        <v>62</v>
      </c>
      <c r="H5" s="56">
        <v>245000</v>
      </c>
    </row>
    <row r="6" spans="1:8" ht="15.65" x14ac:dyDescent="0.25">
      <c r="A6" s="37" t="s">
        <v>5</v>
      </c>
      <c r="B6" s="57">
        <f>-$H$4+PV($H$1,$H$6,-((1-$H$2)*$H$5))+$H$2*PV($H$3,$H$6,-($H$4/$H$6))</f>
        <v>118953.44022275398</v>
      </c>
      <c r="C6" s="2"/>
      <c r="D6" s="2"/>
      <c r="E6" s="2"/>
      <c r="F6" s="2"/>
      <c r="G6" s="54" t="s">
        <v>63</v>
      </c>
      <c r="H6" s="54">
        <v>5</v>
      </c>
    </row>
    <row r="7" spans="1:8" ht="15.65" x14ac:dyDescent="0.25">
      <c r="A7" s="2"/>
      <c r="B7" s="2"/>
      <c r="C7" s="2"/>
      <c r="D7" s="2"/>
      <c r="E7" s="2"/>
      <c r="F7" s="2"/>
      <c r="G7" s="54" t="s">
        <v>27</v>
      </c>
      <c r="H7" s="56">
        <v>450000</v>
      </c>
    </row>
    <row r="8" spans="1:8" ht="15.65" x14ac:dyDescent="0.25">
      <c r="A8" s="1" t="s">
        <v>8</v>
      </c>
      <c r="B8" s="2"/>
      <c r="C8" s="2"/>
      <c r="D8" s="2"/>
      <c r="E8" s="2"/>
      <c r="F8" s="2"/>
      <c r="G8" s="2"/>
      <c r="H8" s="2"/>
    </row>
    <row r="9" spans="1:8" ht="15.65" x14ac:dyDescent="0.25">
      <c r="A9" s="37" t="s">
        <v>5</v>
      </c>
      <c r="B9" s="58">
        <f>H7-(1-H2)*PV(H3,H6,-(H3*H7))-PV(H3,H6,,-H7)</f>
        <v>30184.887880310358</v>
      </c>
      <c r="C9" s="59">
        <f>H7-(1-H2)*(H3)*(H7)*PV(H3,H6,-1)-PV(H3,H6,,-H7)</f>
        <v>30184.8878803103</v>
      </c>
      <c r="D9" s="2"/>
      <c r="E9" s="2"/>
      <c r="F9" s="2"/>
      <c r="G9" s="2"/>
      <c r="H9" s="2"/>
    </row>
    <row r="10" spans="1:8" ht="15.65" x14ac:dyDescent="0.25">
      <c r="A10" s="37" t="s">
        <v>9</v>
      </c>
      <c r="B10" s="57">
        <f>B6+B9</f>
        <v>149138.32810306433</v>
      </c>
      <c r="C10" s="60"/>
      <c r="D10" s="2"/>
      <c r="E10" s="2"/>
      <c r="F10" s="2"/>
      <c r="G10" s="2"/>
      <c r="H1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E721-6D9F-451E-B02D-9711B07C3AD2}">
  <dimension ref="A1:F7"/>
  <sheetViews>
    <sheetView showGridLines="0" zoomScale="160" zoomScaleNormal="160" workbookViewId="0">
      <selection activeCell="B5" sqref="B5"/>
    </sheetView>
  </sheetViews>
  <sheetFormatPr defaultRowHeight="14.3" x14ac:dyDescent="0.25"/>
  <cols>
    <col min="1" max="1" width="14.875" customWidth="1"/>
    <col min="2" max="3" width="11.5" bestFit="1" customWidth="1"/>
    <col min="5" max="5" width="13.5" bestFit="1" customWidth="1"/>
    <col min="6" max="6" width="10.625" bestFit="1" customWidth="1"/>
  </cols>
  <sheetData>
    <row r="1" spans="1:6" ht="15.65" x14ac:dyDescent="0.25">
      <c r="A1" s="1" t="s">
        <v>6</v>
      </c>
      <c r="B1" s="2"/>
      <c r="E1" s="54" t="s">
        <v>10</v>
      </c>
      <c r="F1" s="55">
        <v>0.13</v>
      </c>
    </row>
    <row r="2" spans="1:6" ht="15.65" x14ac:dyDescent="0.25">
      <c r="A2" s="43" t="s">
        <v>5</v>
      </c>
      <c r="B2" s="57">
        <f>-$F$4+PV($F$1,$F$7,-($F$5*(1-$F$2)))+$F$2*PV($F$3,$F$7,-($F$4/$F$7))</f>
        <v>-9320.3273970652954</v>
      </c>
      <c r="E2" s="54" t="s">
        <v>2</v>
      </c>
      <c r="F2" s="55">
        <v>0.25</v>
      </c>
    </row>
    <row r="3" spans="1:6" ht="15.65" x14ac:dyDescent="0.25">
      <c r="A3" s="2"/>
      <c r="B3" s="2"/>
      <c r="E3" s="54" t="s">
        <v>11</v>
      </c>
      <c r="F3" s="61">
        <v>9.5000000000000001E-2</v>
      </c>
    </row>
    <row r="4" spans="1:6" ht="15.65" x14ac:dyDescent="0.25">
      <c r="A4" s="1" t="s">
        <v>8</v>
      </c>
      <c r="B4" s="2"/>
      <c r="E4" s="54" t="s">
        <v>64</v>
      </c>
      <c r="F4" s="56">
        <v>1200000</v>
      </c>
    </row>
    <row r="5" spans="1:6" ht="15.65" x14ac:dyDescent="0.25">
      <c r="A5" s="37" t="s">
        <v>5</v>
      </c>
      <c r="B5" s="57">
        <f>($F$4-$F$6)-PV($F$3,$F$7,-($F$3*$F$4)*(1-$F$2))-PV($F$3,$F$7,,-$F$4)+PV($F$3,$F$7,-($F$6/$F$7)*$F$2)</f>
        <v>55340.315108353483</v>
      </c>
      <c r="C5" s="41"/>
      <c r="E5" s="54" t="s">
        <v>62</v>
      </c>
      <c r="F5" s="56">
        <v>426000</v>
      </c>
    </row>
    <row r="6" spans="1:6" ht="15.65" x14ac:dyDescent="0.25">
      <c r="A6" s="37" t="s">
        <v>9</v>
      </c>
      <c r="B6" s="57">
        <f>B2+B5</f>
        <v>46019.987711288188</v>
      </c>
      <c r="C6" s="44"/>
      <c r="E6" s="54" t="s">
        <v>65</v>
      </c>
      <c r="F6" s="56">
        <v>45000</v>
      </c>
    </row>
    <row r="7" spans="1:6" ht="15.65" x14ac:dyDescent="0.25">
      <c r="E7" s="54" t="s">
        <v>63</v>
      </c>
      <c r="F7" s="5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5DC4-C98B-4DEC-8652-5089AEF44930}">
  <dimension ref="A1:G15"/>
  <sheetViews>
    <sheetView showGridLines="0" zoomScale="160" zoomScaleNormal="160" workbookViewId="0">
      <selection activeCell="C2" sqref="C2:C8"/>
    </sheetView>
  </sheetViews>
  <sheetFormatPr defaultColWidth="9.125" defaultRowHeight="15.65" x14ac:dyDescent="0.25"/>
  <cols>
    <col min="1" max="1" width="9.125" style="2"/>
    <col min="2" max="2" width="14.625" style="2" customWidth="1"/>
    <col min="3" max="3" width="14.5" style="2" bestFit="1" customWidth="1"/>
    <col min="4" max="4" width="9.125" style="2"/>
    <col min="5" max="5" width="12.625" style="2" bestFit="1" customWidth="1"/>
    <col min="6" max="6" width="21" style="2" bestFit="1" customWidth="1"/>
    <col min="7" max="7" width="13.125" style="2" bestFit="1" customWidth="1"/>
    <col min="8" max="16384" width="9.125" style="2"/>
  </cols>
  <sheetData>
    <row r="1" spans="1:7" x14ac:dyDescent="0.25">
      <c r="A1" s="1" t="s">
        <v>0</v>
      </c>
      <c r="F1" s="37" t="s">
        <v>19</v>
      </c>
      <c r="G1" s="40">
        <v>0.19</v>
      </c>
    </row>
    <row r="2" spans="1:7" x14ac:dyDescent="0.25">
      <c r="B2" s="45" t="s">
        <v>12</v>
      </c>
      <c r="C2" s="46">
        <f>G8*G5</f>
        <v>3825000</v>
      </c>
      <c r="F2" s="37" t="s">
        <v>2</v>
      </c>
      <c r="G2" s="40">
        <v>0.22</v>
      </c>
    </row>
    <row r="3" spans="1:7" x14ac:dyDescent="0.25">
      <c r="B3" s="45" t="s">
        <v>13</v>
      </c>
      <c r="C3" s="46">
        <f>G8*G6</f>
        <v>2235000</v>
      </c>
      <c r="F3" s="54" t="s">
        <v>46</v>
      </c>
      <c r="G3" s="37">
        <v>0.4</v>
      </c>
    </row>
    <row r="4" spans="1:7" x14ac:dyDescent="0.25">
      <c r="B4" s="45" t="s">
        <v>14</v>
      </c>
      <c r="C4" s="46">
        <f>G8*G7</f>
        <v>1215000</v>
      </c>
      <c r="F4" s="54" t="s">
        <v>15</v>
      </c>
      <c r="G4" s="48">
        <v>42000</v>
      </c>
    </row>
    <row r="5" spans="1:7" x14ac:dyDescent="0.25">
      <c r="B5" s="45" t="s">
        <v>15</v>
      </c>
      <c r="C5" s="46">
        <f>G4*G8</f>
        <v>126000</v>
      </c>
      <c r="F5" s="54" t="s">
        <v>12</v>
      </c>
      <c r="G5" s="48">
        <v>1275000</v>
      </c>
    </row>
    <row r="6" spans="1:7" x14ac:dyDescent="0.25">
      <c r="B6" s="45" t="s">
        <v>16</v>
      </c>
      <c r="C6" s="46">
        <f>C2-C3-C4-C5</f>
        <v>249000</v>
      </c>
      <c r="F6" s="54" t="s">
        <v>66</v>
      </c>
      <c r="G6" s="48">
        <v>745000</v>
      </c>
    </row>
    <row r="7" spans="1:7" x14ac:dyDescent="0.25">
      <c r="B7" s="45" t="s">
        <v>17</v>
      </c>
      <c r="C7" s="46">
        <f>C6*G2</f>
        <v>54780</v>
      </c>
      <c r="F7" s="54" t="s">
        <v>67</v>
      </c>
      <c r="G7" s="48">
        <v>405000</v>
      </c>
    </row>
    <row r="8" spans="1:7" x14ac:dyDescent="0.25">
      <c r="B8" s="62" t="s">
        <v>18</v>
      </c>
      <c r="C8" s="63">
        <f>C6-C7</f>
        <v>194220</v>
      </c>
      <c r="F8" s="54" t="s">
        <v>68</v>
      </c>
      <c r="G8" s="37">
        <v>3</v>
      </c>
    </row>
    <row r="10" spans="1:7" ht="16.3" thickBot="1" x14ac:dyDescent="0.3">
      <c r="A10" s="2" t="s">
        <v>20</v>
      </c>
      <c r="C10" s="47">
        <f>C8/G1</f>
        <v>1022210.5263157894</v>
      </c>
    </row>
    <row r="11" spans="1:7" ht="16.3" thickTop="1" x14ac:dyDescent="0.25"/>
    <row r="12" spans="1:7" x14ac:dyDescent="0.25">
      <c r="A12" s="1" t="s">
        <v>7</v>
      </c>
    </row>
    <row r="13" spans="1:7" x14ac:dyDescent="0.25">
      <c r="A13" s="2" t="s">
        <v>21</v>
      </c>
      <c r="B13" s="4">
        <f>E13/C10</f>
        <v>0.40000000000000008</v>
      </c>
      <c r="D13" s="5" t="s">
        <v>22</v>
      </c>
      <c r="E13" s="3">
        <v>408884.21052631584</v>
      </c>
    </row>
    <row r="14" spans="1:7" ht="16.3" thickBot="1" x14ac:dyDescent="0.3">
      <c r="A14" s="6" t="s">
        <v>23</v>
      </c>
      <c r="B14" s="9">
        <f>C10+E13</f>
        <v>1431094.7368421052</v>
      </c>
    </row>
    <row r="15" spans="1:7" ht="16.3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1585-7DBD-4837-92EA-1BE1A1C6399D}">
  <dimension ref="A1:G9"/>
  <sheetViews>
    <sheetView showGridLines="0" zoomScale="160" zoomScaleNormal="160" workbookViewId="0">
      <selection activeCell="B6" sqref="B6"/>
    </sheetView>
  </sheetViews>
  <sheetFormatPr defaultColWidth="9.125" defaultRowHeight="15.65" x14ac:dyDescent="0.25"/>
  <cols>
    <col min="1" max="1" width="9.125" style="2"/>
    <col min="2" max="2" width="8" style="2" bestFit="1" customWidth="1"/>
    <col min="3" max="4" width="9.125" style="2"/>
    <col min="5" max="5" width="10.875" style="2" bestFit="1" customWidth="1"/>
    <col min="6" max="16384" width="9.125" style="2"/>
  </cols>
  <sheetData>
    <row r="1" spans="1:7" x14ac:dyDescent="0.25">
      <c r="A1" s="1" t="s">
        <v>0</v>
      </c>
      <c r="E1" s="54" t="s">
        <v>2</v>
      </c>
      <c r="F1" s="55">
        <v>0.21</v>
      </c>
      <c r="G1" s="60"/>
    </row>
    <row r="2" spans="1:7" x14ac:dyDescent="0.25">
      <c r="B2" s="64">
        <f>YIELD(DATE(2000,1,1),DATE(2000+F6,1,1),F7,F8/10,100,2)</f>
        <v>5.699467599892958E-2</v>
      </c>
      <c r="E2" s="54" t="s">
        <v>69</v>
      </c>
      <c r="F2" s="54">
        <v>0.95</v>
      </c>
      <c r="G2" s="60"/>
    </row>
    <row r="3" spans="1:7" x14ac:dyDescent="0.25">
      <c r="B3" s="64">
        <f>B2*(1-F1)</f>
        <v>4.5025794039154368E-2</v>
      </c>
      <c r="E3" s="54" t="s">
        <v>46</v>
      </c>
      <c r="F3" s="54">
        <v>0.4</v>
      </c>
      <c r="G3" s="60"/>
    </row>
    <row r="4" spans="1:7" x14ac:dyDescent="0.25">
      <c r="A4" s="1" t="s">
        <v>7</v>
      </c>
      <c r="E4" s="54" t="s">
        <v>70</v>
      </c>
      <c r="F4" s="55">
        <v>0.11</v>
      </c>
      <c r="G4" s="60"/>
    </row>
    <row r="5" spans="1:7" x14ac:dyDescent="0.25">
      <c r="B5" s="65">
        <f>F5+F2*(F4-F5)</f>
        <v>0.10625</v>
      </c>
      <c r="E5" s="54" t="s">
        <v>71</v>
      </c>
      <c r="F5" s="61">
        <v>3.5000000000000003E-2</v>
      </c>
      <c r="G5" s="60"/>
    </row>
    <row r="6" spans="1:7" x14ac:dyDescent="0.25">
      <c r="B6" s="65">
        <f>B5+(F3)*(B5-B2)*(1-F1)</f>
        <v>0.12181468238433825</v>
      </c>
      <c r="E6" s="54" t="s">
        <v>63</v>
      </c>
      <c r="F6" s="54">
        <v>15</v>
      </c>
      <c r="G6" s="60"/>
    </row>
    <row r="7" spans="1:7" x14ac:dyDescent="0.25">
      <c r="A7" s="1" t="s">
        <v>24</v>
      </c>
      <c r="B7" s="10"/>
      <c r="E7" s="54" t="s">
        <v>72</v>
      </c>
      <c r="F7" s="61">
        <v>6.5000000000000002E-2</v>
      </c>
      <c r="G7" s="60" t="s">
        <v>73</v>
      </c>
    </row>
    <row r="8" spans="1:7" ht="16.3" thickBot="1" x14ac:dyDescent="0.3">
      <c r="B8" s="66">
        <f>((1/1.4)*B6)+((0.4/1.4)*B3)</f>
        <v>9.9875000000000005E-2</v>
      </c>
      <c r="E8" s="54" t="s">
        <v>4</v>
      </c>
      <c r="F8" s="56">
        <v>1080</v>
      </c>
      <c r="G8" s="60"/>
    </row>
    <row r="9" spans="1:7" ht="16.3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7834-9BE4-405A-871C-8CB152907412}">
  <dimension ref="A1:G6"/>
  <sheetViews>
    <sheetView showGridLines="0" zoomScale="160" zoomScaleNormal="160" workbookViewId="0">
      <selection activeCell="C4" sqref="C4"/>
    </sheetView>
  </sheetViews>
  <sheetFormatPr defaultColWidth="9.125" defaultRowHeight="15.65" x14ac:dyDescent="0.25"/>
  <cols>
    <col min="1" max="1" width="10.125" style="2" bestFit="1" customWidth="1"/>
    <col min="2" max="2" width="12.125" style="2" customWidth="1"/>
    <col min="3" max="3" width="13.875" style="2" customWidth="1"/>
    <col min="4" max="16384" width="9.125" style="2"/>
  </cols>
  <sheetData>
    <row r="1" spans="1:7" x14ac:dyDescent="0.25">
      <c r="A1" s="11"/>
      <c r="B1" s="12" t="s">
        <v>25</v>
      </c>
      <c r="C1" s="12" t="s">
        <v>26</v>
      </c>
      <c r="F1" s="54" t="s">
        <v>2</v>
      </c>
      <c r="G1" s="55">
        <v>0.21</v>
      </c>
    </row>
    <row r="2" spans="1:7" x14ac:dyDescent="0.25">
      <c r="A2" s="13" t="s">
        <v>27</v>
      </c>
      <c r="B2" s="14">
        <v>2400000</v>
      </c>
      <c r="C2" s="14">
        <v>4100000</v>
      </c>
      <c r="F2" s="54" t="s">
        <v>69</v>
      </c>
      <c r="G2" s="54">
        <v>1.05</v>
      </c>
    </row>
    <row r="3" spans="1:7" x14ac:dyDescent="0.25">
      <c r="A3" s="13" t="s">
        <v>28</v>
      </c>
      <c r="B3" s="14">
        <v>4100000</v>
      </c>
      <c r="C3" s="14">
        <v>2400000</v>
      </c>
      <c r="F3" s="54" t="s">
        <v>70</v>
      </c>
      <c r="G3" s="61">
        <v>0.109</v>
      </c>
    </row>
    <row r="4" spans="1:7" x14ac:dyDescent="0.25">
      <c r="A4" s="13"/>
      <c r="B4" s="16">
        <f>(1+(1-$G$1)*(B$2/B$3))*($G$2)</f>
        <v>1.5355609756097561</v>
      </c>
      <c r="C4" s="16">
        <f>(1+(1-$G$1)*(C$2/C$3))*($G$2)</f>
        <v>2.4670624999999999</v>
      </c>
      <c r="F4" s="54" t="s">
        <v>71</v>
      </c>
      <c r="G4" s="61">
        <v>3.2000000000000001E-2</v>
      </c>
    </row>
    <row r="5" spans="1:7" x14ac:dyDescent="0.25">
      <c r="A5" s="13"/>
      <c r="B5" s="17">
        <f>$G$4+B$4*($G$3-$G$4)</f>
        <v>0.15023819512195122</v>
      </c>
      <c r="C5" s="17">
        <f>$G$4+C$4*($G$3-$G$4)</f>
        <v>0.2219638125</v>
      </c>
    </row>
    <row r="6" spans="1:7" x14ac:dyDescent="0.25">
      <c r="A6" s="1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4A1E-D4B7-46CB-A050-BCC9871FCB13}">
  <dimension ref="A1:G5"/>
  <sheetViews>
    <sheetView showGridLines="0" zoomScale="160" zoomScaleNormal="160" workbookViewId="0">
      <selection activeCell="C3" sqref="C3"/>
    </sheetView>
  </sheetViews>
  <sheetFormatPr defaultRowHeight="14.3" x14ac:dyDescent="0.25"/>
  <cols>
    <col min="2" max="2" width="20.375" bestFit="1" customWidth="1"/>
    <col min="3" max="4" width="11.625" bestFit="1" customWidth="1"/>
    <col min="6" max="6" width="13.625" bestFit="1" customWidth="1"/>
    <col min="7" max="7" width="10.625" bestFit="1" customWidth="1"/>
  </cols>
  <sheetData>
    <row r="1" spans="1:7" ht="15.65" x14ac:dyDescent="0.25">
      <c r="A1" s="1" t="s">
        <v>0</v>
      </c>
      <c r="B1" s="37" t="s">
        <v>5</v>
      </c>
      <c r="C1" s="57">
        <f>G3-(G2)*(G3)*(1-G5)*PV(G2,G1,-1)-PV(G2,G1,,-G3)</f>
        <v>441621.97781211883</v>
      </c>
      <c r="D1" s="57">
        <f>G3-PV(G2,G1,-(G3*G2)*(1-G5))-PV(G2,G1,,-G3)</f>
        <v>441621.97781211883</v>
      </c>
      <c r="F1" s="54" t="s">
        <v>63</v>
      </c>
      <c r="G1" s="54">
        <v>10</v>
      </c>
    </row>
    <row r="2" spans="1:7" ht="15.65" x14ac:dyDescent="0.25">
      <c r="A2" s="1"/>
      <c r="B2" s="37" t="s">
        <v>29</v>
      </c>
      <c r="C2" s="56">
        <f>G3*G4</f>
        <v>115000</v>
      </c>
      <c r="F2" s="54" t="s">
        <v>74</v>
      </c>
      <c r="G2" s="61">
        <v>6.3E-2</v>
      </c>
    </row>
    <row r="3" spans="1:7" ht="15.65" x14ac:dyDescent="0.25">
      <c r="A3" s="1"/>
      <c r="B3" s="37" t="s">
        <v>30</v>
      </c>
      <c r="C3" s="56">
        <f>C2/G1</f>
        <v>11500</v>
      </c>
      <c r="F3" s="54" t="s">
        <v>75</v>
      </c>
      <c r="G3" s="56">
        <v>4600000</v>
      </c>
    </row>
    <row r="4" spans="1:7" ht="15.65" x14ac:dyDescent="0.25">
      <c r="A4" s="1" t="s">
        <v>7</v>
      </c>
      <c r="B4" s="37" t="s">
        <v>5</v>
      </c>
      <c r="C4" s="57">
        <f>(G3-C2)-(G2)*(G3)*(1-G5)*PV(G2,G1,-1)-PV(G2,G1,,-G3)+C3*(G5)*PV(G2,G1,-1)</f>
        <v>344146.65947132988</v>
      </c>
      <c r="D4" s="57">
        <f>(G3-C2)-PV(G2,G1,-(G3*G2)*(1-G5))-PV(G2,G1,,-G3)+PV(G2,G1,-C3*G5)</f>
        <v>344146.65947132988</v>
      </c>
      <c r="F4" s="54" t="s">
        <v>29</v>
      </c>
      <c r="G4" s="61">
        <v>2.5000000000000001E-2</v>
      </c>
    </row>
    <row r="5" spans="1:7" ht="15.65" x14ac:dyDescent="0.25">
      <c r="F5" s="54" t="s">
        <v>76</v>
      </c>
      <c r="G5" s="55">
        <v>0.21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1E17-F0F1-4DE7-A6EE-100154824A1A}">
  <dimension ref="A1:F6"/>
  <sheetViews>
    <sheetView showGridLines="0" zoomScale="160" zoomScaleNormal="160" workbookViewId="0">
      <selection activeCell="C1" sqref="C1"/>
    </sheetView>
  </sheetViews>
  <sheetFormatPr defaultRowHeight="14.3" x14ac:dyDescent="0.25"/>
  <cols>
    <col min="2" max="2" width="14.5" bestFit="1" customWidth="1"/>
    <col min="3" max="3" width="13.125" bestFit="1" customWidth="1"/>
    <col min="5" max="5" width="12.375" bestFit="1" customWidth="1"/>
    <col min="6" max="6" width="11.625" bestFit="1" customWidth="1"/>
  </cols>
  <sheetData>
    <row r="1" spans="1:6" ht="15.65" x14ac:dyDescent="0.25">
      <c r="A1" s="37" t="s">
        <v>5</v>
      </c>
      <c r="B1" s="57">
        <f>-F3+(1-F6)*(F5)*PV(F1,F4,-1)+(F6)*SLN(F3,,F4)*PV(F2,F4,-1)</f>
        <v>2992703.8914486296</v>
      </c>
      <c r="C1" s="57">
        <f>-F3+PV(F1,F4,-(F5)*(1-F6))+F6*(SLN(F3,,F4))*PV(F2,F4,-1)</f>
        <v>2992703.8914486296</v>
      </c>
      <c r="E1" s="54" t="s">
        <v>77</v>
      </c>
      <c r="F1" s="61">
        <v>0.11899999999999999</v>
      </c>
    </row>
    <row r="2" spans="1:6" ht="15.65" x14ac:dyDescent="0.25">
      <c r="E2" s="54" t="s">
        <v>78</v>
      </c>
      <c r="F2" s="61">
        <v>3.5000000000000003E-2</v>
      </c>
    </row>
    <row r="3" spans="1:6" ht="15.65" x14ac:dyDescent="0.25">
      <c r="E3" s="54" t="s">
        <v>64</v>
      </c>
      <c r="F3" s="56">
        <v>11400000</v>
      </c>
    </row>
    <row r="4" spans="1:6" ht="15.65" x14ac:dyDescent="0.25">
      <c r="E4" s="54" t="s">
        <v>63</v>
      </c>
      <c r="F4" s="54">
        <v>6</v>
      </c>
    </row>
    <row r="5" spans="1:6" ht="15.65" x14ac:dyDescent="0.25">
      <c r="E5" s="54" t="s">
        <v>51</v>
      </c>
      <c r="F5" s="56">
        <v>3800000</v>
      </c>
    </row>
    <row r="6" spans="1:6" ht="15.65" x14ac:dyDescent="0.25">
      <c r="E6" s="54" t="s">
        <v>76</v>
      </c>
      <c r="F6" s="55">
        <v>0.23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4954-FFD4-4A4A-BFFB-3195CDF2122A}">
  <dimension ref="A1:G6"/>
  <sheetViews>
    <sheetView showGridLines="0" zoomScale="160" zoomScaleNormal="160" workbookViewId="0">
      <selection activeCell="B2" sqref="B2"/>
    </sheetView>
  </sheetViews>
  <sheetFormatPr defaultRowHeight="14.3" x14ac:dyDescent="0.25"/>
  <cols>
    <col min="2" max="2" width="14.5" bestFit="1" customWidth="1"/>
    <col min="5" max="5" width="18.125" bestFit="1" customWidth="1"/>
    <col min="6" max="6" width="11.625" bestFit="1" customWidth="1"/>
  </cols>
  <sheetData>
    <row r="1" spans="1:7" ht="15.65" x14ac:dyDescent="0.25">
      <c r="A1" s="37"/>
      <c r="B1" s="67">
        <f>((1-F5)*F4)+(1-F6)*(F3)*(F5)</f>
        <v>6.9166000000000005E-2</v>
      </c>
      <c r="E1" s="54" t="s">
        <v>64</v>
      </c>
      <c r="F1" s="56">
        <v>53000000</v>
      </c>
      <c r="G1" s="60"/>
    </row>
    <row r="2" spans="1:7" ht="15.65" x14ac:dyDescent="0.25">
      <c r="A2" s="37" t="s">
        <v>5</v>
      </c>
      <c r="B2" s="57">
        <f>-F1+F2/B1</f>
        <v>6277679.7848653942</v>
      </c>
      <c r="E2" s="54" t="s">
        <v>79</v>
      </c>
      <c r="F2" s="56">
        <v>4100000</v>
      </c>
      <c r="G2" s="60" t="s">
        <v>80</v>
      </c>
    </row>
    <row r="3" spans="1:7" ht="15.65" x14ac:dyDescent="0.25">
      <c r="E3" s="54" t="s">
        <v>81</v>
      </c>
      <c r="F3" s="61">
        <v>5.8999999999999997E-2</v>
      </c>
      <c r="G3" s="60" t="s">
        <v>82</v>
      </c>
    </row>
    <row r="4" spans="1:7" ht="15.65" x14ac:dyDescent="0.25">
      <c r="E4" s="54" t="s">
        <v>77</v>
      </c>
      <c r="F4" s="61">
        <v>0.10299999999999999</v>
      </c>
      <c r="G4" s="60"/>
    </row>
    <row r="5" spans="1:7" ht="15.65" x14ac:dyDescent="0.25">
      <c r="E5" s="54" t="s">
        <v>83</v>
      </c>
      <c r="F5" s="55">
        <v>0.6</v>
      </c>
      <c r="G5" s="60"/>
    </row>
    <row r="6" spans="1:7" ht="15.65" x14ac:dyDescent="0.25">
      <c r="E6" s="54" t="s">
        <v>76</v>
      </c>
      <c r="F6" s="55">
        <v>0.21</v>
      </c>
      <c r="G6" s="6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228D-2D5B-46EF-92DD-0675493D70AC}">
  <dimension ref="A1:D7"/>
  <sheetViews>
    <sheetView showGridLines="0" zoomScale="160" zoomScaleNormal="160" workbookViewId="0">
      <selection activeCell="B6" sqref="B6"/>
    </sheetView>
  </sheetViews>
  <sheetFormatPr defaultRowHeight="14.3" x14ac:dyDescent="0.25"/>
  <cols>
    <col min="1" max="1" width="19.5" bestFit="1" customWidth="1"/>
    <col min="2" max="2" width="12.625" bestFit="1" customWidth="1"/>
    <col min="3" max="3" width="13.125" bestFit="1" customWidth="1"/>
    <col min="4" max="4" width="10.625" bestFit="1" customWidth="1"/>
  </cols>
  <sheetData>
    <row r="1" spans="1:4" ht="15.65" x14ac:dyDescent="0.25">
      <c r="A1" s="19" t="s">
        <v>31</v>
      </c>
      <c r="B1" s="12" t="s">
        <v>32</v>
      </c>
      <c r="C1" s="12" t="s">
        <v>33</v>
      </c>
      <c r="D1" s="20" t="s">
        <v>34</v>
      </c>
    </row>
    <row r="2" spans="1:4" ht="15.65" x14ac:dyDescent="0.25">
      <c r="A2" s="68" t="s">
        <v>35</v>
      </c>
      <c r="B2" s="69">
        <v>12000000</v>
      </c>
      <c r="C2" s="69">
        <v>12500000</v>
      </c>
      <c r="D2" s="70">
        <v>4.1000000000000002E-2</v>
      </c>
    </row>
    <row r="3" spans="1:4" ht="15.65" x14ac:dyDescent="0.25">
      <c r="A3" s="68" t="s">
        <v>36</v>
      </c>
      <c r="B3" s="69">
        <v>20000000</v>
      </c>
      <c r="C3" s="69">
        <v>23000000</v>
      </c>
      <c r="D3" s="70">
        <v>7.1999999999999995E-2</v>
      </c>
    </row>
    <row r="4" spans="1:4" ht="15.65" x14ac:dyDescent="0.25">
      <c r="A4" s="68" t="s">
        <v>37</v>
      </c>
      <c r="B4" s="69">
        <v>9000000</v>
      </c>
      <c r="C4" s="69">
        <v>54000000</v>
      </c>
      <c r="D4" s="70">
        <v>0.13800000000000001</v>
      </c>
    </row>
    <row r="5" spans="1:4" ht="15.65" x14ac:dyDescent="0.25">
      <c r="A5" s="68" t="s">
        <v>38</v>
      </c>
      <c r="B5" s="71">
        <v>41000000</v>
      </c>
      <c r="C5" s="71">
        <v>89500000</v>
      </c>
      <c r="D5" s="72"/>
    </row>
    <row r="6" spans="1:4" ht="15.65" x14ac:dyDescent="0.25">
      <c r="A6" s="22"/>
      <c r="B6" s="22">
        <f>(B$4/B$5)*($D$4)+(1-0.21)*($D$2)*(B$2/B$5)+(1-0.21)*($D$3)*(B$3/B$5)</f>
        <v>6.7519024390243904E-2</v>
      </c>
      <c r="C6" s="22">
        <f>(C$4/C$5)*($D$4)+(1-0.21)*($D$2)*(C$2/C$5)+(1-0.21)*($D$3)*(C$3/C$5)</f>
        <v>0.10240351955307263</v>
      </c>
    </row>
    <row r="7" spans="1:4" ht="15.65" x14ac:dyDescent="0.25">
      <c r="A7" s="22"/>
      <c r="B7" s="22">
        <f>((1/1.6)*D4)+(1-0.21)*(D2)*((0.2/1.2)*(1-(1/1.6)))+(1-0.21)*(D3)*((1-(0.2/1.2))*(1-(1/1.6)))</f>
        <v>0.106049375</v>
      </c>
      <c r="C7" s="2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1002-C1DF-4FDF-81DA-2FB91CFBBF27}">
  <dimension ref="A1:H10"/>
  <sheetViews>
    <sheetView showGridLines="0" zoomScale="160" zoomScaleNormal="160" workbookViewId="0">
      <selection activeCell="B9" sqref="B9:B10"/>
    </sheetView>
  </sheetViews>
  <sheetFormatPr defaultRowHeight="14.3" x14ac:dyDescent="0.25"/>
  <cols>
    <col min="2" max="2" width="16.125" bestFit="1" customWidth="1"/>
    <col min="4" max="4" width="24.5" bestFit="1" customWidth="1"/>
    <col min="5" max="5" width="14.5" bestFit="1" customWidth="1"/>
    <col min="6" max="6" width="14.5" customWidth="1"/>
    <col min="7" max="7" width="17.5" bestFit="1" customWidth="1"/>
    <col min="8" max="8" width="12.625" bestFit="1" customWidth="1"/>
  </cols>
  <sheetData>
    <row r="1" spans="1:8" ht="15.65" x14ac:dyDescent="0.25">
      <c r="A1" s="1" t="s">
        <v>6</v>
      </c>
      <c r="B1" s="2"/>
      <c r="G1" s="37" t="s">
        <v>10</v>
      </c>
      <c r="H1" s="40">
        <v>0.13</v>
      </c>
    </row>
    <row r="2" spans="1:8" ht="15.65" x14ac:dyDescent="0.25">
      <c r="A2" s="37" t="s">
        <v>5</v>
      </c>
      <c r="B2" s="50">
        <f>-H5+(1-H2)*(H7)*PV(H1,H8,-1)+H2*SLN(H5,,H6)*PV(H4,H6,-1)</f>
        <v>-2199840.1467238627</v>
      </c>
      <c r="G2" s="37" t="s">
        <v>2</v>
      </c>
      <c r="H2" s="40">
        <v>0.21</v>
      </c>
    </row>
    <row r="3" spans="1:8" ht="15.65" x14ac:dyDescent="0.25">
      <c r="A3" s="2"/>
      <c r="B3" s="2"/>
      <c r="G3" s="37" t="s">
        <v>11</v>
      </c>
      <c r="H3" s="40">
        <v>0.05</v>
      </c>
    </row>
    <row r="4" spans="1:8" ht="15.65" x14ac:dyDescent="0.25">
      <c r="A4" s="1" t="s">
        <v>8</v>
      </c>
      <c r="B4" s="2"/>
      <c r="G4" s="37" t="s">
        <v>39</v>
      </c>
      <c r="H4" s="42">
        <v>8.5000000000000006E-2</v>
      </c>
    </row>
    <row r="5" spans="1:8" ht="15.65" x14ac:dyDescent="0.25">
      <c r="A5" s="37" t="s">
        <v>5</v>
      </c>
      <c r="B5" s="51">
        <f>H9-(1-H2)*(H3)*(H9)*PV(H4,H10,-1)-PV(H4,H10,,-H9)</f>
        <v>15113710.567945002</v>
      </c>
      <c r="C5" s="23"/>
      <c r="G5" s="73" t="s">
        <v>64</v>
      </c>
      <c r="H5" s="74">
        <v>125000000</v>
      </c>
    </row>
    <row r="6" spans="1:8" ht="15.65" x14ac:dyDescent="0.25">
      <c r="A6" s="37" t="s">
        <v>9</v>
      </c>
      <c r="B6" s="51">
        <f>$B$2+$B$5</f>
        <v>12913870.421221139</v>
      </c>
      <c r="G6" s="73" t="s">
        <v>63</v>
      </c>
      <c r="H6" s="75">
        <v>5</v>
      </c>
    </row>
    <row r="7" spans="1:8" ht="15.65" x14ac:dyDescent="0.25">
      <c r="G7" s="73" t="s">
        <v>84</v>
      </c>
      <c r="H7" s="74">
        <v>18400000</v>
      </c>
    </row>
    <row r="8" spans="1:8" ht="15.65" x14ac:dyDescent="0.25">
      <c r="A8" s="1" t="s">
        <v>8</v>
      </c>
      <c r="B8" s="2"/>
      <c r="G8" s="73" t="s">
        <v>63</v>
      </c>
      <c r="H8" s="75">
        <v>20</v>
      </c>
    </row>
    <row r="9" spans="1:8" ht="15.65" x14ac:dyDescent="0.25">
      <c r="A9" s="37" t="s">
        <v>5</v>
      </c>
      <c r="B9" s="51">
        <f>H9-(1-H2)*(H4)*(H9)*PV(H4,H10,-1)-PV(H4,H10,,-H9)</f>
        <v>5929224.9151168857</v>
      </c>
      <c r="C9" s="23"/>
      <c r="G9" s="73" t="s">
        <v>85</v>
      </c>
      <c r="H9" s="74">
        <v>40000000</v>
      </c>
    </row>
    <row r="10" spans="1:8" ht="15.65" x14ac:dyDescent="0.25">
      <c r="A10" s="37" t="s">
        <v>9</v>
      </c>
      <c r="B10" s="51">
        <f>B2+B9</f>
        <v>3729384.7683930229</v>
      </c>
      <c r="D10" s="2" t="s">
        <v>40</v>
      </c>
      <c r="E10" s="24">
        <f>B6-B10</f>
        <v>9184485.652828116</v>
      </c>
      <c r="F10" s="24"/>
      <c r="G10" s="73" t="s">
        <v>63</v>
      </c>
      <c r="H10" s="75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8586-C14C-480B-8720-D75ABD247428}">
  <dimension ref="A1:F13"/>
  <sheetViews>
    <sheetView showGridLines="0" zoomScale="160" zoomScaleNormal="160" workbookViewId="0">
      <selection activeCell="B13" sqref="B13"/>
    </sheetView>
  </sheetViews>
  <sheetFormatPr defaultRowHeight="14.3" x14ac:dyDescent="0.25"/>
  <cols>
    <col min="1" max="1" width="12.375" customWidth="1"/>
    <col min="2" max="2" width="16.5" customWidth="1"/>
    <col min="5" max="5" width="18.125" bestFit="1" customWidth="1"/>
    <col min="6" max="6" width="10.625" bestFit="1" customWidth="1"/>
  </cols>
  <sheetData>
    <row r="1" spans="1:6" ht="15.65" x14ac:dyDescent="0.25">
      <c r="A1" s="19" t="s">
        <v>41</v>
      </c>
      <c r="B1" s="25" t="s">
        <v>42</v>
      </c>
      <c r="C1" s="18"/>
      <c r="E1" s="54" t="s">
        <v>46</v>
      </c>
      <c r="F1" s="55">
        <v>0.5</v>
      </c>
    </row>
    <row r="2" spans="1:6" ht="15.65" x14ac:dyDescent="0.25">
      <c r="A2" s="26">
        <v>0</v>
      </c>
      <c r="B2" s="27">
        <v>-14700000</v>
      </c>
      <c r="C2" s="18"/>
      <c r="E2" s="54" t="s">
        <v>76</v>
      </c>
      <c r="F2" s="55">
        <v>0.21</v>
      </c>
    </row>
    <row r="3" spans="1:6" ht="15.65" x14ac:dyDescent="0.25">
      <c r="A3" s="26">
        <v>1</v>
      </c>
      <c r="B3" s="21">
        <v>5400000</v>
      </c>
      <c r="C3" s="18"/>
      <c r="E3" s="54" t="s">
        <v>86</v>
      </c>
      <c r="F3" s="55">
        <v>0.15</v>
      </c>
    </row>
    <row r="4" spans="1:6" ht="15.65" x14ac:dyDescent="0.25">
      <c r="A4" s="26">
        <v>2</v>
      </c>
      <c r="B4" s="21">
        <v>8900000</v>
      </c>
      <c r="C4" s="18"/>
      <c r="E4" s="54" t="s">
        <v>87</v>
      </c>
      <c r="F4" s="55">
        <v>0.09</v>
      </c>
    </row>
    <row r="5" spans="1:6" ht="15.65" x14ac:dyDescent="0.25">
      <c r="A5" s="26">
        <v>3</v>
      </c>
      <c r="B5" s="21">
        <v>8600000</v>
      </c>
      <c r="C5" s="18"/>
      <c r="E5" s="54" t="s">
        <v>88</v>
      </c>
      <c r="F5" s="56">
        <v>3100000</v>
      </c>
    </row>
    <row r="6" spans="1:6" ht="15.65" x14ac:dyDescent="0.25">
      <c r="E6" s="54" t="s">
        <v>89</v>
      </c>
      <c r="F6" s="56">
        <v>9300000</v>
      </c>
    </row>
    <row r="7" spans="1:6" ht="15.65" x14ac:dyDescent="0.25">
      <c r="A7" s="37"/>
      <c r="B7" s="61">
        <v>0.13301075268817203</v>
      </c>
    </row>
    <row r="8" spans="1:6" ht="15.65" x14ac:dyDescent="0.25">
      <c r="A8" s="37"/>
      <c r="B8" s="55">
        <f>B7+(F1)*(B7-F4)*(1-F2)</f>
        <v>0.15</v>
      </c>
    </row>
    <row r="9" spans="1:6" ht="15.65" x14ac:dyDescent="0.25">
      <c r="A9" s="37" t="s">
        <v>5</v>
      </c>
      <c r="B9" s="57">
        <f>NPV(B7,B3:B5)+B2</f>
        <v>2911917.4395131767</v>
      </c>
      <c r="C9" s="1" t="s">
        <v>6</v>
      </c>
    </row>
    <row r="10" spans="1:6" ht="15.65" x14ac:dyDescent="0.25">
      <c r="A10" s="37" t="s">
        <v>5</v>
      </c>
      <c r="B10" s="57">
        <f>F6-(1-F2)*(F4)*(F6)*PV(F4,1,,-1)-PV(F4,1,,-F5)-(1-F2)*(F4)*(F6-F5)*PV(F4,2,,-1)-PV(F4,2,,-F5)-(1-F2)*(F4)*(F6-F5-F5)*PV(F4,3,,-1)-PV(F4,3,,-F5)</f>
        <v>305127.17244169768</v>
      </c>
      <c r="C10" s="1" t="s">
        <v>8</v>
      </c>
    </row>
    <row r="11" spans="1:6" ht="15.65" x14ac:dyDescent="0.25">
      <c r="A11" s="37" t="s">
        <v>9</v>
      </c>
      <c r="B11" s="57">
        <f>B9+B10</f>
        <v>3217044.6119548744</v>
      </c>
    </row>
    <row r="13" spans="1:6" ht="15.65" x14ac:dyDescent="0.25">
      <c r="B13" s="1" t="s">
        <v>90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F4D4-90FE-47D3-839A-5C06707FEDAF}">
  <dimension ref="A1:G12"/>
  <sheetViews>
    <sheetView showGridLines="0" zoomScale="160" zoomScaleNormal="160" workbookViewId="0">
      <selection activeCell="B1" sqref="B1:B6"/>
    </sheetView>
  </sheetViews>
  <sheetFormatPr defaultRowHeight="14.3" x14ac:dyDescent="0.25"/>
  <cols>
    <col min="1" max="1" width="12.375" bestFit="1" customWidth="1"/>
    <col min="2" max="2" width="15.5" bestFit="1" customWidth="1"/>
    <col min="5" max="5" width="14.875" bestFit="1" customWidth="1"/>
    <col min="6" max="6" width="11.625" bestFit="1" customWidth="1"/>
  </cols>
  <sheetData>
    <row r="1" spans="1:7" ht="15.65" x14ac:dyDescent="0.25">
      <c r="A1" s="37" t="s">
        <v>43</v>
      </c>
      <c r="B1" s="67">
        <f>1-B2</f>
        <v>0.2722772277227723</v>
      </c>
      <c r="E1" s="54" t="s">
        <v>91</v>
      </c>
      <c r="F1" s="67">
        <v>4.1500000000000002E-2</v>
      </c>
      <c r="G1" s="60" t="s">
        <v>92</v>
      </c>
    </row>
    <row r="2" spans="1:7" ht="15.65" x14ac:dyDescent="0.25">
      <c r="A2" s="37" t="s">
        <v>44</v>
      </c>
      <c r="B2" s="67">
        <f>((F6*F7)/((F6*F7)+F4))</f>
        <v>0.7277227722772277</v>
      </c>
      <c r="E2" s="54" t="s">
        <v>93</v>
      </c>
      <c r="F2" s="55">
        <v>0.2</v>
      </c>
      <c r="G2" s="60" t="s">
        <v>94</v>
      </c>
    </row>
    <row r="3" spans="1:7" ht="15.65" x14ac:dyDescent="0.25">
      <c r="A3" s="37" t="s">
        <v>45</v>
      </c>
      <c r="B3" s="58">
        <f>F1/F2^2</f>
        <v>1.0374999999999999</v>
      </c>
      <c r="E3" s="54" t="s">
        <v>95</v>
      </c>
      <c r="F3" s="67">
        <v>6.7000000000000004E-2</v>
      </c>
      <c r="G3" s="60"/>
    </row>
    <row r="4" spans="1:7" ht="15.65" x14ac:dyDescent="0.25">
      <c r="A4" s="37"/>
      <c r="B4" s="67">
        <f>F9+B3*(F3)</f>
        <v>0.10351249999999999</v>
      </c>
      <c r="E4" s="54" t="s">
        <v>96</v>
      </c>
      <c r="F4" s="56">
        <v>55000000</v>
      </c>
      <c r="G4" s="60"/>
    </row>
    <row r="5" spans="1:7" ht="15.65" x14ac:dyDescent="0.25">
      <c r="A5" s="52"/>
      <c r="B5" s="67">
        <f>(B4*B2)+(1-F8)*(F5)*(B1)</f>
        <v>8.9309839108910882E-2</v>
      </c>
      <c r="E5" s="54" t="s">
        <v>97</v>
      </c>
      <c r="F5" s="61">
        <v>6.5000000000000002E-2</v>
      </c>
      <c r="G5" s="60"/>
    </row>
    <row r="6" spans="1:7" ht="15.65" x14ac:dyDescent="0.25">
      <c r="A6" s="37" t="s">
        <v>5</v>
      </c>
      <c r="B6" s="57">
        <f>-F10+PV(B5,F12,-F11)</f>
        <v>14904676.752522886</v>
      </c>
      <c r="E6" s="54" t="s">
        <v>98</v>
      </c>
      <c r="F6" s="54">
        <v>4200000</v>
      </c>
      <c r="G6" s="60"/>
    </row>
    <row r="7" spans="1:7" ht="15.65" x14ac:dyDescent="0.25">
      <c r="E7" s="54" t="s">
        <v>4</v>
      </c>
      <c r="F7" s="56">
        <v>35</v>
      </c>
      <c r="G7" s="60"/>
    </row>
    <row r="8" spans="1:7" ht="15.65" x14ac:dyDescent="0.25">
      <c r="E8" s="54" t="s">
        <v>76</v>
      </c>
      <c r="F8" s="55">
        <v>0.21</v>
      </c>
      <c r="G8" s="60"/>
    </row>
    <row r="9" spans="1:7" ht="15.65" x14ac:dyDescent="0.25">
      <c r="E9" s="54" t="s">
        <v>71</v>
      </c>
      <c r="F9" s="61">
        <v>3.4000000000000002E-2</v>
      </c>
      <c r="G9" s="60"/>
    </row>
    <row r="10" spans="1:7" ht="15.65" x14ac:dyDescent="0.25">
      <c r="E10" s="54" t="s">
        <v>64</v>
      </c>
      <c r="F10" s="56">
        <v>49000000</v>
      </c>
      <c r="G10" s="60"/>
    </row>
    <row r="11" spans="1:7" ht="15.65" x14ac:dyDescent="0.25">
      <c r="E11" s="54" t="s">
        <v>99</v>
      </c>
      <c r="F11" s="56">
        <v>16400000</v>
      </c>
      <c r="G11" s="60"/>
    </row>
    <row r="12" spans="1:7" ht="15.65" x14ac:dyDescent="0.25">
      <c r="E12" s="54" t="s">
        <v>63</v>
      </c>
      <c r="F12" s="54">
        <v>5</v>
      </c>
      <c r="G12" s="6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F32C-CB23-44AB-A8CD-B5DF8118F3DC}">
  <dimension ref="A1:H8"/>
  <sheetViews>
    <sheetView showGridLines="0" zoomScale="160" zoomScaleNormal="160" workbookViewId="0">
      <selection activeCell="B1" sqref="B1:B6"/>
    </sheetView>
  </sheetViews>
  <sheetFormatPr defaultRowHeight="14.3" x14ac:dyDescent="0.25"/>
  <cols>
    <col min="1" max="1" width="10.375" customWidth="1"/>
    <col min="2" max="2" width="14.5" bestFit="1" customWidth="1"/>
    <col min="4" max="4" width="12.375" bestFit="1" customWidth="1"/>
    <col min="5" max="5" width="10.625" bestFit="1" customWidth="1"/>
  </cols>
  <sheetData>
    <row r="1" spans="1:8" ht="15.65" x14ac:dyDescent="0.25">
      <c r="A1" s="37"/>
      <c r="B1" s="77">
        <f>AVERAGE($H$2:$H$5)</f>
        <v>1.1950000000000001</v>
      </c>
      <c r="D1" s="54" t="s">
        <v>64</v>
      </c>
      <c r="E1" s="56">
        <v>4600000</v>
      </c>
      <c r="H1" s="76" t="s">
        <v>101</v>
      </c>
    </row>
    <row r="2" spans="1:8" ht="15.65" x14ac:dyDescent="0.25">
      <c r="A2" s="37" t="s">
        <v>46</v>
      </c>
      <c r="B2" s="67">
        <f>E4/(1-E4)</f>
        <v>0.53846153846153844</v>
      </c>
      <c r="D2" s="54" t="s">
        <v>99</v>
      </c>
      <c r="E2" s="56">
        <v>835000</v>
      </c>
      <c r="H2" s="54">
        <v>1.1499999999999999</v>
      </c>
    </row>
    <row r="3" spans="1:8" ht="15.65" x14ac:dyDescent="0.25">
      <c r="A3" s="37"/>
      <c r="B3" s="77">
        <f>(1+(1-E8)*(B2))*B1</f>
        <v>1.7033346153846156</v>
      </c>
      <c r="D3" s="54" t="s">
        <v>63</v>
      </c>
      <c r="E3" s="54">
        <v>20</v>
      </c>
      <c r="H3" s="54">
        <v>1.08</v>
      </c>
    </row>
    <row r="4" spans="1:8" ht="15.65" x14ac:dyDescent="0.25">
      <c r="A4" s="37"/>
      <c r="B4" s="67">
        <f>E6+B3*(E7)</f>
        <v>0.15723342307692309</v>
      </c>
      <c r="D4" s="54" t="s">
        <v>100</v>
      </c>
      <c r="E4" s="55">
        <v>0.35</v>
      </c>
      <c r="H4" s="54">
        <v>1.3</v>
      </c>
    </row>
    <row r="5" spans="1:8" ht="15.65" x14ac:dyDescent="0.25">
      <c r="A5" s="52"/>
      <c r="B5" s="67">
        <f>((1/(1+B2))*B4)+(1-E8)*(E5)*(B2/(1+B2))</f>
        <v>0.12100372500000001</v>
      </c>
      <c r="D5" s="54" t="s">
        <v>97</v>
      </c>
      <c r="E5" s="61">
        <v>6.8000000000000005E-2</v>
      </c>
      <c r="H5" s="54">
        <v>1.25</v>
      </c>
    </row>
    <row r="6" spans="1:8" ht="15.65" x14ac:dyDescent="0.25">
      <c r="A6" s="37" t="s">
        <v>5</v>
      </c>
      <c r="B6" s="57">
        <f>-E1+PV(B5,E3,-E2)</f>
        <v>1597951.7614410222</v>
      </c>
      <c r="D6" s="54" t="s">
        <v>71</v>
      </c>
      <c r="E6" s="61">
        <v>3.7999999999999999E-2</v>
      </c>
    </row>
    <row r="7" spans="1:8" ht="15.65" x14ac:dyDescent="0.25">
      <c r="D7" s="54" t="s">
        <v>95</v>
      </c>
      <c r="E7" s="55">
        <v>7.0000000000000007E-2</v>
      </c>
    </row>
    <row r="8" spans="1:8" ht="15.65" x14ac:dyDescent="0.25">
      <c r="D8" s="54" t="s">
        <v>76</v>
      </c>
      <c r="E8" s="55">
        <v>0.21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91F2-C62D-4A69-A0DF-DEAA941BF974}">
  <dimension ref="A1:G25"/>
  <sheetViews>
    <sheetView showGridLines="0" topLeftCell="A8" zoomScale="160" zoomScaleNormal="160" workbookViewId="0">
      <selection activeCell="F17" sqref="F17"/>
    </sheetView>
  </sheetViews>
  <sheetFormatPr defaultRowHeight="14.3" x14ac:dyDescent="0.25"/>
  <cols>
    <col min="1" max="1" width="20.75" bestFit="1" customWidth="1"/>
    <col min="2" max="2" width="16.5" bestFit="1" customWidth="1"/>
    <col min="5" max="5" width="14.875" bestFit="1" customWidth="1"/>
    <col min="6" max="6" width="11.625" bestFit="1" customWidth="1"/>
  </cols>
  <sheetData>
    <row r="1" spans="1:7" ht="15.65" x14ac:dyDescent="0.25">
      <c r="A1" s="1" t="s">
        <v>0</v>
      </c>
      <c r="B1" s="2"/>
      <c r="E1" s="54" t="s">
        <v>51</v>
      </c>
      <c r="F1" s="56">
        <v>23500000</v>
      </c>
      <c r="G1" s="60" t="s">
        <v>102</v>
      </c>
    </row>
    <row r="2" spans="1:7" ht="15.65" x14ac:dyDescent="0.25">
      <c r="A2" s="53" t="s">
        <v>23</v>
      </c>
      <c r="B2" s="57">
        <f>(F1*(1-F4))/F2</f>
        <v>168772727.27272728</v>
      </c>
      <c r="E2" s="54" t="s">
        <v>103</v>
      </c>
      <c r="F2" s="61">
        <v>0.11</v>
      </c>
      <c r="G2" s="60"/>
    </row>
    <row r="3" spans="1:7" ht="15.65" x14ac:dyDescent="0.25">
      <c r="A3" s="37" t="s">
        <v>47</v>
      </c>
      <c r="B3" s="57">
        <f>B2/F3</f>
        <v>88.827751196172258</v>
      </c>
      <c r="E3" s="54" t="s">
        <v>98</v>
      </c>
      <c r="F3" s="54">
        <v>1900000</v>
      </c>
      <c r="G3" s="60"/>
    </row>
    <row r="4" spans="1:7" ht="15.65" x14ac:dyDescent="0.25">
      <c r="A4" s="2"/>
      <c r="B4" s="2"/>
      <c r="E4" s="54" t="s">
        <v>76</v>
      </c>
      <c r="F4" s="55">
        <v>0.21</v>
      </c>
      <c r="G4" s="60"/>
    </row>
    <row r="5" spans="1:7" ht="15.65" x14ac:dyDescent="0.25">
      <c r="A5" s="1" t="s">
        <v>7</v>
      </c>
      <c r="B5" s="2"/>
      <c r="E5" s="54" t="s">
        <v>89</v>
      </c>
      <c r="F5" s="56">
        <v>35000000</v>
      </c>
      <c r="G5" s="60" t="s">
        <v>104</v>
      </c>
    </row>
    <row r="6" spans="1:7" ht="15.65" x14ac:dyDescent="0.25">
      <c r="A6" s="37" t="s">
        <v>5</v>
      </c>
      <c r="B6" s="56">
        <f>F5-(1-F4)*(F6)*(F5)/F6</f>
        <v>7350000</v>
      </c>
      <c r="E6" s="54" t="s">
        <v>81</v>
      </c>
      <c r="F6" s="55">
        <v>0.06</v>
      </c>
      <c r="G6" s="60"/>
    </row>
    <row r="7" spans="1:7" ht="15.65" x14ac:dyDescent="0.25">
      <c r="A7" s="53" t="s">
        <v>23</v>
      </c>
      <c r="B7" s="57">
        <f>B2+B6</f>
        <v>176122727.27272728</v>
      </c>
    </row>
    <row r="8" spans="1:7" ht="15.65" x14ac:dyDescent="0.25">
      <c r="A8" s="37" t="s">
        <v>47</v>
      </c>
      <c r="B8" s="78">
        <f>B7/F3</f>
        <v>92.696172248803833</v>
      </c>
    </row>
    <row r="9" spans="1:7" ht="15.65" x14ac:dyDescent="0.25">
      <c r="A9" s="2"/>
      <c r="B9" s="2"/>
    </row>
    <row r="10" spans="1:7" ht="15.65" x14ac:dyDescent="0.25">
      <c r="A10" s="1" t="s">
        <v>24</v>
      </c>
      <c r="B10" s="2"/>
    </row>
    <row r="11" spans="1:7" ht="15.65" x14ac:dyDescent="0.25">
      <c r="A11" s="37" t="s">
        <v>48</v>
      </c>
      <c r="B11" s="79">
        <f>F5/B8</f>
        <v>377577.61891243194</v>
      </c>
    </row>
    <row r="12" spans="1:7" ht="15.65" x14ac:dyDescent="0.25">
      <c r="A12" s="37" t="s">
        <v>49</v>
      </c>
      <c r="B12" s="79">
        <f>F3-B11</f>
        <v>1522422.3810875681</v>
      </c>
    </row>
    <row r="13" spans="1:7" ht="15.65" x14ac:dyDescent="0.25">
      <c r="A13" s="53" t="s">
        <v>23</v>
      </c>
      <c r="B13" s="80">
        <f>B12*B8</f>
        <v>141122727.27272728</v>
      </c>
    </row>
    <row r="14" spans="1:7" ht="15.65" x14ac:dyDescent="0.25">
      <c r="A14" s="37" t="s">
        <v>47</v>
      </c>
      <c r="B14" s="78">
        <f>B13/B12</f>
        <v>92.696172248803833</v>
      </c>
    </row>
    <row r="15" spans="1:7" ht="15.65" x14ac:dyDescent="0.25">
      <c r="A15" s="2"/>
      <c r="B15" s="2"/>
    </row>
    <row r="16" spans="1:7" ht="15.65" x14ac:dyDescent="0.25">
      <c r="A16" s="1" t="s">
        <v>50</v>
      </c>
      <c r="B16" s="2"/>
    </row>
    <row r="17" spans="1:3" ht="15.65" x14ac:dyDescent="0.25">
      <c r="A17" s="54"/>
      <c r="B17" s="67">
        <f>F2+(F5/B13)*(F2-F6)*(1-F4)</f>
        <v>0.11979643765903308</v>
      </c>
      <c r="C17" s="60" t="s">
        <v>106</v>
      </c>
    </row>
    <row r="18" spans="1:3" ht="15.65" x14ac:dyDescent="0.25">
      <c r="A18" s="60"/>
      <c r="B18" s="60"/>
    </row>
    <row r="19" spans="1:3" ht="15.65" x14ac:dyDescent="0.25">
      <c r="A19" s="7" t="s">
        <v>51</v>
      </c>
      <c r="B19" s="28">
        <f>F1</f>
        <v>23500000</v>
      </c>
    </row>
    <row r="20" spans="1:3" ht="15.65" x14ac:dyDescent="0.25">
      <c r="A20" s="7" t="s">
        <v>15</v>
      </c>
      <c r="B20" s="28">
        <f>F5*F6</f>
        <v>2100000</v>
      </c>
    </row>
    <row r="21" spans="1:3" ht="15.65" x14ac:dyDescent="0.25">
      <c r="A21" s="7" t="s">
        <v>16</v>
      </c>
      <c r="B21" s="28">
        <f>B19-B20</f>
        <v>21400000</v>
      </c>
    </row>
    <row r="22" spans="1:3" ht="15.65" x14ac:dyDescent="0.25">
      <c r="A22" s="7" t="s">
        <v>17</v>
      </c>
      <c r="B22" s="28">
        <f>B21*F4</f>
        <v>4494000</v>
      </c>
    </row>
    <row r="23" spans="1:3" ht="15.65" x14ac:dyDescent="0.25">
      <c r="A23" s="7" t="s">
        <v>52</v>
      </c>
      <c r="B23" s="29">
        <f>B21-B22</f>
        <v>16906000</v>
      </c>
    </row>
    <row r="24" spans="1:3" ht="15.65" x14ac:dyDescent="0.25">
      <c r="A24" s="60"/>
      <c r="B24" s="60"/>
    </row>
    <row r="25" spans="1:3" ht="15.65" x14ac:dyDescent="0.25">
      <c r="A25" s="30" t="s">
        <v>53</v>
      </c>
      <c r="B25" s="81">
        <f>B23/B17</f>
        <v>141122727.27272728</v>
      </c>
    </row>
  </sheetData>
  <pageMargins left="0.7" right="0.7" top="0.75" bottom="0.75" header="0.3" footer="0.3"/>
  <ignoredErrors>
    <ignoredError sqref="B22" formula="1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BE76-794F-4FFC-973F-50B4E6B6339C}">
  <dimension ref="A1:F28"/>
  <sheetViews>
    <sheetView showGridLines="0" zoomScale="160" zoomScaleNormal="160" workbookViewId="0">
      <selection activeCell="C1" sqref="C1"/>
    </sheetView>
  </sheetViews>
  <sheetFormatPr defaultRowHeight="14.3" x14ac:dyDescent="0.25"/>
  <cols>
    <col min="1" max="1" width="14.625" customWidth="1"/>
    <col min="2" max="2" width="15.5" bestFit="1" customWidth="1"/>
    <col min="3" max="3" width="14.5" bestFit="1" customWidth="1"/>
    <col min="4" max="4" width="14.375" bestFit="1" customWidth="1"/>
    <col min="5" max="5" width="11.625" bestFit="1" customWidth="1"/>
  </cols>
  <sheetData>
    <row r="1" spans="1:6" ht="15.65" x14ac:dyDescent="0.25">
      <c r="A1" s="1" t="s">
        <v>0</v>
      </c>
      <c r="B1" s="2"/>
      <c r="D1" s="54" t="s">
        <v>46</v>
      </c>
      <c r="E1" s="55">
        <v>0.35</v>
      </c>
      <c r="F1" s="60"/>
    </row>
    <row r="2" spans="1:6" ht="15.65" x14ac:dyDescent="0.25">
      <c r="A2" s="7" t="s">
        <v>12</v>
      </c>
      <c r="B2" s="8">
        <f>E4</f>
        <v>18600000</v>
      </c>
      <c r="D2" s="54" t="s">
        <v>107</v>
      </c>
      <c r="E2" s="61">
        <v>0.121</v>
      </c>
      <c r="F2" s="60"/>
    </row>
    <row r="3" spans="1:6" ht="15.65" x14ac:dyDescent="0.25">
      <c r="A3" s="7" t="s">
        <v>54</v>
      </c>
      <c r="B3" s="8">
        <f>B2*E5</f>
        <v>11160000</v>
      </c>
      <c r="D3" s="54" t="s">
        <v>81</v>
      </c>
      <c r="E3" s="61">
        <v>6.3E-2</v>
      </c>
      <c r="F3" s="60"/>
    </row>
    <row r="4" spans="1:6" ht="15.65" x14ac:dyDescent="0.25">
      <c r="A4" s="7" t="s">
        <v>16</v>
      </c>
      <c r="B4" s="8">
        <f>B2-B3</f>
        <v>7440000</v>
      </c>
      <c r="D4" s="54" t="s">
        <v>12</v>
      </c>
      <c r="E4" s="56">
        <v>18600000</v>
      </c>
      <c r="F4" s="60"/>
    </row>
    <row r="5" spans="1:6" ht="15.65" x14ac:dyDescent="0.25">
      <c r="A5" s="7" t="s">
        <v>55</v>
      </c>
      <c r="B5" s="8">
        <f>B4*E6</f>
        <v>1562400</v>
      </c>
      <c r="D5" s="54" t="s">
        <v>108</v>
      </c>
      <c r="E5" s="55">
        <v>0.6</v>
      </c>
      <c r="F5" s="60" t="s">
        <v>109</v>
      </c>
    </row>
    <row r="6" spans="1:6" ht="15.65" x14ac:dyDescent="0.25">
      <c r="A6" s="7" t="s">
        <v>52</v>
      </c>
      <c r="B6" s="8">
        <f>B4-B5</f>
        <v>5877600</v>
      </c>
      <c r="D6" s="54" t="s">
        <v>76</v>
      </c>
      <c r="E6" s="55">
        <v>0.21</v>
      </c>
      <c r="F6" s="60"/>
    </row>
    <row r="7" spans="1:6" ht="15.65" x14ac:dyDescent="0.25">
      <c r="A7" s="2"/>
      <c r="B7" s="60"/>
    </row>
    <row r="8" spans="1:6" ht="15.65" x14ac:dyDescent="0.25">
      <c r="A8" s="30" t="s">
        <v>23</v>
      </c>
      <c r="B8" s="82">
        <f>B6/E2</f>
        <v>48575206.611570247</v>
      </c>
    </row>
    <row r="9" spans="1:6" ht="15.65" x14ac:dyDescent="0.25">
      <c r="A9" s="2"/>
      <c r="B9" s="2"/>
    </row>
    <row r="10" spans="1:6" ht="15.65" x14ac:dyDescent="0.25">
      <c r="A10" s="1" t="s">
        <v>7</v>
      </c>
      <c r="B10" s="2"/>
    </row>
    <row r="11" spans="1:6" ht="15.65" x14ac:dyDescent="0.25">
      <c r="A11" s="37"/>
      <c r="B11" s="67">
        <f>E2+(E1)*(E2-E3)*(1-E6)</f>
        <v>0.13703699999999999</v>
      </c>
      <c r="C11" s="60" t="s">
        <v>105</v>
      </c>
    </row>
    <row r="12" spans="1:6" ht="15.65" x14ac:dyDescent="0.25">
      <c r="A12" s="2"/>
      <c r="B12" s="2"/>
    </row>
    <row r="13" spans="1:6" ht="15.65" x14ac:dyDescent="0.25">
      <c r="A13" s="1" t="s">
        <v>24</v>
      </c>
      <c r="B13" s="2"/>
    </row>
    <row r="14" spans="1:6" ht="15.65" x14ac:dyDescent="0.25">
      <c r="A14" s="52"/>
      <c r="B14" s="67">
        <f>((1/(1+E1))*B11)+(1-E6)*(E3)*(E1/(1+E1))</f>
        <v>0.11441222222222221</v>
      </c>
    </row>
    <row r="15" spans="1:6" ht="15.65" x14ac:dyDescent="0.25">
      <c r="A15" s="53" t="s">
        <v>23</v>
      </c>
      <c r="B15" s="57">
        <f>B6/B14</f>
        <v>51372133.901778176</v>
      </c>
    </row>
    <row r="16" spans="1:6" ht="15.65" x14ac:dyDescent="0.25">
      <c r="A16" s="53" t="s">
        <v>22</v>
      </c>
      <c r="B16" s="57">
        <f>B15*(E1/(1+E1))</f>
        <v>13318701.38194249</v>
      </c>
    </row>
    <row r="17" spans="1:2" ht="15.65" x14ac:dyDescent="0.25">
      <c r="A17" s="53" t="s">
        <v>53</v>
      </c>
      <c r="B17" s="83">
        <f>B15*(1/(1+E1))</f>
        <v>38053432.519835681</v>
      </c>
    </row>
    <row r="18" spans="1:2" ht="15.65" x14ac:dyDescent="0.25">
      <c r="A18" s="2"/>
      <c r="B18" s="2"/>
    </row>
    <row r="19" spans="1:2" ht="15.65" x14ac:dyDescent="0.25">
      <c r="A19" s="1" t="s">
        <v>50</v>
      </c>
      <c r="B19" s="2"/>
    </row>
    <row r="20" spans="1:2" ht="15.65" x14ac:dyDescent="0.25">
      <c r="A20" s="7" t="s">
        <v>12</v>
      </c>
      <c r="B20" s="8">
        <f>E4</f>
        <v>18600000</v>
      </c>
    </row>
    <row r="21" spans="1:2" ht="15.65" x14ac:dyDescent="0.25">
      <c r="A21" s="7" t="s">
        <v>54</v>
      </c>
      <c r="B21" s="8">
        <f>B20*E5</f>
        <v>11160000</v>
      </c>
    </row>
    <row r="22" spans="1:2" ht="15.65" x14ac:dyDescent="0.25">
      <c r="A22" s="7" t="s">
        <v>51</v>
      </c>
      <c r="B22" s="8">
        <f>B20-B21</f>
        <v>7440000</v>
      </c>
    </row>
    <row r="23" spans="1:2" ht="15.65" x14ac:dyDescent="0.25">
      <c r="A23" s="7" t="s">
        <v>15</v>
      </c>
      <c r="B23" s="8">
        <f>B16*E3</f>
        <v>839078.18706237688</v>
      </c>
    </row>
    <row r="24" spans="1:2" ht="15.65" x14ac:dyDescent="0.25">
      <c r="A24" s="7" t="s">
        <v>16</v>
      </c>
      <c r="B24" s="8">
        <f>B22-B23</f>
        <v>6600921.8129376229</v>
      </c>
    </row>
    <row r="25" spans="1:2" ht="15.65" x14ac:dyDescent="0.25">
      <c r="A25" s="7" t="s">
        <v>55</v>
      </c>
      <c r="B25" s="8">
        <f>B24*E6</f>
        <v>1386193.5807169008</v>
      </c>
    </row>
    <row r="26" spans="1:2" ht="15.65" x14ac:dyDescent="0.25">
      <c r="A26" s="7" t="s">
        <v>52</v>
      </c>
      <c r="B26" s="8">
        <f>B24-B25</f>
        <v>5214728.2322207224</v>
      </c>
    </row>
    <row r="27" spans="1:2" ht="15.65" x14ac:dyDescent="0.25">
      <c r="A27" s="2"/>
      <c r="B27" s="60"/>
    </row>
    <row r="28" spans="1:2" ht="15.65" x14ac:dyDescent="0.25">
      <c r="A28" s="30" t="s">
        <v>53</v>
      </c>
      <c r="B28" s="84">
        <f>B26/B11</f>
        <v>38053432.519835681</v>
      </c>
    </row>
  </sheetData>
  <pageMargins left="0.7" right="0.7" top="0.75" bottom="0.75" header="0.3" footer="0.3"/>
  <ignoredErrors>
    <ignoredError sqref="B5 B23 B25" formula="1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DEDF-51B6-43A5-89AC-4E68D2C377D4}">
  <dimension ref="A1:F16"/>
  <sheetViews>
    <sheetView showGridLines="0" zoomScale="160" zoomScaleNormal="160" workbookViewId="0">
      <selection activeCell="D1" sqref="D1"/>
    </sheetView>
  </sheetViews>
  <sheetFormatPr defaultRowHeight="14.3" x14ac:dyDescent="0.25"/>
  <cols>
    <col min="1" max="1" width="12.625" customWidth="1"/>
    <col min="2" max="2" width="13.125" bestFit="1" customWidth="1"/>
    <col min="4" max="4" width="14.375" bestFit="1" customWidth="1"/>
  </cols>
  <sheetData>
    <row r="1" spans="1:6" ht="15.65" x14ac:dyDescent="0.25">
      <c r="A1" s="1" t="s">
        <v>0</v>
      </c>
      <c r="B1" s="2"/>
      <c r="D1" s="54" t="s">
        <v>27</v>
      </c>
      <c r="E1" s="56">
        <v>325000</v>
      </c>
      <c r="F1" s="60" t="s">
        <v>104</v>
      </c>
    </row>
    <row r="2" spans="1:6" ht="15.65" x14ac:dyDescent="0.25">
      <c r="A2" s="53" t="s">
        <v>23</v>
      </c>
      <c r="B2" s="57">
        <f>(E3*(1-E5))/E4</f>
        <v>1098476.1904761905</v>
      </c>
      <c r="D2" s="54" t="s">
        <v>81</v>
      </c>
      <c r="E2" s="55">
        <v>7.0000000000000007E-2</v>
      </c>
      <c r="F2" s="60"/>
    </row>
    <row r="3" spans="1:6" ht="15.65" x14ac:dyDescent="0.25">
      <c r="A3" s="1" t="s">
        <v>7</v>
      </c>
      <c r="B3" s="2"/>
      <c r="D3" s="54" t="s">
        <v>51</v>
      </c>
      <c r="E3" s="56">
        <v>146000</v>
      </c>
      <c r="F3" s="60" t="s">
        <v>102</v>
      </c>
    </row>
    <row r="4" spans="1:6" ht="15.65" x14ac:dyDescent="0.25">
      <c r="A4" s="37" t="s">
        <v>5</v>
      </c>
      <c r="B4" s="56">
        <f>E1-(1-E5)*(E2)*(E1)/E2</f>
        <v>68249.999999999971</v>
      </c>
      <c r="D4" s="54" t="s">
        <v>107</v>
      </c>
      <c r="E4" s="61">
        <v>0.105</v>
      </c>
      <c r="F4" s="60"/>
    </row>
    <row r="5" spans="1:6" ht="15.65" x14ac:dyDescent="0.25">
      <c r="A5" s="37" t="s">
        <v>9</v>
      </c>
      <c r="B5" s="57">
        <f>B2+B4</f>
        <v>1166726.1904761905</v>
      </c>
      <c r="D5" s="54" t="s">
        <v>76</v>
      </c>
      <c r="E5" s="55">
        <v>0.21</v>
      </c>
      <c r="F5" s="60"/>
    </row>
    <row r="6" spans="1:6" ht="15.65" x14ac:dyDescent="0.25">
      <c r="A6" s="53" t="s">
        <v>53</v>
      </c>
      <c r="B6" s="83">
        <f>B5-E1</f>
        <v>841726.19047619053</v>
      </c>
    </row>
    <row r="7" spans="1:6" ht="15.65" x14ac:dyDescent="0.25">
      <c r="A7" s="1" t="s">
        <v>24</v>
      </c>
      <c r="B7" s="2"/>
    </row>
    <row r="8" spans="1:6" ht="15.65" x14ac:dyDescent="0.25">
      <c r="A8" s="37"/>
      <c r="B8" s="67">
        <f>E4+(E1/B6)*(E4-E2)*(1-E5)</f>
        <v>0.11567597765363127</v>
      </c>
      <c r="C8" s="60" t="s">
        <v>105</v>
      </c>
    </row>
    <row r="9" spans="1:6" ht="15.65" x14ac:dyDescent="0.25">
      <c r="A9" s="1" t="s">
        <v>50</v>
      </c>
      <c r="B9" s="2"/>
    </row>
    <row r="10" spans="1:6" ht="15.65" x14ac:dyDescent="0.25">
      <c r="A10" s="7" t="s">
        <v>51</v>
      </c>
      <c r="B10" s="8">
        <f>E3</f>
        <v>146000</v>
      </c>
    </row>
    <row r="11" spans="1:6" ht="15.65" x14ac:dyDescent="0.25">
      <c r="A11" s="7" t="s">
        <v>15</v>
      </c>
      <c r="B11" s="8">
        <f>E1*E2</f>
        <v>22750.000000000004</v>
      </c>
    </row>
    <row r="12" spans="1:6" ht="15.65" x14ac:dyDescent="0.25">
      <c r="A12" s="7" t="s">
        <v>16</v>
      </c>
      <c r="B12" s="8">
        <f>B10-B11</f>
        <v>123250</v>
      </c>
    </row>
    <row r="13" spans="1:6" ht="15.65" x14ac:dyDescent="0.25">
      <c r="A13" s="7" t="s">
        <v>55</v>
      </c>
      <c r="B13" s="8">
        <f>B12*E5</f>
        <v>25882.5</v>
      </c>
    </row>
    <row r="14" spans="1:6" ht="15.65" x14ac:dyDescent="0.25">
      <c r="A14" s="7" t="s">
        <v>52</v>
      </c>
      <c r="B14" s="8">
        <f>B12-B13</f>
        <v>97367.5</v>
      </c>
    </row>
    <row r="15" spans="1:6" ht="15.65" x14ac:dyDescent="0.25">
      <c r="A15" s="2"/>
      <c r="B15" s="60"/>
    </row>
    <row r="16" spans="1:6" ht="15.65" x14ac:dyDescent="0.25">
      <c r="A16" s="30" t="s">
        <v>53</v>
      </c>
      <c r="B16" s="84">
        <f>B14/B8</f>
        <v>841726.19047619053</v>
      </c>
    </row>
  </sheetData>
  <pageMargins left="0.7" right="0.7" top="0.75" bottom="0.75" header="0.3" footer="0.3"/>
  <ignoredErrors>
    <ignoredError sqref="B13" formula="1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FDD3-25D2-4FD3-983B-69B365464B61}">
  <dimension ref="A1:G16"/>
  <sheetViews>
    <sheetView showGridLines="0" zoomScale="160" zoomScaleNormal="160" workbookViewId="0"/>
  </sheetViews>
  <sheetFormatPr defaultRowHeight="14.3" x14ac:dyDescent="0.25"/>
  <cols>
    <col min="1" max="1" width="15.625" bestFit="1" customWidth="1"/>
    <col min="2" max="2" width="13" bestFit="1" customWidth="1"/>
    <col min="5" max="5" width="12.5" bestFit="1" customWidth="1"/>
  </cols>
  <sheetData>
    <row r="1" spans="1:7" ht="15.65" x14ac:dyDescent="0.25">
      <c r="A1" s="37"/>
      <c r="B1" s="67">
        <f>F5+F3*(F4)</f>
        <v>0.13400000000000001</v>
      </c>
      <c r="C1" s="65" t="s">
        <v>105</v>
      </c>
      <c r="E1" s="54" t="s">
        <v>46</v>
      </c>
      <c r="F1" s="55">
        <v>0.4</v>
      </c>
      <c r="G1" s="60" t="s">
        <v>110</v>
      </c>
    </row>
    <row r="2" spans="1:7" ht="15.65" x14ac:dyDescent="0.25">
      <c r="A2" s="2"/>
      <c r="B2" s="2"/>
      <c r="E2" s="54" t="s">
        <v>46</v>
      </c>
      <c r="F2" s="55">
        <v>0.35</v>
      </c>
      <c r="G2" s="60" t="s">
        <v>111</v>
      </c>
    </row>
    <row r="3" spans="1:7" ht="15.65" x14ac:dyDescent="0.25">
      <c r="A3" s="37"/>
      <c r="B3" s="49">
        <v>0.11580493537015277</v>
      </c>
      <c r="C3" s="65" t="s">
        <v>116</v>
      </c>
      <c r="E3" s="54" t="s">
        <v>69</v>
      </c>
      <c r="F3" s="54">
        <v>1.2</v>
      </c>
      <c r="G3" s="60" t="s">
        <v>112</v>
      </c>
    </row>
    <row r="4" spans="1:7" ht="15.65" x14ac:dyDescent="0.25">
      <c r="A4" s="37"/>
      <c r="B4" s="49">
        <f>B3+(F2)*(B3-F6)*(1-F7)</f>
        <v>0.13400000000000001</v>
      </c>
      <c r="E4" s="54" t="s">
        <v>95</v>
      </c>
      <c r="F4" s="55">
        <v>7.0000000000000007E-2</v>
      </c>
      <c r="G4" s="60"/>
    </row>
    <row r="5" spans="1:7" ht="15.65" x14ac:dyDescent="0.25">
      <c r="A5" s="2"/>
      <c r="B5" s="2"/>
      <c r="E5" s="54" t="s">
        <v>71</v>
      </c>
      <c r="F5" s="55">
        <v>0.05</v>
      </c>
      <c r="G5" s="60"/>
    </row>
    <row r="6" spans="1:7" ht="15.65" x14ac:dyDescent="0.25">
      <c r="A6" s="37"/>
      <c r="B6" s="67">
        <f>B3+(F1)*(B3-F6)*(1-F7)</f>
        <v>0.13659929494712103</v>
      </c>
      <c r="C6" s="65" t="s">
        <v>105</v>
      </c>
      <c r="E6" s="54" t="s">
        <v>81</v>
      </c>
      <c r="F6" s="55">
        <v>0.05</v>
      </c>
      <c r="G6" s="60"/>
    </row>
    <row r="7" spans="1:7" ht="15.65" x14ac:dyDescent="0.25">
      <c r="A7" s="52"/>
      <c r="B7" s="67">
        <f>((1/(1+F1))*B6)+(1-F7)*(F6)*(F1/(1+F1))</f>
        <v>0.1088566392479436</v>
      </c>
      <c r="C7" s="65"/>
      <c r="E7" s="54" t="s">
        <v>76</v>
      </c>
      <c r="F7" s="55">
        <v>0.21</v>
      </c>
      <c r="G7" s="60"/>
    </row>
    <row r="8" spans="1:7" ht="15.65" x14ac:dyDescent="0.25">
      <c r="A8" s="2"/>
      <c r="B8" s="2"/>
      <c r="E8" s="54" t="s">
        <v>64</v>
      </c>
      <c r="F8" s="56">
        <v>785000</v>
      </c>
      <c r="G8" s="60"/>
    </row>
    <row r="9" spans="1:7" ht="15.65" x14ac:dyDescent="0.25">
      <c r="A9" s="32" t="s">
        <v>56</v>
      </c>
      <c r="B9" s="35">
        <f>F9</f>
        <v>93000</v>
      </c>
      <c r="E9" s="54" t="s">
        <v>113</v>
      </c>
      <c r="F9" s="56">
        <v>93000</v>
      </c>
      <c r="G9" s="60"/>
    </row>
    <row r="10" spans="1:7" ht="15.65" x14ac:dyDescent="0.25">
      <c r="A10" s="33" t="s">
        <v>57</v>
      </c>
      <c r="B10" s="36">
        <f>$B9*(1+$F$10)</f>
        <v>97650</v>
      </c>
      <c r="E10" s="54" t="s">
        <v>114</v>
      </c>
      <c r="F10" s="55">
        <v>0.05</v>
      </c>
      <c r="G10" s="60" t="s">
        <v>115</v>
      </c>
    </row>
    <row r="11" spans="1:7" ht="15.65" x14ac:dyDescent="0.25">
      <c r="A11" s="33" t="s">
        <v>58</v>
      </c>
      <c r="B11" s="36">
        <f t="shared" ref="B11:B13" si="0">$B10*(1+$F$10)</f>
        <v>102532.5</v>
      </c>
    </row>
    <row r="12" spans="1:7" ht="15.65" x14ac:dyDescent="0.25">
      <c r="A12" s="33" t="s">
        <v>59</v>
      </c>
      <c r="B12" s="36">
        <f t="shared" si="0"/>
        <v>107659.125</v>
      </c>
    </row>
    <row r="13" spans="1:7" ht="15.65" x14ac:dyDescent="0.25">
      <c r="A13" s="33" t="s">
        <v>60</v>
      </c>
      <c r="B13" s="36">
        <f t="shared" si="0"/>
        <v>113042.08125</v>
      </c>
    </row>
    <row r="14" spans="1:7" ht="15.65" x14ac:dyDescent="0.25">
      <c r="A14" s="34" t="s">
        <v>61</v>
      </c>
      <c r="B14" s="36">
        <f>B13</f>
        <v>113042.08125</v>
      </c>
    </row>
    <row r="15" spans="1:7" ht="15.65" x14ac:dyDescent="0.25">
      <c r="A15" s="2"/>
      <c r="B15" s="60"/>
    </row>
    <row r="16" spans="1:7" ht="15.65" x14ac:dyDescent="0.25">
      <c r="A16" s="31" t="s">
        <v>5</v>
      </c>
      <c r="B16" s="85">
        <f>-F8+NPV(B7,B9,B10,B11,B12,B13+(B14/B7))</f>
        <v>211587.36070365994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8838-44F4-4E8E-B85E-9D40D19904A4}">
  <dimension ref="A1:K25"/>
  <sheetViews>
    <sheetView showGridLines="0" tabSelected="1" zoomScale="160" zoomScaleNormal="160" workbookViewId="0">
      <selection activeCell="E1" sqref="E1"/>
    </sheetView>
  </sheetViews>
  <sheetFormatPr defaultRowHeight="14.3" x14ac:dyDescent="0.25"/>
  <cols>
    <col min="1" max="1" width="27.25" bestFit="1" customWidth="1"/>
    <col min="2" max="2" width="10.625" bestFit="1" customWidth="1"/>
    <col min="3" max="6" width="9.625" bestFit="1" customWidth="1"/>
    <col min="8" max="8" width="16" bestFit="1" customWidth="1"/>
    <col min="9" max="9" width="11.125" bestFit="1" customWidth="1"/>
  </cols>
  <sheetData>
    <row r="1" spans="1:11" ht="15.65" x14ac:dyDescent="0.25">
      <c r="A1" s="86"/>
      <c r="B1" s="87">
        <v>2019</v>
      </c>
      <c r="C1" s="87">
        <v>2020</v>
      </c>
      <c r="D1" s="87">
        <v>2021</v>
      </c>
      <c r="E1" s="87">
        <v>2022</v>
      </c>
      <c r="F1" s="87">
        <v>2023</v>
      </c>
      <c r="G1" s="60"/>
      <c r="H1" s="54" t="s">
        <v>123</v>
      </c>
      <c r="I1" s="100">
        <v>3.5000000000000003E-2</v>
      </c>
      <c r="J1" s="60" t="s">
        <v>124</v>
      </c>
      <c r="K1" s="60"/>
    </row>
    <row r="2" spans="1:11" ht="15.65" x14ac:dyDescent="0.25">
      <c r="A2" s="88" t="s">
        <v>117</v>
      </c>
      <c r="B2" s="89">
        <v>3024</v>
      </c>
      <c r="C2" s="89">
        <v>3391</v>
      </c>
      <c r="D2" s="89">
        <v>3654</v>
      </c>
      <c r="E2" s="89">
        <v>3740</v>
      </c>
      <c r="F2" s="89">
        <v>3893</v>
      </c>
      <c r="G2" s="60"/>
      <c r="H2" s="54" t="s">
        <v>126</v>
      </c>
      <c r="I2" s="101">
        <v>0.14000000000000001</v>
      </c>
      <c r="J2" s="60" t="s">
        <v>145</v>
      </c>
      <c r="K2" s="60"/>
    </row>
    <row r="3" spans="1:11" ht="15.65" x14ac:dyDescent="0.25">
      <c r="A3" s="88" t="s">
        <v>118</v>
      </c>
      <c r="B3" s="89">
        <v>804</v>
      </c>
      <c r="C3" s="89">
        <v>1055</v>
      </c>
      <c r="D3" s="89">
        <v>1110</v>
      </c>
      <c r="E3" s="89">
        <v>1200</v>
      </c>
      <c r="F3" s="89">
        <v>1264</v>
      </c>
      <c r="G3" s="60"/>
      <c r="H3" s="54" t="s">
        <v>97</v>
      </c>
      <c r="I3" s="100">
        <v>0.125</v>
      </c>
      <c r="J3" s="60"/>
      <c r="K3" s="60"/>
    </row>
    <row r="4" spans="1:11" ht="15.65" x14ac:dyDescent="0.25">
      <c r="A4" s="88" t="s">
        <v>119</v>
      </c>
      <c r="B4" s="89">
        <v>534</v>
      </c>
      <c r="C4" s="89">
        <v>568</v>
      </c>
      <c r="D4" s="89">
        <v>591</v>
      </c>
      <c r="E4" s="89">
        <v>620</v>
      </c>
      <c r="F4" s="89">
        <v>633</v>
      </c>
      <c r="G4" s="60"/>
      <c r="H4" s="54" t="s">
        <v>63</v>
      </c>
      <c r="I4" s="102">
        <v>5</v>
      </c>
      <c r="J4" s="60"/>
      <c r="K4" s="60"/>
    </row>
    <row r="5" spans="1:11" ht="15.65" x14ac:dyDescent="0.25">
      <c r="A5" s="93" t="s">
        <v>130</v>
      </c>
      <c r="B5" s="95">
        <f>B$2-B$3-B$4</f>
        <v>1686</v>
      </c>
      <c r="C5" s="95">
        <f>C$2-C$3-C$4</f>
        <v>1768</v>
      </c>
      <c r="D5" s="95">
        <f>D$2-D$3-D$4</f>
        <v>1953</v>
      </c>
      <c r="E5" s="95">
        <f t="shared" ref="E5:F5" si="0">E$2-E$3-E$4</f>
        <v>1920</v>
      </c>
      <c r="F5" s="95">
        <f t="shared" si="0"/>
        <v>1996</v>
      </c>
      <c r="G5" s="60"/>
      <c r="H5" s="54" t="s">
        <v>128</v>
      </c>
      <c r="I5" s="101">
        <v>0.08</v>
      </c>
      <c r="J5" s="60" t="s">
        <v>127</v>
      </c>
      <c r="K5" s="60"/>
    </row>
    <row r="6" spans="1:11" ht="15.65" x14ac:dyDescent="0.25">
      <c r="A6" s="88" t="s">
        <v>55</v>
      </c>
      <c r="B6" s="92">
        <f>B$5*$I$8</f>
        <v>354.06</v>
      </c>
      <c r="C6" s="92">
        <f t="shared" ref="C6:F6" si="1">C$5*$I$8</f>
        <v>371.28</v>
      </c>
      <c r="D6" s="92">
        <f t="shared" si="1"/>
        <v>410.13</v>
      </c>
      <c r="E6" s="92">
        <f t="shared" si="1"/>
        <v>403.2</v>
      </c>
      <c r="F6" s="92">
        <f t="shared" si="1"/>
        <v>419.15999999999997</v>
      </c>
      <c r="G6" s="60"/>
      <c r="H6" s="54" t="s">
        <v>98</v>
      </c>
      <c r="I6" s="102">
        <v>385000000</v>
      </c>
      <c r="J6" s="60"/>
      <c r="K6" s="60"/>
    </row>
    <row r="7" spans="1:11" ht="15.65" x14ac:dyDescent="0.25">
      <c r="A7" s="93" t="s">
        <v>52</v>
      </c>
      <c r="B7" s="94">
        <f>B$5-B$6</f>
        <v>1331.94</v>
      </c>
      <c r="C7" s="94">
        <f t="shared" ref="C7:F7" si="2">C$5-C$6</f>
        <v>1396.72</v>
      </c>
      <c r="D7" s="94">
        <f t="shared" si="2"/>
        <v>1542.87</v>
      </c>
      <c r="E7" s="94">
        <f t="shared" si="2"/>
        <v>1516.8</v>
      </c>
      <c r="F7" s="94">
        <f t="shared" si="2"/>
        <v>1576.8400000000001</v>
      </c>
      <c r="G7" s="60"/>
      <c r="H7" s="54" t="s">
        <v>4</v>
      </c>
      <c r="I7" s="103">
        <v>29</v>
      </c>
      <c r="J7" s="60" t="s">
        <v>129</v>
      </c>
      <c r="K7" s="60"/>
    </row>
    <row r="8" spans="1:11" ht="15.65" x14ac:dyDescent="0.25">
      <c r="A8" s="88" t="s">
        <v>120</v>
      </c>
      <c r="B8" s="89">
        <v>307</v>
      </c>
      <c r="C8" s="89">
        <v>266</v>
      </c>
      <c r="D8" s="89">
        <v>334</v>
      </c>
      <c r="E8" s="89">
        <v>339</v>
      </c>
      <c r="F8" s="89">
        <v>334</v>
      </c>
      <c r="G8" s="60"/>
      <c r="H8" s="54" t="s">
        <v>76</v>
      </c>
      <c r="I8" s="101">
        <v>0.21</v>
      </c>
      <c r="J8" s="60"/>
      <c r="K8" s="60"/>
    </row>
    <row r="9" spans="1:11" ht="15.65" x14ac:dyDescent="0.25">
      <c r="A9" s="88" t="s">
        <v>121</v>
      </c>
      <c r="B9" s="90">
        <v>-134</v>
      </c>
      <c r="C9" s="90">
        <v>-205</v>
      </c>
      <c r="D9" s="89">
        <v>111</v>
      </c>
      <c r="E9" s="89">
        <v>105</v>
      </c>
      <c r="F9" s="89">
        <v>119</v>
      </c>
      <c r="G9" s="60"/>
      <c r="H9" s="54" t="s">
        <v>46</v>
      </c>
      <c r="I9" s="101">
        <v>0.25</v>
      </c>
      <c r="J9" s="60"/>
      <c r="K9" s="60"/>
    </row>
    <row r="10" spans="1:11" ht="15.65" x14ac:dyDescent="0.25">
      <c r="A10" s="88" t="s">
        <v>122</v>
      </c>
      <c r="B10" s="89">
        <v>1560</v>
      </c>
      <c r="C10" s="89">
        <v>1131</v>
      </c>
      <c r="D10" s="91">
        <v>0</v>
      </c>
      <c r="E10" s="91">
        <v>0</v>
      </c>
      <c r="F10" s="91">
        <v>0</v>
      </c>
      <c r="G10" s="60"/>
      <c r="H10" s="60"/>
      <c r="I10" s="60"/>
      <c r="J10" s="60"/>
      <c r="K10" s="60"/>
    </row>
    <row r="11" spans="1:11" ht="15.65" x14ac:dyDescent="0.25">
      <c r="A11" s="88" t="s">
        <v>125</v>
      </c>
      <c r="B11" s="89">
        <v>2120</v>
      </c>
      <c r="C11" s="89">
        <v>2045</v>
      </c>
      <c r="D11" s="89">
        <v>2851</v>
      </c>
      <c r="E11" s="89">
        <v>2779</v>
      </c>
      <c r="F11" s="89">
        <v>2875</v>
      </c>
      <c r="G11" s="60"/>
      <c r="H11" s="60"/>
      <c r="I11" s="60"/>
      <c r="J11" s="60"/>
      <c r="K11" s="60"/>
    </row>
    <row r="12" spans="1:11" ht="15.65" x14ac:dyDescent="0.25">
      <c r="A12" s="93" t="s">
        <v>79</v>
      </c>
      <c r="B12" s="94">
        <f>(B$5+B$4-B$6)-B$8-B$9+B$10</f>
        <v>3252.94</v>
      </c>
      <c r="C12" s="94">
        <f>(C$5+C$4-C$6)-C$8-C$9+C$10</f>
        <v>3034.7200000000003</v>
      </c>
      <c r="D12" s="94">
        <f t="shared" ref="D12:F12" si="3">(D$5+D$4-D$6)-D$8-D$9+D$10</f>
        <v>1688.87</v>
      </c>
      <c r="E12" s="94">
        <f t="shared" si="3"/>
        <v>1692.8000000000002</v>
      </c>
      <c r="F12" s="94">
        <f t="shared" si="3"/>
        <v>1756.8400000000001</v>
      </c>
      <c r="G12" s="60" t="s">
        <v>144</v>
      </c>
      <c r="H12" s="60"/>
      <c r="I12" s="60"/>
      <c r="J12" s="60"/>
      <c r="K12" s="60"/>
    </row>
    <row r="13" spans="1:11" ht="15.65" x14ac:dyDescent="0.25">
      <c r="A13" s="96" t="s">
        <v>134</v>
      </c>
      <c r="B13" s="57">
        <f>NPV($I$2,$B$12:$F$12)</f>
        <v>8243.234920744515</v>
      </c>
      <c r="C13" s="60" t="s">
        <v>131</v>
      </c>
      <c r="D13" s="60"/>
      <c r="E13" s="60"/>
      <c r="F13" s="60"/>
      <c r="G13" s="60"/>
      <c r="H13" s="60"/>
      <c r="I13" s="60"/>
      <c r="J13" s="60"/>
      <c r="K13" s="60"/>
    </row>
    <row r="14" spans="1:11" ht="15.65" x14ac:dyDescent="0.25">
      <c r="A14" s="96" t="s">
        <v>132</v>
      </c>
      <c r="B14" s="57">
        <f>FV($I$1,1,,-$F$12)/($I$2-$I$1)</f>
        <v>17317.422857142858</v>
      </c>
      <c r="C14" s="60" t="s">
        <v>146</v>
      </c>
      <c r="D14" s="60"/>
      <c r="E14" s="60"/>
      <c r="F14" s="60"/>
      <c r="G14" s="60"/>
      <c r="H14" s="60"/>
      <c r="I14" s="60"/>
      <c r="J14" s="60"/>
      <c r="K14" s="60"/>
    </row>
    <row r="15" spans="1:11" ht="15.65" x14ac:dyDescent="0.25">
      <c r="A15" s="96" t="s">
        <v>134</v>
      </c>
      <c r="B15" s="57">
        <f>PV($I$2,$I$4,,-$B$14)</f>
        <v>8994.1267794684209</v>
      </c>
      <c r="C15" s="60" t="s">
        <v>133</v>
      </c>
      <c r="D15" s="60"/>
      <c r="E15" s="60"/>
      <c r="F15" s="60"/>
      <c r="G15" s="60"/>
      <c r="H15" s="60"/>
      <c r="I15" s="60"/>
      <c r="J15" s="60"/>
      <c r="K15" s="60"/>
    </row>
    <row r="16" spans="1:11" ht="15.65" x14ac:dyDescent="0.25">
      <c r="A16" s="96" t="s">
        <v>135</v>
      </c>
      <c r="B16" s="57">
        <f t="array" ref="B16">NPV($I$3,TRANSPOSE($B$11:$F$11)*$I$8)</f>
        <v>1854.9157425189251</v>
      </c>
      <c r="C16" s="60"/>
      <c r="D16" s="60"/>
      <c r="E16" s="60"/>
      <c r="F16" s="60"/>
      <c r="G16" s="60"/>
      <c r="H16" s="60"/>
      <c r="I16" s="60"/>
      <c r="J16" s="60"/>
      <c r="K16" s="60"/>
    </row>
    <row r="17" spans="1:11" ht="15.65" x14ac:dyDescent="0.25">
      <c r="A17" s="96" t="s">
        <v>136</v>
      </c>
      <c r="B17" s="67">
        <f>$I$2+($I$9)*($I$2-$I$5)*(1-$I$8)</f>
        <v>0.15185000000000001</v>
      </c>
      <c r="C17" s="60"/>
      <c r="D17" s="60"/>
      <c r="E17" s="60"/>
      <c r="F17" s="60"/>
      <c r="G17" s="60"/>
      <c r="H17" s="60"/>
      <c r="I17" s="60"/>
      <c r="J17" s="60"/>
      <c r="K17" s="60"/>
    </row>
    <row r="18" spans="1:11" ht="15.65" x14ac:dyDescent="0.25">
      <c r="A18" s="97" t="s">
        <v>137</v>
      </c>
      <c r="B18" s="99">
        <f>(1/(1+$I$9)*$B$17)+($I$9*(1-$I$8)*$I$5)</f>
        <v>0.13728000000000001</v>
      </c>
      <c r="C18" s="60"/>
      <c r="D18" s="60"/>
      <c r="E18" s="60"/>
      <c r="F18" s="60"/>
      <c r="G18" s="60"/>
      <c r="H18" s="60"/>
      <c r="I18" s="60"/>
      <c r="J18" s="60"/>
      <c r="K18" s="60"/>
    </row>
    <row r="19" spans="1:11" ht="15.65" x14ac:dyDescent="0.25">
      <c r="A19" s="96" t="s">
        <v>134</v>
      </c>
      <c r="B19" s="57">
        <f>FV($I$1,1,,-$F$12)/($B$18-$I$1)</f>
        <v>17777.956589753616</v>
      </c>
      <c r="C19" s="60" t="s">
        <v>147</v>
      </c>
      <c r="D19" s="60"/>
      <c r="E19" s="60"/>
      <c r="F19" s="60"/>
      <c r="G19" s="60"/>
      <c r="H19" s="60"/>
      <c r="I19" s="60"/>
      <c r="J19" s="60"/>
      <c r="K19" s="60"/>
    </row>
    <row r="20" spans="1:11" ht="15.65" x14ac:dyDescent="0.25">
      <c r="A20" s="96" t="s">
        <v>138</v>
      </c>
      <c r="B20" s="57">
        <f>B19-B14</f>
        <v>460.53373261075831</v>
      </c>
      <c r="C20" s="60" t="s">
        <v>139</v>
      </c>
      <c r="D20" s="60"/>
      <c r="E20" s="60"/>
      <c r="F20" s="60"/>
      <c r="G20" s="60"/>
      <c r="H20" s="60"/>
      <c r="I20" s="60"/>
      <c r="J20" s="60"/>
      <c r="K20" s="60"/>
    </row>
    <row r="21" spans="1:11" ht="15.65" x14ac:dyDescent="0.25">
      <c r="A21" s="96" t="s">
        <v>134</v>
      </c>
      <c r="B21" s="57">
        <f>PV($I$3,$I$4,,-B20)</f>
        <v>255.56350404222474</v>
      </c>
      <c r="C21" s="60" t="s">
        <v>140</v>
      </c>
      <c r="D21" s="60"/>
      <c r="E21" s="60"/>
      <c r="F21" s="60"/>
      <c r="G21" s="60"/>
      <c r="H21" s="60"/>
      <c r="I21" s="60"/>
      <c r="J21" s="60"/>
      <c r="K21" s="60"/>
    </row>
    <row r="22" spans="1:11" ht="15.65" x14ac:dyDescent="0.25">
      <c r="A22" s="96" t="s">
        <v>141</v>
      </c>
      <c r="B22" s="57">
        <f>B13+B15</f>
        <v>17237.361700212936</v>
      </c>
      <c r="C22" s="60" t="s">
        <v>148</v>
      </c>
      <c r="D22" s="60"/>
      <c r="E22" s="60"/>
      <c r="F22" s="60"/>
      <c r="G22" s="60"/>
      <c r="H22" s="60"/>
      <c r="I22" s="60"/>
      <c r="J22" s="60"/>
      <c r="K22" s="60"/>
    </row>
    <row r="23" spans="1:11" ht="15.65" x14ac:dyDescent="0.25">
      <c r="A23" s="96" t="s">
        <v>142</v>
      </c>
      <c r="B23" s="57">
        <f>B16+B21</f>
        <v>2110.4792465611499</v>
      </c>
      <c r="C23" s="60" t="s">
        <v>149</v>
      </c>
      <c r="D23" s="60"/>
      <c r="E23" s="60"/>
      <c r="F23" s="60"/>
      <c r="G23" s="60"/>
      <c r="H23" s="60"/>
      <c r="I23" s="60"/>
      <c r="J23" s="60"/>
      <c r="K23" s="60"/>
    </row>
    <row r="24" spans="1:11" ht="15.65" x14ac:dyDescent="0.25">
      <c r="A24" s="97" t="s">
        <v>143</v>
      </c>
      <c r="B24" s="98">
        <f>B22+B23</f>
        <v>19347.840946774086</v>
      </c>
      <c r="C24" s="60"/>
      <c r="D24" s="60"/>
      <c r="E24" s="60"/>
      <c r="F24" s="60"/>
      <c r="G24" s="60"/>
      <c r="H24" s="60"/>
      <c r="I24" s="60"/>
      <c r="J24" s="60"/>
      <c r="K24" s="60"/>
    </row>
    <row r="25" spans="1:11" ht="15.65" x14ac:dyDescent="0.25">
      <c r="A25" s="97" t="s">
        <v>150</v>
      </c>
      <c r="B25" s="98">
        <f>(B24*1000000)/I6</f>
        <v>50.254132329283337</v>
      </c>
      <c r="C25" s="60"/>
      <c r="D25" s="60"/>
      <c r="E25" s="60"/>
      <c r="F25" s="60"/>
      <c r="G25" s="60"/>
      <c r="H25" s="60"/>
      <c r="I25" s="60"/>
      <c r="J25" s="60"/>
      <c r="K25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1.</vt:lpstr>
      <vt:lpstr>2.</vt:lpstr>
      <vt:lpstr>3.</vt:lpstr>
      <vt:lpstr>4.</vt:lpstr>
      <vt:lpstr>5.</vt:lpstr>
      <vt:lpstr>6.</vt:lpstr>
      <vt:lpstr>7.</vt:lpstr>
      <vt:lpstr>8.</vt:lpstr>
      <vt:lpstr>9.</vt:lpstr>
      <vt:lpstr>10. &amp; 11.</vt:lpstr>
      <vt:lpstr>12.</vt:lpstr>
      <vt:lpstr>13.</vt:lpstr>
      <vt:lpstr>14.</vt:lpstr>
      <vt:lpstr>15.</vt:lpstr>
      <vt:lpstr>16.</vt:lpstr>
      <vt:lpstr>17.</vt:lpstr>
      <vt:lpstr>18.</vt:lpstr>
      <vt:lpstr>THE LEVERAGED BUYOUT OF CHEEK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BusinessLearn365</cp:lastModifiedBy>
  <dcterms:created xsi:type="dcterms:W3CDTF">2022-03-14T11:12:49Z</dcterms:created>
  <dcterms:modified xsi:type="dcterms:W3CDTF">2023-03-23T07:22:09Z</dcterms:modified>
</cp:coreProperties>
</file>